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hisWorkbook" autoCompressPictures="0"/>
  <bookViews>
    <workbookView xWindow="0" yWindow="180" windowWidth="17250" windowHeight="9270"/>
  </bookViews>
  <sheets>
    <sheet name="一月" sheetId="6" r:id="rId1"/>
    <sheet name="二月" sheetId="9" r:id="rId2"/>
    <sheet name="三月" sheetId="10" r:id="rId3"/>
    <sheet name="四月" sheetId="11" r:id="rId4"/>
    <sheet name="五月" sheetId="12" r:id="rId5"/>
    <sheet name="六月" sheetId="13" r:id="rId6"/>
    <sheet name="七月" sheetId="14" r:id="rId7"/>
    <sheet name="八月" sheetId="15" r:id="rId8"/>
    <sheet name="九月" sheetId="16" r:id="rId9"/>
    <sheet name="十月" sheetId="17" r:id="rId10"/>
    <sheet name="十一月" sheetId="18" r:id="rId11"/>
    <sheet name="十二月" sheetId="19" r:id="rId12"/>
  </sheets>
  <definedNames>
    <definedName name="AprSun1">DATE(CalendarYear,4,1)-WEEKDAY(DATE(CalendarYear,4,1))+1</definedName>
    <definedName name="AugSun1">DATE(CalendarYear,8,1)-WEEKDAY(DATE(CalendarYear,8,1))+1</definedName>
    <definedName name="CalendarYear">一月!$L$2</definedName>
    <definedName name="DecSun1">DATE(CalendarYear,12,1)-WEEKDAY(DATE(CalendarYear,12,1))+1</definedName>
    <definedName name="FebSun1">DATE(CalendarYear,2,1)-WEEKDAY(DATE(CalendarYear,2,1))+1</definedName>
    <definedName name="JanSun1">DATE(CalendarYear,1,1)-WEEKDAY(DATE(CalendarYear,1,1))+1</definedName>
    <definedName name="JulSun1">DATE(CalendarYear,7,1)-WEEKDAY(DATE(CalendarYear,7,1))+1</definedName>
    <definedName name="JunSun1">DATE(CalendarYear,6,1)-WEEKDAY(DATE(CalendarYear,6,1))+1</definedName>
    <definedName name="MarSun1">DATE(CalendarYear,3,1)-WEEKDAY(DATE(CalendarYear,3,1))+1</definedName>
    <definedName name="MaySun1">DATE(CalendarYear,5,1)-WEEKDAY(DATE(CalendarYear,5,1))+1</definedName>
    <definedName name="NovSun1">DATE(CalendarYear,11,1)-WEEKDAY(DATE(CalendarYear,11,1))+1</definedName>
    <definedName name="OctSun1">DATE(CalendarYear,10,1)-WEEKDAY(DATE(CalendarYear,10,1))+1</definedName>
    <definedName name="_xlnm.Print_Area" localSheetId="0">一月!$A$1:$H$36</definedName>
    <definedName name="_xlnm.Print_Area" localSheetId="6">七月!$A$1:$H$36</definedName>
    <definedName name="_xlnm.Print_Area" localSheetId="2">三月!$A$1:$H$36</definedName>
    <definedName name="_xlnm.Print_Area" localSheetId="8">九月!$A$1:$H$36</definedName>
    <definedName name="_xlnm.Print_Area" localSheetId="1">二月!$A$1:$H$36</definedName>
    <definedName name="_xlnm.Print_Area" localSheetId="4">五月!$A$1:$H$36</definedName>
    <definedName name="_xlnm.Print_Area" localSheetId="7">八月!$A$1:$H$36</definedName>
    <definedName name="_xlnm.Print_Area" localSheetId="5">六月!$A$1:$H$36</definedName>
    <definedName name="_xlnm.Print_Area" localSheetId="10">十一月!$A$1:$H$36</definedName>
    <definedName name="_xlnm.Print_Area" localSheetId="11">十二月!$A$1:$H$36</definedName>
    <definedName name="_xlnm.Print_Area" localSheetId="9">十月!$A$1:$H$36</definedName>
    <definedName name="_xlnm.Print_Area" localSheetId="3">四月!$A$1:$H$36</definedName>
    <definedName name="SepSun1">DATE(CalendarYear,9,1)-WEEKDAY(DATE(CalendarYear,9,1))+1</definedName>
  </definedNames>
  <calcPr calcId="14562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3" i="6" l="1"/>
  <c r="B3" i="19" l="1"/>
  <c r="B3" i="18"/>
  <c r="B3" i="17"/>
  <c r="B3" i="16"/>
  <c r="B3" i="15"/>
  <c r="B3" i="14"/>
  <c r="B3" i="13"/>
  <c r="B3" i="12"/>
  <c r="B3" i="11"/>
  <c r="B3" i="10"/>
  <c r="B3" i="9"/>
  <c r="B5" i="6" l="1"/>
  <c r="D5" i="6"/>
  <c r="C15" i="11" l="1"/>
  <c r="B15" i="11"/>
  <c r="H13" i="11"/>
  <c r="G13" i="11"/>
  <c r="F13" i="11"/>
  <c r="E13" i="11"/>
  <c r="D13" i="11"/>
  <c r="C13" i="11"/>
  <c r="B13" i="11"/>
  <c r="H11" i="11"/>
  <c r="G11" i="11"/>
  <c r="F11" i="11"/>
  <c r="E11" i="11"/>
  <c r="D11" i="11"/>
  <c r="C11" i="11"/>
  <c r="B11" i="11"/>
  <c r="H9" i="11"/>
  <c r="G9" i="11"/>
  <c r="F9" i="11"/>
  <c r="E9" i="11"/>
  <c r="D9" i="11"/>
  <c r="C9" i="11"/>
  <c r="B9" i="11"/>
  <c r="H7" i="11"/>
  <c r="G7" i="11"/>
  <c r="F7" i="11"/>
  <c r="E7" i="11"/>
  <c r="D7" i="11"/>
  <c r="C7" i="11"/>
  <c r="B7" i="11"/>
  <c r="H5" i="11"/>
  <c r="G5" i="11"/>
  <c r="F5" i="11"/>
  <c r="E5" i="11"/>
  <c r="D5" i="11"/>
  <c r="C5" i="11"/>
  <c r="B5" i="11"/>
  <c r="C15" i="12"/>
  <c r="B15" i="12"/>
  <c r="H13" i="12"/>
  <c r="G13" i="12"/>
  <c r="F13" i="12"/>
  <c r="E13" i="12"/>
  <c r="D13" i="12"/>
  <c r="C13" i="12"/>
  <c r="B13" i="12"/>
  <c r="H11" i="12"/>
  <c r="G11" i="12"/>
  <c r="F11" i="12"/>
  <c r="E11" i="12"/>
  <c r="D11" i="12"/>
  <c r="C11" i="12"/>
  <c r="B11" i="12"/>
  <c r="H9" i="12"/>
  <c r="G9" i="12"/>
  <c r="F9" i="12"/>
  <c r="E9" i="12"/>
  <c r="D9" i="12"/>
  <c r="C9" i="12"/>
  <c r="B9" i="12"/>
  <c r="H7" i="12"/>
  <c r="G7" i="12"/>
  <c r="F7" i="12"/>
  <c r="E7" i="12"/>
  <c r="D7" i="12"/>
  <c r="C7" i="12"/>
  <c r="B7" i="12"/>
  <c r="H5" i="12"/>
  <c r="G5" i="12"/>
  <c r="F5" i="12"/>
  <c r="E5" i="12"/>
  <c r="D5" i="12"/>
  <c r="C5" i="12"/>
  <c r="B5" i="12"/>
  <c r="C15" i="13"/>
  <c r="B15" i="13"/>
  <c r="H13" i="13"/>
  <c r="G13" i="13"/>
  <c r="F13" i="13"/>
  <c r="E13" i="13"/>
  <c r="D13" i="13"/>
  <c r="C13" i="13"/>
  <c r="B13" i="13"/>
  <c r="H11" i="13"/>
  <c r="G11" i="13"/>
  <c r="F11" i="13"/>
  <c r="E11" i="13"/>
  <c r="D11" i="13"/>
  <c r="C11" i="13"/>
  <c r="B11" i="13"/>
  <c r="H9" i="13"/>
  <c r="G9" i="13"/>
  <c r="F9" i="13"/>
  <c r="E9" i="13"/>
  <c r="D9" i="13"/>
  <c r="C9" i="13"/>
  <c r="B9" i="13"/>
  <c r="H7" i="13"/>
  <c r="G7" i="13"/>
  <c r="F7" i="13"/>
  <c r="E7" i="13"/>
  <c r="D7" i="13"/>
  <c r="C7" i="13"/>
  <c r="B7" i="13"/>
  <c r="H5" i="13"/>
  <c r="G5" i="13"/>
  <c r="F5" i="13"/>
  <c r="E5" i="13"/>
  <c r="D5" i="13"/>
  <c r="C5" i="13"/>
  <c r="B5" i="13"/>
  <c r="C15" i="14"/>
  <c r="B15" i="14"/>
  <c r="H13" i="14"/>
  <c r="G13" i="14"/>
  <c r="F13" i="14"/>
  <c r="E13" i="14"/>
  <c r="D13" i="14"/>
  <c r="C13" i="14"/>
  <c r="B13" i="14"/>
  <c r="H11" i="14"/>
  <c r="G11" i="14"/>
  <c r="F11" i="14"/>
  <c r="E11" i="14"/>
  <c r="D11" i="14"/>
  <c r="C11" i="14"/>
  <c r="B11" i="14"/>
  <c r="H9" i="14"/>
  <c r="G9" i="14"/>
  <c r="F9" i="14"/>
  <c r="E9" i="14"/>
  <c r="D9" i="14"/>
  <c r="C9" i="14"/>
  <c r="B9" i="14"/>
  <c r="H7" i="14"/>
  <c r="G7" i="14"/>
  <c r="F7" i="14"/>
  <c r="E7" i="14"/>
  <c r="D7" i="14"/>
  <c r="C7" i="14"/>
  <c r="B7" i="14"/>
  <c r="H5" i="14"/>
  <c r="G5" i="14"/>
  <c r="F5" i="14"/>
  <c r="E5" i="14"/>
  <c r="D5" i="14"/>
  <c r="C5" i="14"/>
  <c r="B5" i="14"/>
  <c r="C15" i="15"/>
  <c r="B15" i="15"/>
  <c r="H13" i="15"/>
  <c r="G13" i="15"/>
  <c r="F13" i="15"/>
  <c r="E13" i="15"/>
  <c r="D13" i="15"/>
  <c r="C13" i="15"/>
  <c r="B13" i="15"/>
  <c r="H11" i="15"/>
  <c r="G11" i="15"/>
  <c r="F11" i="15"/>
  <c r="E11" i="15"/>
  <c r="D11" i="15"/>
  <c r="C11" i="15"/>
  <c r="B11" i="15"/>
  <c r="H9" i="15"/>
  <c r="G9" i="15"/>
  <c r="F9" i="15"/>
  <c r="E9" i="15"/>
  <c r="D9" i="15"/>
  <c r="C9" i="15"/>
  <c r="B9" i="15"/>
  <c r="H7" i="15"/>
  <c r="G7" i="15"/>
  <c r="F7" i="15"/>
  <c r="E7" i="15"/>
  <c r="D7" i="15"/>
  <c r="C7" i="15"/>
  <c r="B7" i="15"/>
  <c r="H5" i="15"/>
  <c r="G5" i="15"/>
  <c r="F5" i="15"/>
  <c r="E5" i="15"/>
  <c r="D5" i="15"/>
  <c r="C5" i="15"/>
  <c r="B5" i="15"/>
  <c r="C15" i="16"/>
  <c r="B15" i="16"/>
  <c r="H13" i="16"/>
  <c r="G13" i="16"/>
  <c r="F13" i="16"/>
  <c r="E13" i="16"/>
  <c r="D13" i="16"/>
  <c r="C13" i="16"/>
  <c r="B13" i="16"/>
  <c r="H11" i="16"/>
  <c r="G11" i="16"/>
  <c r="F11" i="16"/>
  <c r="E11" i="16"/>
  <c r="D11" i="16"/>
  <c r="C11" i="16"/>
  <c r="B11" i="16"/>
  <c r="H9" i="16"/>
  <c r="G9" i="16"/>
  <c r="F9" i="16"/>
  <c r="E9" i="16"/>
  <c r="D9" i="16"/>
  <c r="C9" i="16"/>
  <c r="B9" i="16"/>
  <c r="H7" i="16"/>
  <c r="G7" i="16"/>
  <c r="F7" i="16"/>
  <c r="E7" i="16"/>
  <c r="D7" i="16"/>
  <c r="C7" i="16"/>
  <c r="B7" i="16"/>
  <c r="H5" i="16"/>
  <c r="G5" i="16"/>
  <c r="F5" i="16"/>
  <c r="E5" i="16"/>
  <c r="D5" i="16"/>
  <c r="C5" i="16"/>
  <c r="B5" i="16"/>
  <c r="C15" i="17"/>
  <c r="B15" i="17"/>
  <c r="H13" i="17"/>
  <c r="G13" i="17"/>
  <c r="F13" i="17"/>
  <c r="E13" i="17"/>
  <c r="D13" i="17"/>
  <c r="C13" i="17"/>
  <c r="B13" i="17"/>
  <c r="H11" i="17"/>
  <c r="G11" i="17"/>
  <c r="F11" i="17"/>
  <c r="E11" i="17"/>
  <c r="D11" i="17"/>
  <c r="C11" i="17"/>
  <c r="B11" i="17"/>
  <c r="H9" i="17"/>
  <c r="G9" i="17"/>
  <c r="F9" i="17"/>
  <c r="E9" i="17"/>
  <c r="D9" i="17"/>
  <c r="C9" i="17"/>
  <c r="B9" i="17"/>
  <c r="H7" i="17"/>
  <c r="G7" i="17"/>
  <c r="F7" i="17"/>
  <c r="E7" i="17"/>
  <c r="D7" i="17"/>
  <c r="C7" i="17"/>
  <c r="B7" i="17"/>
  <c r="H5" i="17"/>
  <c r="G5" i="17"/>
  <c r="F5" i="17"/>
  <c r="E5" i="17"/>
  <c r="D5" i="17"/>
  <c r="C5" i="17"/>
  <c r="B5" i="17"/>
  <c r="C15" i="18"/>
  <c r="B15" i="18"/>
  <c r="H13" i="18"/>
  <c r="G13" i="18"/>
  <c r="F13" i="18"/>
  <c r="E13" i="18"/>
  <c r="D13" i="18"/>
  <c r="C13" i="18"/>
  <c r="B13" i="18"/>
  <c r="H11" i="18"/>
  <c r="G11" i="18"/>
  <c r="F11" i="18"/>
  <c r="E11" i="18"/>
  <c r="D11" i="18"/>
  <c r="C11" i="18"/>
  <c r="B11" i="18"/>
  <c r="H9" i="18"/>
  <c r="G9" i="18"/>
  <c r="F9" i="18"/>
  <c r="E9" i="18"/>
  <c r="D9" i="18"/>
  <c r="C9" i="18"/>
  <c r="B9" i="18"/>
  <c r="H7" i="18"/>
  <c r="G7" i="18"/>
  <c r="F7" i="18"/>
  <c r="E7" i="18"/>
  <c r="D7" i="18"/>
  <c r="C7" i="18"/>
  <c r="B7" i="18"/>
  <c r="H5" i="18"/>
  <c r="G5" i="18"/>
  <c r="F5" i="18"/>
  <c r="E5" i="18"/>
  <c r="D5" i="18"/>
  <c r="C5" i="18"/>
  <c r="B5" i="18"/>
  <c r="C15" i="19"/>
  <c r="B15" i="19"/>
  <c r="H13" i="19"/>
  <c r="G13" i="19"/>
  <c r="F13" i="19"/>
  <c r="E13" i="19"/>
  <c r="D13" i="19"/>
  <c r="C13" i="19"/>
  <c r="B13" i="19"/>
  <c r="H11" i="19"/>
  <c r="G11" i="19"/>
  <c r="F11" i="19"/>
  <c r="E11" i="19"/>
  <c r="D11" i="19"/>
  <c r="C11" i="19"/>
  <c r="B11" i="19"/>
  <c r="H9" i="19"/>
  <c r="G9" i="19"/>
  <c r="F9" i="19"/>
  <c r="E9" i="19"/>
  <c r="D9" i="19"/>
  <c r="C9" i="19"/>
  <c r="B9" i="19"/>
  <c r="H7" i="19"/>
  <c r="G7" i="19"/>
  <c r="F7" i="19"/>
  <c r="E7" i="19"/>
  <c r="D7" i="19"/>
  <c r="C7" i="19"/>
  <c r="B7" i="19"/>
  <c r="H5" i="19"/>
  <c r="G5" i="19"/>
  <c r="F5" i="19"/>
  <c r="E5" i="19"/>
  <c r="D5" i="19"/>
  <c r="C5" i="19"/>
  <c r="B5" i="19"/>
  <c r="C15" i="10"/>
  <c r="B15" i="10"/>
  <c r="H13" i="10"/>
  <c r="G13" i="10"/>
  <c r="F13" i="10"/>
  <c r="E13" i="10"/>
  <c r="D13" i="10"/>
  <c r="C13" i="10"/>
  <c r="B13" i="10"/>
  <c r="H11" i="10"/>
  <c r="G11" i="10"/>
  <c r="F11" i="10"/>
  <c r="E11" i="10"/>
  <c r="D11" i="10"/>
  <c r="C11" i="10"/>
  <c r="B11" i="10"/>
  <c r="H9" i="10"/>
  <c r="G9" i="10"/>
  <c r="F9" i="10"/>
  <c r="E9" i="10"/>
  <c r="D9" i="10"/>
  <c r="C9" i="10"/>
  <c r="B9" i="10"/>
  <c r="H7" i="10"/>
  <c r="G7" i="10"/>
  <c r="F7" i="10"/>
  <c r="E7" i="10"/>
  <c r="D7" i="10"/>
  <c r="C7" i="10"/>
  <c r="B7" i="10"/>
  <c r="H5" i="10"/>
  <c r="G5" i="10"/>
  <c r="F5" i="10"/>
  <c r="E5" i="10"/>
  <c r="D5" i="10"/>
  <c r="C5" i="10"/>
  <c r="B5" i="10"/>
  <c r="C15" i="9"/>
  <c r="B15" i="9"/>
  <c r="H13" i="9"/>
  <c r="G13" i="9"/>
  <c r="F13" i="9"/>
  <c r="E13" i="9"/>
  <c r="D13" i="9"/>
  <c r="C13" i="9"/>
  <c r="B13" i="9"/>
  <c r="H11" i="9"/>
  <c r="G11" i="9"/>
  <c r="F11" i="9"/>
  <c r="E11" i="9"/>
  <c r="D11" i="9"/>
  <c r="C11" i="9"/>
  <c r="B11" i="9"/>
  <c r="H9" i="9"/>
  <c r="G9" i="9"/>
  <c r="F9" i="9"/>
  <c r="E9" i="9"/>
  <c r="D9" i="9"/>
  <c r="C9" i="9"/>
  <c r="B9" i="9"/>
  <c r="H7" i="9"/>
  <c r="G7" i="9"/>
  <c r="F7" i="9"/>
  <c r="E7" i="9"/>
  <c r="D7" i="9"/>
  <c r="C7" i="9"/>
  <c r="B7" i="9"/>
  <c r="H5" i="9"/>
  <c r="G5" i="9"/>
  <c r="F5" i="9"/>
  <c r="E5" i="9"/>
  <c r="D5" i="9"/>
  <c r="C5" i="9"/>
  <c r="B5" i="9"/>
  <c r="C15" i="6" l="1"/>
  <c r="C5" i="6" l="1"/>
  <c r="E5" i="6"/>
  <c r="F5" i="6"/>
  <c r="G5" i="6"/>
  <c r="H5" i="6"/>
  <c r="B7" i="6"/>
  <c r="C7" i="6"/>
  <c r="D7" i="6"/>
  <c r="E7" i="6"/>
  <c r="F7" i="6"/>
  <c r="G7" i="6"/>
  <c r="H7" i="6"/>
  <c r="B9" i="6"/>
  <c r="C9" i="6"/>
  <c r="D9" i="6"/>
  <c r="E9" i="6"/>
  <c r="F9" i="6"/>
  <c r="G9" i="6"/>
  <c r="H9" i="6"/>
  <c r="B11" i="6"/>
  <c r="C11" i="6"/>
  <c r="D11" i="6"/>
  <c r="E11" i="6"/>
  <c r="F11" i="6"/>
  <c r="G11" i="6"/>
  <c r="H11" i="6"/>
  <c r="B13" i="6"/>
  <c r="C13" i="6"/>
  <c r="D13" i="6"/>
  <c r="E13" i="6"/>
  <c r="F13" i="6"/>
  <c r="G13" i="6"/>
  <c r="H13" i="6"/>
  <c r="B15" i="6"/>
</calcChain>
</file>

<file path=xl/sharedStrings.xml><?xml version="1.0" encoding="utf-8"?>
<sst xmlns="http://schemas.openxmlformats.org/spreadsheetml/2006/main" count="97" uniqueCount="10">
  <si>
    <t>星期一</t>
  </si>
  <si>
    <t>星期二</t>
  </si>
  <si>
    <t>星期三</t>
  </si>
  <si>
    <t>星期四</t>
  </si>
  <si>
    <t>星期五</t>
  </si>
  <si>
    <t>星期六</t>
  </si>
  <si>
    <t>星期日</t>
  </si>
  <si>
    <t>選取年度：</t>
    <phoneticPr fontId="6" type="noConversion"/>
  </si>
  <si>
    <t>附註：</t>
    <phoneticPr fontId="6" type="noConversion"/>
  </si>
  <si>
    <t>附註：</t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</si>
</sst>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"/>
    <numFmt numFmtId="165" formatCode="mmmm\ yyyy"/>
    <numFmt numFmtId="166" formatCode="mmmm"/>
  </numFmts>
  <fonts count="19">
    <font>
      <sz val="12"/>
      <color theme="1"/>
      <name val="Cambria"/>
      <family val="2"/>
      <scheme val="minor"/>
    </font>
    <font>
      <b/>
      <sz val="11"/>
      <color theme="0"/>
      <name val="Cambria"/>
      <family val="2"/>
      <scheme val="minor"/>
    </font>
    <font>
      <sz val="11"/>
      <name val="Cambria"/>
      <family val="2"/>
      <scheme val="minor"/>
    </font>
    <font>
      <sz val="10"/>
      <color indexed="63"/>
      <name val="Cambria"/>
      <family val="4"/>
      <scheme val="minor"/>
    </font>
    <font>
      <b/>
      <sz val="28"/>
      <color theme="1" tint="0.34998626667073579"/>
      <name val="Cambria"/>
      <family val="2"/>
      <scheme val="minor"/>
    </font>
    <font>
      <u/>
      <sz val="12"/>
      <color theme="10"/>
      <name val="Cambria"/>
      <family val="2"/>
      <scheme val="minor"/>
    </font>
    <font>
      <sz val="9"/>
      <name val="Cambria"/>
      <family val="3"/>
      <charset val="136"/>
      <scheme val="minor"/>
    </font>
    <font>
      <b/>
      <sz val="9"/>
      <color theme="8"/>
      <name val="Microsoft JhengHei"/>
      <family val="2"/>
      <charset val="136"/>
    </font>
    <font>
      <sz val="11"/>
      <color theme="8"/>
      <name val="Microsoft JhengHei"/>
      <family val="2"/>
      <charset val="136"/>
    </font>
    <font>
      <sz val="12"/>
      <color theme="1"/>
      <name val="Microsoft jhenghei"/>
      <family val="2"/>
      <charset val="136"/>
    </font>
    <font>
      <sz val="11"/>
      <name val="Microsoft jhenghei"/>
      <family val="2"/>
      <charset val="136"/>
    </font>
    <font>
      <sz val="24"/>
      <color theme="8"/>
      <name val="Microsoft jhenghei"/>
      <family val="2"/>
      <charset val="136"/>
    </font>
    <font>
      <sz val="40"/>
      <color theme="8"/>
      <name val="Microsoft jhenghei"/>
      <family val="2"/>
      <charset val="136"/>
    </font>
    <font>
      <sz val="28"/>
      <color theme="8" tint="-0.499984740745262"/>
      <name val="Microsoft jhenghei"/>
      <family val="2"/>
      <charset val="136"/>
    </font>
    <font>
      <sz val="10"/>
      <name val="Microsoft jhenghei"/>
      <family val="2"/>
      <charset val="136"/>
    </font>
    <font>
      <sz val="10"/>
      <color theme="9"/>
      <name val="Microsoft jhenghei"/>
      <family val="2"/>
      <charset val="136"/>
    </font>
    <font>
      <b/>
      <sz val="11"/>
      <color theme="8"/>
      <name val="Microsoft jhenghei"/>
      <family val="2"/>
      <charset val="136"/>
    </font>
    <font>
      <sz val="11"/>
      <color theme="0" tint="-0.499984740745262"/>
      <name val="Microsoft jhenghei"/>
      <family val="2"/>
      <charset val="136"/>
    </font>
    <font>
      <u/>
      <sz val="12"/>
      <color theme="10"/>
      <name val="Microsoft jhenghei"/>
      <family val="2"/>
      <charset val="136"/>
    </font>
  </fonts>
  <fills count="5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8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theme="8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8"/>
      </right>
      <top style="thin">
        <color theme="8"/>
      </top>
      <bottom/>
      <diagonal/>
    </border>
    <border>
      <left/>
      <right/>
      <top/>
      <bottom style="thin">
        <color theme="8"/>
      </bottom>
      <diagonal/>
    </border>
    <border>
      <left/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/>
      <diagonal/>
    </border>
    <border>
      <left style="thin">
        <color theme="8"/>
      </left>
      <right style="thin">
        <color theme="8"/>
      </right>
      <top/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/>
      <top/>
      <bottom style="thin">
        <color theme="8"/>
      </bottom>
      <diagonal/>
    </border>
  </borders>
  <cellStyleXfs count="6">
    <xf numFmtId="0" fontId="0" fillId="0" borderId="0"/>
    <xf numFmtId="0" fontId="2" fillId="0" borderId="0"/>
    <xf numFmtId="0" fontId="1" fillId="2" borderId="1" applyNumberFormat="0" applyAlignment="0" applyProtection="0"/>
    <xf numFmtId="0" fontId="3" fillId="3" borderId="0" applyNumberFormat="0" applyBorder="0" applyAlignment="0" applyProtection="0"/>
    <xf numFmtId="0" fontId="4" fillId="0" borderId="0" applyNumberFormat="0" applyFill="0" applyAlignment="0" applyProtection="0"/>
    <xf numFmtId="0" fontId="5" fillId="0" borderId="0" applyNumberFormat="0" applyFill="0" applyBorder="0" applyAlignment="0" applyProtection="0"/>
  </cellStyleXfs>
  <cellXfs count="30">
    <xf numFmtId="0" fontId="0" fillId="0" borderId="0" xfId="0"/>
    <xf numFmtId="0" fontId="7" fillId="0" borderId="2" xfId="2" applyFont="1" applyFill="1" applyBorder="1" applyAlignment="1">
      <alignment horizontal="center" vertical="center"/>
    </xf>
    <xf numFmtId="0" fontId="8" fillId="0" borderId="0" xfId="1" applyFont="1" applyAlignment="1">
      <alignment horizontal="center"/>
    </xf>
    <xf numFmtId="0" fontId="9" fillId="0" borderId="0" xfId="0" applyFont="1"/>
    <xf numFmtId="0" fontId="10" fillId="0" borderId="0" xfId="1" applyFont="1"/>
    <xf numFmtId="0" fontId="11" fillId="0" borderId="0" xfId="0" applyFont="1" applyAlignment="1">
      <alignment horizontal="center" vertical="center"/>
    </xf>
    <xf numFmtId="0" fontId="7" fillId="0" borderId="3" xfId="2" applyFont="1" applyFill="1" applyBorder="1" applyAlignment="1">
      <alignment horizontal="center" vertical="center"/>
    </xf>
    <xf numFmtId="0" fontId="7" fillId="0" borderId="4" xfId="2" applyFont="1" applyFill="1" applyBorder="1" applyAlignment="1">
      <alignment horizontal="center" vertical="center"/>
    </xf>
    <xf numFmtId="166" fontId="9" fillId="0" borderId="0" xfId="0" applyNumberFormat="1" applyFont="1"/>
    <xf numFmtId="164" fontId="8" fillId="4" borderId="11" xfId="1" applyNumberFormat="1" applyFont="1" applyFill="1" applyBorder="1" applyAlignment="1">
      <alignment horizontal="left" vertical="top" wrapText="1"/>
    </xf>
    <xf numFmtId="166" fontId="13" fillId="0" borderId="0" xfId="0" applyNumberFormat="1" applyFont="1" applyFill="1" applyBorder="1" applyAlignment="1">
      <alignment vertical="center" textRotation="90"/>
    </xf>
    <xf numFmtId="0" fontId="14" fillId="0" borderId="0" xfId="1" applyFont="1"/>
    <xf numFmtId="0" fontId="15" fillId="4" borderId="10" xfId="1" applyFont="1" applyFill="1" applyBorder="1" applyAlignment="1">
      <alignment horizontal="center" vertical="top" wrapText="1"/>
    </xf>
    <xf numFmtId="0" fontId="15" fillId="4" borderId="10" xfId="3" applyFont="1" applyFill="1" applyBorder="1" applyAlignment="1">
      <alignment horizontal="center" vertical="top" wrapText="1"/>
    </xf>
    <xf numFmtId="164" fontId="8" fillId="0" borderId="11" xfId="1" applyNumberFormat="1" applyFont="1" applyFill="1" applyBorder="1" applyAlignment="1">
      <alignment horizontal="left" vertical="top" wrapText="1"/>
    </xf>
    <xf numFmtId="0" fontId="15" fillId="0" borderId="10" xfId="1" applyFont="1" applyFill="1" applyBorder="1" applyAlignment="1">
      <alignment horizontal="center" vertical="top" wrapText="1"/>
    </xf>
    <xf numFmtId="0" fontId="15" fillId="0" borderId="10" xfId="3" applyFont="1" applyFill="1" applyBorder="1" applyAlignment="1">
      <alignment horizontal="center" vertical="top" wrapText="1"/>
    </xf>
    <xf numFmtId="164" fontId="8" fillId="4" borderId="12" xfId="1" applyNumberFormat="1" applyFont="1" applyFill="1" applyBorder="1" applyAlignment="1">
      <alignment horizontal="left" vertical="top" wrapText="1"/>
    </xf>
    <xf numFmtId="164" fontId="8" fillId="0" borderId="12" xfId="1" applyNumberFormat="1" applyFont="1" applyFill="1" applyBorder="1" applyAlignment="1">
      <alignment horizontal="left" vertical="top" wrapText="1"/>
    </xf>
    <xf numFmtId="164" fontId="8" fillId="0" borderId="13" xfId="1" applyNumberFormat="1" applyFont="1" applyFill="1" applyBorder="1" applyAlignment="1">
      <alignment horizontal="left" vertical="top" wrapText="1"/>
    </xf>
    <xf numFmtId="0" fontId="17" fillId="0" borderId="0" xfId="1" applyFont="1" applyAlignment="1">
      <alignment horizontal="right"/>
    </xf>
    <xf numFmtId="0" fontId="17" fillId="0" borderId="0" xfId="1" applyFont="1" applyAlignment="1">
      <alignment horizontal="center"/>
    </xf>
    <xf numFmtId="0" fontId="18" fillId="0" borderId="0" xfId="5" applyFont="1"/>
    <xf numFmtId="0" fontId="16" fillId="0" borderId="14" xfId="2" applyFont="1" applyFill="1" applyBorder="1" applyAlignment="1">
      <alignment horizontal="left" vertical="top" wrapText="1"/>
    </xf>
    <xf numFmtId="0" fontId="16" fillId="0" borderId="8" xfId="2" applyFont="1" applyFill="1" applyBorder="1" applyAlignment="1">
      <alignment horizontal="left" vertical="top" wrapText="1"/>
    </xf>
    <xf numFmtId="0" fontId="16" fillId="0" borderId="9" xfId="2" applyFont="1" applyFill="1" applyBorder="1" applyAlignment="1">
      <alignment horizontal="left" vertical="top" wrapText="1"/>
    </xf>
    <xf numFmtId="164" fontId="7" fillId="0" borderId="5" xfId="2" applyNumberFormat="1" applyFont="1" applyFill="1" applyBorder="1" applyAlignment="1">
      <alignment horizontal="left" vertical="center" wrapText="1"/>
    </xf>
    <xf numFmtId="164" fontId="7" fillId="0" borderId="6" xfId="2" applyNumberFormat="1" applyFont="1" applyFill="1" applyBorder="1" applyAlignment="1">
      <alignment horizontal="left" vertical="center" wrapText="1"/>
    </xf>
    <xf numFmtId="164" fontId="7" fillId="0" borderId="7" xfId="2" applyNumberFormat="1" applyFont="1" applyFill="1" applyBorder="1" applyAlignment="1">
      <alignment horizontal="left" vertical="center" wrapText="1"/>
    </xf>
    <xf numFmtId="165" fontId="12" fillId="0" borderId="0" xfId="1" applyNumberFormat="1" applyFont="1" applyBorder="1" applyAlignment="1">
      <alignment horizontal="left" vertical="center"/>
    </xf>
  </cellXfs>
  <cellStyles count="6">
    <cellStyle name="40% - Accent1 2" xfId="3"/>
    <cellStyle name="Accent1 2" xfId="2"/>
    <cellStyle name="Heading 1 2" xfId="4"/>
    <cellStyle name="Hyperlink" xfId="5" builtinId="8"/>
    <cellStyle name="Normal" xfId="0" builtinId="0" customBuiltin="1"/>
    <cellStyle name="Normal 2" xfId="1"/>
  </cellStyles>
  <dxfs count="11">
    <dxf>
      <font>
        <b/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top style="double">
          <color theme="6" tint="-0.24994659260841701"/>
        </top>
      </border>
    </dxf>
    <dxf>
      <font>
        <color theme="0"/>
      </font>
      <fill>
        <patternFill patternType="solid">
          <fgColor theme="4"/>
          <bgColor theme="7"/>
        </patternFill>
      </fill>
      <border diagonalUp="0" diagonalDown="0">
        <left/>
        <right/>
        <top/>
        <bottom/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9" tint="0.59996337778862885"/>
        </left>
        <right style="thin">
          <color theme="9" tint="0.59996337778862885"/>
        </right>
        <top style="thin">
          <color theme="9" tint="0.59996337778862885"/>
        </top>
        <bottom style="thin">
          <color theme="9" tint="0.59996337778862885"/>
        </bottom>
        <vertical/>
        <horizontal style="dashDotDot">
          <color theme="9" tint="0.59996337778862885"/>
        </horizontal>
      </border>
    </dxf>
    <dxf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theme="9" tint="0.79998168889431442"/>
          <bgColor theme="9" tint="0.79998168889431442"/>
        </patternFill>
      </fill>
    </dxf>
    <dxf>
      <font>
        <b/>
        <color theme="9" tint="-0.249977111117893"/>
      </font>
    </dxf>
    <dxf>
      <font>
        <b/>
        <color theme="9" tint="-0.249977111117893"/>
      </font>
    </dxf>
    <dxf>
      <font>
        <b/>
        <color theme="9" tint="-0.249977111117893"/>
      </font>
      <border>
        <top style="thin">
          <color theme="9"/>
        </top>
      </border>
    </dxf>
    <dxf>
      <font>
        <b/>
        <color theme="9" tint="-0.249977111117893"/>
      </font>
      <border>
        <bottom style="thin">
          <color theme="9"/>
        </bottom>
      </border>
    </dxf>
    <dxf>
      <font>
        <color theme="9" tint="-0.249977111117893"/>
      </font>
      <fill>
        <patternFill>
          <bgColor theme="0"/>
        </patternFill>
      </fill>
      <border>
        <top style="thin">
          <color theme="9"/>
        </top>
        <bottom style="thin">
          <color theme="9"/>
        </bottom>
      </border>
    </dxf>
  </dxfs>
  <tableStyles count="2" defaultTableStyle="TableStyleMedium2" defaultPivotStyle="PivotStyleLight16">
    <tableStyle name="TableStyleLight7 2" pivot="0" count="7">
      <tableStyleElement type="wholeTable" dxfId="10"/>
      <tableStyleElement type="headerRow" dxfId="9"/>
      <tableStyleElement type="totalRow" dxfId="8"/>
      <tableStyleElement type="firstColumn" dxfId="7"/>
      <tableStyleElement type="lastColumn" dxfId="6"/>
      <tableStyleElement type="firstRowStripe" dxfId="5"/>
      <tableStyleElement type="firstColumnStripe" dxfId="4"/>
    </tableStyle>
    <tableStyle name="TableStyleLight9 2" pivot="0" count="4">
      <tableStyleElement type="wholeTable" dxfId="3"/>
      <tableStyleElement type="headerRow" dxfId="2"/>
      <tableStyleElement type="totalRow" dxfId="1"/>
      <tableStyleElement type="firstColumn" dxfId="0"/>
    </tableStyle>
  </tableStyles>
  <colors>
    <mruColors>
      <color rgb="FFC17529"/>
      <color rgb="FFFDFDFD"/>
      <color rgb="FFA19574"/>
      <color rgb="FFEAE8EA"/>
      <color rgb="FFEAE8E0"/>
      <color rgb="FFA1A97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Spin" dx="16" fmlaLink="CalendarYear" max="2999" min="1900" page="10" val="201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4.jpg"/><Relationship Id="rId1" Type="http://schemas.openxmlformats.org/officeDocument/2006/relationships/image" Target="../media/image3.jpg"/><Relationship Id="rId5" Type="http://schemas.openxmlformats.org/officeDocument/2006/relationships/image" Target="../media/image7.png"/><Relationship Id="rId4" Type="http://schemas.openxmlformats.org/officeDocument/2006/relationships/image" Target="../media/image6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3.jpg"/><Relationship Id="rId1" Type="http://schemas.openxmlformats.org/officeDocument/2006/relationships/image" Target="../media/image24.jpg"/><Relationship Id="rId5" Type="http://schemas.openxmlformats.org/officeDocument/2006/relationships/image" Target="../media/image7.png"/><Relationship Id="rId4" Type="http://schemas.openxmlformats.org/officeDocument/2006/relationships/image" Target="../media/image25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3.jpg"/><Relationship Id="rId1" Type="http://schemas.openxmlformats.org/officeDocument/2006/relationships/image" Target="../media/image26.jpg"/><Relationship Id="rId5" Type="http://schemas.openxmlformats.org/officeDocument/2006/relationships/image" Target="../media/image7.png"/><Relationship Id="rId4" Type="http://schemas.openxmlformats.org/officeDocument/2006/relationships/image" Target="../media/image27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28.jpg"/><Relationship Id="rId1" Type="http://schemas.openxmlformats.org/officeDocument/2006/relationships/image" Target="../media/image3.jpg"/><Relationship Id="rId5" Type="http://schemas.openxmlformats.org/officeDocument/2006/relationships/image" Target="../media/image7.png"/><Relationship Id="rId4" Type="http://schemas.openxmlformats.org/officeDocument/2006/relationships/image" Target="../media/image29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8.jpg"/><Relationship Id="rId1" Type="http://schemas.openxmlformats.org/officeDocument/2006/relationships/image" Target="../media/image3.jpg"/><Relationship Id="rId5" Type="http://schemas.openxmlformats.org/officeDocument/2006/relationships/image" Target="../media/image7.png"/><Relationship Id="rId4" Type="http://schemas.openxmlformats.org/officeDocument/2006/relationships/image" Target="../media/image9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10.jpg"/><Relationship Id="rId1" Type="http://schemas.openxmlformats.org/officeDocument/2006/relationships/image" Target="../media/image3.jpg"/><Relationship Id="rId5" Type="http://schemas.openxmlformats.org/officeDocument/2006/relationships/image" Target="../media/image7.png"/><Relationship Id="rId4" Type="http://schemas.openxmlformats.org/officeDocument/2006/relationships/image" Target="../media/image11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12.jpg"/><Relationship Id="rId1" Type="http://schemas.openxmlformats.org/officeDocument/2006/relationships/image" Target="../media/image3.jpg"/><Relationship Id="rId5" Type="http://schemas.openxmlformats.org/officeDocument/2006/relationships/image" Target="../media/image7.png"/><Relationship Id="rId4" Type="http://schemas.openxmlformats.org/officeDocument/2006/relationships/image" Target="../media/image13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14.jpg"/><Relationship Id="rId1" Type="http://schemas.openxmlformats.org/officeDocument/2006/relationships/image" Target="../media/image3.jpg"/><Relationship Id="rId5" Type="http://schemas.openxmlformats.org/officeDocument/2006/relationships/image" Target="../media/image7.png"/><Relationship Id="rId4" Type="http://schemas.openxmlformats.org/officeDocument/2006/relationships/image" Target="../media/image15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16.jpg"/><Relationship Id="rId1" Type="http://schemas.openxmlformats.org/officeDocument/2006/relationships/image" Target="../media/image3.jpg"/><Relationship Id="rId5" Type="http://schemas.openxmlformats.org/officeDocument/2006/relationships/image" Target="../media/image7.png"/><Relationship Id="rId4" Type="http://schemas.openxmlformats.org/officeDocument/2006/relationships/image" Target="../media/image17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18.jpg"/><Relationship Id="rId1" Type="http://schemas.openxmlformats.org/officeDocument/2006/relationships/image" Target="../media/image3.jpg"/><Relationship Id="rId5" Type="http://schemas.openxmlformats.org/officeDocument/2006/relationships/image" Target="../media/image7.png"/><Relationship Id="rId4" Type="http://schemas.openxmlformats.org/officeDocument/2006/relationships/image" Target="../media/image19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3.jpg"/><Relationship Id="rId1" Type="http://schemas.openxmlformats.org/officeDocument/2006/relationships/image" Target="../media/image20.jpg"/><Relationship Id="rId5" Type="http://schemas.openxmlformats.org/officeDocument/2006/relationships/image" Target="../media/image7.png"/><Relationship Id="rId4" Type="http://schemas.openxmlformats.org/officeDocument/2006/relationships/image" Target="../media/image2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3.jpg"/><Relationship Id="rId1" Type="http://schemas.openxmlformats.org/officeDocument/2006/relationships/image" Target="../media/image22.jpg"/><Relationship Id="rId5" Type="http://schemas.openxmlformats.org/officeDocument/2006/relationships/image" Target="../media/image7.png"/><Relationship Id="rId4" Type="http://schemas.openxmlformats.org/officeDocument/2006/relationships/image" Target="../media/image2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564855</xdr:colOff>
      <xdr:row>1</xdr:row>
      <xdr:rowOff>161226</xdr:rowOff>
    </xdr:from>
    <xdr:to>
      <xdr:col>7</xdr:col>
      <xdr:colOff>934248</xdr:colOff>
      <xdr:row>2</xdr:row>
      <xdr:rowOff>522378</xdr:rowOff>
    </xdr:to>
    <xdr:pic>
      <xdr:nvPicPr>
        <xdr:cNvPr id="26" name="Picture 25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6105" y="360586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336852</xdr:colOff>
      <xdr:row>2</xdr:row>
      <xdr:rowOff>403184</xdr:rowOff>
    </xdr:from>
    <xdr:to>
      <xdr:col>9</xdr:col>
      <xdr:colOff>1035429</xdr:colOff>
      <xdr:row>7</xdr:row>
      <xdr:rowOff>221899</xdr:rowOff>
    </xdr:to>
    <xdr:pic>
      <xdr:nvPicPr>
        <xdr:cNvPr id="3" name="Picture 2" descr="平底鍋中的法式羊排" title="一月圖像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672" y="934812"/>
          <a:ext cx="1883664" cy="201168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497634</xdr:colOff>
      <xdr:row>2</xdr:row>
      <xdr:rowOff>38100</xdr:rowOff>
    </xdr:from>
    <xdr:to>
      <xdr:col>9</xdr:col>
      <xdr:colOff>874647</xdr:colOff>
      <xdr:row>2</xdr:row>
      <xdr:rowOff>182880</xdr:rowOff>
    </xdr:to>
    <xdr:pic>
      <xdr:nvPicPr>
        <xdr:cNvPr id="27" name="Picture 26" title="裝飾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454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486558</xdr:colOff>
      <xdr:row>18</xdr:row>
      <xdr:rowOff>262491</xdr:rowOff>
    </xdr:from>
    <xdr:to>
      <xdr:col>9</xdr:col>
      <xdr:colOff>863571</xdr:colOff>
      <xdr:row>19</xdr:row>
      <xdr:rowOff>141458</xdr:rowOff>
    </xdr:to>
    <xdr:pic>
      <xdr:nvPicPr>
        <xdr:cNvPr id="29" name="Picture 28" title="裝飾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7982" y="7683131"/>
          <a:ext cx="1562101" cy="144780"/>
        </a:xfrm>
        <a:prstGeom prst="rect">
          <a:avLst/>
        </a:prstGeom>
      </xdr:spPr>
    </xdr:pic>
    <xdr:clientData/>
  </xdr:twoCellAnchor>
  <xdr:twoCellAnchor>
    <xdr:from>
      <xdr:col>8</xdr:col>
      <xdr:colOff>336852</xdr:colOff>
      <xdr:row>7</xdr:row>
      <xdr:rowOff>349805</xdr:rowOff>
    </xdr:from>
    <xdr:to>
      <xdr:col>9</xdr:col>
      <xdr:colOff>1035429</xdr:colOff>
      <xdr:row>11</xdr:row>
      <xdr:rowOff>567240</xdr:rowOff>
    </xdr:to>
    <xdr:pic>
      <xdr:nvPicPr>
        <xdr:cNvPr id="21" name="Picture 20" descr="六個長方形碗中的各色香料。" title="一月圖像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672" y="3074398"/>
          <a:ext cx="1883664" cy="201167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309025</xdr:colOff>
      <xdr:row>11</xdr:row>
      <xdr:rowOff>695146</xdr:rowOff>
    </xdr:from>
    <xdr:to>
      <xdr:col>9</xdr:col>
      <xdr:colOff>1063254</xdr:colOff>
      <xdr:row>18</xdr:row>
      <xdr:rowOff>132907</xdr:rowOff>
    </xdr:to>
    <xdr:sp macro="" textlink="">
      <xdr:nvSpPr>
        <xdr:cNvPr id="25" name="TextBox 24"/>
        <xdr:cNvSpPr txBox="1"/>
      </xdr:nvSpPr>
      <xdr:spPr>
        <a:xfrm>
          <a:off x="8870449" y="5213983"/>
          <a:ext cx="1939317" cy="2339564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TW" alt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省</a:t>
          </a:r>
          <a:r>
            <a:rPr kumimoji="0" lang="en-US" altLang="zh-TW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/</a:t>
          </a:r>
          <a:r>
            <a:rPr kumimoji="0" lang="zh-TW" alt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市 郵遞區號</a:t>
          </a:r>
          <a:endParaRPr kumimoji="0" lang="en-US" altLang="zh-TW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Microsoft jhenghei" pitchFamily="34" charset="-120"/>
            <a:ea typeface="Microsoft jhenghei" pitchFamily="34" charset="-120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TW" alt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在這裡填入您的地址</a:t>
          </a:r>
          <a:endParaRPr kumimoji="0" lang="en-US" altLang="zh-TW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Microsoft jhenghei" pitchFamily="34" charset="-120"/>
            <a:ea typeface="Microsoft jhenghei" pitchFamily="34" charset="-120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Microsoft jhenghei" pitchFamily="34" charset="-120"/>
            <a:ea typeface="Microsoft jhenghei" pitchFamily="34" charset="-120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TW" alt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電話：</a:t>
          </a: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TW" alt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傳真：</a:t>
          </a: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Microsoft jhenghei" pitchFamily="34" charset="-120"/>
            <a:ea typeface="Microsoft jhenghei" pitchFamily="34" charset="-120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952500</xdr:colOff>
          <xdr:row>1</xdr:row>
          <xdr:rowOff>47625</xdr:rowOff>
        </xdr:from>
        <xdr:to>
          <xdr:col>12</xdr:col>
          <xdr:colOff>85725</xdr:colOff>
          <xdr:row>2</xdr:row>
          <xdr:rowOff>9525</xdr:rowOff>
        </xdr:to>
        <xdr:sp macro="" textlink="">
          <xdr:nvSpPr>
            <xdr:cNvPr id="1026" name="Spinner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11</xdr:col>
      <xdr:colOff>166134</xdr:colOff>
      <xdr:row>2</xdr:row>
      <xdr:rowOff>387646</xdr:rowOff>
    </xdr:from>
    <xdr:to>
      <xdr:col>13</xdr:col>
      <xdr:colOff>155059</xdr:colOff>
      <xdr:row>5</xdr:row>
      <xdr:rowOff>609157</xdr:rowOff>
    </xdr:to>
    <xdr:sp macro="" textlink="">
      <xdr:nvSpPr>
        <xdr:cNvPr id="10" name="Rectangle 9" descr="個人化此行事曆！&#10;&#10;在任何圖片上按一下滑鼠右鍵，然後按一下 [變更圖片] 換上自己的圖片。" title="一月家庭圖片"/>
        <xdr:cNvSpPr/>
      </xdr:nvSpPr>
      <xdr:spPr>
        <a:xfrm>
          <a:off x="11175262" y="919274"/>
          <a:ext cx="1971454" cy="1517354"/>
        </a:xfrm>
        <a:prstGeom prst="rect">
          <a:avLst/>
        </a:prstGeom>
        <a:gradFill>
          <a:gsLst>
            <a:gs pos="5000">
              <a:schemeClr val="accent3">
                <a:lumMod val="20000"/>
                <a:lumOff val="80000"/>
              </a:schemeClr>
            </a:gs>
            <a:gs pos="15000">
              <a:schemeClr val="bg1"/>
            </a:gs>
          </a:gsLst>
          <a:lin ang="5400000" scaled="0"/>
        </a:gradFill>
        <a:ln w="12700">
          <a:solidFill>
            <a:schemeClr val="bg1">
              <a:lumMod val="75000"/>
            </a:schemeClr>
          </a:solidFill>
        </a:ln>
        <a:effectLst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lIns="128016" rtlCol="0" anchor="ctr"/>
        <a:lstStyle/>
        <a:p>
          <a:pPr algn="l"/>
          <a:r>
            <a:rPr lang="zh-TW" altLang="en-US" sz="1100" b="1" i="0" u="none" strike="noStrike" baseline="0" smtClean="0">
              <a:solidFill>
                <a:schemeClr val="dk1"/>
              </a:solidFill>
              <a:latin typeface="Microsoft jhenghei" pitchFamily="34" charset="-120"/>
              <a:ea typeface="Microsoft jhenghei" pitchFamily="34" charset="-120"/>
              <a:cs typeface="+mn-cs"/>
            </a:rPr>
            <a:t>個人化此行事曆！</a:t>
          </a:r>
          <a:endParaRPr lang="en-US" sz="1100">
            <a:latin typeface="Microsoft jhenghei" pitchFamily="34" charset="-120"/>
            <a:ea typeface="Microsoft jhenghei" pitchFamily="34" charset="-120"/>
          </a:endParaRPr>
        </a:p>
        <a:p>
          <a:pPr algn="l"/>
          <a:endParaRPr lang="en-US" altLang="zh-TW" sz="1100" b="0" i="0" u="none" strike="noStrike" baseline="0" smtClean="0">
            <a:solidFill>
              <a:schemeClr val="dk1"/>
            </a:solidFill>
            <a:latin typeface="Microsoft jhenghei" pitchFamily="34" charset="-120"/>
            <a:ea typeface="Microsoft jhenghei" pitchFamily="34" charset="-120"/>
            <a:cs typeface="+mn-cs"/>
          </a:endParaRPr>
        </a:p>
        <a:p>
          <a:pPr algn="l"/>
          <a:r>
            <a:rPr lang="zh-TW" altLang="en-US" sz="1100" b="0" i="0" u="none" strike="noStrike" baseline="0" smtClean="0">
              <a:solidFill>
                <a:schemeClr val="dk1"/>
              </a:solidFill>
              <a:latin typeface="Microsoft jhenghei" pitchFamily="34" charset="-120"/>
              <a:ea typeface="Microsoft jhenghei" pitchFamily="34" charset="-120"/>
              <a:cs typeface="+mn-cs"/>
            </a:rPr>
            <a:t>在任何圖片上按一下滑鼠右鍵，</a:t>
          </a:r>
          <a:r>
            <a:rPr lang="zh-TW" altLang="en-US" sz="1100" baseline="0">
              <a:latin typeface="Microsoft jhenghei" pitchFamily="34" charset="-120"/>
              <a:ea typeface="Microsoft jhenghei" pitchFamily="34" charset="-120"/>
            </a:rPr>
            <a:t>然後按一下 </a:t>
          </a:r>
          <a:r>
            <a:rPr lang="en-US" altLang="zh-TW" sz="1100" baseline="0">
              <a:latin typeface="Microsoft jhenghei" pitchFamily="34" charset="-120"/>
              <a:ea typeface="Microsoft jhenghei" pitchFamily="34" charset="-120"/>
            </a:rPr>
            <a:t>[</a:t>
          </a:r>
          <a:r>
            <a:rPr lang="zh-TW" altLang="en-US" sz="1100" baseline="0">
              <a:latin typeface="Microsoft jhenghei" pitchFamily="34" charset="-120"/>
              <a:ea typeface="Microsoft jhenghei" pitchFamily="34" charset="-120"/>
            </a:rPr>
            <a:t>變更圖片</a:t>
          </a:r>
          <a:r>
            <a:rPr lang="en-US" altLang="zh-TW" sz="1100" baseline="0">
              <a:latin typeface="Microsoft jhenghei" pitchFamily="34" charset="-120"/>
              <a:ea typeface="Microsoft jhenghei" pitchFamily="34" charset="-120"/>
            </a:rPr>
            <a:t>] </a:t>
          </a:r>
          <a:r>
            <a:rPr lang="zh-TW" altLang="en-US" sz="1100" baseline="0">
              <a:latin typeface="Microsoft jhenghei" pitchFamily="34" charset="-120"/>
              <a:ea typeface="Microsoft jhenghei" pitchFamily="34" charset="-120"/>
            </a:rPr>
            <a:t>換上自己的圖片。</a:t>
          </a:r>
          <a:endParaRPr lang="en-US" sz="1100">
            <a:latin typeface="Microsoft jhenghei" pitchFamily="34" charset="-120"/>
            <a:ea typeface="Microsoft jhenghei" pitchFamily="34" charset="-120"/>
          </a:endParaRPr>
        </a:p>
      </xdr:txBody>
    </xdr:sp>
    <xdr:clientData fPrintsWithSheet="0"/>
  </xdr:twoCellAnchor>
  <xdr:twoCellAnchor editAs="oneCell">
    <xdr:from>
      <xdr:col>6</xdr:col>
      <xdr:colOff>567957</xdr:colOff>
      <xdr:row>0</xdr:row>
      <xdr:rowOff>108983</xdr:rowOff>
    </xdr:from>
    <xdr:to>
      <xdr:col>7</xdr:col>
      <xdr:colOff>973118</xdr:colOff>
      <xdr:row>3</xdr:row>
      <xdr:rowOff>0</xdr:rowOff>
    </xdr:to>
    <xdr:pic>
      <xdr:nvPicPr>
        <xdr:cNvPr id="2" name="圖片 1" descr="公司標誌預留位置。若要變更此圖片，請在圖片上按一下滑鼠右鍵，然後按一下 [變更圖片]。" title="公司標誌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0157" y="108983"/>
          <a:ext cx="1586261" cy="115784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焦糖扇貝放在彩虹葉泥上。若要變更此圖片，請在圖片上按一下滑鼠右鍵，然後按一下 [變更圖片]。" title="十月圖像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裝飾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486164</xdr:colOff>
      <xdr:row>19</xdr:row>
      <xdr:rowOff>18829</xdr:rowOff>
    </xdr:from>
    <xdr:to>
      <xdr:col>9</xdr:col>
      <xdr:colOff>863177</xdr:colOff>
      <xdr:row>19</xdr:row>
      <xdr:rowOff>163609</xdr:rowOff>
    </xdr:to>
    <xdr:pic>
      <xdr:nvPicPr>
        <xdr:cNvPr id="5" name="Picture 4" title="裝飾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7588" y="7705282"/>
          <a:ext cx="1562101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一碗新鮮彩虹葉。若要變更此圖片，請在圖片上按一下滑鼠右鍵，然後按一下 [變更圖片]。" title="十月圖像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18</xdr:row>
      <xdr:rowOff>99680</xdr:rowOff>
    </xdr:to>
    <xdr:sp macro="" textlink="">
      <xdr:nvSpPr>
        <xdr:cNvPr id="7" name="TextBox 6"/>
        <xdr:cNvSpPr txBox="1"/>
      </xdr:nvSpPr>
      <xdr:spPr>
        <a:xfrm>
          <a:off x="8870450" y="5213983"/>
          <a:ext cx="1938529" cy="2306337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TW" alt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省</a:t>
          </a:r>
          <a:r>
            <a:rPr kumimoji="0" lang="en-US" altLang="zh-TW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/</a:t>
          </a:r>
          <a:r>
            <a:rPr kumimoji="0" lang="zh-TW" alt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市 郵遞區號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TW" alt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在這裡填入您的地址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zh-TW" alt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Microsoft jhenghei" pitchFamily="34" charset="-120"/>
            <a:ea typeface="Microsoft jhenghei" pitchFamily="34" charset="-120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TW" alt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電話：</a:t>
          </a:r>
          <a:r>
            <a:rPr kumimoji="0" lang="en-US" altLang="zh-TW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TW" alt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傳真：</a:t>
          </a:r>
          <a:r>
            <a:rPr kumimoji="0" lang="en-US" altLang="zh-TW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Microsoft jhenghei" pitchFamily="34" charset="-120"/>
            <a:ea typeface="Microsoft jhenghei" pitchFamily="34" charset="-120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  <xdr:twoCellAnchor editAs="oneCell">
    <xdr:from>
      <xdr:col>6</xdr:col>
      <xdr:colOff>555114</xdr:colOff>
      <xdr:row>0</xdr:row>
      <xdr:rowOff>135009</xdr:rowOff>
    </xdr:from>
    <xdr:to>
      <xdr:col>7</xdr:col>
      <xdr:colOff>956288</xdr:colOff>
      <xdr:row>3</xdr:row>
      <xdr:rowOff>30235</xdr:rowOff>
    </xdr:to>
    <xdr:pic>
      <xdr:nvPicPr>
        <xdr:cNvPr id="8" name="圖片 7" descr="公司標誌預留位置。若要變更此圖片，請在圖片上按一下滑鼠右鍵，然後按一下 [變更圖片]。" title="公司標誌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6364" y="135009"/>
          <a:ext cx="1586261" cy="115784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兩碗紅蘿蔔湯佐優格及荷蘭芹碎末。若要變更此圖片，請在圖片上按一下滑鼠右鍵，然後按一下 [變更圖片]。" title="十一月圖像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裝飾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452937</xdr:colOff>
      <xdr:row>18</xdr:row>
      <xdr:rowOff>229263</xdr:rowOff>
    </xdr:from>
    <xdr:to>
      <xdr:col>9</xdr:col>
      <xdr:colOff>829950</xdr:colOff>
      <xdr:row>19</xdr:row>
      <xdr:rowOff>108230</xdr:rowOff>
    </xdr:to>
    <xdr:pic>
      <xdr:nvPicPr>
        <xdr:cNvPr id="5" name="Picture 4" title="裝飾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4361" y="7649903"/>
          <a:ext cx="1562101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一堆新鮮紅蘿蔔。若要變更此圖片，請在圖片上按一下滑鼠右鍵，然後按一下 [變更圖片]。" title="十一月圖像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18</xdr:row>
      <xdr:rowOff>88604</xdr:rowOff>
    </xdr:to>
    <xdr:sp macro="" textlink="">
      <xdr:nvSpPr>
        <xdr:cNvPr id="7" name="TextBox 6"/>
        <xdr:cNvSpPr txBox="1"/>
      </xdr:nvSpPr>
      <xdr:spPr>
        <a:xfrm>
          <a:off x="8870450" y="5213983"/>
          <a:ext cx="1938529" cy="2295261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TW" alt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省</a:t>
          </a:r>
          <a:r>
            <a:rPr kumimoji="0" lang="en-US" altLang="zh-TW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/</a:t>
          </a:r>
          <a:r>
            <a:rPr kumimoji="0" lang="zh-TW" alt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市 郵遞區號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TW" alt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在這裡填入您的地址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zh-TW" alt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Microsoft jhenghei" pitchFamily="34" charset="-120"/>
            <a:ea typeface="Microsoft jhenghei" pitchFamily="34" charset="-120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TW" alt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電話：</a:t>
          </a:r>
          <a:r>
            <a:rPr kumimoji="0" lang="en-US" altLang="zh-TW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TW" alt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傳真：</a:t>
          </a:r>
          <a:r>
            <a:rPr kumimoji="0" lang="en-US" altLang="zh-TW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Microsoft jhenghei" pitchFamily="34" charset="-120"/>
            <a:ea typeface="Microsoft jhenghei" pitchFamily="34" charset="-120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  <xdr:twoCellAnchor editAs="oneCell">
    <xdr:from>
      <xdr:col>6</xdr:col>
      <xdr:colOff>577266</xdr:colOff>
      <xdr:row>0</xdr:row>
      <xdr:rowOff>135010</xdr:rowOff>
    </xdr:from>
    <xdr:to>
      <xdr:col>7</xdr:col>
      <xdr:colOff>978440</xdr:colOff>
      <xdr:row>3</xdr:row>
      <xdr:rowOff>30236</xdr:rowOff>
    </xdr:to>
    <xdr:pic>
      <xdr:nvPicPr>
        <xdr:cNvPr id="8" name="圖片 7" descr="公司標誌預留位置。若要變更此圖片，請在圖片上按一下滑鼠右鍵，然後按一下 [變更圖片]。" title="公司標誌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8516" y="135010"/>
          <a:ext cx="1586261" cy="115784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一盤布朗尼聖代，灑上布朗尼碎屑。若要變更此圖片，請在圖片上按一下滑鼠右鍵，然後按一下 [變更圖片]。" title="十二月圖像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裝飾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486164</xdr:colOff>
      <xdr:row>18</xdr:row>
      <xdr:rowOff>63130</xdr:rowOff>
    </xdr:from>
    <xdr:to>
      <xdr:col>9</xdr:col>
      <xdr:colOff>863177</xdr:colOff>
      <xdr:row>18</xdr:row>
      <xdr:rowOff>207910</xdr:rowOff>
    </xdr:to>
    <xdr:pic>
      <xdr:nvPicPr>
        <xdr:cNvPr id="5" name="Picture 4" title="裝飾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7588" y="7550223"/>
          <a:ext cx="1562101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一堆剛烤好的布朗尼。若要變更此圖片，請在圖片上按一下滑鼠右鍵，然後按一下 [變更圖片]。" title="十二月圖像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132907</xdr:rowOff>
    </xdr:to>
    <xdr:sp macro="" textlink="">
      <xdr:nvSpPr>
        <xdr:cNvPr id="7" name="TextBox 6"/>
        <xdr:cNvSpPr txBox="1"/>
      </xdr:nvSpPr>
      <xdr:spPr>
        <a:xfrm>
          <a:off x="8870450" y="5213983"/>
          <a:ext cx="1938529" cy="2228808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TW" alt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省</a:t>
          </a:r>
          <a:r>
            <a:rPr kumimoji="0" lang="en-US" altLang="zh-TW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/</a:t>
          </a:r>
          <a:r>
            <a:rPr kumimoji="0" lang="zh-TW" alt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市 郵遞區號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TW" alt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在這裡填入您的地址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zh-TW" alt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Microsoft jhenghei" pitchFamily="34" charset="-120"/>
            <a:ea typeface="Microsoft jhenghei" pitchFamily="34" charset="-120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TW" alt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電話：</a:t>
          </a:r>
          <a:r>
            <a:rPr kumimoji="0" lang="en-US" altLang="zh-TW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TW" alt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傳真：</a:t>
          </a:r>
          <a:r>
            <a:rPr kumimoji="0" lang="en-US" altLang="zh-TW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Microsoft jhenghei" pitchFamily="34" charset="-120"/>
            <a:ea typeface="Microsoft jhenghei" pitchFamily="34" charset="-120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  <xdr:twoCellAnchor editAs="oneCell">
    <xdr:from>
      <xdr:col>6</xdr:col>
      <xdr:colOff>566190</xdr:colOff>
      <xdr:row>0</xdr:row>
      <xdr:rowOff>123935</xdr:rowOff>
    </xdr:from>
    <xdr:to>
      <xdr:col>7</xdr:col>
      <xdr:colOff>967364</xdr:colOff>
      <xdr:row>3</xdr:row>
      <xdr:rowOff>19161</xdr:rowOff>
    </xdr:to>
    <xdr:pic>
      <xdr:nvPicPr>
        <xdr:cNvPr id="8" name="圖片 7" descr="公司標誌預留位置。若要變更此圖片，請在圖片上按一下滑鼠右鍵，然後按一下 [變更圖片]。" title="公司標誌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7440" y="123935"/>
          <a:ext cx="1586261" cy="11578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566184</xdr:colOff>
      <xdr:row>1</xdr:row>
      <xdr:rowOff>161445</xdr:rowOff>
    </xdr:from>
    <xdr:to>
      <xdr:col>7</xdr:col>
      <xdr:colOff>935576</xdr:colOff>
      <xdr:row>2</xdr:row>
      <xdr:rowOff>522597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29" y="360805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蔬菜燉肉鍋。若要變更此圖片，請在圖片上按一下滑鼠右鍵，然後按一下 [變更圖片]。" title="二月圖像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裝飾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508315</xdr:colOff>
      <xdr:row>19</xdr:row>
      <xdr:rowOff>63132</xdr:rowOff>
    </xdr:from>
    <xdr:to>
      <xdr:col>9</xdr:col>
      <xdr:colOff>885328</xdr:colOff>
      <xdr:row>19</xdr:row>
      <xdr:rowOff>207912</xdr:rowOff>
    </xdr:to>
    <xdr:pic>
      <xdr:nvPicPr>
        <xdr:cNvPr id="5" name="Picture 4" title="裝飾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9739" y="7749585"/>
          <a:ext cx="1562101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新鮮蘑菇。若要變更此圖片，請在圖片上按一下滑鼠右鍵，然後按一下 [變更圖片]。" title="二月圖像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695147</xdr:rowOff>
    </xdr:from>
    <xdr:to>
      <xdr:col>9</xdr:col>
      <xdr:colOff>1062467</xdr:colOff>
      <xdr:row>18</xdr:row>
      <xdr:rowOff>132908</xdr:rowOff>
    </xdr:to>
    <xdr:sp macro="" textlink="">
      <xdr:nvSpPr>
        <xdr:cNvPr id="7" name="TextBox 6"/>
        <xdr:cNvSpPr txBox="1"/>
      </xdr:nvSpPr>
      <xdr:spPr>
        <a:xfrm>
          <a:off x="8870450" y="5213984"/>
          <a:ext cx="1938529" cy="2339564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TW" alt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省</a:t>
          </a:r>
          <a:r>
            <a:rPr kumimoji="0" lang="en-US" altLang="zh-TW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/</a:t>
          </a:r>
          <a:r>
            <a:rPr kumimoji="0" lang="zh-TW" alt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市 郵遞區號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TW" alt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在這裡填入您的地址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zh-TW" alt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Microsoft jhenghei" pitchFamily="34" charset="-120"/>
            <a:ea typeface="Microsoft jhenghei" pitchFamily="34" charset="-120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TW" alt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電話：</a:t>
          </a:r>
          <a:r>
            <a:rPr kumimoji="0" lang="en-US" altLang="zh-TW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TW" alt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傳真：</a:t>
          </a:r>
          <a:r>
            <a:rPr kumimoji="0" lang="en-US" altLang="zh-TW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Microsoft jhenghei" pitchFamily="34" charset="-120"/>
            <a:ea typeface="Microsoft jhenghei" pitchFamily="34" charset="-120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www.example.com</a:t>
          </a:r>
        </a:p>
        <a:p>
          <a:endParaRPr lang="en-US" sz="1100">
            <a:latin typeface="Microsoft jhenghei" pitchFamily="34" charset="-120"/>
            <a:ea typeface="Microsoft jhenghei" pitchFamily="34" charset="-120"/>
          </a:endParaRPr>
        </a:p>
      </xdr:txBody>
    </xdr:sp>
    <xdr:clientData/>
  </xdr:twoCellAnchor>
  <xdr:twoCellAnchor editAs="oneCell">
    <xdr:from>
      <xdr:col>6</xdr:col>
      <xdr:colOff>572829</xdr:colOff>
      <xdr:row>0</xdr:row>
      <xdr:rowOff>142395</xdr:rowOff>
    </xdr:from>
    <xdr:to>
      <xdr:col>7</xdr:col>
      <xdr:colOff>974003</xdr:colOff>
      <xdr:row>3</xdr:row>
      <xdr:rowOff>36956</xdr:rowOff>
    </xdr:to>
    <xdr:pic>
      <xdr:nvPicPr>
        <xdr:cNvPr id="10" name="圖片 9" descr="公司標誌預留位置。 若要變更此圖片，請在圖片上按一下滑鼠右鍵，然後按一下 [變更圖片]。" title="公司標誌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5029" y="142395"/>
          <a:ext cx="1582274" cy="11613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566190</xdr:colOff>
      <xdr:row>1</xdr:row>
      <xdr:rowOff>161446</xdr:rowOff>
    </xdr:from>
    <xdr:to>
      <xdr:col>7</xdr:col>
      <xdr:colOff>935582</xdr:colOff>
      <xdr:row>2</xdr:row>
      <xdr:rowOff>522598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60806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切片小蘿蔔加上堅果的新鮮田園沙拉。若要變更此圖片，請在圖片上按一下滑鼠右鍵，然後按一下 [變更圖片]。" title="三月圖像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裝飾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508315</xdr:colOff>
      <xdr:row>18</xdr:row>
      <xdr:rowOff>240339</xdr:rowOff>
    </xdr:from>
    <xdr:to>
      <xdr:col>9</xdr:col>
      <xdr:colOff>885328</xdr:colOff>
      <xdr:row>19</xdr:row>
      <xdr:rowOff>119306</xdr:rowOff>
    </xdr:to>
    <xdr:pic>
      <xdr:nvPicPr>
        <xdr:cNvPr id="5" name="Picture 4" title="裝飾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9739" y="7660979"/>
          <a:ext cx="1562101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一盤新鮮小蘿蔔。若要變更此圖片，請在圖片上按一下滑鼠右鍵，然後按一下 [變更圖片]。" title="三月圖像 2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320103</xdr:colOff>
      <xdr:row>11</xdr:row>
      <xdr:rowOff>672994</xdr:rowOff>
    </xdr:from>
    <xdr:to>
      <xdr:col>9</xdr:col>
      <xdr:colOff>1073544</xdr:colOff>
      <xdr:row>18</xdr:row>
      <xdr:rowOff>110755</xdr:rowOff>
    </xdr:to>
    <xdr:sp macro="" textlink="">
      <xdr:nvSpPr>
        <xdr:cNvPr id="10" name="TextBox 6"/>
        <xdr:cNvSpPr txBox="1"/>
      </xdr:nvSpPr>
      <xdr:spPr>
        <a:xfrm>
          <a:off x="8881527" y="5191831"/>
          <a:ext cx="1938529" cy="2339564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TW" alt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省</a:t>
          </a:r>
          <a:r>
            <a:rPr kumimoji="0" lang="en-US" altLang="zh-TW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/</a:t>
          </a:r>
          <a:r>
            <a:rPr kumimoji="0" lang="zh-TW" alt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市 郵遞區號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TW" alt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在這裡填入您的地址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zh-TW" alt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Microsoft jhenghei" pitchFamily="34" charset="-120"/>
            <a:ea typeface="Microsoft jhenghei" pitchFamily="34" charset="-120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TW" alt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電話：</a:t>
          </a:r>
          <a:r>
            <a:rPr kumimoji="0" lang="en-US" altLang="zh-TW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TW" alt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傳真：</a:t>
          </a:r>
          <a:r>
            <a:rPr kumimoji="0" lang="en-US" altLang="zh-TW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Microsoft jhenghei" pitchFamily="34" charset="-120"/>
            <a:ea typeface="Microsoft jhenghei" pitchFamily="34" charset="-120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www.example.com</a:t>
          </a:r>
        </a:p>
        <a:p>
          <a:endParaRPr lang="en-US" sz="1100">
            <a:latin typeface="Microsoft jhenghei" pitchFamily="34" charset="-120"/>
            <a:ea typeface="Microsoft jhenghei" pitchFamily="34" charset="-120"/>
          </a:endParaRPr>
        </a:p>
      </xdr:txBody>
    </xdr:sp>
    <xdr:clientData/>
  </xdr:twoCellAnchor>
  <xdr:twoCellAnchor editAs="oneCell">
    <xdr:from>
      <xdr:col>6</xdr:col>
      <xdr:colOff>544260</xdr:colOff>
      <xdr:row>0</xdr:row>
      <xdr:rowOff>151921</xdr:rowOff>
    </xdr:from>
    <xdr:to>
      <xdr:col>7</xdr:col>
      <xdr:colOff>945434</xdr:colOff>
      <xdr:row>3</xdr:row>
      <xdr:rowOff>46482</xdr:rowOff>
    </xdr:to>
    <xdr:pic>
      <xdr:nvPicPr>
        <xdr:cNvPr id="12" name="圖片 11" descr="公司標誌預留位置。若要變更此圖片，請在圖片上按一下滑鼠右鍵，然後按一下 [變更圖片]。" title="公司標誌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6460" y="151921"/>
          <a:ext cx="1582274" cy="11613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562110</xdr:colOff>
      <xdr:row>1</xdr:row>
      <xdr:rowOff>157161</xdr:rowOff>
    </xdr:from>
    <xdr:to>
      <xdr:col>7</xdr:col>
      <xdr:colOff>931502</xdr:colOff>
      <xdr:row>2</xdr:row>
      <xdr:rowOff>518313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475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一疊切塊的蘆筍法式鹹派。若要變更此圖片，請在圖片上按一下滑鼠右鍵，然後按一下 [變更圖片]。" title="四月圖像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裝飾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486165</xdr:colOff>
      <xdr:row>19</xdr:row>
      <xdr:rowOff>40980</xdr:rowOff>
    </xdr:from>
    <xdr:to>
      <xdr:col>9</xdr:col>
      <xdr:colOff>863178</xdr:colOff>
      <xdr:row>19</xdr:row>
      <xdr:rowOff>185760</xdr:rowOff>
    </xdr:to>
    <xdr:pic>
      <xdr:nvPicPr>
        <xdr:cNvPr id="5" name="Picture 4" title="裝飾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7589" y="7727433"/>
          <a:ext cx="1562101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新鮮蘆筍莖。若要變更此圖片，請在圖片上按一下滑鼠右鍵，然後按一下 [變更圖片]。" title="四月圖像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18</xdr:row>
      <xdr:rowOff>155058</xdr:rowOff>
    </xdr:to>
    <xdr:sp macro="" textlink="">
      <xdr:nvSpPr>
        <xdr:cNvPr id="7" name="TextBox 6"/>
        <xdr:cNvSpPr txBox="1"/>
      </xdr:nvSpPr>
      <xdr:spPr>
        <a:xfrm>
          <a:off x="8870450" y="5213983"/>
          <a:ext cx="1938529" cy="236171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TW" alt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省</a:t>
          </a:r>
          <a:r>
            <a:rPr kumimoji="0" lang="en-US" altLang="zh-TW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/</a:t>
          </a:r>
          <a:r>
            <a:rPr kumimoji="0" lang="zh-TW" alt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市 郵遞區號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TW" alt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在這裡填入您的地址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zh-TW" alt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Microsoft jhenghei" pitchFamily="34" charset="-120"/>
            <a:ea typeface="Microsoft jhenghei" pitchFamily="34" charset="-120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TW" alt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電話：</a:t>
          </a:r>
          <a:r>
            <a:rPr kumimoji="0" lang="en-US" altLang="zh-TW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TW" alt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傳真：</a:t>
          </a:r>
          <a:r>
            <a:rPr kumimoji="0" lang="en-US" altLang="zh-TW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Microsoft jhenghei" pitchFamily="34" charset="-120"/>
            <a:ea typeface="Microsoft jhenghei" pitchFamily="34" charset="-120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  <xdr:twoCellAnchor editAs="oneCell">
    <xdr:from>
      <xdr:col>6</xdr:col>
      <xdr:colOff>587006</xdr:colOff>
      <xdr:row>0</xdr:row>
      <xdr:rowOff>177209</xdr:rowOff>
    </xdr:from>
    <xdr:to>
      <xdr:col>7</xdr:col>
      <xdr:colOff>930349</xdr:colOff>
      <xdr:row>2</xdr:row>
      <xdr:rowOff>719913</xdr:rowOff>
    </xdr:to>
    <xdr:pic>
      <xdr:nvPicPr>
        <xdr:cNvPr id="8" name="圖片 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256" y="177209"/>
          <a:ext cx="1528430" cy="1074332"/>
        </a:xfrm>
        <a:prstGeom prst="rect">
          <a:avLst/>
        </a:prstGeom>
      </xdr:spPr>
    </xdr:pic>
    <xdr:clientData/>
  </xdr:twoCellAnchor>
  <xdr:twoCellAnchor editAs="oneCell">
    <xdr:from>
      <xdr:col>6</xdr:col>
      <xdr:colOff>577481</xdr:colOff>
      <xdr:row>0</xdr:row>
      <xdr:rowOff>129584</xdr:rowOff>
    </xdr:from>
    <xdr:to>
      <xdr:col>7</xdr:col>
      <xdr:colOff>982642</xdr:colOff>
      <xdr:row>3</xdr:row>
      <xdr:rowOff>20601</xdr:rowOff>
    </xdr:to>
    <xdr:pic>
      <xdr:nvPicPr>
        <xdr:cNvPr id="9" name="圖片 8" descr="公司標誌預留位置。若要變更此圖片，請在圖片上按一下滑鼠右鍵，然後按一下 [變更圖片]。" title="公司標誌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9681" y="129584"/>
          <a:ext cx="1586261" cy="115784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562110</xdr:colOff>
      <xdr:row>1</xdr:row>
      <xdr:rowOff>157161</xdr:rowOff>
    </xdr:from>
    <xdr:to>
      <xdr:col>7</xdr:col>
      <xdr:colOff>931502</xdr:colOff>
      <xdr:row>2</xdr:row>
      <xdr:rowOff>518313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475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一碗水果雞尾酒。若要變更此圖片，請在圖片上按一下滑鼠右鍵，然後按一下 [變更圖片]。" title="五月圖像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裝飾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475089</xdr:colOff>
      <xdr:row>19</xdr:row>
      <xdr:rowOff>18829</xdr:rowOff>
    </xdr:from>
    <xdr:to>
      <xdr:col>9</xdr:col>
      <xdr:colOff>852102</xdr:colOff>
      <xdr:row>19</xdr:row>
      <xdr:rowOff>163609</xdr:rowOff>
    </xdr:to>
    <xdr:pic>
      <xdr:nvPicPr>
        <xdr:cNvPr id="5" name="Picture 4" title="裝飾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6513" y="7705282"/>
          <a:ext cx="1562101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新鮮葡萄柚塊。若要變更此圖片，請在圖片上按一下滑鼠右鍵，然後按一下 [變更圖片]。" title="五月圖像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18</xdr:row>
      <xdr:rowOff>88604</xdr:rowOff>
    </xdr:to>
    <xdr:sp macro="" textlink="">
      <xdr:nvSpPr>
        <xdr:cNvPr id="7" name="TextBox 6"/>
        <xdr:cNvSpPr txBox="1"/>
      </xdr:nvSpPr>
      <xdr:spPr>
        <a:xfrm>
          <a:off x="8870450" y="5213983"/>
          <a:ext cx="1938529" cy="2295261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TW" alt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省</a:t>
          </a:r>
          <a:r>
            <a:rPr kumimoji="0" lang="en-US" altLang="zh-TW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/</a:t>
          </a:r>
          <a:r>
            <a:rPr kumimoji="0" lang="zh-TW" alt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市 郵遞區號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TW" alt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在這裡填入您的地址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zh-TW" alt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Microsoft jhenghei" pitchFamily="34" charset="-120"/>
            <a:ea typeface="Microsoft jhenghei" pitchFamily="34" charset="-120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TW" alt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電話：</a:t>
          </a:r>
          <a:r>
            <a:rPr kumimoji="0" lang="en-US" altLang="zh-TW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TW" alt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傳真：</a:t>
          </a:r>
          <a:r>
            <a:rPr kumimoji="0" lang="en-US" altLang="zh-TW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Microsoft jhenghei" pitchFamily="34" charset="-120"/>
            <a:ea typeface="Microsoft jhenghei" pitchFamily="34" charset="-120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  <xdr:twoCellAnchor editAs="oneCell">
    <xdr:from>
      <xdr:col>6</xdr:col>
      <xdr:colOff>552450</xdr:colOff>
      <xdr:row>0</xdr:row>
      <xdr:rowOff>133350</xdr:rowOff>
    </xdr:from>
    <xdr:to>
      <xdr:col>7</xdr:col>
      <xdr:colOff>957611</xdr:colOff>
      <xdr:row>3</xdr:row>
      <xdr:rowOff>24367</xdr:rowOff>
    </xdr:to>
    <xdr:pic>
      <xdr:nvPicPr>
        <xdr:cNvPr id="9" name="圖片 8" descr="公司標誌預留位置。 若要變更此圖片，請在圖片上按一下滑鼠右鍵，然後按一下 [變更圖片]。" title="公司標誌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4650" y="133350"/>
          <a:ext cx="1586261" cy="115784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蔬菜田園沙拉。若要變更此圖片，請在圖片上按一下滑鼠右鍵，然後按一下 [變更圖片]。" title="六月圖像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裝飾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452937</xdr:colOff>
      <xdr:row>18</xdr:row>
      <xdr:rowOff>151735</xdr:rowOff>
    </xdr:from>
    <xdr:to>
      <xdr:col>9</xdr:col>
      <xdr:colOff>829950</xdr:colOff>
      <xdr:row>19</xdr:row>
      <xdr:rowOff>30702</xdr:rowOff>
    </xdr:to>
    <xdr:pic>
      <xdr:nvPicPr>
        <xdr:cNvPr id="5" name="Picture 4" title="裝飾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4361" y="7572375"/>
          <a:ext cx="1562101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新鮮的成熟番茄。若要變更此圖片，請在圖片上按一下滑鼠右鍵，然後按一下 [變更圖片]。" title="六月圖像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695148</xdr:rowOff>
    </xdr:from>
    <xdr:to>
      <xdr:col>9</xdr:col>
      <xdr:colOff>1062467</xdr:colOff>
      <xdr:row>18</xdr:row>
      <xdr:rowOff>1</xdr:rowOff>
    </xdr:to>
    <xdr:sp macro="" textlink="">
      <xdr:nvSpPr>
        <xdr:cNvPr id="7" name="TextBox 6"/>
        <xdr:cNvSpPr txBox="1"/>
      </xdr:nvSpPr>
      <xdr:spPr>
        <a:xfrm>
          <a:off x="8870450" y="5213985"/>
          <a:ext cx="1938529" cy="2206656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TW" alt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省</a:t>
          </a:r>
          <a:r>
            <a:rPr kumimoji="0" lang="en-US" altLang="zh-TW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/</a:t>
          </a:r>
          <a:r>
            <a:rPr kumimoji="0" lang="zh-TW" alt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市 郵遞區號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TW" alt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在這裡填入您的地址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zh-TW" alt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Microsoft jhenghei" pitchFamily="34" charset="-120"/>
            <a:ea typeface="Microsoft jhenghei" pitchFamily="34" charset="-120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TW" alt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電話：</a:t>
          </a:r>
          <a:r>
            <a:rPr kumimoji="0" lang="en-US" altLang="zh-TW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TW" alt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傳真：</a:t>
          </a:r>
          <a:r>
            <a:rPr kumimoji="0" lang="en-US" altLang="zh-TW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Microsoft jhenghei" pitchFamily="34" charset="-120"/>
            <a:ea typeface="Microsoft jhenghei" pitchFamily="34" charset="-120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  <xdr:twoCellAnchor editAs="oneCell">
    <xdr:from>
      <xdr:col>6</xdr:col>
      <xdr:colOff>588341</xdr:colOff>
      <xdr:row>0</xdr:row>
      <xdr:rowOff>146085</xdr:rowOff>
    </xdr:from>
    <xdr:to>
      <xdr:col>7</xdr:col>
      <xdr:colOff>989515</xdr:colOff>
      <xdr:row>3</xdr:row>
      <xdr:rowOff>41311</xdr:rowOff>
    </xdr:to>
    <xdr:pic>
      <xdr:nvPicPr>
        <xdr:cNvPr id="8" name="圖片 7" descr="公司標誌預留位置。若要變更此圖片，請在圖片上按一下滑鼠右鍵，然後按一下 [變更圖片]。" title="公司標誌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9591" y="146085"/>
          <a:ext cx="1586261" cy="115784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西瓜刨冰加上萊姆塊和荷蘭芹。若要變更此圖片，請在圖片上按一下滑鼠右鍵，然後按一下 [變更圖片]。" title="七月圖像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裝飾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508314</xdr:colOff>
      <xdr:row>18</xdr:row>
      <xdr:rowOff>232585</xdr:rowOff>
    </xdr:from>
    <xdr:to>
      <xdr:col>9</xdr:col>
      <xdr:colOff>885327</xdr:colOff>
      <xdr:row>19</xdr:row>
      <xdr:rowOff>108229</xdr:rowOff>
    </xdr:to>
    <xdr:pic>
      <xdr:nvPicPr>
        <xdr:cNvPr id="5" name="Picture 4" title="裝飾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9738" y="7653225"/>
          <a:ext cx="1562101" cy="141457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382222</xdr:rowOff>
    </xdr:from>
    <xdr:to>
      <xdr:col>9</xdr:col>
      <xdr:colOff>1035035</xdr:colOff>
      <xdr:row>11</xdr:row>
      <xdr:rowOff>598437</xdr:rowOff>
    </xdr:to>
    <xdr:pic>
      <xdr:nvPicPr>
        <xdr:cNvPr id="6" name="Picture 5" descr="野餐桌上放著一排切塊的新鮮西瓜。若要變更此圖片，請在圖片上按一下滑鼠右鍵，然後按一下 [變更圖片]。" title="七月圖像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106815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695147</xdr:rowOff>
    </xdr:from>
    <xdr:to>
      <xdr:col>9</xdr:col>
      <xdr:colOff>1062467</xdr:colOff>
      <xdr:row>18</xdr:row>
      <xdr:rowOff>66454</xdr:rowOff>
    </xdr:to>
    <xdr:sp macro="" textlink="">
      <xdr:nvSpPr>
        <xdr:cNvPr id="7" name="TextBox 6"/>
        <xdr:cNvSpPr txBox="1"/>
      </xdr:nvSpPr>
      <xdr:spPr>
        <a:xfrm>
          <a:off x="8870450" y="5213984"/>
          <a:ext cx="1938529" cy="2273110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TW" alt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省</a:t>
          </a:r>
          <a:r>
            <a:rPr kumimoji="0" lang="en-US" altLang="zh-TW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/</a:t>
          </a:r>
          <a:r>
            <a:rPr kumimoji="0" lang="zh-TW" alt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市 郵遞區號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TW" alt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在這裡填入您的地址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zh-TW" alt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Microsoft jhenghei" pitchFamily="34" charset="-120"/>
            <a:ea typeface="Microsoft jhenghei" pitchFamily="34" charset="-120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TW" alt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電話：</a:t>
          </a:r>
          <a:r>
            <a:rPr kumimoji="0" lang="en-US" altLang="zh-TW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TW" alt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傳真：</a:t>
          </a:r>
          <a:r>
            <a:rPr kumimoji="0" lang="en-US" altLang="zh-TW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Microsoft jhenghei" pitchFamily="34" charset="-120"/>
            <a:ea typeface="Microsoft jhenghei" pitchFamily="34" charset="-120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  <xdr:twoCellAnchor editAs="oneCell">
    <xdr:from>
      <xdr:col>6</xdr:col>
      <xdr:colOff>588339</xdr:colOff>
      <xdr:row>0</xdr:row>
      <xdr:rowOff>112859</xdr:rowOff>
    </xdr:from>
    <xdr:to>
      <xdr:col>7</xdr:col>
      <xdr:colOff>989513</xdr:colOff>
      <xdr:row>3</xdr:row>
      <xdr:rowOff>8085</xdr:rowOff>
    </xdr:to>
    <xdr:pic>
      <xdr:nvPicPr>
        <xdr:cNvPr id="8" name="圖片 7" descr="公司標誌預留位置。若要變更此圖片，請在圖片上按一下滑鼠右鍵，然後按一下 [變更圖片]。" title="公司標誌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9589" y="112859"/>
          <a:ext cx="1586261" cy="115784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橢圓盤上烤鮭魚搭配新鮮蔬菜。" title="八月圖像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7440" y="356521"/>
          <a:ext cx="1554479" cy="69342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裝飾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441862</xdr:colOff>
      <xdr:row>18</xdr:row>
      <xdr:rowOff>129585</xdr:rowOff>
    </xdr:from>
    <xdr:to>
      <xdr:col>9</xdr:col>
      <xdr:colOff>818875</xdr:colOff>
      <xdr:row>19</xdr:row>
      <xdr:rowOff>8552</xdr:rowOff>
    </xdr:to>
    <xdr:pic>
      <xdr:nvPicPr>
        <xdr:cNvPr id="5" name="Picture 4" title="裝飾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3286" y="7550225"/>
          <a:ext cx="1562101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一碗部分挑好的新鮮豆莢。若要變更此圖片，請在圖片上按一下滑鼠右鍵，然後按一下 [變更圖片]。" title="八月圖像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695147</xdr:rowOff>
    </xdr:from>
    <xdr:to>
      <xdr:col>9</xdr:col>
      <xdr:colOff>1062467</xdr:colOff>
      <xdr:row>18</xdr:row>
      <xdr:rowOff>22152</xdr:rowOff>
    </xdr:to>
    <xdr:sp macro="" textlink="">
      <xdr:nvSpPr>
        <xdr:cNvPr id="7" name="TextBox 6"/>
        <xdr:cNvSpPr txBox="1"/>
      </xdr:nvSpPr>
      <xdr:spPr>
        <a:xfrm>
          <a:off x="8870450" y="5213984"/>
          <a:ext cx="1938529" cy="2228808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TW" alt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省</a:t>
          </a:r>
          <a:r>
            <a:rPr kumimoji="0" lang="en-US" altLang="zh-TW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/</a:t>
          </a:r>
          <a:r>
            <a:rPr kumimoji="0" lang="zh-TW" alt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市 郵遞區號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TW" alt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在這裡填入您的地址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zh-TW" alt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Microsoft jhenghei" pitchFamily="34" charset="-120"/>
            <a:ea typeface="Microsoft jhenghei" pitchFamily="34" charset="-120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TW" alt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電話：</a:t>
          </a:r>
          <a:r>
            <a:rPr kumimoji="0" lang="en-US" altLang="zh-TW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TW" alt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傳真：</a:t>
          </a:r>
          <a:r>
            <a:rPr kumimoji="0" lang="en-US" altLang="zh-TW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Microsoft jhenghei" pitchFamily="34" charset="-120"/>
            <a:ea typeface="Microsoft jhenghei" pitchFamily="34" charset="-120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  <xdr:twoCellAnchor editAs="oneCell">
    <xdr:from>
      <xdr:col>6</xdr:col>
      <xdr:colOff>577266</xdr:colOff>
      <xdr:row>0</xdr:row>
      <xdr:rowOff>135010</xdr:rowOff>
    </xdr:from>
    <xdr:to>
      <xdr:col>7</xdr:col>
      <xdr:colOff>978440</xdr:colOff>
      <xdr:row>3</xdr:row>
      <xdr:rowOff>30236</xdr:rowOff>
    </xdr:to>
    <xdr:pic>
      <xdr:nvPicPr>
        <xdr:cNvPr id="8" name="圖片 7" descr="公司標誌預留位置。若要變更此圖片，請在圖片上按一下滑鼠右鍵，然後按一下 [變更圖片]。" title="公司標誌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8516" y="135010"/>
          <a:ext cx="1586261" cy="115784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一盤排成螺旋狀的烤蘋果片。若要變更此圖片，請在圖片上按一下滑鼠右鍵，然後按一下 [變更圖片]。" title="九月圖像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裝飾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508315</xdr:colOff>
      <xdr:row>18</xdr:row>
      <xdr:rowOff>262490</xdr:rowOff>
    </xdr:from>
    <xdr:to>
      <xdr:col>9</xdr:col>
      <xdr:colOff>885328</xdr:colOff>
      <xdr:row>19</xdr:row>
      <xdr:rowOff>141457</xdr:rowOff>
    </xdr:to>
    <xdr:pic>
      <xdr:nvPicPr>
        <xdr:cNvPr id="5" name="Picture 4" title="裝飾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9739" y="7683130"/>
          <a:ext cx="1562101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一碗新鮮蘋果。若要變更此圖片，請在圖片上按一下滑鼠右鍵，然後按一下 [變更圖片]。" title="九月圖像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18</xdr:row>
      <xdr:rowOff>99680</xdr:rowOff>
    </xdr:to>
    <xdr:sp macro="" textlink="">
      <xdr:nvSpPr>
        <xdr:cNvPr id="7" name="TextBox 6"/>
        <xdr:cNvSpPr txBox="1"/>
      </xdr:nvSpPr>
      <xdr:spPr>
        <a:xfrm>
          <a:off x="8870450" y="5213983"/>
          <a:ext cx="1938529" cy="2306337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TW" alt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省</a:t>
          </a:r>
          <a:r>
            <a:rPr kumimoji="0" lang="en-US" altLang="zh-TW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/</a:t>
          </a:r>
          <a:r>
            <a:rPr kumimoji="0" lang="zh-TW" alt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市 郵遞區號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TW" alt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在這裡填入您的地址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zh-TW" alt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Microsoft jhenghei" pitchFamily="34" charset="-120"/>
            <a:ea typeface="Microsoft jhenghei" pitchFamily="34" charset="-120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TW" alt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電話：</a:t>
          </a:r>
          <a:r>
            <a:rPr kumimoji="0" lang="en-US" altLang="zh-TW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TW" alt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傳真：</a:t>
          </a:r>
          <a:r>
            <a:rPr kumimoji="0" lang="en-US" altLang="zh-TW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Microsoft jhenghei" pitchFamily="34" charset="-120"/>
            <a:ea typeface="Microsoft jhenghei" pitchFamily="34" charset="-120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jhenghei" pitchFamily="34" charset="-120"/>
              <a:ea typeface="Microsoft jhenghei" pitchFamily="34" charset="-120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  <xdr:twoCellAnchor editAs="oneCell">
    <xdr:from>
      <xdr:col>6</xdr:col>
      <xdr:colOff>577266</xdr:colOff>
      <xdr:row>0</xdr:row>
      <xdr:rowOff>135010</xdr:rowOff>
    </xdr:from>
    <xdr:to>
      <xdr:col>7</xdr:col>
      <xdr:colOff>978440</xdr:colOff>
      <xdr:row>3</xdr:row>
      <xdr:rowOff>30236</xdr:rowOff>
    </xdr:to>
    <xdr:pic>
      <xdr:nvPicPr>
        <xdr:cNvPr id="8" name="圖片 7" descr="公司標誌預留位置。若要變更此圖片，請在圖片上按一下滑鼠右鍵，然後按一下 [變更圖片]。" title="公司標誌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8516" y="135010"/>
          <a:ext cx="1586261" cy="1157842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rek">
  <a:themeElements>
    <a:clrScheme name="Trek">
      <a:dk1>
        <a:sysClr val="windowText" lastClr="000000"/>
      </a:dk1>
      <a:lt1>
        <a:sysClr val="window" lastClr="FFFFFF"/>
      </a:lt1>
      <a:dk2>
        <a:srgbClr val="4E3B30"/>
      </a:dk2>
      <a:lt2>
        <a:srgbClr val="FBEEC9"/>
      </a:lt2>
      <a:accent1>
        <a:srgbClr val="F0A22E"/>
      </a:accent1>
      <a:accent2>
        <a:srgbClr val="A5644E"/>
      </a:accent2>
      <a:accent3>
        <a:srgbClr val="B58B80"/>
      </a:accent3>
      <a:accent4>
        <a:srgbClr val="C3986D"/>
      </a:accent4>
      <a:accent5>
        <a:srgbClr val="A19574"/>
      </a:accent5>
      <a:accent6>
        <a:srgbClr val="C17529"/>
      </a:accent6>
      <a:hlink>
        <a:srgbClr val="AD1F1F"/>
      </a:hlink>
      <a:folHlink>
        <a:srgbClr val="FFC42F"/>
      </a:folHlink>
    </a:clrScheme>
    <a:fontScheme name="Custom 1">
      <a:majorFont>
        <a:latin typeface="Georgia"/>
        <a:ea typeface=""/>
        <a:cs typeface=""/>
      </a:majorFont>
      <a:minorFont>
        <a:latin typeface="Cambria"/>
        <a:ea typeface=""/>
        <a:cs typeface=""/>
      </a:minorFont>
    </a:fontScheme>
    <a:fmtScheme name="Trek">
      <a:fillStyleLst>
        <a:solidFill>
          <a:schemeClr val="phClr"/>
        </a:solidFill>
        <a:gradFill rotWithShape="1">
          <a:gsLst>
            <a:gs pos="0">
              <a:schemeClr val="phClr">
                <a:tint val="30000"/>
                <a:satMod val="250000"/>
              </a:schemeClr>
            </a:gs>
            <a:gs pos="72000">
              <a:schemeClr val="phClr">
                <a:tint val="75000"/>
                <a:satMod val="210000"/>
              </a:schemeClr>
            </a:gs>
            <a:gs pos="100000">
              <a:schemeClr val="phClr">
                <a:tint val="85000"/>
                <a:satMod val="210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75000"/>
                <a:shade val="85000"/>
                <a:satMod val="230000"/>
              </a:schemeClr>
            </a:gs>
            <a:gs pos="25000">
              <a:schemeClr val="phClr">
                <a:tint val="90000"/>
                <a:shade val="70000"/>
                <a:satMod val="220000"/>
              </a:schemeClr>
            </a:gs>
            <a:gs pos="50000">
              <a:schemeClr val="phClr">
                <a:tint val="90000"/>
                <a:shade val="58000"/>
                <a:satMod val="225000"/>
              </a:schemeClr>
            </a:gs>
            <a:gs pos="65000">
              <a:schemeClr val="phClr">
                <a:tint val="90000"/>
                <a:shade val="58000"/>
                <a:satMod val="225000"/>
              </a:schemeClr>
            </a:gs>
            <a:gs pos="80000">
              <a:schemeClr val="phClr">
                <a:tint val="90000"/>
                <a:shade val="69000"/>
                <a:satMod val="220000"/>
              </a:schemeClr>
            </a:gs>
            <a:gs pos="100000">
              <a:schemeClr val="phClr">
                <a:tint val="77000"/>
                <a:shade val="80000"/>
                <a:satMod val="230000"/>
              </a:schemeClr>
            </a:gs>
          </a:gsLst>
          <a:lin ang="5400000" scaled="1"/>
        </a:gradFill>
      </a:fillStyleLst>
      <a:lnStyleLst>
        <a:ln w="1000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>
              <a:rot lat="0" lon="0" rev="0"/>
            </a:lightRig>
          </a:scene3d>
          <a:sp3d prstMaterial="metal">
            <a:bevelT w="10000" h="10000"/>
          </a:sp3d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bliqueTopLeft" fov="600000">
              <a:rot lat="0" lon="0" rev="0"/>
            </a:camera>
            <a:lightRig rig="balanced" dir="t">
              <a:rot lat="0" lon="0" rev="19200000"/>
            </a:lightRig>
          </a:scene3d>
          <a:sp3d contourW="12700" prstMaterial="matte">
            <a:bevelT w="60000" h="50800"/>
            <a:contourClr>
              <a:schemeClr val="phClr">
                <a:shade val="60000"/>
                <a:satMod val="110000"/>
              </a:schemeClr>
            </a:contourClr>
          </a:sp3d>
        </a:effectStyle>
      </a:effectStyleLst>
      <a:bgFillStyleLst>
        <a:solidFill>
          <a:schemeClr val="phClr"/>
        </a:solidFill>
        <a:blipFill>
          <a:blip xmlns:r="http://schemas.openxmlformats.org/officeDocument/2006/relationships" r:embed="rId1">
            <a:duotone>
              <a:schemeClr val="phClr">
                <a:shade val="90000"/>
                <a:satMod val="150000"/>
              </a:schemeClr>
              <a:schemeClr val="phClr">
                <a:tint val="88000"/>
                <a:satMod val="105000"/>
              </a:schemeClr>
            </a:duotone>
          </a:blip>
          <a:tile tx="0" ty="0" sx="95000" sy="95000" flip="none" algn="t"/>
        </a:blipFill>
        <a:blipFill>
          <a:blip xmlns:r="http://schemas.openxmlformats.org/officeDocument/2006/relationships" r:embed="rId2">
            <a:duotone>
              <a:schemeClr val="phClr">
                <a:shade val="30000"/>
                <a:satMod val="455000"/>
              </a:schemeClr>
              <a:schemeClr val="phClr">
                <a:tint val="95000"/>
                <a:satMod val="120000"/>
              </a:schemeClr>
            </a:duotone>
          </a:blip>
          <a:stretch>
            <a:fillRect/>
          </a:stretch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工作表1">
    <pageSetUpPr fitToPage="1"/>
  </sheetPr>
  <dimension ref="A1:R20"/>
  <sheetViews>
    <sheetView showGridLines="0" tabSelected="1" zoomScale="80" zoomScaleNormal="80" workbookViewId="0">
      <selection activeCell="B3" sqref="B3:F3"/>
    </sheetView>
  </sheetViews>
  <sheetFormatPr defaultColWidth="6.6640625" defaultRowHeight="15"/>
  <cols>
    <col min="1" max="1" width="3.109375" style="4" customWidth="1"/>
    <col min="2" max="9" width="13.77734375" style="4" customWidth="1"/>
    <col min="10" max="10" width="12.6640625" style="4" customWidth="1"/>
    <col min="11" max="11" width="2.109375" style="4" customWidth="1"/>
    <col min="12" max="12" width="11.77734375" style="4" customWidth="1"/>
    <col min="13" max="13" width="11.33203125" style="4" customWidth="1"/>
    <col min="14" max="16384" width="6.6640625" style="4"/>
  </cols>
  <sheetData>
    <row r="1" spans="1:18" ht="15.75">
      <c r="A1" s="3"/>
      <c r="L1" s="2" t="s">
        <v>7</v>
      </c>
    </row>
    <row r="2" spans="1:18" ht="26.25" customHeight="1">
      <c r="A2" s="3"/>
      <c r="L2" s="5">
        <v>2011</v>
      </c>
    </row>
    <row r="3" spans="1:18" ht="57.75" customHeight="1">
      <c r="A3" s="3"/>
      <c r="B3" s="29" t="str">
        <f>UPPER(TEXT(DATE(CalendarYear,1,1),"[$-404]mmmm yyyy"))</f>
        <v>一月 2011</v>
      </c>
      <c r="C3" s="29"/>
      <c r="D3" s="29"/>
      <c r="E3" s="29"/>
      <c r="F3" s="29"/>
    </row>
    <row r="4" spans="1:18" s="3" customFormat="1" ht="29.25" customHeight="1">
      <c r="B4" s="1" t="s">
        <v>0</v>
      </c>
      <c r="C4" s="6" t="s">
        <v>1</v>
      </c>
      <c r="D4" s="6" t="s">
        <v>2</v>
      </c>
      <c r="E4" s="6" t="s">
        <v>3</v>
      </c>
      <c r="F4" s="6" t="s">
        <v>4</v>
      </c>
      <c r="G4" s="6" t="s">
        <v>5</v>
      </c>
      <c r="H4" s="7" t="s">
        <v>6</v>
      </c>
      <c r="I4" s="4"/>
      <c r="J4" s="4"/>
      <c r="L4" s="4"/>
      <c r="M4" s="8"/>
      <c r="Q4" s="4"/>
      <c r="R4" s="4"/>
    </row>
    <row r="5" spans="1:18" s="3" customFormat="1" ht="15" customHeight="1">
      <c r="B5" s="9" t="str">
        <f>IF(DAY(JanSun1)=1,"",IF(AND(YEAR(JanSun1+1)=CalendarYear,MONTH(JanSun1+1)=1),JanSun1+1,""))</f>
        <v/>
      </c>
      <c r="C5" s="9" t="str">
        <f>IF(DAY(JanSun1)=1,"",IF(AND(YEAR(JanSun1+2)=CalendarYear,MONTH(JanSun1+2)=1),JanSun1+2,""))</f>
        <v/>
      </c>
      <c r="D5" s="9" t="str">
        <f>IF(DAY(JanSun1)=1,"",IF(AND(YEAR(JanSun1+3)=CalendarYear,MONTH(JanSun1+3)=1),JanSun1+3,""))</f>
        <v/>
      </c>
      <c r="E5" s="9" t="str">
        <f>IF(DAY(JanSun1)=1,"",IF(AND(YEAR(JanSun1+4)=CalendarYear,MONTH(JanSun1+4)=1),JanSun1+4,""))</f>
        <v/>
      </c>
      <c r="F5" s="9" t="str">
        <f>IF(DAY(JanSun1)=1,"",IF(AND(YEAR(JanSun1+5)=CalendarYear,MONTH(JanSun1+5)=1),JanSun1+5,""))</f>
        <v/>
      </c>
      <c r="G5" s="9">
        <f>IF(DAY(JanSun1)=1,"",IF(AND(YEAR(JanSun1+6)=CalendarYear,MONTH(JanSun1+6)=1),JanSun1+6,""))</f>
        <v>40544</v>
      </c>
      <c r="H5" s="9">
        <f>IF(DAY(JanSun1)=1,IF(AND(YEAR(JanSun1)=CalendarYear,MONTH(JanSun1)=1),JanSun1,""),IF(AND(YEAR(JanSun1+7)=CalendarYear,MONTH(JanSun1+7)=1),JanSun1+7,""))</f>
        <v>40545</v>
      </c>
      <c r="I5" s="10"/>
      <c r="K5" s="4"/>
      <c r="L5" s="4"/>
      <c r="M5" s="4"/>
      <c r="Q5" s="11"/>
      <c r="R5" s="4"/>
    </row>
    <row r="6" spans="1:18" s="11" customFormat="1" ht="55.5" customHeight="1">
      <c r="A6" s="3"/>
      <c r="B6" s="12"/>
      <c r="C6" s="12"/>
      <c r="D6" s="12"/>
      <c r="E6" s="12"/>
      <c r="F6" s="12"/>
      <c r="G6" s="13"/>
      <c r="H6" s="13"/>
      <c r="I6" s="10"/>
    </row>
    <row r="7" spans="1:18" ht="15" customHeight="1">
      <c r="A7" s="3"/>
      <c r="B7" s="14">
        <f>IF(DAY(JanSun1)=1,IF(AND(YEAR(JanSun1+1)=CalendarYear,MONTH(JanSun1+1)=1),JanSun1+1,""),IF(AND(YEAR(JanSun1+8)=CalendarYear,MONTH(JanSun1+8)=1),JanSun1+8,""))</f>
        <v>40546</v>
      </c>
      <c r="C7" s="14">
        <f>IF(DAY(JanSun1)=1,IF(AND(YEAR(JanSun1+2)=CalendarYear,MONTH(JanSun1+2)=1),JanSun1+2,""),IF(AND(YEAR(JanSun1+9)=CalendarYear,MONTH(JanSun1+9)=1),JanSun1+9,""))</f>
        <v>40547</v>
      </c>
      <c r="D7" s="14">
        <f>IF(DAY(JanSun1)=1,IF(AND(YEAR(JanSun1+3)=CalendarYear,MONTH(JanSun1+3)=1),JanSun1+3,""),IF(AND(YEAR(JanSun1+10)=CalendarYear,MONTH(JanSun1+10)=1),JanSun1+10,""))</f>
        <v>40548</v>
      </c>
      <c r="E7" s="14">
        <f>IF(DAY(JanSun1)=1,IF(AND(YEAR(JanSun1+4)=CalendarYear,MONTH(JanSun1+4)=1),JanSun1+4,""),IF(AND(YEAR(JanSun1+11)=CalendarYear,MONTH(JanSun1+11)=1),JanSun1+11,""))</f>
        <v>40549</v>
      </c>
      <c r="F7" s="14">
        <f>IF(DAY(JanSun1)=1,IF(AND(YEAR(JanSun1+5)=CalendarYear,MONTH(JanSun1+5)=1),JanSun1+5,""),IF(AND(YEAR(JanSun1+12)=CalendarYear,MONTH(JanSun1+12)=1),JanSun1+12,""))</f>
        <v>40550</v>
      </c>
      <c r="G7" s="14">
        <f>IF(DAY(JanSun1)=1,IF(AND(YEAR(JanSun1+6)=CalendarYear,MONTH(JanSun1+6)=1),JanSun1+6,""),IF(AND(YEAR(JanSun1+13)=CalendarYear,MONTH(JanSun1+13)=1),JanSun1+13,""))</f>
        <v>40551</v>
      </c>
      <c r="H7" s="14">
        <f>IF(DAY(JanSun1)=1,IF(AND(YEAR(JanSun1+7)=CalendarYear,MONTH(JanSun1+7)=1),JanSun1+7,""),IF(AND(YEAR(JanSun1+14)=CalendarYear,MONTH(JanSun1+14)=1),JanSun1+14,""))</f>
        <v>40552</v>
      </c>
      <c r="I7" s="10"/>
    </row>
    <row r="8" spans="1:18" ht="55.5" customHeight="1">
      <c r="A8" s="3"/>
      <c r="B8" s="15"/>
      <c r="C8" s="15"/>
      <c r="D8" s="15"/>
      <c r="E8" s="15"/>
      <c r="F8" s="15"/>
      <c r="G8" s="16"/>
      <c r="H8" s="16"/>
      <c r="I8" s="10"/>
    </row>
    <row r="9" spans="1:18" ht="15" customHeight="1">
      <c r="A9" s="3"/>
      <c r="B9" s="17">
        <f>IF(DAY(JanSun1)=1,IF(AND(YEAR(JanSun1+8)=CalendarYear,MONTH(JanSun1+8)=1),JanSun1+8,""),IF(AND(YEAR(JanSun1+15)=CalendarYear,MONTH(JanSun1+15)=1),JanSun1+15,""))</f>
        <v>40553</v>
      </c>
      <c r="C9" s="17">
        <f>IF(DAY(JanSun1)=1,IF(AND(YEAR(JanSun1+9)=CalendarYear,MONTH(JanSun1+9)=1),JanSun1+9,""),IF(AND(YEAR(JanSun1+16)=CalendarYear,MONTH(JanSun1+16)=1),JanSun1+16,""))</f>
        <v>40554</v>
      </c>
      <c r="D9" s="17">
        <f>IF(DAY(JanSun1)=1,IF(AND(YEAR(JanSun1+10)=CalendarYear,MONTH(JanSun1+10)=1),JanSun1+10,""),IF(AND(YEAR(JanSun1+17)=CalendarYear,MONTH(JanSun1+17)=1),JanSun1+17,""))</f>
        <v>40555</v>
      </c>
      <c r="E9" s="17">
        <f>IF(DAY(JanSun1)=1,IF(AND(YEAR(JanSun1+11)=CalendarYear,MONTH(JanSun1+11)=1),JanSun1+11,""),IF(AND(YEAR(JanSun1+18)=CalendarYear,MONTH(JanSun1+18)=1),JanSun1+18,""))</f>
        <v>40556</v>
      </c>
      <c r="F9" s="17">
        <f>IF(DAY(JanSun1)=1,IF(AND(YEAR(JanSun1+12)=CalendarYear,MONTH(JanSun1+12)=1),JanSun1+12,""),IF(AND(YEAR(JanSun1+19)=CalendarYear,MONTH(JanSun1+19)=1),JanSun1+19,""))</f>
        <v>40557</v>
      </c>
      <c r="G9" s="17">
        <f>IF(DAY(JanSun1)=1,IF(AND(YEAR(JanSun1+13)=CalendarYear,MONTH(JanSun1+13)=1),JanSun1+13,""),IF(AND(YEAR(JanSun1+20)=CalendarYear,MONTH(JanSun1+20)=1),JanSun1+20,""))</f>
        <v>40558</v>
      </c>
      <c r="H9" s="17">
        <f>IF(DAY(JanSun1)=1,IF(AND(YEAR(JanSun1+14)=CalendarYear,MONTH(JanSun1+14)=1),JanSun1+14,""),IF(AND(YEAR(JanSun1+21)=CalendarYear,MONTH(JanSun1+21)=1),JanSun1+21,""))</f>
        <v>40559</v>
      </c>
      <c r="I9" s="10"/>
    </row>
    <row r="10" spans="1:18" ht="55.5" customHeight="1">
      <c r="A10" s="3"/>
      <c r="B10" s="12"/>
      <c r="C10" s="12"/>
      <c r="D10" s="12"/>
      <c r="E10" s="12"/>
      <c r="F10" s="12"/>
      <c r="G10" s="13"/>
      <c r="H10" s="13"/>
      <c r="I10" s="10"/>
    </row>
    <row r="11" spans="1:18" ht="15" customHeight="1">
      <c r="A11" s="3"/>
      <c r="B11" s="18">
        <f>IF(DAY(JanSun1)=1,IF(AND(YEAR(JanSun1+15)=CalendarYear,MONTH(JanSun1+15)=1),JanSun1+15,""),IF(AND(YEAR(JanSun1+22)=CalendarYear,MONTH(JanSun1+22)=1),JanSun1+22,""))</f>
        <v>40560</v>
      </c>
      <c r="C11" s="18">
        <f>IF(DAY(JanSun1)=1,IF(AND(YEAR(JanSun1+16)=CalendarYear,MONTH(JanSun1+16)=1),JanSun1+16,""),IF(AND(YEAR(JanSun1+23)=CalendarYear,MONTH(JanSun1+23)=1),JanSun1+23,""))</f>
        <v>40561</v>
      </c>
      <c r="D11" s="18">
        <f>IF(DAY(JanSun1)=1,IF(AND(YEAR(JanSun1+17)=CalendarYear,MONTH(JanSun1+17)=1),JanSun1+17,""),IF(AND(YEAR(JanSun1+24)=CalendarYear,MONTH(JanSun1+24)=1),JanSun1+24,""))</f>
        <v>40562</v>
      </c>
      <c r="E11" s="18">
        <f>IF(DAY(JanSun1)=1,IF(AND(YEAR(JanSun1+18)=CalendarYear,MONTH(JanSun1+18)=1),JanSun1+18,""),IF(AND(YEAR(JanSun1+25)=CalendarYear,MONTH(JanSun1+25)=1),JanSun1+25,""))</f>
        <v>40563</v>
      </c>
      <c r="F11" s="18">
        <f>IF(DAY(JanSun1)=1,IF(AND(YEAR(JanSun1+19)=CalendarYear,MONTH(JanSun1+19)=1),JanSun1+19,""),IF(AND(YEAR(JanSun1+26)=CalendarYear,MONTH(JanSun1+26)=1),JanSun1+26,""))</f>
        <v>40564</v>
      </c>
      <c r="G11" s="18">
        <f>IF(DAY(JanSun1)=1,IF(AND(YEAR(JanSun1+20)=CalendarYear,MONTH(JanSun1+20)=1),JanSun1+20,""),IF(AND(YEAR(JanSun1+27)=CalendarYear,MONTH(JanSun1+27)=1),JanSun1+27,""))</f>
        <v>40565</v>
      </c>
      <c r="H11" s="18">
        <f>IF(DAY(JanSun1)=1,IF(AND(YEAR(JanSun1+21)=CalendarYear,MONTH(JanSun1+21)=1),JanSun1+21,""),IF(AND(YEAR(JanSun1+28)=CalendarYear,MONTH(JanSun1+28)=1),JanSun1+28,""))</f>
        <v>40566</v>
      </c>
      <c r="I11" s="10"/>
    </row>
    <row r="12" spans="1:18" ht="55.5" customHeight="1">
      <c r="A12" s="3"/>
      <c r="B12" s="15"/>
      <c r="C12" s="15"/>
      <c r="D12" s="15"/>
      <c r="E12" s="15"/>
      <c r="F12" s="15"/>
      <c r="G12" s="16"/>
      <c r="H12" s="16"/>
      <c r="I12" s="10"/>
    </row>
    <row r="13" spans="1:18" ht="15" customHeight="1">
      <c r="A13" s="3"/>
      <c r="B13" s="17">
        <f>IF(DAY(JanSun1)=1,IF(AND(YEAR(JanSun1+22)=CalendarYear,MONTH(JanSun1+22)=1),JanSun1+22,""),IF(AND(YEAR(JanSun1+29)=CalendarYear,MONTH(JanSun1+29)=1),JanSun1+29,""))</f>
        <v>40567</v>
      </c>
      <c r="C13" s="17">
        <f>IF(DAY(JanSun1)=1,IF(AND(YEAR(JanSun1+23)=CalendarYear,MONTH(JanSun1+23)=1),JanSun1+23,""),IF(AND(YEAR(JanSun1+30)=CalendarYear,MONTH(JanSun1+30)=1),JanSun1+30,""))</f>
        <v>40568</v>
      </c>
      <c r="D13" s="17">
        <f>IF(DAY(JanSun1)=1,IF(AND(YEAR(JanSun1+24)=CalendarYear,MONTH(JanSun1+24)=1),JanSun1+24,""),IF(AND(YEAR(JanSun1+31)=CalendarYear,MONTH(JanSun1+31)=1),JanSun1+31,""))</f>
        <v>40569</v>
      </c>
      <c r="E13" s="17">
        <f>IF(DAY(JanSun1)=1,IF(AND(YEAR(JanSun1+25)=CalendarYear,MONTH(JanSun1+25)=1),JanSun1+25,""),IF(AND(YEAR(JanSun1+32)=CalendarYear,MONTH(JanSun1+32)=1),JanSun1+32,""))</f>
        <v>40570</v>
      </c>
      <c r="F13" s="17">
        <f>IF(DAY(JanSun1)=1,IF(AND(YEAR(JanSun1+26)=CalendarYear,MONTH(JanSun1+26)=1),JanSun1+26,""),IF(AND(YEAR(JanSun1+33)=CalendarYear,MONTH(JanSun1+33)=1),JanSun1+33,""))</f>
        <v>40571</v>
      </c>
      <c r="G13" s="17">
        <f>IF(DAY(JanSun1)=1,IF(AND(YEAR(JanSun1+27)=CalendarYear,MONTH(JanSun1+27)=1),JanSun1+27,""),IF(AND(YEAR(JanSun1+34)=CalendarYear,MONTH(JanSun1+34)=1),JanSun1+34,""))</f>
        <v>40572</v>
      </c>
      <c r="H13" s="17">
        <f>IF(DAY(JanSun1)=1,IF(AND(YEAR(JanSun1+28)=CalendarYear,MONTH(JanSun1+28)=1),JanSun1+28,""),IF(AND(YEAR(JanSun1+35)=CalendarYear,MONTH(JanSun1+35)=1),JanSun1+35,""))</f>
        <v>40573</v>
      </c>
      <c r="I13" s="10"/>
    </row>
    <row r="14" spans="1:18" ht="55.5" customHeight="1">
      <c r="A14" s="3"/>
      <c r="B14" s="12"/>
      <c r="C14" s="12"/>
      <c r="D14" s="12"/>
      <c r="E14" s="12"/>
      <c r="F14" s="12"/>
      <c r="G14" s="13"/>
      <c r="H14" s="13"/>
      <c r="I14" s="10"/>
    </row>
    <row r="15" spans="1:18" ht="15" customHeight="1">
      <c r="A15" s="3"/>
      <c r="B15" s="18">
        <f>IF(DAY(JanSun1)=1,IF(AND(YEAR(JanSun1+29)=CalendarYear,MONTH(JanSun1+29)=1),JanSun1+29,""),IF(AND(YEAR(JanSun1+36)=CalendarYear,MONTH(JanSun1+36)=1),JanSun1+36,""))</f>
        <v>40574</v>
      </c>
      <c r="C15" s="19" t="str">
        <f>IF(DAY(JanSun1)=1,IF(AND(YEAR(JanSun1+30)=CalendarYear,MONTH(JanSun1+30)=1),JanSun1+30,""),IF(AND(YEAR(JanSun1+37)=CalendarYear,MONTH(JanSun1+37)=1),JanSun1+37,""))</f>
        <v/>
      </c>
      <c r="D15" s="26" t="s">
        <v>8</v>
      </c>
      <c r="E15" s="27"/>
      <c r="F15" s="27"/>
      <c r="G15" s="27"/>
      <c r="H15" s="28"/>
      <c r="I15" s="10"/>
    </row>
    <row r="16" spans="1:18" ht="55.5" customHeight="1">
      <c r="A16" s="3"/>
      <c r="B16" s="15"/>
      <c r="C16" s="15"/>
      <c r="D16" s="23"/>
      <c r="E16" s="24"/>
      <c r="F16" s="24"/>
      <c r="G16" s="24"/>
      <c r="H16" s="25"/>
      <c r="I16" s="10"/>
    </row>
    <row r="17" spans="3:5" ht="17.25" customHeight="1"/>
    <row r="19" spans="3:5" ht="21" customHeight="1">
      <c r="C19" s="20"/>
      <c r="D19" s="21"/>
      <c r="E19" s="22"/>
    </row>
    <row r="20" spans="3:5" ht="19.5" customHeight="1"/>
  </sheetData>
  <mergeCells count="3">
    <mergeCell ref="D16:H16"/>
    <mergeCell ref="D15:H15"/>
    <mergeCell ref="B3:F3"/>
  </mergeCells>
  <phoneticPr fontId="6" type="noConversion"/>
  <printOptions horizontalCentered="1" verticalCentered="1"/>
  <pageMargins left="0.2" right="0.2" top="0.25" bottom="0.25" header="0" footer="0"/>
  <pageSetup scale="68" orientation="landscape" r:id="rId1"/>
  <headerFooter scaleWithDoc="0" alignWithMargins="0"/>
  <customProperties>
    <customPr name="SheetChanged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5" name="Spinner 2">
              <controlPr defaultSize="0" autoPict="0" altText="微調按鈕控制項。使用微調按鈕變更行事曆年度，或在儲存格 L2 中輸入想要的年度">
                <anchor moveWithCells="1">
                  <from>
                    <xdr:col>11</xdr:col>
                    <xdr:colOff>952500</xdr:colOff>
                    <xdr:row>1</xdr:row>
                    <xdr:rowOff>47625</xdr:rowOff>
                  </from>
                  <to>
                    <xdr:col>12</xdr:col>
                    <xdr:colOff>85725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10">
    <pageSetUpPr fitToPage="1"/>
  </sheetPr>
  <dimension ref="A1:R20"/>
  <sheetViews>
    <sheetView showGridLines="0" zoomScale="80" zoomScaleNormal="80" workbookViewId="0"/>
  </sheetViews>
  <sheetFormatPr defaultColWidth="6.6640625" defaultRowHeight="15"/>
  <cols>
    <col min="1" max="1" width="3.109375" style="4" customWidth="1"/>
    <col min="2" max="9" width="13.77734375" style="4" customWidth="1"/>
    <col min="10" max="10" width="12.6640625" style="4" customWidth="1"/>
    <col min="11" max="11" width="2.109375" style="4" customWidth="1"/>
    <col min="12" max="12" width="11.77734375" style="4" customWidth="1"/>
    <col min="13" max="13" width="11.33203125" style="4" customWidth="1"/>
    <col min="14" max="16384" width="6.6640625" style="4"/>
  </cols>
  <sheetData>
    <row r="1" spans="1:18" ht="15.75">
      <c r="A1" s="3"/>
    </row>
    <row r="2" spans="1:18" ht="26.25" customHeight="1">
      <c r="A2" s="3"/>
    </row>
    <row r="3" spans="1:18" ht="57.75" customHeight="1">
      <c r="A3" s="3"/>
      <c r="B3" s="29" t="str">
        <f>UPPER(TEXT(DATE(CalendarYear,10,1),"[$-404]mmmm yyyy"))</f>
        <v>十月 2011</v>
      </c>
      <c r="C3" s="29"/>
      <c r="D3" s="29"/>
      <c r="E3" s="29"/>
      <c r="F3" s="29"/>
    </row>
    <row r="4" spans="1:18" s="3" customFormat="1" ht="29.25" customHeight="1">
      <c r="B4" s="1" t="s">
        <v>0</v>
      </c>
      <c r="C4" s="6" t="s">
        <v>1</v>
      </c>
      <c r="D4" s="6" t="s">
        <v>2</v>
      </c>
      <c r="E4" s="6" t="s">
        <v>3</v>
      </c>
      <c r="F4" s="6" t="s">
        <v>4</v>
      </c>
      <c r="G4" s="6" t="s">
        <v>5</v>
      </c>
      <c r="H4" s="7" t="s">
        <v>6</v>
      </c>
      <c r="I4" s="4"/>
      <c r="J4" s="4"/>
      <c r="L4" s="4"/>
      <c r="M4" s="8"/>
      <c r="Q4" s="4"/>
      <c r="R4" s="4"/>
    </row>
    <row r="5" spans="1:18" s="3" customFormat="1" ht="15" customHeight="1">
      <c r="B5" s="9" t="str">
        <f>IF(DAY(OctSun1)=1,"",IF(AND(YEAR(OctSun1+1)=CalendarYear,MONTH(OctSun1+1)=10),OctSun1+1,""))</f>
        <v/>
      </c>
      <c r="C5" s="9" t="str">
        <f>IF(DAY(OctSun1)=1,"",IF(AND(YEAR(OctSun1+2)=CalendarYear,MONTH(OctSun1+2)=10),OctSun1+2,""))</f>
        <v/>
      </c>
      <c r="D5" s="9" t="str">
        <f>IF(DAY(OctSun1)=1,"",IF(AND(YEAR(OctSun1+3)=CalendarYear,MONTH(OctSun1+3)=10),OctSun1+3,""))</f>
        <v/>
      </c>
      <c r="E5" s="9" t="str">
        <f>IF(DAY(OctSun1)=1,"",IF(AND(YEAR(OctSun1+4)=CalendarYear,MONTH(OctSun1+4)=10),OctSun1+4,""))</f>
        <v/>
      </c>
      <c r="F5" s="9" t="str">
        <f>IF(DAY(OctSun1)=1,"",IF(AND(YEAR(OctSun1+5)=CalendarYear,MONTH(OctSun1+5)=10),OctSun1+5,""))</f>
        <v/>
      </c>
      <c r="G5" s="9">
        <f>IF(DAY(OctSun1)=1,"",IF(AND(YEAR(OctSun1+6)=CalendarYear,MONTH(OctSun1+6)=10),OctSun1+6,""))</f>
        <v>40817</v>
      </c>
      <c r="H5" s="9">
        <f>IF(DAY(OctSun1)=1,IF(AND(YEAR(OctSun1)=CalendarYear,MONTH(OctSun1)=10),OctSun1,""),IF(AND(YEAR(OctSun1+7)=CalendarYear,MONTH(OctSun1+7)=10),OctSun1+7,""))</f>
        <v>40818</v>
      </c>
      <c r="I5" s="10"/>
      <c r="K5" s="4"/>
      <c r="L5" s="4"/>
      <c r="M5" s="4"/>
      <c r="Q5" s="11"/>
      <c r="R5" s="4"/>
    </row>
    <row r="6" spans="1:18" s="11" customFormat="1" ht="55.5" customHeight="1">
      <c r="A6" s="3"/>
      <c r="B6" s="12"/>
      <c r="C6" s="12"/>
      <c r="D6" s="12"/>
      <c r="E6" s="12"/>
      <c r="F6" s="12"/>
      <c r="G6" s="13"/>
      <c r="H6" s="13"/>
      <c r="I6" s="10"/>
    </row>
    <row r="7" spans="1:18" ht="15" customHeight="1">
      <c r="A7" s="3"/>
      <c r="B7" s="14">
        <f>IF(DAY(OctSun1)=1,IF(AND(YEAR(OctSun1+1)=CalendarYear,MONTH(OctSun1+1)=10),OctSun1+1,""),IF(AND(YEAR(OctSun1+8)=CalendarYear,MONTH(OctSun1+8)=10),OctSun1+8,""))</f>
        <v>40819</v>
      </c>
      <c r="C7" s="14">
        <f>IF(DAY(OctSun1)=1,IF(AND(YEAR(OctSun1+2)=CalendarYear,MONTH(OctSun1+2)=10),OctSun1+2,""),IF(AND(YEAR(OctSun1+9)=CalendarYear,MONTH(OctSun1+9)=10),OctSun1+9,""))</f>
        <v>40820</v>
      </c>
      <c r="D7" s="14">
        <f>IF(DAY(OctSun1)=1,IF(AND(YEAR(OctSun1+3)=CalendarYear,MONTH(OctSun1+3)=10),OctSun1+3,""),IF(AND(YEAR(OctSun1+10)=CalendarYear,MONTH(OctSun1+10)=10),OctSun1+10,""))</f>
        <v>40821</v>
      </c>
      <c r="E7" s="14">
        <f>IF(DAY(OctSun1)=1,IF(AND(YEAR(OctSun1+4)=CalendarYear,MONTH(OctSun1+4)=10),OctSun1+4,""),IF(AND(YEAR(OctSun1+11)=CalendarYear,MONTH(OctSun1+11)=10),OctSun1+11,""))</f>
        <v>40822</v>
      </c>
      <c r="F7" s="14">
        <f>IF(DAY(OctSun1)=1,IF(AND(YEAR(OctSun1+5)=CalendarYear,MONTH(OctSun1+5)=10),OctSun1+5,""),IF(AND(YEAR(OctSun1+12)=CalendarYear,MONTH(OctSun1+12)=10),OctSun1+12,""))</f>
        <v>40823</v>
      </c>
      <c r="G7" s="14">
        <f>IF(DAY(OctSun1)=1,IF(AND(YEAR(OctSun1+6)=CalendarYear,MONTH(OctSun1+6)=10),OctSun1+6,""),IF(AND(YEAR(OctSun1+13)=CalendarYear,MONTH(OctSun1+13)=10),OctSun1+13,""))</f>
        <v>40824</v>
      </c>
      <c r="H7" s="14">
        <f>IF(DAY(OctSun1)=1,IF(AND(YEAR(OctSun1+7)=CalendarYear,MONTH(OctSun1+7)=10),OctSun1+7,""),IF(AND(YEAR(OctSun1+14)=CalendarYear,MONTH(OctSun1+14)=10),OctSun1+14,""))</f>
        <v>40825</v>
      </c>
      <c r="I7" s="10"/>
    </row>
    <row r="8" spans="1:18" ht="55.5" customHeight="1">
      <c r="A8" s="3"/>
      <c r="B8" s="15"/>
      <c r="C8" s="15"/>
      <c r="D8" s="15"/>
      <c r="E8" s="15"/>
      <c r="F8" s="15"/>
      <c r="G8" s="16"/>
      <c r="H8" s="16"/>
      <c r="I8" s="10"/>
    </row>
    <row r="9" spans="1:18" ht="15" customHeight="1">
      <c r="A9" s="3"/>
      <c r="B9" s="17">
        <f>IF(DAY(OctSun1)=1,IF(AND(YEAR(OctSun1+8)=CalendarYear,MONTH(OctSun1+8)=10),OctSun1+8,""),IF(AND(YEAR(OctSun1+15)=CalendarYear,MONTH(OctSun1+15)=10),OctSun1+15,""))</f>
        <v>40826</v>
      </c>
      <c r="C9" s="17">
        <f>IF(DAY(OctSun1)=1,IF(AND(YEAR(OctSun1+9)=CalendarYear,MONTH(OctSun1+9)=10),OctSun1+9,""),IF(AND(YEAR(OctSun1+16)=CalendarYear,MONTH(OctSun1+16)=10),OctSun1+16,""))</f>
        <v>40827</v>
      </c>
      <c r="D9" s="17">
        <f>IF(DAY(OctSun1)=1,IF(AND(YEAR(OctSun1+10)=CalendarYear,MONTH(OctSun1+10)=10),OctSun1+10,""),IF(AND(YEAR(OctSun1+17)=CalendarYear,MONTH(OctSun1+17)=10),OctSun1+17,""))</f>
        <v>40828</v>
      </c>
      <c r="E9" s="17">
        <f>IF(DAY(OctSun1)=1,IF(AND(YEAR(OctSun1+11)=CalendarYear,MONTH(OctSun1+11)=10),OctSun1+11,""),IF(AND(YEAR(OctSun1+18)=CalendarYear,MONTH(OctSun1+18)=10),OctSun1+18,""))</f>
        <v>40829</v>
      </c>
      <c r="F9" s="17">
        <f>IF(DAY(OctSun1)=1,IF(AND(YEAR(OctSun1+12)=CalendarYear,MONTH(OctSun1+12)=10),OctSun1+12,""),IF(AND(YEAR(OctSun1+19)=CalendarYear,MONTH(OctSun1+19)=10),OctSun1+19,""))</f>
        <v>40830</v>
      </c>
      <c r="G9" s="17">
        <f>IF(DAY(OctSun1)=1,IF(AND(YEAR(OctSun1+13)=CalendarYear,MONTH(OctSun1+13)=10),OctSun1+13,""),IF(AND(YEAR(OctSun1+20)=CalendarYear,MONTH(OctSun1+20)=10),OctSun1+20,""))</f>
        <v>40831</v>
      </c>
      <c r="H9" s="17">
        <f>IF(DAY(OctSun1)=1,IF(AND(YEAR(OctSun1+14)=CalendarYear,MONTH(OctSun1+14)=10),OctSun1+14,""),IF(AND(YEAR(OctSun1+21)=CalendarYear,MONTH(OctSun1+21)=10),OctSun1+21,""))</f>
        <v>40832</v>
      </c>
      <c r="I9" s="10"/>
    </row>
    <row r="10" spans="1:18" ht="55.5" customHeight="1">
      <c r="A10" s="3"/>
      <c r="B10" s="12"/>
      <c r="C10" s="12"/>
      <c r="D10" s="12"/>
      <c r="E10" s="12"/>
      <c r="F10" s="12"/>
      <c r="G10" s="13"/>
      <c r="H10" s="13"/>
      <c r="I10" s="10"/>
    </row>
    <row r="11" spans="1:18" ht="15" customHeight="1">
      <c r="A11" s="3"/>
      <c r="B11" s="18">
        <f>IF(DAY(OctSun1)=1,IF(AND(YEAR(OctSun1+15)=CalendarYear,MONTH(OctSun1+15)=10),OctSun1+15,""),IF(AND(YEAR(OctSun1+22)=CalendarYear,MONTH(OctSun1+22)=10),OctSun1+22,""))</f>
        <v>40833</v>
      </c>
      <c r="C11" s="18">
        <f>IF(DAY(OctSun1)=1,IF(AND(YEAR(OctSun1+16)=CalendarYear,MONTH(OctSun1+16)=10),OctSun1+16,""),IF(AND(YEAR(OctSun1+23)=CalendarYear,MONTH(OctSun1+23)=10),OctSun1+23,""))</f>
        <v>40834</v>
      </c>
      <c r="D11" s="18">
        <f>IF(DAY(OctSun1)=1,IF(AND(YEAR(OctSun1+17)=CalendarYear,MONTH(OctSun1+17)=10),OctSun1+17,""),IF(AND(YEAR(OctSun1+24)=CalendarYear,MONTH(OctSun1+24)=10),OctSun1+24,""))</f>
        <v>40835</v>
      </c>
      <c r="E11" s="18">
        <f>IF(DAY(OctSun1)=1,IF(AND(YEAR(OctSun1+18)=CalendarYear,MONTH(OctSun1+18)=10),OctSun1+18,""),IF(AND(YEAR(OctSun1+25)=CalendarYear,MONTH(OctSun1+25)=10),OctSun1+25,""))</f>
        <v>40836</v>
      </c>
      <c r="F11" s="18">
        <f>IF(DAY(OctSun1)=1,IF(AND(YEAR(OctSun1+19)=CalendarYear,MONTH(OctSun1+19)=10),OctSun1+19,""),IF(AND(YEAR(OctSun1+26)=CalendarYear,MONTH(OctSun1+26)=10),OctSun1+26,""))</f>
        <v>40837</v>
      </c>
      <c r="G11" s="18">
        <f>IF(DAY(OctSun1)=1,IF(AND(YEAR(OctSun1+20)=CalendarYear,MONTH(OctSun1+20)=10),OctSun1+20,""),IF(AND(YEAR(OctSun1+27)=CalendarYear,MONTH(OctSun1+27)=10),OctSun1+27,""))</f>
        <v>40838</v>
      </c>
      <c r="H11" s="18">
        <f>IF(DAY(OctSun1)=1,IF(AND(YEAR(OctSun1+21)=CalendarYear,MONTH(OctSun1+21)=10),OctSun1+21,""),IF(AND(YEAR(OctSun1+28)=CalendarYear,MONTH(OctSun1+28)=10),OctSun1+28,""))</f>
        <v>40839</v>
      </c>
      <c r="I11" s="10"/>
    </row>
    <row r="12" spans="1:18" ht="55.5" customHeight="1">
      <c r="A12" s="3"/>
      <c r="B12" s="15"/>
      <c r="C12" s="15"/>
      <c r="D12" s="15"/>
      <c r="E12" s="15"/>
      <c r="F12" s="15"/>
      <c r="G12" s="16"/>
      <c r="H12" s="16"/>
      <c r="I12" s="10"/>
    </row>
    <row r="13" spans="1:18" ht="15" customHeight="1">
      <c r="A13" s="3"/>
      <c r="B13" s="17">
        <f>IF(DAY(OctSun1)=1,IF(AND(YEAR(OctSun1+22)=CalendarYear,MONTH(OctSun1+22)=10),OctSun1+22,""),IF(AND(YEAR(OctSun1+29)=CalendarYear,MONTH(OctSun1+29)=10),OctSun1+29,""))</f>
        <v>40840</v>
      </c>
      <c r="C13" s="17">
        <f>IF(DAY(OctSun1)=1,IF(AND(YEAR(OctSun1+23)=CalendarYear,MONTH(OctSun1+23)=10),OctSun1+23,""),IF(AND(YEAR(OctSun1+30)=CalendarYear,MONTH(OctSun1+30)=10),OctSun1+30,""))</f>
        <v>40841</v>
      </c>
      <c r="D13" s="17">
        <f>IF(DAY(OctSun1)=1,IF(AND(YEAR(OctSun1+24)=CalendarYear,MONTH(OctSun1+24)=10),OctSun1+24,""),IF(AND(YEAR(OctSun1+31)=CalendarYear,MONTH(OctSun1+31)=10),OctSun1+31,""))</f>
        <v>40842</v>
      </c>
      <c r="E13" s="17">
        <f>IF(DAY(OctSun1)=1,IF(AND(YEAR(OctSun1+25)=CalendarYear,MONTH(OctSun1+25)=10),OctSun1+25,""),IF(AND(YEAR(OctSun1+32)=CalendarYear,MONTH(OctSun1+32)=10),OctSun1+32,""))</f>
        <v>40843</v>
      </c>
      <c r="F13" s="17">
        <f>IF(DAY(OctSun1)=1,IF(AND(YEAR(OctSun1+26)=CalendarYear,MONTH(OctSun1+26)=10),OctSun1+26,""),IF(AND(YEAR(OctSun1+33)=CalendarYear,MONTH(OctSun1+33)=10),OctSun1+33,""))</f>
        <v>40844</v>
      </c>
      <c r="G13" s="17">
        <f>IF(DAY(OctSun1)=1,IF(AND(YEAR(OctSun1+27)=CalendarYear,MONTH(OctSun1+27)=10),OctSun1+27,""),IF(AND(YEAR(OctSun1+34)=CalendarYear,MONTH(OctSun1+34)=10),OctSun1+34,""))</f>
        <v>40845</v>
      </c>
      <c r="H13" s="17">
        <f>IF(DAY(OctSun1)=1,IF(AND(YEAR(OctSun1+28)=CalendarYear,MONTH(OctSun1+28)=10),OctSun1+28,""),IF(AND(YEAR(OctSun1+35)=CalendarYear,MONTH(OctSun1+35)=10),OctSun1+35,""))</f>
        <v>40846</v>
      </c>
      <c r="I13" s="10"/>
    </row>
    <row r="14" spans="1:18" ht="55.5" customHeight="1">
      <c r="A14" s="3"/>
      <c r="B14" s="12"/>
      <c r="C14" s="12"/>
      <c r="D14" s="12"/>
      <c r="E14" s="12"/>
      <c r="F14" s="12"/>
      <c r="G14" s="13"/>
      <c r="H14" s="13"/>
      <c r="I14" s="10"/>
    </row>
    <row r="15" spans="1:18" ht="15" customHeight="1">
      <c r="A15" s="3"/>
      <c r="B15" s="18">
        <f>IF(DAY(OctSun1)=1,IF(AND(YEAR(OctSun1+29)=CalendarYear,MONTH(OctSun1+29)=10),OctSun1+29,""),IF(AND(YEAR(OctSun1+36)=CalendarYear,MONTH(OctSun1+36)=10),OctSun1+36,""))</f>
        <v>40847</v>
      </c>
      <c r="C15" s="19" t="str">
        <f>IF(DAY(OctSun1)=1,IF(AND(YEAR(OctSun1+30)=CalendarYear,MONTH(OctSun1+30)=10),OctSun1+30,""),IF(AND(YEAR(OctSun1+37)=CalendarYear,MONTH(OctSun1+37)=10),OctSun1+37,""))</f>
        <v/>
      </c>
      <c r="D15" s="26" t="s">
        <v>8</v>
      </c>
      <c r="E15" s="27"/>
      <c r="F15" s="27"/>
      <c r="G15" s="27"/>
      <c r="H15" s="28"/>
      <c r="I15" s="10"/>
    </row>
    <row r="16" spans="1:18" ht="55.5" customHeight="1">
      <c r="A16" s="3"/>
      <c r="B16" s="15"/>
      <c r="C16" s="15"/>
      <c r="D16" s="23"/>
      <c r="E16" s="24"/>
      <c r="F16" s="24"/>
      <c r="G16" s="24"/>
      <c r="H16" s="25"/>
      <c r="I16" s="10"/>
    </row>
    <row r="17" spans="3:5" ht="17.25" customHeight="1"/>
    <row r="19" spans="3:5" ht="21" customHeight="1">
      <c r="C19" s="20"/>
      <c r="D19" s="21"/>
      <c r="E19" s="22"/>
    </row>
    <row r="20" spans="3:5" ht="19.5" customHeight="1"/>
  </sheetData>
  <mergeCells count="3">
    <mergeCell ref="B3:F3"/>
    <mergeCell ref="D15:H15"/>
    <mergeCell ref="D16:H16"/>
  </mergeCells>
  <phoneticPr fontId="6" type="noConversion"/>
  <printOptions horizontalCentered="1" verticalCentered="1"/>
  <pageMargins left="0.2" right="0.2" top="0.25" bottom="0.25" header="0" footer="0"/>
  <pageSetup scale="68" orientation="landscape" r:id="rId1"/>
  <headerFooter scaleWithDoc="0"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11">
    <pageSetUpPr fitToPage="1"/>
  </sheetPr>
  <dimension ref="A1:R20"/>
  <sheetViews>
    <sheetView showGridLines="0" zoomScale="80" zoomScaleNormal="80" workbookViewId="0"/>
  </sheetViews>
  <sheetFormatPr defaultColWidth="6.6640625" defaultRowHeight="15"/>
  <cols>
    <col min="1" max="1" width="3.109375" style="4" customWidth="1"/>
    <col min="2" max="9" width="13.77734375" style="4" customWidth="1"/>
    <col min="10" max="10" width="12.6640625" style="4" customWidth="1"/>
    <col min="11" max="11" width="2.109375" style="4" customWidth="1"/>
    <col min="12" max="12" width="11.77734375" style="4" customWidth="1"/>
    <col min="13" max="13" width="11.33203125" style="4" customWidth="1"/>
    <col min="14" max="16384" width="6.6640625" style="4"/>
  </cols>
  <sheetData>
    <row r="1" spans="1:18" ht="15.75">
      <c r="A1" s="3"/>
    </row>
    <row r="2" spans="1:18" ht="26.25" customHeight="1">
      <c r="A2" s="3"/>
    </row>
    <row r="3" spans="1:18" ht="57.75" customHeight="1">
      <c r="A3" s="3"/>
      <c r="B3" s="29" t="str">
        <f>UPPER(TEXT(DATE(CalendarYear,11,1),"[$-404]mmmm yyyy"))</f>
        <v>十一月 2011</v>
      </c>
      <c r="C3" s="29"/>
      <c r="D3" s="29"/>
      <c r="E3" s="29"/>
      <c r="F3" s="29"/>
    </row>
    <row r="4" spans="1:18" s="3" customFormat="1" ht="29.25" customHeight="1">
      <c r="B4" s="1" t="s">
        <v>0</v>
      </c>
      <c r="C4" s="6" t="s">
        <v>1</v>
      </c>
      <c r="D4" s="6" t="s">
        <v>2</v>
      </c>
      <c r="E4" s="6" t="s">
        <v>3</v>
      </c>
      <c r="F4" s="6" t="s">
        <v>4</v>
      </c>
      <c r="G4" s="6" t="s">
        <v>5</v>
      </c>
      <c r="H4" s="7" t="s">
        <v>6</v>
      </c>
      <c r="I4" s="4"/>
      <c r="J4" s="4"/>
      <c r="L4" s="4"/>
      <c r="M4" s="8"/>
      <c r="Q4" s="4"/>
      <c r="R4" s="4"/>
    </row>
    <row r="5" spans="1:18" s="3" customFormat="1" ht="15" customHeight="1">
      <c r="B5" s="9" t="str">
        <f>IF(DAY(NovSun1)=1,"",IF(AND(YEAR(NovSun1+1)=CalendarYear,MONTH(NovSun1+1)=11),NovSun1+1,""))</f>
        <v/>
      </c>
      <c r="C5" s="9">
        <f>IF(DAY(NovSun1)=1,"",IF(AND(YEAR(NovSun1+2)=CalendarYear,MONTH(NovSun1+2)=11),NovSun1+2,""))</f>
        <v>40848</v>
      </c>
      <c r="D5" s="9">
        <f>IF(DAY(NovSun1)=1,"",IF(AND(YEAR(NovSun1+3)=CalendarYear,MONTH(NovSun1+3)=11),NovSun1+3,""))</f>
        <v>40849</v>
      </c>
      <c r="E5" s="9">
        <f>IF(DAY(NovSun1)=1,"",IF(AND(YEAR(NovSun1+4)=CalendarYear,MONTH(NovSun1+4)=11),NovSun1+4,""))</f>
        <v>40850</v>
      </c>
      <c r="F5" s="9">
        <f>IF(DAY(NovSun1)=1,"",IF(AND(YEAR(NovSun1+5)=CalendarYear,MONTH(NovSun1+5)=11),NovSun1+5,""))</f>
        <v>40851</v>
      </c>
      <c r="G5" s="9">
        <f>IF(DAY(NovSun1)=1,"",IF(AND(YEAR(NovSun1+6)=CalendarYear,MONTH(NovSun1+6)=11),NovSun1+6,""))</f>
        <v>40852</v>
      </c>
      <c r="H5" s="9">
        <f>IF(DAY(NovSun1)=1,IF(AND(YEAR(NovSun1)=CalendarYear,MONTH(NovSun1)=11),NovSun1,""),IF(AND(YEAR(NovSun1+7)=CalendarYear,MONTH(NovSun1+7)=11),NovSun1+7,""))</f>
        <v>40853</v>
      </c>
      <c r="I5" s="10"/>
      <c r="K5" s="4"/>
      <c r="L5" s="4"/>
      <c r="M5" s="4"/>
      <c r="Q5" s="11"/>
      <c r="R5" s="4"/>
    </row>
    <row r="6" spans="1:18" s="11" customFormat="1" ht="55.5" customHeight="1">
      <c r="A6" s="3"/>
      <c r="B6" s="12"/>
      <c r="C6" s="12"/>
      <c r="D6" s="12"/>
      <c r="E6" s="12"/>
      <c r="F6" s="12"/>
      <c r="G6" s="13"/>
      <c r="H6" s="13"/>
      <c r="I6" s="10"/>
    </row>
    <row r="7" spans="1:18" ht="15" customHeight="1">
      <c r="A7" s="3"/>
      <c r="B7" s="14">
        <f>IF(DAY(NovSun1)=1,IF(AND(YEAR(NovSun1+1)=CalendarYear,MONTH(NovSun1+1)=11),NovSun1+1,""),IF(AND(YEAR(NovSun1+8)=CalendarYear,MONTH(NovSun1+8)=11),NovSun1+8,""))</f>
        <v>40854</v>
      </c>
      <c r="C7" s="14">
        <f>IF(DAY(NovSun1)=1,IF(AND(YEAR(NovSun1+2)=CalendarYear,MONTH(NovSun1+2)=11),NovSun1+2,""),IF(AND(YEAR(NovSun1+9)=CalendarYear,MONTH(NovSun1+9)=11),NovSun1+9,""))</f>
        <v>40855</v>
      </c>
      <c r="D7" s="14">
        <f>IF(DAY(NovSun1)=1,IF(AND(YEAR(NovSun1+3)=CalendarYear,MONTH(NovSun1+3)=11),NovSun1+3,""),IF(AND(YEAR(NovSun1+10)=CalendarYear,MONTH(NovSun1+10)=11),NovSun1+10,""))</f>
        <v>40856</v>
      </c>
      <c r="E7" s="14">
        <f>IF(DAY(NovSun1)=1,IF(AND(YEAR(NovSun1+4)=CalendarYear,MONTH(NovSun1+4)=11),NovSun1+4,""),IF(AND(YEAR(NovSun1+11)=CalendarYear,MONTH(NovSun1+11)=11),NovSun1+11,""))</f>
        <v>40857</v>
      </c>
      <c r="F7" s="14">
        <f>IF(DAY(NovSun1)=1,IF(AND(YEAR(NovSun1+5)=CalendarYear,MONTH(NovSun1+5)=11),NovSun1+5,""),IF(AND(YEAR(NovSun1+12)=CalendarYear,MONTH(NovSun1+12)=11),NovSun1+12,""))</f>
        <v>40858</v>
      </c>
      <c r="G7" s="14">
        <f>IF(DAY(NovSun1)=1,IF(AND(YEAR(NovSun1+6)=CalendarYear,MONTH(NovSun1+6)=11),NovSun1+6,""),IF(AND(YEAR(NovSun1+13)=CalendarYear,MONTH(NovSun1+13)=11),NovSun1+13,""))</f>
        <v>40859</v>
      </c>
      <c r="H7" s="14">
        <f>IF(DAY(NovSun1)=1,IF(AND(YEAR(NovSun1+7)=CalendarYear,MONTH(NovSun1+7)=11),NovSun1+7,""),IF(AND(YEAR(NovSun1+14)=CalendarYear,MONTH(NovSun1+14)=11),NovSun1+14,""))</f>
        <v>40860</v>
      </c>
      <c r="I7" s="10"/>
    </row>
    <row r="8" spans="1:18" ht="55.5" customHeight="1">
      <c r="A8" s="3"/>
      <c r="B8" s="15"/>
      <c r="C8" s="15"/>
      <c r="D8" s="15"/>
      <c r="E8" s="15"/>
      <c r="F8" s="15"/>
      <c r="G8" s="16"/>
      <c r="H8" s="16"/>
      <c r="I8" s="10"/>
    </row>
    <row r="9" spans="1:18" ht="15" customHeight="1">
      <c r="A9" s="3"/>
      <c r="B9" s="17">
        <f>IF(DAY(NovSun1)=1,IF(AND(YEAR(NovSun1+8)=CalendarYear,MONTH(NovSun1+8)=11),NovSun1+8,""),IF(AND(YEAR(NovSun1+15)=CalendarYear,MONTH(NovSun1+15)=11),NovSun1+15,""))</f>
        <v>40861</v>
      </c>
      <c r="C9" s="17">
        <f>IF(DAY(NovSun1)=1,IF(AND(YEAR(NovSun1+9)=CalendarYear,MONTH(NovSun1+9)=11),NovSun1+9,""),IF(AND(YEAR(NovSun1+16)=CalendarYear,MONTH(NovSun1+16)=11),NovSun1+16,""))</f>
        <v>40862</v>
      </c>
      <c r="D9" s="17">
        <f>IF(DAY(NovSun1)=1,IF(AND(YEAR(NovSun1+10)=CalendarYear,MONTH(NovSun1+10)=11),NovSun1+10,""),IF(AND(YEAR(NovSun1+17)=CalendarYear,MONTH(NovSun1+17)=11),NovSun1+17,""))</f>
        <v>40863</v>
      </c>
      <c r="E9" s="17">
        <f>IF(DAY(NovSun1)=1,IF(AND(YEAR(NovSun1+11)=CalendarYear,MONTH(NovSun1+11)=11),NovSun1+11,""),IF(AND(YEAR(NovSun1+18)=CalendarYear,MONTH(NovSun1+18)=11),NovSun1+18,""))</f>
        <v>40864</v>
      </c>
      <c r="F9" s="17">
        <f>IF(DAY(NovSun1)=1,IF(AND(YEAR(NovSun1+12)=CalendarYear,MONTH(NovSun1+12)=11),NovSun1+12,""),IF(AND(YEAR(NovSun1+19)=CalendarYear,MONTH(NovSun1+19)=11),NovSun1+19,""))</f>
        <v>40865</v>
      </c>
      <c r="G9" s="17">
        <f>IF(DAY(NovSun1)=1,IF(AND(YEAR(NovSun1+13)=CalendarYear,MONTH(NovSun1+13)=11),NovSun1+13,""),IF(AND(YEAR(NovSun1+20)=CalendarYear,MONTH(NovSun1+20)=11),NovSun1+20,""))</f>
        <v>40866</v>
      </c>
      <c r="H9" s="17">
        <f>IF(DAY(NovSun1)=1,IF(AND(YEAR(NovSun1+14)=CalendarYear,MONTH(NovSun1+14)=11),NovSun1+14,""),IF(AND(YEAR(NovSun1+21)=CalendarYear,MONTH(NovSun1+21)=11),NovSun1+21,""))</f>
        <v>40867</v>
      </c>
      <c r="I9" s="10"/>
    </row>
    <row r="10" spans="1:18" ht="55.5" customHeight="1">
      <c r="A10" s="3"/>
      <c r="B10" s="12"/>
      <c r="C10" s="12"/>
      <c r="D10" s="12"/>
      <c r="E10" s="12"/>
      <c r="F10" s="12"/>
      <c r="G10" s="13"/>
      <c r="H10" s="13"/>
      <c r="I10" s="10"/>
    </row>
    <row r="11" spans="1:18" ht="15" customHeight="1">
      <c r="A11" s="3"/>
      <c r="B11" s="18">
        <f>IF(DAY(NovSun1)=1,IF(AND(YEAR(NovSun1+15)=CalendarYear,MONTH(NovSun1+15)=11),NovSun1+15,""),IF(AND(YEAR(NovSun1+22)=CalendarYear,MONTH(NovSun1+22)=11),NovSun1+22,""))</f>
        <v>40868</v>
      </c>
      <c r="C11" s="18">
        <f>IF(DAY(NovSun1)=1,IF(AND(YEAR(NovSun1+16)=CalendarYear,MONTH(NovSun1+16)=11),NovSun1+16,""),IF(AND(YEAR(NovSun1+23)=CalendarYear,MONTH(NovSun1+23)=11),NovSun1+23,""))</f>
        <v>40869</v>
      </c>
      <c r="D11" s="18">
        <f>IF(DAY(NovSun1)=1,IF(AND(YEAR(NovSun1+17)=CalendarYear,MONTH(NovSun1+17)=11),NovSun1+17,""),IF(AND(YEAR(NovSun1+24)=CalendarYear,MONTH(NovSun1+24)=11),NovSun1+24,""))</f>
        <v>40870</v>
      </c>
      <c r="E11" s="18">
        <f>IF(DAY(NovSun1)=1,IF(AND(YEAR(NovSun1+18)=CalendarYear,MONTH(NovSun1+18)=11),NovSun1+18,""),IF(AND(YEAR(NovSun1+25)=CalendarYear,MONTH(NovSun1+25)=11),NovSun1+25,""))</f>
        <v>40871</v>
      </c>
      <c r="F11" s="18">
        <f>IF(DAY(NovSun1)=1,IF(AND(YEAR(NovSun1+19)=CalendarYear,MONTH(NovSun1+19)=11),NovSun1+19,""),IF(AND(YEAR(NovSun1+26)=CalendarYear,MONTH(NovSun1+26)=11),NovSun1+26,""))</f>
        <v>40872</v>
      </c>
      <c r="G11" s="18">
        <f>IF(DAY(NovSun1)=1,IF(AND(YEAR(NovSun1+20)=CalendarYear,MONTH(NovSun1+20)=11),NovSun1+20,""),IF(AND(YEAR(NovSun1+27)=CalendarYear,MONTH(NovSun1+27)=11),NovSun1+27,""))</f>
        <v>40873</v>
      </c>
      <c r="H11" s="18">
        <f>IF(DAY(NovSun1)=1,IF(AND(YEAR(NovSun1+21)=CalendarYear,MONTH(NovSun1+21)=11),NovSun1+21,""),IF(AND(YEAR(NovSun1+28)=CalendarYear,MONTH(NovSun1+28)=11),NovSun1+28,""))</f>
        <v>40874</v>
      </c>
      <c r="I11" s="10"/>
    </row>
    <row r="12" spans="1:18" ht="55.5" customHeight="1">
      <c r="A12" s="3"/>
      <c r="B12" s="15"/>
      <c r="C12" s="15"/>
      <c r="D12" s="15"/>
      <c r="E12" s="15"/>
      <c r="F12" s="15"/>
      <c r="G12" s="16"/>
      <c r="H12" s="16"/>
      <c r="I12" s="10"/>
    </row>
    <row r="13" spans="1:18" ht="15" customHeight="1">
      <c r="A13" s="3"/>
      <c r="B13" s="17">
        <f>IF(DAY(NovSun1)=1,IF(AND(YEAR(NovSun1+22)=CalendarYear,MONTH(NovSun1+22)=11),NovSun1+22,""),IF(AND(YEAR(NovSun1+29)=CalendarYear,MONTH(NovSun1+29)=11),NovSun1+29,""))</f>
        <v>40875</v>
      </c>
      <c r="C13" s="17">
        <f>IF(DAY(NovSun1)=1,IF(AND(YEAR(NovSun1+23)=CalendarYear,MONTH(NovSun1+23)=11),NovSun1+23,""),IF(AND(YEAR(NovSun1+30)=CalendarYear,MONTH(NovSun1+30)=11),NovSun1+30,""))</f>
        <v>40876</v>
      </c>
      <c r="D13" s="17">
        <f>IF(DAY(NovSun1)=1,IF(AND(YEAR(NovSun1+24)=CalendarYear,MONTH(NovSun1+24)=11),NovSun1+24,""),IF(AND(YEAR(NovSun1+31)=CalendarYear,MONTH(NovSun1+31)=11),NovSun1+31,""))</f>
        <v>40877</v>
      </c>
      <c r="E13" s="17" t="str">
        <f>IF(DAY(NovSun1)=1,IF(AND(YEAR(NovSun1+25)=CalendarYear,MONTH(NovSun1+25)=11),NovSun1+25,""),IF(AND(YEAR(NovSun1+32)=CalendarYear,MONTH(NovSun1+32)=11),NovSun1+32,""))</f>
        <v/>
      </c>
      <c r="F13" s="17" t="str">
        <f>IF(DAY(NovSun1)=1,IF(AND(YEAR(NovSun1+26)=CalendarYear,MONTH(NovSun1+26)=11),NovSun1+26,""),IF(AND(YEAR(NovSun1+33)=CalendarYear,MONTH(NovSun1+33)=11),NovSun1+33,""))</f>
        <v/>
      </c>
      <c r="G13" s="17" t="str">
        <f>IF(DAY(NovSun1)=1,IF(AND(YEAR(NovSun1+27)=CalendarYear,MONTH(NovSun1+27)=11),NovSun1+27,""),IF(AND(YEAR(NovSun1+34)=CalendarYear,MONTH(NovSun1+34)=11),NovSun1+34,""))</f>
        <v/>
      </c>
      <c r="H13" s="17" t="str">
        <f>IF(DAY(NovSun1)=1,IF(AND(YEAR(NovSun1+28)=CalendarYear,MONTH(NovSun1+28)=11),NovSun1+28,""),IF(AND(YEAR(NovSun1+35)=CalendarYear,MONTH(NovSun1+35)=11),NovSun1+35,""))</f>
        <v/>
      </c>
      <c r="I13" s="10"/>
    </row>
    <row r="14" spans="1:18" ht="55.5" customHeight="1">
      <c r="A14" s="3"/>
      <c r="B14" s="12"/>
      <c r="C14" s="12"/>
      <c r="D14" s="12"/>
      <c r="E14" s="12"/>
      <c r="F14" s="12"/>
      <c r="G14" s="13"/>
      <c r="H14" s="13"/>
      <c r="I14" s="10"/>
    </row>
    <row r="15" spans="1:18" ht="15" customHeight="1">
      <c r="A15" s="3"/>
      <c r="B15" s="18" t="str">
        <f>IF(DAY(NovSun1)=1,IF(AND(YEAR(NovSun1+29)=CalendarYear,MONTH(NovSun1+29)=11),NovSun1+29,""),IF(AND(YEAR(NovSun1+36)=CalendarYear,MONTH(NovSun1+36)=11),NovSun1+36,""))</f>
        <v/>
      </c>
      <c r="C15" s="19" t="str">
        <f>IF(DAY(NovSun1)=1,IF(AND(YEAR(NovSun1+30)=CalendarYear,MONTH(NovSun1+30)=11),NovSun1+30,""),IF(AND(YEAR(NovSun1+37)=CalendarYear,MONTH(NovSun1+37)=11),NovSun1+37,""))</f>
        <v/>
      </c>
      <c r="D15" s="26" t="s">
        <v>8</v>
      </c>
      <c r="E15" s="27"/>
      <c r="F15" s="27"/>
      <c r="G15" s="27"/>
      <c r="H15" s="28"/>
      <c r="I15" s="10"/>
    </row>
    <row r="16" spans="1:18" ht="55.5" customHeight="1">
      <c r="A16" s="3"/>
      <c r="B16" s="15"/>
      <c r="C16" s="15"/>
      <c r="D16" s="23"/>
      <c r="E16" s="24"/>
      <c r="F16" s="24"/>
      <c r="G16" s="24"/>
      <c r="H16" s="25"/>
      <c r="I16" s="10"/>
    </row>
    <row r="17" spans="3:5" ht="17.25" customHeight="1"/>
    <row r="19" spans="3:5" ht="21" customHeight="1">
      <c r="C19" s="20"/>
      <c r="D19" s="21"/>
      <c r="E19" s="22"/>
    </row>
    <row r="20" spans="3:5" ht="19.5" customHeight="1"/>
  </sheetData>
  <mergeCells count="3">
    <mergeCell ref="B3:F3"/>
    <mergeCell ref="D15:H15"/>
    <mergeCell ref="D16:H16"/>
  </mergeCells>
  <phoneticPr fontId="6" type="noConversion"/>
  <printOptions horizontalCentered="1" verticalCentered="1"/>
  <pageMargins left="0.2" right="0.2" top="0.25" bottom="0.25" header="0" footer="0"/>
  <pageSetup scale="68" orientation="landscape" r:id="rId1"/>
  <headerFooter scaleWithDoc="0"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12">
    <pageSetUpPr fitToPage="1"/>
  </sheetPr>
  <dimension ref="A1:R20"/>
  <sheetViews>
    <sheetView showGridLines="0" zoomScale="80" zoomScaleNormal="80" workbookViewId="0"/>
  </sheetViews>
  <sheetFormatPr defaultColWidth="6.6640625" defaultRowHeight="15"/>
  <cols>
    <col min="1" max="1" width="3.109375" style="4" customWidth="1"/>
    <col min="2" max="9" width="13.77734375" style="4" customWidth="1"/>
    <col min="10" max="10" width="12.6640625" style="4" customWidth="1"/>
    <col min="11" max="11" width="2.109375" style="4" customWidth="1"/>
    <col min="12" max="12" width="11.77734375" style="4" customWidth="1"/>
    <col min="13" max="13" width="11.33203125" style="4" customWidth="1"/>
    <col min="14" max="16384" width="6.6640625" style="4"/>
  </cols>
  <sheetData>
    <row r="1" spans="1:18" ht="15.75">
      <c r="A1" s="3"/>
    </row>
    <row r="2" spans="1:18" ht="26.25" customHeight="1">
      <c r="A2" s="3"/>
    </row>
    <row r="3" spans="1:18" ht="57.75" customHeight="1">
      <c r="A3" s="3"/>
      <c r="B3" s="29" t="str">
        <f>UPPER(TEXT(DATE(CalendarYear,12,1),"[$-404]mmmm yyyy"))</f>
        <v>十二月 2011</v>
      </c>
      <c r="C3" s="29"/>
      <c r="D3" s="29"/>
      <c r="E3" s="29"/>
      <c r="F3" s="29"/>
    </row>
    <row r="4" spans="1:18" s="3" customFormat="1" ht="29.25" customHeight="1">
      <c r="B4" s="1" t="s">
        <v>0</v>
      </c>
      <c r="C4" s="6" t="s">
        <v>1</v>
      </c>
      <c r="D4" s="6" t="s">
        <v>2</v>
      </c>
      <c r="E4" s="6" t="s">
        <v>3</v>
      </c>
      <c r="F4" s="6" t="s">
        <v>4</v>
      </c>
      <c r="G4" s="6" t="s">
        <v>5</v>
      </c>
      <c r="H4" s="7" t="s">
        <v>6</v>
      </c>
      <c r="I4" s="4"/>
      <c r="J4" s="4"/>
      <c r="L4" s="4"/>
      <c r="M4" s="8"/>
      <c r="Q4" s="4"/>
      <c r="R4" s="4"/>
    </row>
    <row r="5" spans="1:18" s="3" customFormat="1" ht="15" customHeight="1">
      <c r="B5" s="9" t="str">
        <f>IF(DAY(DecSun1)=1,"",IF(AND(YEAR(DecSun1+1)=CalendarYear,MONTH(DecSun1+1)=12),DecSun1+1,""))</f>
        <v/>
      </c>
      <c r="C5" s="9" t="str">
        <f>IF(DAY(DecSun1)=1,"",IF(AND(YEAR(DecSun1+2)=CalendarYear,MONTH(DecSun1+2)=12),DecSun1+2,""))</f>
        <v/>
      </c>
      <c r="D5" s="9" t="str">
        <f>IF(DAY(DecSun1)=1,"",IF(AND(YEAR(DecSun1+3)=CalendarYear,MONTH(DecSun1+3)=12),DecSun1+3,""))</f>
        <v/>
      </c>
      <c r="E5" s="9">
        <f>IF(DAY(DecSun1)=1,"",IF(AND(YEAR(DecSun1+4)=CalendarYear,MONTH(DecSun1+4)=12),DecSun1+4,""))</f>
        <v>40878</v>
      </c>
      <c r="F5" s="9">
        <f>IF(DAY(DecSun1)=1,"",IF(AND(YEAR(DecSun1+5)=CalendarYear,MONTH(DecSun1+5)=12),DecSun1+5,""))</f>
        <v>40879</v>
      </c>
      <c r="G5" s="9">
        <f>IF(DAY(DecSun1)=1,"",IF(AND(YEAR(DecSun1+6)=CalendarYear,MONTH(DecSun1+6)=12),DecSun1+6,""))</f>
        <v>40880</v>
      </c>
      <c r="H5" s="9">
        <f>IF(DAY(DecSun1)=1,IF(AND(YEAR(DecSun1)=CalendarYear,MONTH(DecSun1)=12),DecSun1,""),IF(AND(YEAR(DecSun1+7)=CalendarYear,MONTH(DecSun1+7)=12),DecSun1+7,""))</f>
        <v>40881</v>
      </c>
      <c r="I5" s="10"/>
      <c r="K5" s="4"/>
      <c r="L5" s="4"/>
      <c r="M5" s="4"/>
      <c r="Q5" s="11"/>
      <c r="R5" s="4"/>
    </row>
    <row r="6" spans="1:18" s="11" customFormat="1" ht="55.5" customHeight="1">
      <c r="A6" s="3"/>
      <c r="B6" s="12"/>
      <c r="C6" s="12"/>
      <c r="D6" s="12"/>
      <c r="E6" s="12"/>
      <c r="F6" s="12"/>
      <c r="G6" s="13"/>
      <c r="H6" s="13"/>
      <c r="I6" s="10"/>
    </row>
    <row r="7" spans="1:18" ht="15" customHeight="1">
      <c r="A7" s="3"/>
      <c r="B7" s="14">
        <f>IF(DAY(DecSun1)=1,IF(AND(YEAR(DecSun1+1)=CalendarYear,MONTH(DecSun1+1)=12),DecSun1+1,""),IF(AND(YEAR(DecSun1+8)=CalendarYear,MONTH(DecSun1+8)=12),DecSun1+8,""))</f>
        <v>40882</v>
      </c>
      <c r="C7" s="14">
        <f>IF(DAY(DecSun1)=1,IF(AND(YEAR(DecSun1+2)=CalendarYear,MONTH(DecSun1+2)=12),DecSun1+2,""),IF(AND(YEAR(DecSun1+9)=CalendarYear,MONTH(DecSun1+9)=12),DecSun1+9,""))</f>
        <v>40883</v>
      </c>
      <c r="D7" s="14">
        <f>IF(DAY(DecSun1)=1,IF(AND(YEAR(DecSun1+3)=CalendarYear,MONTH(DecSun1+3)=12),DecSun1+3,""),IF(AND(YEAR(DecSun1+10)=CalendarYear,MONTH(DecSun1+10)=12),DecSun1+10,""))</f>
        <v>40884</v>
      </c>
      <c r="E7" s="14">
        <f>IF(DAY(DecSun1)=1,IF(AND(YEAR(DecSun1+4)=CalendarYear,MONTH(DecSun1+4)=12),DecSun1+4,""),IF(AND(YEAR(DecSun1+11)=CalendarYear,MONTH(DecSun1+11)=12),DecSun1+11,""))</f>
        <v>40885</v>
      </c>
      <c r="F7" s="14">
        <f>IF(DAY(DecSun1)=1,IF(AND(YEAR(DecSun1+5)=CalendarYear,MONTH(DecSun1+5)=12),DecSun1+5,""),IF(AND(YEAR(DecSun1+12)=CalendarYear,MONTH(DecSun1+12)=12),DecSun1+12,""))</f>
        <v>40886</v>
      </c>
      <c r="G7" s="14">
        <f>IF(DAY(DecSun1)=1,IF(AND(YEAR(DecSun1+6)=CalendarYear,MONTH(DecSun1+6)=12),DecSun1+6,""),IF(AND(YEAR(DecSun1+13)=CalendarYear,MONTH(DecSun1+13)=12),DecSun1+13,""))</f>
        <v>40887</v>
      </c>
      <c r="H7" s="14">
        <f>IF(DAY(DecSun1)=1,IF(AND(YEAR(DecSun1+7)=CalendarYear,MONTH(DecSun1+7)=12),DecSun1+7,""),IF(AND(YEAR(DecSun1+14)=CalendarYear,MONTH(DecSun1+14)=12),DecSun1+14,""))</f>
        <v>40888</v>
      </c>
      <c r="I7" s="10"/>
    </row>
    <row r="8" spans="1:18" ht="55.5" customHeight="1">
      <c r="A8" s="3"/>
      <c r="B8" s="15"/>
      <c r="C8" s="15"/>
      <c r="D8" s="15"/>
      <c r="E8" s="15"/>
      <c r="F8" s="15"/>
      <c r="G8" s="16"/>
      <c r="H8" s="16"/>
      <c r="I8" s="10"/>
    </row>
    <row r="9" spans="1:18" ht="15" customHeight="1">
      <c r="A9" s="3"/>
      <c r="B9" s="17">
        <f>IF(DAY(DecSun1)=1,IF(AND(YEAR(DecSun1+8)=CalendarYear,MONTH(DecSun1+8)=12),DecSun1+8,""),IF(AND(YEAR(DecSun1+15)=CalendarYear,MONTH(DecSun1+15)=12),DecSun1+15,""))</f>
        <v>40889</v>
      </c>
      <c r="C9" s="17">
        <f>IF(DAY(DecSun1)=1,IF(AND(YEAR(DecSun1+9)=CalendarYear,MONTH(DecSun1+9)=12),DecSun1+9,""),IF(AND(YEAR(DecSun1+16)=CalendarYear,MONTH(DecSun1+16)=12),DecSun1+16,""))</f>
        <v>40890</v>
      </c>
      <c r="D9" s="17">
        <f>IF(DAY(DecSun1)=1,IF(AND(YEAR(DecSun1+10)=CalendarYear,MONTH(DecSun1+10)=12),DecSun1+10,""),IF(AND(YEAR(DecSun1+17)=CalendarYear,MONTH(DecSun1+17)=12),DecSun1+17,""))</f>
        <v>40891</v>
      </c>
      <c r="E9" s="17">
        <f>IF(DAY(DecSun1)=1,IF(AND(YEAR(DecSun1+11)=CalendarYear,MONTH(DecSun1+11)=12),DecSun1+11,""),IF(AND(YEAR(DecSun1+18)=CalendarYear,MONTH(DecSun1+18)=12),DecSun1+18,""))</f>
        <v>40892</v>
      </c>
      <c r="F9" s="17">
        <f>IF(DAY(DecSun1)=1,IF(AND(YEAR(DecSun1+12)=CalendarYear,MONTH(DecSun1+12)=12),DecSun1+12,""),IF(AND(YEAR(DecSun1+19)=CalendarYear,MONTH(DecSun1+19)=12),DecSun1+19,""))</f>
        <v>40893</v>
      </c>
      <c r="G9" s="17">
        <f>IF(DAY(DecSun1)=1,IF(AND(YEAR(DecSun1+13)=CalendarYear,MONTH(DecSun1+13)=12),DecSun1+13,""),IF(AND(YEAR(DecSun1+20)=CalendarYear,MONTH(DecSun1+20)=12),DecSun1+20,""))</f>
        <v>40894</v>
      </c>
      <c r="H9" s="17">
        <f>IF(DAY(DecSun1)=1,IF(AND(YEAR(DecSun1+14)=CalendarYear,MONTH(DecSun1+14)=12),DecSun1+14,""),IF(AND(YEAR(DecSun1+21)=CalendarYear,MONTH(DecSun1+21)=12),DecSun1+21,""))</f>
        <v>40895</v>
      </c>
      <c r="I9" s="10"/>
    </row>
    <row r="10" spans="1:18" ht="55.5" customHeight="1">
      <c r="A10" s="3"/>
      <c r="B10" s="12"/>
      <c r="C10" s="12"/>
      <c r="D10" s="12"/>
      <c r="E10" s="12"/>
      <c r="F10" s="12"/>
      <c r="G10" s="13"/>
      <c r="H10" s="13"/>
      <c r="I10" s="10"/>
    </row>
    <row r="11" spans="1:18" ht="15" customHeight="1">
      <c r="A11" s="3"/>
      <c r="B11" s="18">
        <f>IF(DAY(DecSun1)=1,IF(AND(YEAR(DecSun1+15)=CalendarYear,MONTH(DecSun1+15)=12),DecSun1+15,""),IF(AND(YEAR(DecSun1+22)=CalendarYear,MONTH(DecSun1+22)=12),DecSun1+22,""))</f>
        <v>40896</v>
      </c>
      <c r="C11" s="18">
        <f>IF(DAY(DecSun1)=1,IF(AND(YEAR(DecSun1+16)=CalendarYear,MONTH(DecSun1+16)=12),DecSun1+16,""),IF(AND(YEAR(DecSun1+23)=CalendarYear,MONTH(DecSun1+23)=12),DecSun1+23,""))</f>
        <v>40897</v>
      </c>
      <c r="D11" s="18">
        <f>IF(DAY(DecSun1)=1,IF(AND(YEAR(DecSun1+17)=CalendarYear,MONTH(DecSun1+17)=12),DecSun1+17,""),IF(AND(YEAR(DecSun1+24)=CalendarYear,MONTH(DecSun1+24)=12),DecSun1+24,""))</f>
        <v>40898</v>
      </c>
      <c r="E11" s="18">
        <f>IF(DAY(DecSun1)=1,IF(AND(YEAR(DecSun1+18)=CalendarYear,MONTH(DecSun1+18)=12),DecSun1+18,""),IF(AND(YEAR(DecSun1+25)=CalendarYear,MONTH(DecSun1+25)=12),DecSun1+25,""))</f>
        <v>40899</v>
      </c>
      <c r="F11" s="18">
        <f>IF(DAY(DecSun1)=1,IF(AND(YEAR(DecSun1+19)=CalendarYear,MONTH(DecSun1+19)=12),DecSun1+19,""),IF(AND(YEAR(DecSun1+26)=CalendarYear,MONTH(DecSun1+26)=12),DecSun1+26,""))</f>
        <v>40900</v>
      </c>
      <c r="G11" s="18">
        <f>IF(DAY(DecSun1)=1,IF(AND(YEAR(DecSun1+20)=CalendarYear,MONTH(DecSun1+20)=12),DecSun1+20,""),IF(AND(YEAR(DecSun1+27)=CalendarYear,MONTH(DecSun1+27)=12),DecSun1+27,""))</f>
        <v>40901</v>
      </c>
      <c r="H11" s="18">
        <f>IF(DAY(DecSun1)=1,IF(AND(YEAR(DecSun1+21)=CalendarYear,MONTH(DecSun1+21)=12),DecSun1+21,""),IF(AND(YEAR(DecSun1+28)=CalendarYear,MONTH(DecSun1+28)=12),DecSun1+28,""))</f>
        <v>40902</v>
      </c>
      <c r="I11" s="10"/>
    </row>
    <row r="12" spans="1:18" ht="55.5" customHeight="1">
      <c r="A12" s="3"/>
      <c r="B12" s="15"/>
      <c r="C12" s="15"/>
      <c r="D12" s="15"/>
      <c r="E12" s="15"/>
      <c r="F12" s="15"/>
      <c r="G12" s="16"/>
      <c r="H12" s="16"/>
      <c r="I12" s="10"/>
    </row>
    <row r="13" spans="1:18" ht="15" customHeight="1">
      <c r="A13" s="3"/>
      <c r="B13" s="17">
        <f>IF(DAY(DecSun1)=1,IF(AND(YEAR(DecSun1+22)=CalendarYear,MONTH(DecSun1+22)=12),DecSun1+22,""),IF(AND(YEAR(DecSun1+29)=CalendarYear,MONTH(DecSun1+29)=12),DecSun1+29,""))</f>
        <v>40903</v>
      </c>
      <c r="C13" s="17">
        <f>IF(DAY(DecSun1)=1,IF(AND(YEAR(DecSun1+23)=CalendarYear,MONTH(DecSun1+23)=12),DecSun1+23,""),IF(AND(YEAR(DecSun1+30)=CalendarYear,MONTH(DecSun1+30)=12),DecSun1+30,""))</f>
        <v>40904</v>
      </c>
      <c r="D13" s="17">
        <f>IF(DAY(DecSun1)=1,IF(AND(YEAR(DecSun1+24)=CalendarYear,MONTH(DecSun1+24)=12),DecSun1+24,""),IF(AND(YEAR(DecSun1+31)=CalendarYear,MONTH(DecSun1+31)=12),DecSun1+31,""))</f>
        <v>40905</v>
      </c>
      <c r="E13" s="17">
        <f>IF(DAY(DecSun1)=1,IF(AND(YEAR(DecSun1+25)=CalendarYear,MONTH(DecSun1+25)=12),DecSun1+25,""),IF(AND(YEAR(DecSun1+32)=CalendarYear,MONTH(DecSun1+32)=12),DecSun1+32,""))</f>
        <v>40906</v>
      </c>
      <c r="F13" s="17">
        <f>IF(DAY(DecSun1)=1,IF(AND(YEAR(DecSun1+26)=CalendarYear,MONTH(DecSun1+26)=12),DecSun1+26,""),IF(AND(YEAR(DecSun1+33)=CalendarYear,MONTH(DecSun1+33)=12),DecSun1+33,""))</f>
        <v>40907</v>
      </c>
      <c r="G13" s="17">
        <f>IF(DAY(DecSun1)=1,IF(AND(YEAR(DecSun1+27)=CalendarYear,MONTH(DecSun1+27)=12),DecSun1+27,""),IF(AND(YEAR(DecSun1+34)=CalendarYear,MONTH(DecSun1+34)=12),DecSun1+34,""))</f>
        <v>40908</v>
      </c>
      <c r="H13" s="17" t="str">
        <f>IF(DAY(DecSun1)=1,IF(AND(YEAR(DecSun1+28)=CalendarYear,MONTH(DecSun1+28)=12),DecSun1+28,""),IF(AND(YEAR(DecSun1+35)=CalendarYear,MONTH(DecSun1+35)=12),DecSun1+35,""))</f>
        <v/>
      </c>
      <c r="I13" s="10"/>
    </row>
    <row r="14" spans="1:18" ht="55.5" customHeight="1">
      <c r="A14" s="3"/>
      <c r="B14" s="12"/>
      <c r="C14" s="12"/>
      <c r="D14" s="12"/>
      <c r="E14" s="12"/>
      <c r="F14" s="12"/>
      <c r="G14" s="13"/>
      <c r="H14" s="13"/>
      <c r="I14" s="10"/>
    </row>
    <row r="15" spans="1:18" ht="15" customHeight="1">
      <c r="A15" s="3"/>
      <c r="B15" s="18" t="str">
        <f>IF(DAY(DecSun1)=1,IF(AND(YEAR(DecSun1+29)=CalendarYear,MONTH(DecSun1+29)=12),DecSun1+29,""),IF(AND(YEAR(DecSun1+36)=CalendarYear,MONTH(DecSun1+36)=12),DecSun1+36,""))</f>
        <v/>
      </c>
      <c r="C15" s="19" t="str">
        <f>IF(DAY(DecSun1)=1,IF(AND(YEAR(DecSun1+30)=CalendarYear,MONTH(DecSun1+30)=12),DecSun1+30,""),IF(AND(YEAR(DecSun1+37)=CalendarYear,MONTH(DecSun1+37)=12),DecSun1+37,""))</f>
        <v/>
      </c>
      <c r="D15" s="26" t="s">
        <v>8</v>
      </c>
      <c r="E15" s="27"/>
      <c r="F15" s="27"/>
      <c r="G15" s="27"/>
      <c r="H15" s="28"/>
      <c r="I15" s="10"/>
    </row>
    <row r="16" spans="1:18" ht="55.5" customHeight="1">
      <c r="A16" s="3"/>
      <c r="B16" s="15"/>
      <c r="C16" s="15"/>
      <c r="D16" s="23"/>
      <c r="E16" s="24"/>
      <c r="F16" s="24"/>
      <c r="G16" s="24"/>
      <c r="H16" s="25"/>
      <c r="I16" s="10"/>
    </row>
    <row r="17" spans="3:5" ht="22.5" customHeight="1"/>
    <row r="19" spans="3:5" ht="21" customHeight="1">
      <c r="C19" s="20"/>
      <c r="D19" s="21"/>
      <c r="E19" s="22"/>
    </row>
    <row r="20" spans="3:5" ht="19.5" customHeight="1"/>
  </sheetData>
  <mergeCells count="3">
    <mergeCell ref="B3:F3"/>
    <mergeCell ref="D15:H15"/>
    <mergeCell ref="D16:H16"/>
  </mergeCells>
  <phoneticPr fontId="6" type="noConversion"/>
  <printOptions horizontalCentered="1" verticalCentered="1"/>
  <pageMargins left="0.2" right="0.2" top="0.25" bottom="0.25" header="0" footer="0"/>
  <pageSetup scale="68" orientation="landscape" r:id="rId1"/>
  <headerFooter scaleWithDoc="0"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2">
    <pageSetUpPr fitToPage="1"/>
  </sheetPr>
  <dimension ref="A1:R20"/>
  <sheetViews>
    <sheetView showGridLines="0" zoomScale="80" zoomScaleNormal="80" workbookViewId="0"/>
  </sheetViews>
  <sheetFormatPr defaultColWidth="6.6640625" defaultRowHeight="15"/>
  <cols>
    <col min="1" max="1" width="3.109375" style="4" customWidth="1"/>
    <col min="2" max="9" width="13.77734375" style="4" customWidth="1"/>
    <col min="10" max="10" width="12.6640625" style="4" customWidth="1"/>
    <col min="11" max="11" width="2.109375" style="4" customWidth="1"/>
    <col min="12" max="12" width="11.77734375" style="4" customWidth="1"/>
    <col min="13" max="13" width="11.33203125" style="4" customWidth="1"/>
    <col min="14" max="16384" width="6.6640625" style="4"/>
  </cols>
  <sheetData>
    <row r="1" spans="1:18" ht="15.75">
      <c r="A1" s="3"/>
    </row>
    <row r="2" spans="1:18" ht="26.25" customHeight="1">
      <c r="A2" s="3"/>
    </row>
    <row r="3" spans="1:18" ht="57.75" customHeight="1">
      <c r="A3" s="3"/>
      <c r="B3" s="29" t="str">
        <f>UPPER(TEXT(DATE(CalendarYear,2,1),"[$-404]mmmm yyyy"))</f>
        <v>二月 2011</v>
      </c>
      <c r="C3" s="29"/>
      <c r="D3" s="29"/>
      <c r="E3" s="29"/>
      <c r="F3" s="29"/>
    </row>
    <row r="4" spans="1:18" s="3" customFormat="1" ht="29.25" customHeight="1">
      <c r="B4" s="1" t="s">
        <v>0</v>
      </c>
      <c r="C4" s="6" t="s">
        <v>1</v>
      </c>
      <c r="D4" s="6" t="s">
        <v>2</v>
      </c>
      <c r="E4" s="6" t="s">
        <v>3</v>
      </c>
      <c r="F4" s="6" t="s">
        <v>4</v>
      </c>
      <c r="G4" s="6" t="s">
        <v>5</v>
      </c>
      <c r="H4" s="7" t="s">
        <v>6</v>
      </c>
      <c r="I4" s="4"/>
      <c r="J4" s="4"/>
      <c r="L4" s="4"/>
      <c r="M4" s="8"/>
      <c r="Q4" s="4"/>
      <c r="R4" s="4"/>
    </row>
    <row r="5" spans="1:18" s="3" customFormat="1" ht="15" customHeight="1">
      <c r="B5" s="9" t="str">
        <f>IF(DAY(FebSun1)=1,"",IF(AND(YEAR(FebSun1+1)=CalendarYear,MONTH(FebSun1+1)=2),FebSun1+1,""))</f>
        <v/>
      </c>
      <c r="C5" s="9">
        <f>IF(DAY(FebSun1)=1,"",IF(AND(YEAR(FebSun1+2)=CalendarYear,MONTH(FebSun1+2)=2),FebSun1+2,""))</f>
        <v>40575</v>
      </c>
      <c r="D5" s="9">
        <f>IF(DAY(FebSun1)=1,"",IF(AND(YEAR(FebSun1+3)=CalendarYear,MONTH(FebSun1+3)=2),FebSun1+3,""))</f>
        <v>40576</v>
      </c>
      <c r="E5" s="9">
        <f>IF(DAY(FebSun1)=1,"",IF(AND(YEAR(FebSun1+4)=CalendarYear,MONTH(FebSun1+4)=2),FebSun1+4,""))</f>
        <v>40577</v>
      </c>
      <c r="F5" s="9">
        <f>IF(DAY(FebSun1)=1,"",IF(AND(YEAR(FebSun1+5)=CalendarYear,MONTH(FebSun1+5)=2),FebSun1+5,""))</f>
        <v>40578</v>
      </c>
      <c r="G5" s="9">
        <f>IF(DAY(FebSun1)=1,"",IF(AND(YEAR(FebSun1+6)=CalendarYear,MONTH(FebSun1+6)=2),FebSun1+6,""))</f>
        <v>40579</v>
      </c>
      <c r="H5" s="9">
        <f>IF(DAY(FebSun1)=1,IF(AND(YEAR(FebSun1)=CalendarYear,MONTH(FebSun1)=2),FebSun1,""),IF(AND(YEAR(FebSun1+7)=CalendarYear,MONTH(FebSun1+7)=2),FebSun1+7,""))</f>
        <v>40580</v>
      </c>
      <c r="I5" s="10"/>
      <c r="K5" s="4"/>
      <c r="L5" s="4"/>
      <c r="M5" s="4"/>
      <c r="Q5" s="11"/>
      <c r="R5" s="4"/>
    </row>
    <row r="6" spans="1:18" s="11" customFormat="1" ht="55.5" customHeight="1">
      <c r="A6" s="3"/>
      <c r="B6" s="12"/>
      <c r="C6" s="12"/>
      <c r="D6" s="12"/>
      <c r="E6" s="12"/>
      <c r="F6" s="12"/>
      <c r="G6" s="13"/>
      <c r="H6" s="13"/>
      <c r="I6" s="10"/>
    </row>
    <row r="7" spans="1:18" ht="15" customHeight="1">
      <c r="A7" s="3"/>
      <c r="B7" s="14">
        <f>IF(DAY(FebSun1)=1,IF(AND(YEAR(FebSun1+1)=CalendarYear,MONTH(FebSun1+1)=2),FebSun1+1,""),IF(AND(YEAR(FebSun1+8)=CalendarYear,MONTH(FebSun1+8)=2),FebSun1+8,""))</f>
        <v>40581</v>
      </c>
      <c r="C7" s="14">
        <f>IF(DAY(FebSun1)=1,IF(AND(YEAR(FebSun1+2)=CalendarYear,MONTH(FebSun1+2)=2),FebSun1+2,""),IF(AND(YEAR(FebSun1+9)=CalendarYear,MONTH(FebSun1+9)=2),FebSun1+9,""))</f>
        <v>40582</v>
      </c>
      <c r="D7" s="14">
        <f>IF(DAY(FebSun1)=1,IF(AND(YEAR(FebSun1+3)=CalendarYear,MONTH(FebSun1+3)=2),FebSun1+3,""),IF(AND(YEAR(FebSun1+10)=CalendarYear,MONTH(FebSun1+10)=2),FebSun1+10,""))</f>
        <v>40583</v>
      </c>
      <c r="E7" s="14">
        <f>IF(DAY(FebSun1)=1,IF(AND(YEAR(FebSun1+4)=CalendarYear,MONTH(FebSun1+4)=2),FebSun1+4,""),IF(AND(YEAR(FebSun1+11)=CalendarYear,MONTH(FebSun1+11)=2),FebSun1+11,""))</f>
        <v>40584</v>
      </c>
      <c r="F7" s="14">
        <f>IF(DAY(FebSun1)=1,IF(AND(YEAR(FebSun1+5)=CalendarYear,MONTH(FebSun1+5)=2),FebSun1+5,""),IF(AND(YEAR(FebSun1+12)=CalendarYear,MONTH(FebSun1+12)=2),FebSun1+12,""))</f>
        <v>40585</v>
      </c>
      <c r="G7" s="14">
        <f>IF(DAY(FebSun1)=1,IF(AND(YEAR(FebSun1+6)=CalendarYear,MONTH(FebSun1+6)=2),FebSun1+6,""),IF(AND(YEAR(FebSun1+13)=CalendarYear,MONTH(FebSun1+13)=2),FebSun1+13,""))</f>
        <v>40586</v>
      </c>
      <c r="H7" s="14">
        <f>IF(DAY(FebSun1)=1,IF(AND(YEAR(FebSun1+7)=CalendarYear,MONTH(FebSun1+7)=2),FebSun1+7,""),IF(AND(YEAR(FebSun1+14)=CalendarYear,MONTH(FebSun1+14)=2),FebSun1+14,""))</f>
        <v>40587</v>
      </c>
      <c r="I7" s="10"/>
    </row>
    <row r="8" spans="1:18" ht="55.5" customHeight="1">
      <c r="A8" s="3"/>
      <c r="B8" s="15"/>
      <c r="C8" s="15"/>
      <c r="D8" s="15"/>
      <c r="E8" s="15"/>
      <c r="F8" s="15"/>
      <c r="G8" s="16"/>
      <c r="H8" s="16"/>
      <c r="I8" s="10"/>
    </row>
    <row r="9" spans="1:18" ht="15" customHeight="1">
      <c r="A9" s="3"/>
      <c r="B9" s="17">
        <f>IF(DAY(FebSun1)=1,IF(AND(YEAR(FebSun1+8)=CalendarYear,MONTH(FebSun1+8)=2),FebSun1+8,""),IF(AND(YEAR(FebSun1+15)=CalendarYear,MONTH(FebSun1+15)=2),FebSun1+15,""))</f>
        <v>40588</v>
      </c>
      <c r="C9" s="17">
        <f>IF(DAY(FebSun1)=1,IF(AND(YEAR(FebSun1+9)=CalendarYear,MONTH(FebSun1+9)=2),FebSun1+9,""),IF(AND(YEAR(FebSun1+16)=CalendarYear,MONTH(FebSun1+16)=2),FebSun1+16,""))</f>
        <v>40589</v>
      </c>
      <c r="D9" s="17">
        <f>IF(DAY(FebSun1)=1,IF(AND(YEAR(FebSun1+10)=CalendarYear,MONTH(FebSun1+10)=2),FebSun1+10,""),IF(AND(YEAR(FebSun1+17)=CalendarYear,MONTH(FebSun1+17)=2),FebSun1+17,""))</f>
        <v>40590</v>
      </c>
      <c r="E9" s="17">
        <f>IF(DAY(FebSun1)=1,IF(AND(YEAR(FebSun1+11)=CalendarYear,MONTH(FebSun1+11)=2),FebSun1+11,""),IF(AND(YEAR(FebSun1+18)=CalendarYear,MONTH(FebSun1+18)=2),FebSun1+18,""))</f>
        <v>40591</v>
      </c>
      <c r="F9" s="17">
        <f>IF(DAY(FebSun1)=1,IF(AND(YEAR(FebSun1+12)=CalendarYear,MONTH(FebSun1+12)=2),FebSun1+12,""),IF(AND(YEAR(FebSun1+19)=CalendarYear,MONTH(FebSun1+19)=2),FebSun1+19,""))</f>
        <v>40592</v>
      </c>
      <c r="G9" s="17">
        <f>IF(DAY(FebSun1)=1,IF(AND(YEAR(FebSun1+13)=CalendarYear,MONTH(FebSun1+13)=2),FebSun1+13,""),IF(AND(YEAR(FebSun1+20)=CalendarYear,MONTH(FebSun1+20)=2),FebSun1+20,""))</f>
        <v>40593</v>
      </c>
      <c r="H9" s="17">
        <f>IF(DAY(FebSun1)=1,IF(AND(YEAR(FebSun1+14)=CalendarYear,MONTH(FebSun1+14)=2),FebSun1+14,""),IF(AND(YEAR(FebSun1+21)=CalendarYear,MONTH(FebSun1+21)=2),FebSun1+21,""))</f>
        <v>40594</v>
      </c>
      <c r="I9" s="10"/>
    </row>
    <row r="10" spans="1:18" ht="55.5" customHeight="1">
      <c r="A10" s="3"/>
      <c r="B10" s="12"/>
      <c r="C10" s="12"/>
      <c r="D10" s="12"/>
      <c r="E10" s="12"/>
      <c r="F10" s="12"/>
      <c r="G10" s="13"/>
      <c r="H10" s="13"/>
      <c r="I10" s="10"/>
    </row>
    <row r="11" spans="1:18" ht="15" customHeight="1">
      <c r="A11" s="3"/>
      <c r="B11" s="18">
        <f>IF(DAY(FebSun1)=1,IF(AND(YEAR(FebSun1+15)=CalendarYear,MONTH(FebSun1+15)=2),FebSun1+15,""),IF(AND(YEAR(FebSun1+22)=CalendarYear,MONTH(FebSun1+22)=2),FebSun1+22,""))</f>
        <v>40595</v>
      </c>
      <c r="C11" s="18">
        <f>IF(DAY(FebSun1)=1,IF(AND(YEAR(FebSun1+16)=CalendarYear,MONTH(FebSun1+16)=2),FebSun1+16,""),IF(AND(YEAR(FebSun1+23)=CalendarYear,MONTH(FebSun1+23)=2),FebSun1+23,""))</f>
        <v>40596</v>
      </c>
      <c r="D11" s="18">
        <f>IF(DAY(FebSun1)=1,IF(AND(YEAR(FebSun1+17)=CalendarYear,MONTH(FebSun1+17)=2),FebSun1+17,""),IF(AND(YEAR(FebSun1+24)=CalendarYear,MONTH(FebSun1+24)=2),FebSun1+24,""))</f>
        <v>40597</v>
      </c>
      <c r="E11" s="18">
        <f>IF(DAY(FebSun1)=1,IF(AND(YEAR(FebSun1+18)=CalendarYear,MONTH(FebSun1+18)=2),FebSun1+18,""),IF(AND(YEAR(FebSun1+25)=CalendarYear,MONTH(FebSun1+25)=2),FebSun1+25,""))</f>
        <v>40598</v>
      </c>
      <c r="F11" s="18">
        <f>IF(DAY(FebSun1)=1,IF(AND(YEAR(FebSun1+19)=CalendarYear,MONTH(FebSun1+19)=2),FebSun1+19,""),IF(AND(YEAR(FebSun1+26)=CalendarYear,MONTH(FebSun1+26)=2),FebSun1+26,""))</f>
        <v>40599</v>
      </c>
      <c r="G11" s="18">
        <f>IF(DAY(FebSun1)=1,IF(AND(YEAR(FebSun1+20)=CalendarYear,MONTH(FebSun1+20)=2),FebSun1+20,""),IF(AND(YEAR(FebSun1+27)=CalendarYear,MONTH(FebSun1+27)=2),FebSun1+27,""))</f>
        <v>40600</v>
      </c>
      <c r="H11" s="18">
        <f>IF(DAY(FebSun1)=1,IF(AND(YEAR(FebSun1+21)=CalendarYear,MONTH(FebSun1+21)=2),FebSun1+21,""),IF(AND(YEAR(FebSun1+28)=CalendarYear,MONTH(FebSun1+28)=2),FebSun1+28,""))</f>
        <v>40601</v>
      </c>
      <c r="I11" s="10"/>
    </row>
    <row r="12" spans="1:18" ht="55.5" customHeight="1">
      <c r="A12" s="3"/>
      <c r="B12" s="15"/>
      <c r="C12" s="15"/>
      <c r="D12" s="15"/>
      <c r="E12" s="15"/>
      <c r="F12" s="15"/>
      <c r="G12" s="16"/>
      <c r="H12" s="16"/>
      <c r="I12" s="10"/>
    </row>
    <row r="13" spans="1:18" ht="15" customHeight="1">
      <c r="A13" s="3"/>
      <c r="B13" s="17">
        <f>IF(DAY(FebSun1)=1,IF(AND(YEAR(FebSun1+22)=CalendarYear,MONTH(FebSun1+22)=2),FebSun1+22,""),IF(AND(YEAR(FebSun1+29)=CalendarYear,MONTH(FebSun1+29)=2),FebSun1+29,""))</f>
        <v>40602</v>
      </c>
      <c r="C13" s="17" t="str">
        <f>IF(DAY(FebSun1)=1,IF(AND(YEAR(FebSun1+23)=CalendarYear,MONTH(FebSun1+23)=2),FebSun1+23,""),IF(AND(YEAR(FebSun1+30)=CalendarYear,MONTH(FebSun1+30)=2),FebSun1+30,""))</f>
        <v/>
      </c>
      <c r="D13" s="17" t="str">
        <f>IF(DAY(FebSun1)=1,IF(AND(YEAR(FebSun1+24)=CalendarYear,MONTH(FebSun1+24)=2),FebSun1+24,""),IF(AND(YEAR(FebSun1+31)=CalendarYear,MONTH(FebSun1+31)=2),FebSun1+31,""))</f>
        <v/>
      </c>
      <c r="E13" s="17" t="str">
        <f>IF(DAY(FebSun1)=1,IF(AND(YEAR(FebSun1+25)=CalendarYear,MONTH(FebSun1+25)=2),FebSun1+25,""),IF(AND(YEAR(FebSun1+32)=CalendarYear,MONTH(FebSun1+32)=2),FebSun1+32,""))</f>
        <v/>
      </c>
      <c r="F13" s="17" t="str">
        <f>IF(DAY(FebSun1)=1,IF(AND(YEAR(FebSun1+26)=CalendarYear,MONTH(FebSun1+26)=2),FebSun1+26,""),IF(AND(YEAR(FebSun1+33)=CalendarYear,MONTH(FebSun1+33)=2),FebSun1+33,""))</f>
        <v/>
      </c>
      <c r="G13" s="17" t="str">
        <f>IF(DAY(FebSun1)=1,IF(AND(YEAR(FebSun1+27)=CalendarYear,MONTH(FebSun1+27)=2),FebSun1+27,""),IF(AND(YEAR(FebSun1+34)=CalendarYear,MONTH(FebSun1+34)=2),FebSun1+34,""))</f>
        <v/>
      </c>
      <c r="H13" s="17" t="str">
        <f>IF(DAY(FebSun1)=1,IF(AND(YEAR(FebSun1+28)=CalendarYear,MONTH(FebSun1+28)=2),FebSun1+28,""),IF(AND(YEAR(FebSun1+35)=CalendarYear,MONTH(FebSun1+35)=2),FebSun1+35,""))</f>
        <v/>
      </c>
      <c r="I13" s="10"/>
    </row>
    <row r="14" spans="1:18" ht="55.5" customHeight="1">
      <c r="A14" s="3"/>
      <c r="B14" s="12"/>
      <c r="C14" s="12"/>
      <c r="D14" s="12"/>
      <c r="E14" s="12"/>
      <c r="F14" s="12"/>
      <c r="G14" s="13"/>
      <c r="H14" s="13"/>
      <c r="I14" s="10"/>
    </row>
    <row r="15" spans="1:18" ht="15" customHeight="1">
      <c r="A15" s="3"/>
      <c r="B15" s="18" t="str">
        <f>IF(DAY(FebSun1)=1,IF(AND(YEAR(FebSun1+29)=CalendarYear,MONTH(FebSun1+29)=2),FebSun1+29,""),IF(AND(YEAR(FebSun1+36)=CalendarYear,MONTH(FebSun1+36)=2),FebSun1+36,""))</f>
        <v/>
      </c>
      <c r="C15" s="19" t="str">
        <f>IF(DAY(FebSun1)=1,IF(AND(YEAR(FebSun1+30)=CalendarYear,MONTH(FebSun1+30)=2),FebSun1+30,""),IF(AND(YEAR(FebSun1+37)=CalendarYear,MONTH(FebSun1+37)=2),FebSun1+37,""))</f>
        <v/>
      </c>
      <c r="D15" s="26" t="s">
        <v>9</v>
      </c>
      <c r="E15" s="27"/>
      <c r="F15" s="27"/>
      <c r="G15" s="27"/>
      <c r="H15" s="28"/>
      <c r="I15" s="10"/>
    </row>
    <row r="16" spans="1:18" ht="55.5" customHeight="1">
      <c r="A16" s="3"/>
      <c r="B16" s="15"/>
      <c r="C16" s="15"/>
      <c r="D16" s="23"/>
      <c r="E16" s="24"/>
      <c r="F16" s="24"/>
      <c r="G16" s="24"/>
      <c r="H16" s="25"/>
      <c r="I16" s="10"/>
    </row>
    <row r="17" spans="3:5" ht="17.25" customHeight="1"/>
    <row r="19" spans="3:5" ht="21" customHeight="1">
      <c r="C19" s="20"/>
      <c r="D19" s="21"/>
      <c r="E19" s="22"/>
    </row>
    <row r="20" spans="3:5" ht="19.5" customHeight="1"/>
  </sheetData>
  <mergeCells count="3">
    <mergeCell ref="B3:F3"/>
    <mergeCell ref="D15:H15"/>
    <mergeCell ref="D16:H16"/>
  </mergeCells>
  <phoneticPr fontId="6" type="noConversion"/>
  <printOptions horizontalCentered="1" verticalCentered="1"/>
  <pageMargins left="0.2" right="0.2" top="0.25" bottom="0.25" header="0" footer="0"/>
  <pageSetup scale="68" orientation="landscape" r:id="rId1"/>
  <headerFooter scaleWithDoc="0"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3">
    <pageSetUpPr fitToPage="1"/>
  </sheetPr>
  <dimension ref="A1:R20"/>
  <sheetViews>
    <sheetView showGridLines="0" zoomScale="80" zoomScaleNormal="80" workbookViewId="0"/>
  </sheetViews>
  <sheetFormatPr defaultColWidth="6.6640625" defaultRowHeight="15"/>
  <cols>
    <col min="1" max="1" width="3.109375" style="4" customWidth="1"/>
    <col min="2" max="9" width="13.77734375" style="4" customWidth="1"/>
    <col min="10" max="10" width="12.6640625" style="4" customWidth="1"/>
    <col min="11" max="11" width="2.109375" style="4" customWidth="1"/>
    <col min="12" max="12" width="11.77734375" style="4" customWidth="1"/>
    <col min="13" max="13" width="11.33203125" style="4" customWidth="1"/>
    <col min="14" max="16384" width="6.6640625" style="4"/>
  </cols>
  <sheetData>
    <row r="1" spans="1:18" ht="15.75">
      <c r="A1" s="3"/>
    </row>
    <row r="2" spans="1:18" ht="26.25" customHeight="1">
      <c r="A2" s="3"/>
    </row>
    <row r="3" spans="1:18" ht="57.75" customHeight="1">
      <c r="A3" s="3"/>
      <c r="B3" s="29" t="str">
        <f>UPPER(TEXT(DATE(CalendarYear,3,1),"[$-404]mmmm yyyy"))</f>
        <v>三月 2011</v>
      </c>
      <c r="C3" s="29"/>
      <c r="D3" s="29"/>
      <c r="E3" s="29"/>
      <c r="F3" s="29"/>
    </row>
    <row r="4" spans="1:18" s="3" customFormat="1" ht="29.25" customHeight="1">
      <c r="B4" s="1" t="s">
        <v>0</v>
      </c>
      <c r="C4" s="6" t="s">
        <v>1</v>
      </c>
      <c r="D4" s="6" t="s">
        <v>2</v>
      </c>
      <c r="E4" s="6" t="s">
        <v>3</v>
      </c>
      <c r="F4" s="6" t="s">
        <v>4</v>
      </c>
      <c r="G4" s="6" t="s">
        <v>5</v>
      </c>
      <c r="H4" s="7" t="s">
        <v>6</v>
      </c>
      <c r="I4" s="4"/>
      <c r="J4" s="4"/>
      <c r="L4" s="4"/>
      <c r="M4" s="8"/>
      <c r="Q4" s="4"/>
      <c r="R4" s="4"/>
    </row>
    <row r="5" spans="1:18" s="3" customFormat="1" ht="15" customHeight="1">
      <c r="B5" s="9" t="str">
        <f>IF(DAY(MarSun1)=1,"",IF(AND(YEAR(MarSun1+1)=CalendarYear,MONTH(MarSun1+1)=3),MarSun1+1,""))</f>
        <v/>
      </c>
      <c r="C5" s="9">
        <f>IF(DAY(MarSun1)=1,"",IF(AND(YEAR(MarSun1+2)=CalendarYear,MONTH(MarSun1+2)=3),MarSun1+2,""))</f>
        <v>40603</v>
      </c>
      <c r="D5" s="9">
        <f>IF(DAY(MarSun1)=1,"",IF(AND(YEAR(MarSun1+3)=CalendarYear,MONTH(MarSun1+3)=3),MarSun1+3,""))</f>
        <v>40604</v>
      </c>
      <c r="E5" s="9">
        <f>IF(DAY(MarSun1)=1,"",IF(AND(YEAR(MarSun1+4)=CalendarYear,MONTH(MarSun1+4)=3),MarSun1+4,""))</f>
        <v>40605</v>
      </c>
      <c r="F5" s="9">
        <f>IF(DAY(MarSun1)=1,"",IF(AND(YEAR(MarSun1+5)=CalendarYear,MONTH(MarSun1+5)=3),MarSun1+5,""))</f>
        <v>40606</v>
      </c>
      <c r="G5" s="9">
        <f>IF(DAY(MarSun1)=1,"",IF(AND(YEAR(MarSun1+6)=CalendarYear,MONTH(MarSun1+6)=3),MarSun1+6,""))</f>
        <v>40607</v>
      </c>
      <c r="H5" s="9">
        <f>IF(DAY(MarSun1)=1,IF(AND(YEAR(MarSun1)=CalendarYear,MONTH(MarSun1)=3),MarSun1,""),IF(AND(YEAR(MarSun1+7)=CalendarYear,MONTH(MarSun1+7)=3),MarSun1+7,""))</f>
        <v>40608</v>
      </c>
      <c r="I5" s="10"/>
      <c r="K5" s="4"/>
      <c r="L5" s="4"/>
      <c r="M5" s="4"/>
      <c r="Q5" s="11"/>
      <c r="R5" s="4"/>
    </row>
    <row r="6" spans="1:18" s="11" customFormat="1" ht="55.5" customHeight="1">
      <c r="A6" s="3"/>
      <c r="B6" s="12"/>
      <c r="C6" s="12"/>
      <c r="D6" s="12"/>
      <c r="E6" s="12"/>
      <c r="F6" s="12"/>
      <c r="G6" s="13"/>
      <c r="H6" s="13"/>
      <c r="I6" s="10"/>
    </row>
    <row r="7" spans="1:18" ht="15" customHeight="1">
      <c r="A7" s="3"/>
      <c r="B7" s="14">
        <f>IF(DAY(MarSun1)=1,IF(AND(YEAR(MarSun1+1)=CalendarYear,MONTH(MarSun1+1)=3),MarSun1+1,""),IF(AND(YEAR(MarSun1+8)=CalendarYear,MONTH(MarSun1+8)=3),MarSun1+8,""))</f>
        <v>40609</v>
      </c>
      <c r="C7" s="14">
        <f>IF(DAY(MarSun1)=1,IF(AND(YEAR(MarSun1+2)=CalendarYear,MONTH(MarSun1+2)=3),MarSun1+2,""),IF(AND(YEAR(MarSun1+9)=CalendarYear,MONTH(MarSun1+9)=3),MarSun1+9,""))</f>
        <v>40610</v>
      </c>
      <c r="D7" s="14">
        <f>IF(DAY(MarSun1)=1,IF(AND(YEAR(MarSun1+3)=CalendarYear,MONTH(MarSun1+3)=3),MarSun1+3,""),IF(AND(YEAR(MarSun1+10)=CalendarYear,MONTH(MarSun1+10)=3),MarSun1+10,""))</f>
        <v>40611</v>
      </c>
      <c r="E7" s="14">
        <f>IF(DAY(MarSun1)=1,IF(AND(YEAR(MarSun1+4)=CalendarYear,MONTH(MarSun1+4)=3),MarSun1+4,""),IF(AND(YEAR(MarSun1+11)=CalendarYear,MONTH(MarSun1+11)=3),MarSun1+11,""))</f>
        <v>40612</v>
      </c>
      <c r="F7" s="14">
        <f>IF(DAY(MarSun1)=1,IF(AND(YEAR(MarSun1+5)=CalendarYear,MONTH(MarSun1+5)=3),MarSun1+5,""),IF(AND(YEAR(MarSun1+12)=CalendarYear,MONTH(MarSun1+12)=3),MarSun1+12,""))</f>
        <v>40613</v>
      </c>
      <c r="G7" s="14">
        <f>IF(DAY(MarSun1)=1,IF(AND(YEAR(MarSun1+6)=CalendarYear,MONTH(MarSun1+6)=3),MarSun1+6,""),IF(AND(YEAR(MarSun1+13)=CalendarYear,MONTH(MarSun1+13)=3),MarSun1+13,""))</f>
        <v>40614</v>
      </c>
      <c r="H7" s="14">
        <f>IF(DAY(MarSun1)=1,IF(AND(YEAR(MarSun1+7)=CalendarYear,MONTH(MarSun1+7)=3),MarSun1+7,""),IF(AND(YEAR(MarSun1+14)=CalendarYear,MONTH(MarSun1+14)=3),MarSun1+14,""))</f>
        <v>40615</v>
      </c>
      <c r="I7" s="10"/>
    </row>
    <row r="8" spans="1:18" ht="55.5" customHeight="1">
      <c r="A8" s="3"/>
      <c r="B8" s="15"/>
      <c r="C8" s="15"/>
      <c r="D8" s="15"/>
      <c r="E8" s="15"/>
      <c r="F8" s="15"/>
      <c r="G8" s="16"/>
      <c r="H8" s="16"/>
      <c r="I8" s="10"/>
    </row>
    <row r="9" spans="1:18" ht="15" customHeight="1">
      <c r="A9" s="3"/>
      <c r="B9" s="17">
        <f>IF(DAY(MarSun1)=1,IF(AND(YEAR(MarSun1+8)=CalendarYear,MONTH(MarSun1+8)=3),MarSun1+8,""),IF(AND(YEAR(MarSun1+15)=CalendarYear,MONTH(MarSun1+15)=3),MarSun1+15,""))</f>
        <v>40616</v>
      </c>
      <c r="C9" s="17">
        <f>IF(DAY(MarSun1)=1,IF(AND(YEAR(MarSun1+9)=CalendarYear,MONTH(MarSun1+9)=3),MarSun1+9,""),IF(AND(YEAR(MarSun1+16)=CalendarYear,MONTH(MarSun1+16)=3),MarSun1+16,""))</f>
        <v>40617</v>
      </c>
      <c r="D9" s="17">
        <f>IF(DAY(MarSun1)=1,IF(AND(YEAR(MarSun1+10)=CalendarYear,MONTH(MarSun1+10)=3),MarSun1+10,""),IF(AND(YEAR(MarSun1+17)=CalendarYear,MONTH(MarSun1+17)=3),MarSun1+17,""))</f>
        <v>40618</v>
      </c>
      <c r="E9" s="17">
        <f>IF(DAY(MarSun1)=1,IF(AND(YEAR(MarSun1+11)=CalendarYear,MONTH(MarSun1+11)=3),MarSun1+11,""),IF(AND(YEAR(MarSun1+18)=CalendarYear,MONTH(MarSun1+18)=3),MarSun1+18,""))</f>
        <v>40619</v>
      </c>
      <c r="F9" s="17">
        <f>IF(DAY(MarSun1)=1,IF(AND(YEAR(MarSun1+12)=CalendarYear,MONTH(MarSun1+12)=3),MarSun1+12,""),IF(AND(YEAR(MarSun1+19)=CalendarYear,MONTH(MarSun1+19)=3),MarSun1+19,""))</f>
        <v>40620</v>
      </c>
      <c r="G9" s="17">
        <f>IF(DAY(MarSun1)=1,IF(AND(YEAR(MarSun1+13)=CalendarYear,MONTH(MarSun1+13)=3),MarSun1+13,""),IF(AND(YEAR(MarSun1+20)=CalendarYear,MONTH(MarSun1+20)=3),MarSun1+20,""))</f>
        <v>40621</v>
      </c>
      <c r="H9" s="17">
        <f>IF(DAY(MarSun1)=1,IF(AND(YEAR(MarSun1+14)=CalendarYear,MONTH(MarSun1+14)=3),MarSun1+14,""),IF(AND(YEAR(MarSun1+21)=CalendarYear,MONTH(MarSun1+21)=3),MarSun1+21,""))</f>
        <v>40622</v>
      </c>
      <c r="I9" s="10"/>
    </row>
    <row r="10" spans="1:18" ht="55.5" customHeight="1">
      <c r="A10" s="3"/>
      <c r="B10" s="12"/>
      <c r="C10" s="12"/>
      <c r="D10" s="12"/>
      <c r="E10" s="12"/>
      <c r="F10" s="12"/>
      <c r="G10" s="13"/>
      <c r="H10" s="13"/>
      <c r="I10" s="10"/>
    </row>
    <row r="11" spans="1:18" ht="15" customHeight="1">
      <c r="A11" s="3"/>
      <c r="B11" s="18">
        <f>IF(DAY(MarSun1)=1,IF(AND(YEAR(MarSun1+15)=CalendarYear,MONTH(MarSun1+15)=3),MarSun1+15,""),IF(AND(YEAR(MarSun1+22)=CalendarYear,MONTH(MarSun1+22)=3),MarSun1+22,""))</f>
        <v>40623</v>
      </c>
      <c r="C11" s="18">
        <f>IF(DAY(MarSun1)=1,IF(AND(YEAR(MarSun1+16)=CalendarYear,MONTH(MarSun1+16)=3),MarSun1+16,""),IF(AND(YEAR(MarSun1+23)=CalendarYear,MONTH(MarSun1+23)=3),MarSun1+23,""))</f>
        <v>40624</v>
      </c>
      <c r="D11" s="18">
        <f>IF(DAY(MarSun1)=1,IF(AND(YEAR(MarSun1+17)=CalendarYear,MONTH(MarSun1+17)=3),MarSun1+17,""),IF(AND(YEAR(MarSun1+24)=CalendarYear,MONTH(MarSun1+24)=3),MarSun1+24,""))</f>
        <v>40625</v>
      </c>
      <c r="E11" s="18">
        <f>IF(DAY(MarSun1)=1,IF(AND(YEAR(MarSun1+18)=CalendarYear,MONTH(MarSun1+18)=3),MarSun1+18,""),IF(AND(YEAR(MarSun1+25)=CalendarYear,MONTH(MarSun1+25)=3),MarSun1+25,""))</f>
        <v>40626</v>
      </c>
      <c r="F11" s="18">
        <f>IF(DAY(MarSun1)=1,IF(AND(YEAR(MarSun1+19)=CalendarYear,MONTH(MarSun1+19)=3),MarSun1+19,""),IF(AND(YEAR(MarSun1+26)=CalendarYear,MONTH(MarSun1+26)=3),MarSun1+26,""))</f>
        <v>40627</v>
      </c>
      <c r="G11" s="18">
        <f>IF(DAY(MarSun1)=1,IF(AND(YEAR(MarSun1+20)=CalendarYear,MONTH(MarSun1+20)=3),MarSun1+20,""),IF(AND(YEAR(MarSun1+27)=CalendarYear,MONTH(MarSun1+27)=3),MarSun1+27,""))</f>
        <v>40628</v>
      </c>
      <c r="H11" s="18">
        <f>IF(DAY(MarSun1)=1,IF(AND(YEAR(MarSun1+21)=CalendarYear,MONTH(MarSun1+21)=3),MarSun1+21,""),IF(AND(YEAR(MarSun1+28)=CalendarYear,MONTH(MarSun1+28)=3),MarSun1+28,""))</f>
        <v>40629</v>
      </c>
      <c r="I11" s="10"/>
    </row>
    <row r="12" spans="1:18" ht="55.5" customHeight="1">
      <c r="A12" s="3"/>
      <c r="B12" s="15"/>
      <c r="C12" s="15"/>
      <c r="D12" s="15"/>
      <c r="E12" s="15"/>
      <c r="F12" s="15"/>
      <c r="G12" s="16"/>
      <c r="H12" s="16"/>
      <c r="I12" s="10"/>
    </row>
    <row r="13" spans="1:18" ht="15" customHeight="1">
      <c r="A13" s="3"/>
      <c r="B13" s="17">
        <f>IF(DAY(MarSun1)=1,IF(AND(YEAR(MarSun1+22)=CalendarYear,MONTH(MarSun1+22)=3),MarSun1+22,""),IF(AND(YEAR(MarSun1+29)=CalendarYear,MONTH(MarSun1+29)=3),MarSun1+29,""))</f>
        <v>40630</v>
      </c>
      <c r="C13" s="17">
        <f>IF(DAY(MarSun1)=1,IF(AND(YEAR(MarSun1+23)=CalendarYear,MONTH(MarSun1+23)=3),MarSun1+23,""),IF(AND(YEAR(MarSun1+30)=CalendarYear,MONTH(MarSun1+30)=3),MarSun1+30,""))</f>
        <v>40631</v>
      </c>
      <c r="D13" s="17">
        <f>IF(DAY(MarSun1)=1,IF(AND(YEAR(MarSun1+24)=CalendarYear,MONTH(MarSun1+24)=3),MarSun1+24,""),IF(AND(YEAR(MarSun1+31)=CalendarYear,MONTH(MarSun1+31)=3),MarSun1+31,""))</f>
        <v>40632</v>
      </c>
      <c r="E13" s="17">
        <f>IF(DAY(MarSun1)=1,IF(AND(YEAR(MarSun1+25)=CalendarYear,MONTH(MarSun1+25)=3),MarSun1+25,""),IF(AND(YEAR(MarSun1+32)=CalendarYear,MONTH(MarSun1+32)=3),MarSun1+32,""))</f>
        <v>40633</v>
      </c>
      <c r="F13" s="17" t="str">
        <f>IF(DAY(MarSun1)=1,IF(AND(YEAR(MarSun1+26)=CalendarYear,MONTH(MarSun1+26)=3),MarSun1+26,""),IF(AND(YEAR(MarSun1+33)=CalendarYear,MONTH(MarSun1+33)=3),MarSun1+33,""))</f>
        <v/>
      </c>
      <c r="G13" s="17" t="str">
        <f>IF(DAY(MarSun1)=1,IF(AND(YEAR(MarSun1+27)=CalendarYear,MONTH(MarSun1+27)=3),MarSun1+27,""),IF(AND(YEAR(MarSun1+34)=CalendarYear,MONTH(MarSun1+34)=3),MarSun1+34,""))</f>
        <v/>
      </c>
      <c r="H13" s="17" t="str">
        <f>IF(DAY(MarSun1)=1,IF(AND(YEAR(MarSun1+28)=CalendarYear,MONTH(MarSun1+28)=3),MarSun1+28,""),IF(AND(YEAR(MarSun1+35)=CalendarYear,MONTH(MarSun1+35)=3),MarSun1+35,""))</f>
        <v/>
      </c>
      <c r="I13" s="10"/>
    </row>
    <row r="14" spans="1:18" ht="55.5" customHeight="1">
      <c r="A14" s="3"/>
      <c r="B14" s="12"/>
      <c r="C14" s="12"/>
      <c r="D14" s="12"/>
      <c r="E14" s="12"/>
      <c r="F14" s="12"/>
      <c r="G14" s="13"/>
      <c r="H14" s="13"/>
      <c r="I14" s="10"/>
    </row>
    <row r="15" spans="1:18" ht="15" customHeight="1">
      <c r="A15" s="3"/>
      <c r="B15" s="18" t="str">
        <f>IF(DAY(MarSun1)=1,IF(AND(YEAR(MarSun1+29)=CalendarYear,MONTH(MarSun1+29)=3),MarSun1+29,""),IF(AND(YEAR(MarSun1+36)=CalendarYear,MONTH(MarSun1+36)=3),MarSun1+36,""))</f>
        <v/>
      </c>
      <c r="C15" s="19" t="str">
        <f>IF(DAY(MarSun1)=1,IF(AND(YEAR(MarSun1+30)=CalendarYear,MONTH(MarSun1+30)=3),MarSun1+30,""),IF(AND(YEAR(MarSun1+37)=CalendarYear,MONTH(MarSun1+37)=3),MarSun1+37,""))</f>
        <v/>
      </c>
      <c r="D15" s="26" t="s">
        <v>8</v>
      </c>
      <c r="E15" s="27"/>
      <c r="F15" s="27"/>
      <c r="G15" s="27"/>
      <c r="H15" s="28"/>
      <c r="I15" s="10"/>
    </row>
    <row r="16" spans="1:18" ht="55.5" customHeight="1">
      <c r="A16" s="3"/>
      <c r="B16" s="15"/>
      <c r="C16" s="15"/>
      <c r="D16" s="23"/>
      <c r="E16" s="24"/>
      <c r="F16" s="24"/>
      <c r="G16" s="24"/>
      <c r="H16" s="25"/>
      <c r="I16" s="10"/>
    </row>
    <row r="17" spans="3:5" ht="17.25" customHeight="1"/>
    <row r="19" spans="3:5" ht="21" customHeight="1">
      <c r="C19" s="20"/>
      <c r="D19" s="21"/>
      <c r="E19" s="22"/>
    </row>
    <row r="20" spans="3:5" ht="19.5" customHeight="1"/>
  </sheetData>
  <mergeCells count="3">
    <mergeCell ref="B3:F3"/>
    <mergeCell ref="D15:H15"/>
    <mergeCell ref="D16:H16"/>
  </mergeCells>
  <phoneticPr fontId="6" type="noConversion"/>
  <printOptions horizontalCentered="1" verticalCentered="1"/>
  <pageMargins left="0.2" right="0.2" top="0.25" bottom="0.25" header="0" footer="0"/>
  <pageSetup scale="68" orientation="landscape" r:id="rId1"/>
  <headerFooter scaleWithDoc="0"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4">
    <pageSetUpPr fitToPage="1"/>
  </sheetPr>
  <dimension ref="A1:R20"/>
  <sheetViews>
    <sheetView showGridLines="0" zoomScale="80" zoomScaleNormal="80" workbookViewId="0"/>
  </sheetViews>
  <sheetFormatPr defaultColWidth="6.6640625" defaultRowHeight="15"/>
  <cols>
    <col min="1" max="1" width="3.109375" style="4" customWidth="1"/>
    <col min="2" max="9" width="13.77734375" style="4" customWidth="1"/>
    <col min="10" max="10" width="12.6640625" style="4" customWidth="1"/>
    <col min="11" max="11" width="2.109375" style="4" customWidth="1"/>
    <col min="12" max="12" width="11.77734375" style="4" customWidth="1"/>
    <col min="13" max="13" width="11.33203125" style="4" customWidth="1"/>
    <col min="14" max="16384" width="6.6640625" style="4"/>
  </cols>
  <sheetData>
    <row r="1" spans="1:18" ht="15.75">
      <c r="A1" s="3"/>
    </row>
    <row r="2" spans="1:18" ht="26.25" customHeight="1">
      <c r="A2" s="3"/>
    </row>
    <row r="3" spans="1:18" ht="57.75" customHeight="1">
      <c r="A3" s="3"/>
      <c r="B3" s="29" t="str">
        <f>UPPER(TEXT(DATE(CalendarYear,4,1),"[$-404]mmmm yyyy"))</f>
        <v>四月 2011</v>
      </c>
      <c r="C3" s="29"/>
      <c r="D3" s="29"/>
      <c r="E3" s="29"/>
      <c r="F3" s="29"/>
    </row>
    <row r="4" spans="1:18" s="3" customFormat="1" ht="29.25" customHeight="1">
      <c r="B4" s="1" t="s">
        <v>0</v>
      </c>
      <c r="C4" s="6" t="s">
        <v>1</v>
      </c>
      <c r="D4" s="6" t="s">
        <v>2</v>
      </c>
      <c r="E4" s="6" t="s">
        <v>3</v>
      </c>
      <c r="F4" s="6" t="s">
        <v>4</v>
      </c>
      <c r="G4" s="6" t="s">
        <v>5</v>
      </c>
      <c r="H4" s="7" t="s">
        <v>6</v>
      </c>
      <c r="I4" s="4"/>
      <c r="J4" s="4"/>
      <c r="L4" s="4"/>
      <c r="M4" s="8"/>
      <c r="Q4" s="4"/>
      <c r="R4" s="4"/>
    </row>
    <row r="5" spans="1:18" s="3" customFormat="1" ht="15" customHeight="1">
      <c r="B5" s="9" t="str">
        <f>IF(DAY(AprSun1)=1,"",IF(AND(YEAR(AprSun1+1)=CalendarYear,MONTH(AprSun1+1)=4),AprSun1+1,""))</f>
        <v/>
      </c>
      <c r="C5" s="9" t="str">
        <f>IF(DAY(AprSun1)=1,"",IF(AND(YEAR(AprSun1+2)=CalendarYear,MONTH(AprSun1+2)=4),AprSun1+2,""))</f>
        <v/>
      </c>
      <c r="D5" s="9" t="str">
        <f>IF(DAY(AprSun1)=1,"",IF(AND(YEAR(AprSun1+3)=CalendarYear,MONTH(AprSun1+3)=4),AprSun1+3,""))</f>
        <v/>
      </c>
      <c r="E5" s="9" t="str">
        <f>IF(DAY(AprSun1)=1,"",IF(AND(YEAR(AprSun1+4)=CalendarYear,MONTH(AprSun1+4)=4),AprSun1+4,""))</f>
        <v/>
      </c>
      <c r="F5" s="9">
        <f>IF(DAY(AprSun1)=1,"",IF(AND(YEAR(AprSun1+5)=CalendarYear,MONTH(AprSun1+5)=4),AprSun1+5,""))</f>
        <v>40634</v>
      </c>
      <c r="G5" s="9">
        <f>IF(DAY(AprSun1)=1,"",IF(AND(YEAR(AprSun1+6)=CalendarYear,MONTH(AprSun1+6)=4),AprSun1+6,""))</f>
        <v>40635</v>
      </c>
      <c r="H5" s="9">
        <f>IF(DAY(AprSun1)=1,IF(AND(YEAR(AprSun1)=CalendarYear,MONTH(AprSun1)=4),AprSun1,""),IF(AND(YEAR(AprSun1+7)=CalendarYear,MONTH(AprSun1+7)=4),AprSun1+7,""))</f>
        <v>40636</v>
      </c>
      <c r="I5" s="10"/>
      <c r="K5" s="4"/>
      <c r="L5" s="4"/>
      <c r="M5" s="4"/>
      <c r="Q5" s="11"/>
      <c r="R5" s="4"/>
    </row>
    <row r="6" spans="1:18" s="11" customFormat="1" ht="55.5" customHeight="1">
      <c r="A6" s="3"/>
      <c r="B6" s="12"/>
      <c r="C6" s="12"/>
      <c r="D6" s="12"/>
      <c r="E6" s="12"/>
      <c r="F6" s="12"/>
      <c r="G6" s="13"/>
      <c r="H6" s="13"/>
      <c r="I6" s="10"/>
    </row>
    <row r="7" spans="1:18" ht="15" customHeight="1">
      <c r="A7" s="3"/>
      <c r="B7" s="14">
        <f>IF(DAY(AprSun1)=1,IF(AND(YEAR(AprSun1+1)=CalendarYear,MONTH(AprSun1+1)=4),AprSun1+1,""),IF(AND(YEAR(AprSun1+8)=CalendarYear,MONTH(AprSun1+8)=4),AprSun1+8,""))</f>
        <v>40637</v>
      </c>
      <c r="C7" s="14">
        <f>IF(DAY(AprSun1)=1,IF(AND(YEAR(AprSun1+2)=CalendarYear,MONTH(AprSun1+2)=4),AprSun1+2,""),IF(AND(YEAR(AprSun1+9)=CalendarYear,MONTH(AprSun1+9)=4),AprSun1+9,""))</f>
        <v>40638</v>
      </c>
      <c r="D7" s="14">
        <f>IF(DAY(AprSun1)=1,IF(AND(YEAR(AprSun1+3)=CalendarYear,MONTH(AprSun1+3)=4),AprSun1+3,""),IF(AND(YEAR(AprSun1+10)=CalendarYear,MONTH(AprSun1+10)=4),AprSun1+10,""))</f>
        <v>40639</v>
      </c>
      <c r="E7" s="14">
        <f>IF(DAY(AprSun1)=1,IF(AND(YEAR(AprSun1+4)=CalendarYear,MONTH(AprSun1+4)=4),AprSun1+4,""),IF(AND(YEAR(AprSun1+11)=CalendarYear,MONTH(AprSun1+11)=4),AprSun1+11,""))</f>
        <v>40640</v>
      </c>
      <c r="F7" s="14">
        <f>IF(DAY(AprSun1)=1,IF(AND(YEAR(AprSun1+5)=CalendarYear,MONTH(AprSun1+5)=4),AprSun1+5,""),IF(AND(YEAR(AprSun1+12)=CalendarYear,MONTH(AprSun1+12)=4),AprSun1+12,""))</f>
        <v>40641</v>
      </c>
      <c r="G7" s="14">
        <f>IF(DAY(AprSun1)=1,IF(AND(YEAR(AprSun1+6)=CalendarYear,MONTH(AprSun1+6)=4),AprSun1+6,""),IF(AND(YEAR(AprSun1+13)=CalendarYear,MONTH(AprSun1+13)=4),AprSun1+13,""))</f>
        <v>40642</v>
      </c>
      <c r="H7" s="14">
        <f>IF(DAY(AprSun1)=1,IF(AND(YEAR(AprSun1+7)=CalendarYear,MONTH(AprSun1+7)=4),AprSun1+7,""),IF(AND(YEAR(AprSun1+14)=CalendarYear,MONTH(AprSun1+14)=4),AprSun1+14,""))</f>
        <v>40643</v>
      </c>
      <c r="I7" s="10"/>
    </row>
    <row r="8" spans="1:18" ht="55.5" customHeight="1">
      <c r="A8" s="3"/>
      <c r="B8" s="15"/>
      <c r="C8" s="15"/>
      <c r="D8" s="15"/>
      <c r="E8" s="15"/>
      <c r="F8" s="15"/>
      <c r="G8" s="16"/>
      <c r="H8" s="16"/>
      <c r="I8" s="10"/>
    </row>
    <row r="9" spans="1:18" ht="15" customHeight="1">
      <c r="A9" s="3"/>
      <c r="B9" s="17">
        <f>IF(DAY(AprSun1)=1,IF(AND(YEAR(AprSun1+8)=CalendarYear,MONTH(AprSun1+8)=4),AprSun1+8,""),IF(AND(YEAR(AprSun1+15)=CalendarYear,MONTH(AprSun1+15)=4),AprSun1+15,""))</f>
        <v>40644</v>
      </c>
      <c r="C9" s="17">
        <f>IF(DAY(AprSun1)=1,IF(AND(YEAR(AprSun1+9)=CalendarYear,MONTH(AprSun1+9)=4),AprSun1+9,""),IF(AND(YEAR(AprSun1+16)=CalendarYear,MONTH(AprSun1+16)=4),AprSun1+16,""))</f>
        <v>40645</v>
      </c>
      <c r="D9" s="17">
        <f>IF(DAY(AprSun1)=1,IF(AND(YEAR(AprSun1+10)=CalendarYear,MONTH(AprSun1+10)=4),AprSun1+10,""),IF(AND(YEAR(AprSun1+17)=CalendarYear,MONTH(AprSun1+17)=4),AprSun1+17,""))</f>
        <v>40646</v>
      </c>
      <c r="E9" s="17">
        <f>IF(DAY(AprSun1)=1,IF(AND(YEAR(AprSun1+11)=CalendarYear,MONTH(AprSun1+11)=4),AprSun1+11,""),IF(AND(YEAR(AprSun1+18)=CalendarYear,MONTH(AprSun1+18)=4),AprSun1+18,""))</f>
        <v>40647</v>
      </c>
      <c r="F9" s="17">
        <f>IF(DAY(AprSun1)=1,IF(AND(YEAR(AprSun1+12)=CalendarYear,MONTH(AprSun1+12)=4),AprSun1+12,""),IF(AND(YEAR(AprSun1+19)=CalendarYear,MONTH(AprSun1+19)=4),AprSun1+19,""))</f>
        <v>40648</v>
      </c>
      <c r="G9" s="17">
        <f>IF(DAY(AprSun1)=1,IF(AND(YEAR(AprSun1+13)=CalendarYear,MONTH(AprSun1+13)=4),AprSun1+13,""),IF(AND(YEAR(AprSun1+20)=CalendarYear,MONTH(AprSun1+20)=4),AprSun1+20,""))</f>
        <v>40649</v>
      </c>
      <c r="H9" s="17">
        <f>IF(DAY(AprSun1)=1,IF(AND(YEAR(AprSun1+14)=CalendarYear,MONTH(AprSun1+14)=4),AprSun1+14,""),IF(AND(YEAR(AprSun1+21)=CalendarYear,MONTH(AprSun1+21)=4),AprSun1+21,""))</f>
        <v>40650</v>
      </c>
      <c r="I9" s="10"/>
    </row>
    <row r="10" spans="1:18" ht="55.5" customHeight="1">
      <c r="A10" s="3"/>
      <c r="B10" s="12"/>
      <c r="C10" s="12"/>
      <c r="D10" s="12"/>
      <c r="E10" s="12"/>
      <c r="F10" s="12"/>
      <c r="G10" s="13"/>
      <c r="H10" s="13"/>
      <c r="I10" s="10"/>
    </row>
    <row r="11" spans="1:18" ht="15" customHeight="1">
      <c r="A11" s="3"/>
      <c r="B11" s="18">
        <f>IF(DAY(AprSun1)=1,IF(AND(YEAR(AprSun1+15)=CalendarYear,MONTH(AprSun1+15)=4),AprSun1+15,""),IF(AND(YEAR(AprSun1+22)=CalendarYear,MONTH(AprSun1+22)=4),AprSun1+22,""))</f>
        <v>40651</v>
      </c>
      <c r="C11" s="18">
        <f>IF(DAY(AprSun1)=1,IF(AND(YEAR(AprSun1+16)=CalendarYear,MONTH(AprSun1+16)=4),AprSun1+16,""),IF(AND(YEAR(AprSun1+23)=CalendarYear,MONTH(AprSun1+23)=4),AprSun1+23,""))</f>
        <v>40652</v>
      </c>
      <c r="D11" s="18">
        <f>IF(DAY(AprSun1)=1,IF(AND(YEAR(AprSun1+17)=CalendarYear,MONTH(AprSun1+17)=4),AprSun1+17,""),IF(AND(YEAR(AprSun1+24)=CalendarYear,MONTH(AprSun1+24)=4),AprSun1+24,""))</f>
        <v>40653</v>
      </c>
      <c r="E11" s="18">
        <f>IF(DAY(AprSun1)=1,IF(AND(YEAR(AprSun1+18)=CalendarYear,MONTH(AprSun1+18)=4),AprSun1+18,""),IF(AND(YEAR(AprSun1+25)=CalendarYear,MONTH(AprSun1+25)=4),AprSun1+25,""))</f>
        <v>40654</v>
      </c>
      <c r="F11" s="18">
        <f>IF(DAY(AprSun1)=1,IF(AND(YEAR(AprSun1+19)=CalendarYear,MONTH(AprSun1+19)=4),AprSun1+19,""),IF(AND(YEAR(AprSun1+26)=CalendarYear,MONTH(AprSun1+26)=4),AprSun1+26,""))</f>
        <v>40655</v>
      </c>
      <c r="G11" s="18">
        <f>IF(DAY(AprSun1)=1,IF(AND(YEAR(AprSun1+20)=CalendarYear,MONTH(AprSun1+20)=4),AprSun1+20,""),IF(AND(YEAR(AprSun1+27)=CalendarYear,MONTH(AprSun1+27)=4),AprSun1+27,""))</f>
        <v>40656</v>
      </c>
      <c r="H11" s="18">
        <f>IF(DAY(AprSun1)=1,IF(AND(YEAR(AprSun1+21)=CalendarYear,MONTH(AprSun1+21)=4),AprSun1+21,""),IF(AND(YEAR(AprSun1+28)=CalendarYear,MONTH(AprSun1+28)=4),AprSun1+28,""))</f>
        <v>40657</v>
      </c>
      <c r="I11" s="10"/>
    </row>
    <row r="12" spans="1:18" ht="55.5" customHeight="1">
      <c r="A12" s="3"/>
      <c r="B12" s="15"/>
      <c r="C12" s="15"/>
      <c r="D12" s="15"/>
      <c r="E12" s="15"/>
      <c r="F12" s="15"/>
      <c r="G12" s="16"/>
      <c r="H12" s="16"/>
      <c r="I12" s="10"/>
    </row>
    <row r="13" spans="1:18" ht="15" customHeight="1">
      <c r="A13" s="3"/>
      <c r="B13" s="17">
        <f>IF(DAY(AprSun1)=1,IF(AND(YEAR(AprSun1+22)=CalendarYear,MONTH(AprSun1+22)=4),AprSun1+22,""),IF(AND(YEAR(AprSun1+29)=CalendarYear,MONTH(AprSun1+29)=4),AprSun1+29,""))</f>
        <v>40658</v>
      </c>
      <c r="C13" s="17">
        <f>IF(DAY(AprSun1)=1,IF(AND(YEAR(AprSun1+23)=CalendarYear,MONTH(AprSun1+23)=4),AprSun1+23,""),IF(AND(YEAR(AprSun1+30)=CalendarYear,MONTH(AprSun1+30)=4),AprSun1+30,""))</f>
        <v>40659</v>
      </c>
      <c r="D13" s="17">
        <f>IF(DAY(AprSun1)=1,IF(AND(YEAR(AprSun1+24)=CalendarYear,MONTH(AprSun1+24)=4),AprSun1+24,""),IF(AND(YEAR(AprSun1+31)=CalendarYear,MONTH(AprSun1+31)=4),AprSun1+31,""))</f>
        <v>40660</v>
      </c>
      <c r="E13" s="17">
        <f>IF(DAY(AprSun1)=1,IF(AND(YEAR(AprSun1+25)=CalendarYear,MONTH(AprSun1+25)=4),AprSun1+25,""),IF(AND(YEAR(AprSun1+32)=CalendarYear,MONTH(AprSun1+32)=4),AprSun1+32,""))</f>
        <v>40661</v>
      </c>
      <c r="F13" s="17">
        <f>IF(DAY(AprSun1)=1,IF(AND(YEAR(AprSun1+26)=CalendarYear,MONTH(AprSun1+26)=4),AprSun1+26,""),IF(AND(YEAR(AprSun1+33)=CalendarYear,MONTH(AprSun1+33)=4),AprSun1+33,""))</f>
        <v>40662</v>
      </c>
      <c r="G13" s="17">
        <f>IF(DAY(AprSun1)=1,IF(AND(YEAR(AprSun1+27)=CalendarYear,MONTH(AprSun1+27)=4),AprSun1+27,""),IF(AND(YEAR(AprSun1+34)=CalendarYear,MONTH(AprSun1+34)=4),AprSun1+34,""))</f>
        <v>40663</v>
      </c>
      <c r="H13" s="17" t="str">
        <f>IF(DAY(AprSun1)=1,IF(AND(YEAR(AprSun1+28)=CalendarYear,MONTH(AprSun1+28)=4),AprSun1+28,""),IF(AND(YEAR(AprSun1+35)=CalendarYear,MONTH(AprSun1+35)=4),AprSun1+35,""))</f>
        <v/>
      </c>
      <c r="I13" s="10"/>
    </row>
    <row r="14" spans="1:18" ht="55.5" customHeight="1">
      <c r="A14" s="3"/>
      <c r="B14" s="12"/>
      <c r="C14" s="12"/>
      <c r="D14" s="12"/>
      <c r="E14" s="12"/>
      <c r="F14" s="12"/>
      <c r="G14" s="13"/>
      <c r="H14" s="13"/>
      <c r="I14" s="10"/>
    </row>
    <row r="15" spans="1:18" ht="15" customHeight="1">
      <c r="A15" s="3"/>
      <c r="B15" s="18" t="str">
        <f>IF(DAY(AprSun1)=1,IF(AND(YEAR(AprSun1+29)=CalendarYear,MONTH(AprSun1+29)=4),AprSun1+29,""),IF(AND(YEAR(AprSun1+36)=CalendarYear,MONTH(AprSun1+36)=4),AprSun1+36,""))</f>
        <v/>
      </c>
      <c r="C15" s="19" t="str">
        <f>IF(DAY(AprSun1)=1,IF(AND(YEAR(AprSun1+30)=CalendarYear,MONTH(AprSun1+30)=4),AprSun1+30,""),IF(AND(YEAR(AprSun1+37)=CalendarYear,MONTH(AprSun1+37)=4),AprSun1+37,""))</f>
        <v/>
      </c>
      <c r="D15" s="26" t="s">
        <v>8</v>
      </c>
      <c r="E15" s="27"/>
      <c r="F15" s="27"/>
      <c r="G15" s="27"/>
      <c r="H15" s="28"/>
      <c r="I15" s="10"/>
    </row>
    <row r="16" spans="1:18" ht="55.5" customHeight="1">
      <c r="A16" s="3"/>
      <c r="B16" s="15"/>
      <c r="C16" s="15"/>
      <c r="D16" s="23"/>
      <c r="E16" s="24"/>
      <c r="F16" s="24"/>
      <c r="G16" s="24"/>
      <c r="H16" s="25"/>
      <c r="I16" s="10"/>
    </row>
    <row r="17" spans="3:5" ht="17.25" customHeight="1"/>
    <row r="19" spans="3:5" ht="21" customHeight="1">
      <c r="C19" s="20"/>
      <c r="D19" s="21"/>
      <c r="E19" s="22"/>
    </row>
    <row r="20" spans="3:5" ht="19.5" customHeight="1"/>
  </sheetData>
  <mergeCells count="3">
    <mergeCell ref="B3:F3"/>
    <mergeCell ref="D15:H15"/>
    <mergeCell ref="D16:H16"/>
  </mergeCells>
  <phoneticPr fontId="6" type="noConversion"/>
  <printOptions horizontalCentered="1" verticalCentered="1"/>
  <pageMargins left="0.2" right="0.2" top="0.25" bottom="0.25" header="0" footer="0"/>
  <pageSetup scale="68" orientation="landscape" r:id="rId1"/>
  <headerFooter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5">
    <pageSetUpPr fitToPage="1"/>
  </sheetPr>
  <dimension ref="A1:R20"/>
  <sheetViews>
    <sheetView showGridLines="0" zoomScale="80" zoomScaleNormal="80" workbookViewId="0"/>
  </sheetViews>
  <sheetFormatPr defaultColWidth="6.6640625" defaultRowHeight="15"/>
  <cols>
    <col min="1" max="1" width="3.109375" style="4" customWidth="1"/>
    <col min="2" max="9" width="13.77734375" style="4" customWidth="1"/>
    <col min="10" max="10" width="12.6640625" style="4" customWidth="1"/>
    <col min="11" max="11" width="2.109375" style="4" customWidth="1"/>
    <col min="12" max="12" width="11.77734375" style="4" customWidth="1"/>
    <col min="13" max="13" width="11.33203125" style="4" customWidth="1"/>
    <col min="14" max="16384" width="6.6640625" style="4"/>
  </cols>
  <sheetData>
    <row r="1" spans="1:18" ht="15.75">
      <c r="A1" s="3"/>
    </row>
    <row r="2" spans="1:18" ht="26.25" customHeight="1">
      <c r="A2" s="3"/>
    </row>
    <row r="3" spans="1:18" ht="57.75" customHeight="1">
      <c r="A3" s="3"/>
      <c r="B3" s="29" t="str">
        <f>UPPER(TEXT(DATE(CalendarYear,5,1),"[$-404]mmmm yyyy"))</f>
        <v>五月 2011</v>
      </c>
      <c r="C3" s="29"/>
      <c r="D3" s="29"/>
      <c r="E3" s="29"/>
      <c r="F3" s="29"/>
    </row>
    <row r="4" spans="1:18" s="3" customFormat="1" ht="29.25" customHeight="1">
      <c r="B4" s="1" t="s">
        <v>0</v>
      </c>
      <c r="C4" s="6" t="s">
        <v>1</v>
      </c>
      <c r="D4" s="6" t="s">
        <v>2</v>
      </c>
      <c r="E4" s="6" t="s">
        <v>3</v>
      </c>
      <c r="F4" s="6" t="s">
        <v>4</v>
      </c>
      <c r="G4" s="6" t="s">
        <v>5</v>
      </c>
      <c r="H4" s="7" t="s">
        <v>6</v>
      </c>
      <c r="I4" s="4"/>
      <c r="J4" s="4"/>
      <c r="L4" s="4"/>
      <c r="M4" s="8"/>
      <c r="Q4" s="4"/>
      <c r="R4" s="4"/>
    </row>
    <row r="5" spans="1:18" s="3" customFormat="1" ht="15" customHeight="1">
      <c r="B5" s="9" t="str">
        <f>IF(DAY(MaySun1)=1,"",IF(AND(YEAR(MaySun1+1)=CalendarYear,MONTH(MaySun1+1)=5),MaySun1+1,""))</f>
        <v/>
      </c>
      <c r="C5" s="9" t="str">
        <f>IF(DAY(MaySun1)=1,"",IF(AND(YEAR(MaySun1+2)=CalendarYear,MONTH(MaySun1+2)=5),MaySun1+2,""))</f>
        <v/>
      </c>
      <c r="D5" s="9" t="str">
        <f>IF(DAY(MaySun1)=1,"",IF(AND(YEAR(MaySun1+3)=CalendarYear,MONTH(MaySun1+3)=5),MaySun1+3,""))</f>
        <v/>
      </c>
      <c r="E5" s="9" t="str">
        <f>IF(DAY(MaySun1)=1,"",IF(AND(YEAR(MaySun1+4)=CalendarYear,MONTH(MaySun1+4)=5),MaySun1+4,""))</f>
        <v/>
      </c>
      <c r="F5" s="9" t="str">
        <f>IF(DAY(MaySun1)=1,"",IF(AND(YEAR(MaySun1+5)=CalendarYear,MONTH(MaySun1+5)=5),MaySun1+5,""))</f>
        <v/>
      </c>
      <c r="G5" s="9" t="str">
        <f>IF(DAY(MaySun1)=1,"",IF(AND(YEAR(MaySun1+6)=CalendarYear,MONTH(MaySun1+6)=5),MaySun1+6,""))</f>
        <v/>
      </c>
      <c r="H5" s="9">
        <f>IF(DAY(MaySun1)=1,IF(AND(YEAR(MaySun1)=CalendarYear,MONTH(MaySun1)=5),MaySun1,""),IF(AND(YEAR(MaySun1+7)=CalendarYear,MONTH(MaySun1+7)=5),MaySun1+7,""))</f>
        <v>40664</v>
      </c>
      <c r="I5" s="10"/>
      <c r="K5" s="4"/>
      <c r="L5" s="4"/>
      <c r="M5" s="4"/>
      <c r="Q5" s="11"/>
      <c r="R5" s="4"/>
    </row>
    <row r="6" spans="1:18" s="11" customFormat="1" ht="55.5" customHeight="1">
      <c r="A6" s="3"/>
      <c r="B6" s="12"/>
      <c r="C6" s="12"/>
      <c r="D6" s="12"/>
      <c r="E6" s="12"/>
      <c r="F6" s="12"/>
      <c r="G6" s="13"/>
      <c r="H6" s="13"/>
      <c r="I6" s="10"/>
    </row>
    <row r="7" spans="1:18" ht="15" customHeight="1">
      <c r="A7" s="3"/>
      <c r="B7" s="14">
        <f>IF(DAY(MaySun1)=1,IF(AND(YEAR(MaySun1+1)=CalendarYear,MONTH(MaySun1+1)=5),MaySun1+1,""),IF(AND(YEAR(MaySun1+8)=CalendarYear,MONTH(MaySun1+8)=5),MaySun1+8,""))</f>
        <v>40665</v>
      </c>
      <c r="C7" s="14">
        <f>IF(DAY(MaySun1)=1,IF(AND(YEAR(MaySun1+2)=CalendarYear,MONTH(MaySun1+2)=5),MaySun1+2,""),IF(AND(YEAR(MaySun1+9)=CalendarYear,MONTH(MaySun1+9)=5),MaySun1+9,""))</f>
        <v>40666</v>
      </c>
      <c r="D7" s="14">
        <f>IF(DAY(MaySun1)=1,IF(AND(YEAR(MaySun1+3)=CalendarYear,MONTH(MaySun1+3)=5),MaySun1+3,""),IF(AND(YEAR(MaySun1+10)=CalendarYear,MONTH(MaySun1+10)=5),MaySun1+10,""))</f>
        <v>40667</v>
      </c>
      <c r="E7" s="14">
        <f>IF(DAY(MaySun1)=1,IF(AND(YEAR(MaySun1+4)=CalendarYear,MONTH(MaySun1+4)=5),MaySun1+4,""),IF(AND(YEAR(MaySun1+11)=CalendarYear,MONTH(MaySun1+11)=5),MaySun1+11,""))</f>
        <v>40668</v>
      </c>
      <c r="F7" s="14">
        <f>IF(DAY(MaySun1)=1,IF(AND(YEAR(MaySun1+5)=CalendarYear,MONTH(MaySun1+5)=5),MaySun1+5,""),IF(AND(YEAR(MaySun1+12)=CalendarYear,MONTH(MaySun1+12)=5),MaySun1+12,""))</f>
        <v>40669</v>
      </c>
      <c r="G7" s="14">
        <f>IF(DAY(MaySun1)=1,IF(AND(YEAR(MaySun1+6)=CalendarYear,MONTH(MaySun1+6)=5),MaySun1+6,""),IF(AND(YEAR(MaySun1+13)=CalendarYear,MONTH(MaySun1+13)=5),MaySun1+13,""))</f>
        <v>40670</v>
      </c>
      <c r="H7" s="14">
        <f>IF(DAY(MaySun1)=1,IF(AND(YEAR(MaySun1+7)=CalendarYear,MONTH(MaySun1+7)=5),MaySun1+7,""),IF(AND(YEAR(MaySun1+14)=CalendarYear,MONTH(MaySun1+14)=5),MaySun1+14,""))</f>
        <v>40671</v>
      </c>
      <c r="I7" s="10"/>
    </row>
    <row r="8" spans="1:18" ht="55.5" customHeight="1">
      <c r="A8" s="3"/>
      <c r="B8" s="15"/>
      <c r="C8" s="15"/>
      <c r="D8" s="15"/>
      <c r="E8" s="15"/>
      <c r="F8" s="15"/>
      <c r="G8" s="16"/>
      <c r="H8" s="16"/>
      <c r="I8" s="10"/>
    </row>
    <row r="9" spans="1:18" ht="15" customHeight="1">
      <c r="A9" s="3"/>
      <c r="B9" s="17">
        <f>IF(DAY(MaySun1)=1,IF(AND(YEAR(MaySun1+8)=CalendarYear,MONTH(MaySun1+8)=5),MaySun1+8,""),IF(AND(YEAR(MaySun1+15)=CalendarYear,MONTH(MaySun1+15)=5),MaySun1+15,""))</f>
        <v>40672</v>
      </c>
      <c r="C9" s="17">
        <f>IF(DAY(MaySun1)=1,IF(AND(YEAR(MaySun1+9)=CalendarYear,MONTH(MaySun1+9)=5),MaySun1+9,""),IF(AND(YEAR(MaySun1+16)=CalendarYear,MONTH(MaySun1+16)=5),MaySun1+16,""))</f>
        <v>40673</v>
      </c>
      <c r="D9" s="17">
        <f>IF(DAY(MaySun1)=1,IF(AND(YEAR(MaySun1+10)=CalendarYear,MONTH(MaySun1+10)=5),MaySun1+10,""),IF(AND(YEAR(MaySun1+17)=CalendarYear,MONTH(MaySun1+17)=5),MaySun1+17,""))</f>
        <v>40674</v>
      </c>
      <c r="E9" s="17">
        <f>IF(DAY(MaySun1)=1,IF(AND(YEAR(MaySun1+11)=CalendarYear,MONTH(MaySun1+11)=5),MaySun1+11,""),IF(AND(YEAR(MaySun1+18)=CalendarYear,MONTH(MaySun1+18)=5),MaySun1+18,""))</f>
        <v>40675</v>
      </c>
      <c r="F9" s="17">
        <f>IF(DAY(MaySun1)=1,IF(AND(YEAR(MaySun1+12)=CalendarYear,MONTH(MaySun1+12)=5),MaySun1+12,""),IF(AND(YEAR(MaySun1+19)=CalendarYear,MONTH(MaySun1+19)=5),MaySun1+19,""))</f>
        <v>40676</v>
      </c>
      <c r="G9" s="17">
        <f>IF(DAY(MaySun1)=1,IF(AND(YEAR(MaySun1+13)=CalendarYear,MONTH(MaySun1+13)=5),MaySun1+13,""),IF(AND(YEAR(MaySun1+20)=CalendarYear,MONTH(MaySun1+20)=5),MaySun1+20,""))</f>
        <v>40677</v>
      </c>
      <c r="H9" s="17">
        <f>IF(DAY(MaySun1)=1,IF(AND(YEAR(MaySun1+14)=CalendarYear,MONTH(MaySun1+14)=5),MaySun1+14,""),IF(AND(YEAR(MaySun1+21)=CalendarYear,MONTH(MaySun1+21)=5),MaySun1+21,""))</f>
        <v>40678</v>
      </c>
      <c r="I9" s="10"/>
    </row>
    <row r="10" spans="1:18" ht="55.5" customHeight="1">
      <c r="A10" s="3"/>
      <c r="B10" s="12"/>
      <c r="C10" s="12"/>
      <c r="D10" s="12"/>
      <c r="E10" s="12"/>
      <c r="F10" s="12"/>
      <c r="G10" s="13"/>
      <c r="H10" s="13"/>
      <c r="I10" s="10"/>
    </row>
    <row r="11" spans="1:18" ht="15" customHeight="1">
      <c r="A11" s="3"/>
      <c r="B11" s="18">
        <f>IF(DAY(MaySun1)=1,IF(AND(YEAR(MaySun1+15)=CalendarYear,MONTH(MaySun1+15)=5),MaySun1+15,""),IF(AND(YEAR(MaySun1+22)=CalendarYear,MONTH(MaySun1+22)=5),MaySun1+22,""))</f>
        <v>40679</v>
      </c>
      <c r="C11" s="18">
        <f>IF(DAY(MaySun1)=1,IF(AND(YEAR(MaySun1+16)=CalendarYear,MONTH(MaySun1+16)=5),MaySun1+16,""),IF(AND(YEAR(MaySun1+23)=CalendarYear,MONTH(MaySun1+23)=5),MaySun1+23,""))</f>
        <v>40680</v>
      </c>
      <c r="D11" s="18">
        <f>IF(DAY(MaySun1)=1,IF(AND(YEAR(MaySun1+17)=CalendarYear,MONTH(MaySun1+17)=5),MaySun1+17,""),IF(AND(YEAR(MaySun1+24)=CalendarYear,MONTH(MaySun1+24)=5),MaySun1+24,""))</f>
        <v>40681</v>
      </c>
      <c r="E11" s="18">
        <f>IF(DAY(MaySun1)=1,IF(AND(YEAR(MaySun1+18)=CalendarYear,MONTH(MaySun1+18)=5),MaySun1+18,""),IF(AND(YEAR(MaySun1+25)=CalendarYear,MONTH(MaySun1+25)=5),MaySun1+25,""))</f>
        <v>40682</v>
      </c>
      <c r="F11" s="18">
        <f>IF(DAY(MaySun1)=1,IF(AND(YEAR(MaySun1+19)=CalendarYear,MONTH(MaySun1+19)=5),MaySun1+19,""),IF(AND(YEAR(MaySun1+26)=CalendarYear,MONTH(MaySun1+26)=5),MaySun1+26,""))</f>
        <v>40683</v>
      </c>
      <c r="G11" s="18">
        <f>IF(DAY(MaySun1)=1,IF(AND(YEAR(MaySun1+20)=CalendarYear,MONTH(MaySun1+20)=5),MaySun1+20,""),IF(AND(YEAR(MaySun1+27)=CalendarYear,MONTH(MaySun1+27)=5),MaySun1+27,""))</f>
        <v>40684</v>
      </c>
      <c r="H11" s="18">
        <f>IF(DAY(MaySun1)=1,IF(AND(YEAR(MaySun1+21)=CalendarYear,MONTH(MaySun1+21)=5),MaySun1+21,""),IF(AND(YEAR(MaySun1+28)=CalendarYear,MONTH(MaySun1+28)=5),MaySun1+28,""))</f>
        <v>40685</v>
      </c>
      <c r="I11" s="10"/>
    </row>
    <row r="12" spans="1:18" ht="55.5" customHeight="1">
      <c r="A12" s="3"/>
      <c r="B12" s="15"/>
      <c r="C12" s="15"/>
      <c r="D12" s="15"/>
      <c r="E12" s="15"/>
      <c r="F12" s="15"/>
      <c r="G12" s="16"/>
      <c r="H12" s="16"/>
      <c r="I12" s="10"/>
    </row>
    <row r="13" spans="1:18" ht="15" customHeight="1">
      <c r="A13" s="3"/>
      <c r="B13" s="17">
        <f>IF(DAY(MaySun1)=1,IF(AND(YEAR(MaySun1+22)=CalendarYear,MONTH(MaySun1+22)=5),MaySun1+22,""),IF(AND(YEAR(MaySun1+29)=CalendarYear,MONTH(MaySun1+29)=5),MaySun1+29,""))</f>
        <v>40686</v>
      </c>
      <c r="C13" s="17">
        <f>IF(DAY(MaySun1)=1,IF(AND(YEAR(MaySun1+23)=CalendarYear,MONTH(MaySun1+23)=5),MaySun1+23,""),IF(AND(YEAR(MaySun1+30)=CalendarYear,MONTH(MaySun1+30)=5),MaySun1+30,""))</f>
        <v>40687</v>
      </c>
      <c r="D13" s="17">
        <f>IF(DAY(MaySun1)=1,IF(AND(YEAR(MaySun1+24)=CalendarYear,MONTH(MaySun1+24)=5),MaySun1+24,""),IF(AND(YEAR(MaySun1+31)=CalendarYear,MONTH(MaySun1+31)=5),MaySun1+31,""))</f>
        <v>40688</v>
      </c>
      <c r="E13" s="17">
        <f>IF(DAY(MaySun1)=1,IF(AND(YEAR(MaySun1+25)=CalendarYear,MONTH(MaySun1+25)=5),MaySun1+25,""),IF(AND(YEAR(MaySun1+32)=CalendarYear,MONTH(MaySun1+32)=5),MaySun1+32,""))</f>
        <v>40689</v>
      </c>
      <c r="F13" s="17">
        <f>IF(DAY(MaySun1)=1,IF(AND(YEAR(MaySun1+26)=CalendarYear,MONTH(MaySun1+26)=5),MaySun1+26,""),IF(AND(YEAR(MaySun1+33)=CalendarYear,MONTH(MaySun1+33)=5),MaySun1+33,""))</f>
        <v>40690</v>
      </c>
      <c r="G13" s="17">
        <f>IF(DAY(MaySun1)=1,IF(AND(YEAR(MaySun1+27)=CalendarYear,MONTH(MaySun1+27)=5),MaySun1+27,""),IF(AND(YEAR(MaySun1+34)=CalendarYear,MONTH(MaySun1+34)=5),MaySun1+34,""))</f>
        <v>40691</v>
      </c>
      <c r="H13" s="17">
        <f>IF(DAY(MaySun1)=1,IF(AND(YEAR(MaySun1+28)=CalendarYear,MONTH(MaySun1+28)=5),MaySun1+28,""),IF(AND(YEAR(MaySun1+35)=CalendarYear,MONTH(MaySun1+35)=5),MaySun1+35,""))</f>
        <v>40692</v>
      </c>
      <c r="I13" s="10"/>
    </row>
    <row r="14" spans="1:18" ht="55.5" customHeight="1">
      <c r="A14" s="3"/>
      <c r="B14" s="12"/>
      <c r="C14" s="12"/>
      <c r="D14" s="12"/>
      <c r="E14" s="12"/>
      <c r="F14" s="12"/>
      <c r="G14" s="13"/>
      <c r="H14" s="13"/>
      <c r="I14" s="10"/>
    </row>
    <row r="15" spans="1:18" ht="15" customHeight="1">
      <c r="A15" s="3"/>
      <c r="B15" s="18">
        <f>IF(DAY(MaySun1)=1,IF(AND(YEAR(MaySun1+29)=CalendarYear,MONTH(MaySun1+29)=5),MaySun1+29,""),IF(AND(YEAR(MaySun1+36)=CalendarYear,MONTH(MaySun1+36)=5),MaySun1+36,""))</f>
        <v>40693</v>
      </c>
      <c r="C15" s="19">
        <f>IF(DAY(MaySun1)=1,IF(AND(YEAR(MaySun1+30)=CalendarYear,MONTH(MaySun1+30)=5),MaySun1+30,""),IF(AND(YEAR(MaySun1+37)=CalendarYear,MONTH(MaySun1+37)=5),MaySun1+37,""))</f>
        <v>40694</v>
      </c>
      <c r="D15" s="26" t="s">
        <v>8</v>
      </c>
      <c r="E15" s="27"/>
      <c r="F15" s="27"/>
      <c r="G15" s="27"/>
      <c r="H15" s="28"/>
      <c r="I15" s="10"/>
    </row>
    <row r="16" spans="1:18" ht="55.5" customHeight="1">
      <c r="A16" s="3"/>
      <c r="B16" s="15"/>
      <c r="C16" s="15"/>
      <c r="D16" s="23"/>
      <c r="E16" s="24"/>
      <c r="F16" s="24"/>
      <c r="G16" s="24"/>
      <c r="H16" s="25"/>
      <c r="I16" s="10"/>
    </row>
    <row r="17" spans="3:5" ht="17.25" customHeight="1"/>
    <row r="19" spans="3:5" ht="21" customHeight="1">
      <c r="C19" s="20"/>
      <c r="D19" s="21"/>
      <c r="E19" s="22"/>
    </row>
    <row r="20" spans="3:5" ht="19.5" customHeight="1"/>
  </sheetData>
  <mergeCells count="3">
    <mergeCell ref="B3:F3"/>
    <mergeCell ref="D15:H15"/>
    <mergeCell ref="D16:H16"/>
  </mergeCells>
  <phoneticPr fontId="6" type="noConversion"/>
  <printOptions horizontalCentered="1" verticalCentered="1"/>
  <pageMargins left="0.2" right="0.2" top="0.25" bottom="0.25" header="0" footer="0"/>
  <pageSetup scale="68" orientation="landscape" r:id="rId1"/>
  <headerFooter scaleWithDoc="0"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6">
    <pageSetUpPr fitToPage="1"/>
  </sheetPr>
  <dimension ref="A1:R20"/>
  <sheetViews>
    <sheetView showGridLines="0" zoomScale="80" zoomScaleNormal="80" workbookViewId="0"/>
  </sheetViews>
  <sheetFormatPr defaultColWidth="6.6640625" defaultRowHeight="15"/>
  <cols>
    <col min="1" max="1" width="3.109375" style="4" customWidth="1"/>
    <col min="2" max="9" width="13.77734375" style="4" customWidth="1"/>
    <col min="10" max="10" width="12.6640625" style="4" customWidth="1"/>
    <col min="11" max="11" width="2.109375" style="4" customWidth="1"/>
    <col min="12" max="12" width="11.77734375" style="4" customWidth="1"/>
    <col min="13" max="13" width="11.33203125" style="4" customWidth="1"/>
    <col min="14" max="16384" width="6.6640625" style="4"/>
  </cols>
  <sheetData>
    <row r="1" spans="1:18" ht="15.75">
      <c r="A1" s="3"/>
    </row>
    <row r="2" spans="1:18" ht="26.25" customHeight="1">
      <c r="A2" s="3"/>
    </row>
    <row r="3" spans="1:18" ht="57.75" customHeight="1">
      <c r="A3" s="3"/>
      <c r="B3" s="29" t="str">
        <f>UPPER(TEXT(DATE(CalendarYear,6,1),"[$-404]mmmm yyyy"))</f>
        <v>六月 2011</v>
      </c>
      <c r="C3" s="29"/>
      <c r="D3" s="29"/>
      <c r="E3" s="29"/>
      <c r="F3" s="29"/>
    </row>
    <row r="4" spans="1:18" s="3" customFormat="1" ht="29.25" customHeight="1">
      <c r="B4" s="1" t="s">
        <v>0</v>
      </c>
      <c r="C4" s="6" t="s">
        <v>1</v>
      </c>
      <c r="D4" s="6" t="s">
        <v>2</v>
      </c>
      <c r="E4" s="6" t="s">
        <v>3</v>
      </c>
      <c r="F4" s="6" t="s">
        <v>4</v>
      </c>
      <c r="G4" s="6" t="s">
        <v>5</v>
      </c>
      <c r="H4" s="7" t="s">
        <v>6</v>
      </c>
      <c r="I4" s="4"/>
      <c r="J4" s="4"/>
      <c r="L4" s="4"/>
      <c r="M4" s="8"/>
      <c r="Q4" s="4"/>
      <c r="R4" s="4"/>
    </row>
    <row r="5" spans="1:18" s="3" customFormat="1" ht="15" customHeight="1">
      <c r="B5" s="9" t="str">
        <f>IF(DAY(JunSun1)=1,"",IF(AND(YEAR(JunSun1+1)=CalendarYear,MONTH(JunSun1+1)=6),JunSun1+1,""))</f>
        <v/>
      </c>
      <c r="C5" s="9" t="str">
        <f>IF(DAY(JunSun1)=1,"",IF(AND(YEAR(JunSun1+2)=CalendarYear,MONTH(JunSun1+2)=6),JunSun1+2,""))</f>
        <v/>
      </c>
      <c r="D5" s="9">
        <f>IF(DAY(JunSun1)=1,"",IF(AND(YEAR(JunSun1+3)=CalendarYear,MONTH(JunSun1+3)=6),JunSun1+3,""))</f>
        <v>40695</v>
      </c>
      <c r="E5" s="9">
        <f>IF(DAY(JunSun1)=1,"",IF(AND(YEAR(JunSun1+4)=CalendarYear,MONTH(JunSun1+4)=6),JunSun1+4,""))</f>
        <v>40696</v>
      </c>
      <c r="F5" s="9">
        <f>IF(DAY(JunSun1)=1,"",IF(AND(YEAR(JunSun1+5)=CalendarYear,MONTH(JunSun1+5)=6),JunSun1+5,""))</f>
        <v>40697</v>
      </c>
      <c r="G5" s="9">
        <f>IF(DAY(JunSun1)=1,"",IF(AND(YEAR(JunSun1+6)=CalendarYear,MONTH(JunSun1+6)=6),JunSun1+6,""))</f>
        <v>40698</v>
      </c>
      <c r="H5" s="9">
        <f>IF(DAY(JunSun1)=1,IF(AND(YEAR(JunSun1)=CalendarYear,MONTH(JunSun1)=6),JunSun1,""),IF(AND(YEAR(JunSun1+7)=CalendarYear,MONTH(JunSun1+7)=6),JunSun1+7,""))</f>
        <v>40699</v>
      </c>
      <c r="I5" s="10"/>
      <c r="K5" s="4"/>
      <c r="L5" s="4"/>
      <c r="M5" s="4"/>
      <c r="Q5" s="11"/>
      <c r="R5" s="4"/>
    </row>
    <row r="6" spans="1:18" s="11" customFormat="1" ht="55.5" customHeight="1">
      <c r="A6" s="3"/>
      <c r="B6" s="12"/>
      <c r="C6" s="12"/>
      <c r="D6" s="12"/>
      <c r="E6" s="12"/>
      <c r="F6" s="12"/>
      <c r="G6" s="13"/>
      <c r="H6" s="13"/>
      <c r="I6" s="10"/>
    </row>
    <row r="7" spans="1:18" ht="15" customHeight="1">
      <c r="A7" s="3"/>
      <c r="B7" s="14">
        <f>IF(DAY(JunSun1)=1,IF(AND(YEAR(JunSun1+1)=CalendarYear,MONTH(JunSun1+1)=6),JunSun1+1,""),IF(AND(YEAR(JunSun1+8)=CalendarYear,MONTH(JunSun1+8)=6),JunSun1+8,""))</f>
        <v>40700</v>
      </c>
      <c r="C7" s="14">
        <f>IF(DAY(JunSun1)=1,IF(AND(YEAR(JunSun1+2)=CalendarYear,MONTH(JunSun1+2)=6),JunSun1+2,""),IF(AND(YEAR(JunSun1+9)=CalendarYear,MONTH(JunSun1+9)=6),JunSun1+9,""))</f>
        <v>40701</v>
      </c>
      <c r="D7" s="14">
        <f>IF(DAY(JunSun1)=1,IF(AND(YEAR(JunSun1+3)=CalendarYear,MONTH(JunSun1+3)=6),JunSun1+3,""),IF(AND(YEAR(JunSun1+10)=CalendarYear,MONTH(JunSun1+10)=6),JunSun1+10,""))</f>
        <v>40702</v>
      </c>
      <c r="E7" s="14">
        <f>IF(DAY(JunSun1)=1,IF(AND(YEAR(JunSun1+4)=CalendarYear,MONTH(JunSun1+4)=6),JunSun1+4,""),IF(AND(YEAR(JunSun1+11)=CalendarYear,MONTH(JunSun1+11)=6),JunSun1+11,""))</f>
        <v>40703</v>
      </c>
      <c r="F7" s="14">
        <f>IF(DAY(JunSun1)=1,IF(AND(YEAR(JunSun1+5)=CalendarYear,MONTH(JunSun1+5)=6),JunSun1+5,""),IF(AND(YEAR(JunSun1+12)=CalendarYear,MONTH(JunSun1+12)=6),JunSun1+12,""))</f>
        <v>40704</v>
      </c>
      <c r="G7" s="14">
        <f>IF(DAY(JunSun1)=1,IF(AND(YEAR(JunSun1+6)=CalendarYear,MONTH(JunSun1+6)=6),JunSun1+6,""),IF(AND(YEAR(JunSun1+13)=CalendarYear,MONTH(JunSun1+13)=6),JunSun1+13,""))</f>
        <v>40705</v>
      </c>
      <c r="H7" s="14">
        <f>IF(DAY(JunSun1)=1,IF(AND(YEAR(JunSun1+7)=CalendarYear,MONTH(JunSun1+7)=6),JunSun1+7,""),IF(AND(YEAR(JunSun1+14)=CalendarYear,MONTH(JunSun1+14)=6),JunSun1+14,""))</f>
        <v>40706</v>
      </c>
      <c r="I7" s="10"/>
    </row>
    <row r="8" spans="1:18" ht="55.5" customHeight="1">
      <c r="A8" s="3"/>
      <c r="B8" s="15"/>
      <c r="C8" s="15"/>
      <c r="D8" s="15"/>
      <c r="E8" s="15"/>
      <c r="F8" s="15"/>
      <c r="G8" s="16"/>
      <c r="H8" s="16"/>
      <c r="I8" s="10"/>
    </row>
    <row r="9" spans="1:18" ht="15" customHeight="1">
      <c r="A9" s="3"/>
      <c r="B9" s="17">
        <f>IF(DAY(JunSun1)=1,IF(AND(YEAR(JunSun1+8)=CalendarYear,MONTH(JunSun1+8)=6),JunSun1+8,""),IF(AND(YEAR(JunSun1+15)=CalendarYear,MONTH(JunSun1+15)=6),JunSun1+15,""))</f>
        <v>40707</v>
      </c>
      <c r="C9" s="17">
        <f>IF(DAY(JunSun1)=1,IF(AND(YEAR(JunSun1+9)=CalendarYear,MONTH(JunSun1+9)=6),JunSun1+9,""),IF(AND(YEAR(JunSun1+16)=CalendarYear,MONTH(JunSun1+16)=6),JunSun1+16,""))</f>
        <v>40708</v>
      </c>
      <c r="D9" s="17">
        <f>IF(DAY(JunSun1)=1,IF(AND(YEAR(JunSun1+10)=CalendarYear,MONTH(JunSun1+10)=6),JunSun1+10,""),IF(AND(YEAR(JunSun1+17)=CalendarYear,MONTH(JunSun1+17)=6),JunSun1+17,""))</f>
        <v>40709</v>
      </c>
      <c r="E9" s="17">
        <f>IF(DAY(JunSun1)=1,IF(AND(YEAR(JunSun1+11)=CalendarYear,MONTH(JunSun1+11)=6),JunSun1+11,""),IF(AND(YEAR(JunSun1+18)=CalendarYear,MONTH(JunSun1+18)=6),JunSun1+18,""))</f>
        <v>40710</v>
      </c>
      <c r="F9" s="17">
        <f>IF(DAY(JunSun1)=1,IF(AND(YEAR(JunSun1+12)=CalendarYear,MONTH(JunSun1+12)=6),JunSun1+12,""),IF(AND(YEAR(JunSun1+19)=CalendarYear,MONTH(JunSun1+19)=6),JunSun1+19,""))</f>
        <v>40711</v>
      </c>
      <c r="G9" s="17">
        <f>IF(DAY(JunSun1)=1,IF(AND(YEAR(JunSun1+13)=CalendarYear,MONTH(JunSun1+13)=6),JunSun1+13,""),IF(AND(YEAR(JunSun1+20)=CalendarYear,MONTH(JunSun1+20)=6),JunSun1+20,""))</f>
        <v>40712</v>
      </c>
      <c r="H9" s="17">
        <f>IF(DAY(JunSun1)=1,IF(AND(YEAR(JunSun1+14)=CalendarYear,MONTH(JunSun1+14)=6),JunSun1+14,""),IF(AND(YEAR(JunSun1+21)=CalendarYear,MONTH(JunSun1+21)=6),JunSun1+21,""))</f>
        <v>40713</v>
      </c>
      <c r="I9" s="10"/>
    </row>
    <row r="10" spans="1:18" ht="55.5" customHeight="1">
      <c r="A10" s="3"/>
      <c r="B10" s="12"/>
      <c r="C10" s="12"/>
      <c r="D10" s="12"/>
      <c r="E10" s="12"/>
      <c r="F10" s="12"/>
      <c r="G10" s="13"/>
      <c r="H10" s="13"/>
      <c r="I10" s="10"/>
    </row>
    <row r="11" spans="1:18" ht="15" customHeight="1">
      <c r="A11" s="3"/>
      <c r="B11" s="18">
        <f>IF(DAY(JunSun1)=1,IF(AND(YEAR(JunSun1+15)=CalendarYear,MONTH(JunSun1+15)=6),JunSun1+15,""),IF(AND(YEAR(JunSun1+22)=CalendarYear,MONTH(JunSun1+22)=6),JunSun1+22,""))</f>
        <v>40714</v>
      </c>
      <c r="C11" s="18">
        <f>IF(DAY(JunSun1)=1,IF(AND(YEAR(JunSun1+16)=CalendarYear,MONTH(JunSun1+16)=6),JunSun1+16,""),IF(AND(YEAR(JunSun1+23)=CalendarYear,MONTH(JunSun1+23)=6),JunSun1+23,""))</f>
        <v>40715</v>
      </c>
      <c r="D11" s="18">
        <f>IF(DAY(JunSun1)=1,IF(AND(YEAR(JunSun1+17)=CalendarYear,MONTH(JunSun1+17)=6),JunSun1+17,""),IF(AND(YEAR(JunSun1+24)=CalendarYear,MONTH(JunSun1+24)=6),JunSun1+24,""))</f>
        <v>40716</v>
      </c>
      <c r="E11" s="18">
        <f>IF(DAY(JunSun1)=1,IF(AND(YEAR(JunSun1+18)=CalendarYear,MONTH(JunSun1+18)=6),JunSun1+18,""),IF(AND(YEAR(JunSun1+25)=CalendarYear,MONTH(JunSun1+25)=6),JunSun1+25,""))</f>
        <v>40717</v>
      </c>
      <c r="F11" s="18">
        <f>IF(DAY(JunSun1)=1,IF(AND(YEAR(JunSun1+19)=CalendarYear,MONTH(JunSun1+19)=6),JunSun1+19,""),IF(AND(YEAR(JunSun1+26)=CalendarYear,MONTH(JunSun1+26)=6),JunSun1+26,""))</f>
        <v>40718</v>
      </c>
      <c r="G11" s="18">
        <f>IF(DAY(JunSun1)=1,IF(AND(YEAR(JunSun1+20)=CalendarYear,MONTH(JunSun1+20)=6),JunSun1+20,""),IF(AND(YEAR(JunSun1+27)=CalendarYear,MONTH(JunSun1+27)=6),JunSun1+27,""))</f>
        <v>40719</v>
      </c>
      <c r="H11" s="18">
        <f>IF(DAY(JunSun1)=1,IF(AND(YEAR(JunSun1+21)=CalendarYear,MONTH(JunSun1+21)=6),JunSun1+21,""),IF(AND(YEAR(JunSun1+28)=CalendarYear,MONTH(JunSun1+28)=6),JunSun1+28,""))</f>
        <v>40720</v>
      </c>
      <c r="I11" s="10"/>
    </row>
    <row r="12" spans="1:18" ht="55.5" customHeight="1">
      <c r="A12" s="3"/>
      <c r="B12" s="15"/>
      <c r="C12" s="15"/>
      <c r="D12" s="15"/>
      <c r="E12" s="15"/>
      <c r="F12" s="15"/>
      <c r="G12" s="16"/>
      <c r="H12" s="16"/>
      <c r="I12" s="10"/>
    </row>
    <row r="13" spans="1:18" ht="15" customHeight="1">
      <c r="A13" s="3"/>
      <c r="B13" s="17">
        <f>IF(DAY(JunSun1)=1,IF(AND(YEAR(JunSun1+22)=CalendarYear,MONTH(JunSun1+22)=6),JunSun1+22,""),IF(AND(YEAR(JunSun1+29)=CalendarYear,MONTH(JunSun1+29)=6),JunSun1+29,""))</f>
        <v>40721</v>
      </c>
      <c r="C13" s="17">
        <f>IF(DAY(JunSun1)=1,IF(AND(YEAR(JunSun1+23)=CalendarYear,MONTH(JunSun1+23)=6),JunSun1+23,""),IF(AND(YEAR(JunSun1+30)=CalendarYear,MONTH(JunSun1+30)=6),JunSun1+30,""))</f>
        <v>40722</v>
      </c>
      <c r="D13" s="17">
        <f>IF(DAY(JunSun1)=1,IF(AND(YEAR(JunSun1+24)=CalendarYear,MONTH(JunSun1+24)=6),JunSun1+24,""),IF(AND(YEAR(JunSun1+31)=CalendarYear,MONTH(JunSun1+31)=6),JunSun1+31,""))</f>
        <v>40723</v>
      </c>
      <c r="E13" s="17">
        <f>IF(DAY(JunSun1)=1,IF(AND(YEAR(JunSun1+25)=CalendarYear,MONTH(JunSun1+25)=6),JunSun1+25,""),IF(AND(YEAR(JunSun1+32)=CalendarYear,MONTH(JunSun1+32)=6),JunSun1+32,""))</f>
        <v>40724</v>
      </c>
      <c r="F13" s="17" t="str">
        <f>IF(DAY(JunSun1)=1,IF(AND(YEAR(JunSun1+26)=CalendarYear,MONTH(JunSun1+26)=6),JunSun1+26,""),IF(AND(YEAR(JunSun1+33)=CalendarYear,MONTH(JunSun1+33)=6),JunSun1+33,""))</f>
        <v/>
      </c>
      <c r="G13" s="17" t="str">
        <f>IF(DAY(JunSun1)=1,IF(AND(YEAR(JunSun1+27)=CalendarYear,MONTH(JunSun1+27)=6),JunSun1+27,""),IF(AND(YEAR(JunSun1+34)=CalendarYear,MONTH(JunSun1+34)=6),JunSun1+34,""))</f>
        <v/>
      </c>
      <c r="H13" s="17" t="str">
        <f>IF(DAY(JunSun1)=1,IF(AND(YEAR(JunSun1+28)=CalendarYear,MONTH(JunSun1+28)=6),JunSun1+28,""),IF(AND(YEAR(JunSun1+35)=CalendarYear,MONTH(JunSun1+35)=6),JunSun1+35,""))</f>
        <v/>
      </c>
      <c r="I13" s="10"/>
    </row>
    <row r="14" spans="1:18" ht="55.5" customHeight="1">
      <c r="A14" s="3"/>
      <c r="B14" s="12"/>
      <c r="C14" s="12"/>
      <c r="D14" s="12"/>
      <c r="E14" s="12"/>
      <c r="F14" s="12"/>
      <c r="G14" s="13"/>
      <c r="H14" s="13"/>
      <c r="I14" s="10"/>
    </row>
    <row r="15" spans="1:18" ht="15" customHeight="1">
      <c r="A15" s="3"/>
      <c r="B15" s="18" t="str">
        <f>IF(DAY(JunSun1)=1,IF(AND(YEAR(JunSun1+29)=CalendarYear,MONTH(JunSun1+29)=6),JunSun1+29,""),IF(AND(YEAR(JunSun1+36)=CalendarYear,MONTH(JunSun1+36)=6),JunSun1+36,""))</f>
        <v/>
      </c>
      <c r="C15" s="19" t="str">
        <f>IF(DAY(JunSun1)=1,IF(AND(YEAR(JunSun1+30)=CalendarYear,MONTH(JunSun1+30)=6),JunSun1+30,""),IF(AND(YEAR(JunSun1+37)=CalendarYear,MONTH(JunSun1+37)=6),JunSun1+37,""))</f>
        <v/>
      </c>
      <c r="D15" s="26" t="s">
        <v>8</v>
      </c>
      <c r="E15" s="27"/>
      <c r="F15" s="27"/>
      <c r="G15" s="27"/>
      <c r="H15" s="28"/>
      <c r="I15" s="10"/>
    </row>
    <row r="16" spans="1:18" ht="55.5" customHeight="1">
      <c r="A16" s="3"/>
      <c r="B16" s="15"/>
      <c r="C16" s="15"/>
      <c r="D16" s="23"/>
      <c r="E16" s="24"/>
      <c r="F16" s="24"/>
      <c r="G16" s="24"/>
      <c r="H16" s="25"/>
      <c r="I16" s="10"/>
    </row>
    <row r="17" spans="3:5" ht="17.25" customHeight="1"/>
    <row r="19" spans="3:5" ht="21" customHeight="1">
      <c r="C19" s="20"/>
      <c r="D19" s="21"/>
      <c r="E19" s="22"/>
    </row>
    <row r="20" spans="3:5" ht="19.5" customHeight="1"/>
  </sheetData>
  <mergeCells count="3">
    <mergeCell ref="B3:F3"/>
    <mergeCell ref="D15:H15"/>
    <mergeCell ref="D16:H16"/>
  </mergeCells>
  <phoneticPr fontId="6" type="noConversion"/>
  <printOptions horizontalCentered="1" verticalCentered="1"/>
  <pageMargins left="0.2" right="0.2" top="0.25" bottom="0.25" header="0" footer="0"/>
  <pageSetup scale="68" orientation="landscape" r:id="rId1"/>
  <headerFooter scaleWithDoc="0"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7">
    <pageSetUpPr fitToPage="1"/>
  </sheetPr>
  <dimension ref="A1:R20"/>
  <sheetViews>
    <sheetView showGridLines="0" zoomScale="80" zoomScaleNormal="80" workbookViewId="0"/>
  </sheetViews>
  <sheetFormatPr defaultColWidth="6.6640625" defaultRowHeight="15"/>
  <cols>
    <col min="1" max="1" width="3.109375" style="4" customWidth="1"/>
    <col min="2" max="9" width="13.77734375" style="4" customWidth="1"/>
    <col min="10" max="10" width="12.6640625" style="4" customWidth="1"/>
    <col min="11" max="11" width="2.109375" style="4" customWidth="1"/>
    <col min="12" max="12" width="11.77734375" style="4" customWidth="1"/>
    <col min="13" max="13" width="11.33203125" style="4" customWidth="1"/>
    <col min="14" max="16384" width="6.6640625" style="4"/>
  </cols>
  <sheetData>
    <row r="1" spans="1:18" ht="15.75">
      <c r="A1" s="3"/>
    </row>
    <row r="2" spans="1:18" ht="26.25" customHeight="1">
      <c r="A2" s="3"/>
    </row>
    <row r="3" spans="1:18" ht="57.75" customHeight="1">
      <c r="A3" s="3"/>
      <c r="B3" s="29" t="str">
        <f>UPPER(TEXT(DATE(CalendarYear,7,1),"[$-404]mmmm yyyy"))</f>
        <v>七月 2011</v>
      </c>
      <c r="C3" s="29"/>
      <c r="D3" s="29"/>
      <c r="E3" s="29"/>
      <c r="F3" s="29"/>
    </row>
    <row r="4" spans="1:18" s="3" customFormat="1" ht="29.25" customHeight="1">
      <c r="B4" s="1" t="s">
        <v>0</v>
      </c>
      <c r="C4" s="6" t="s">
        <v>1</v>
      </c>
      <c r="D4" s="6" t="s">
        <v>2</v>
      </c>
      <c r="E4" s="6" t="s">
        <v>3</v>
      </c>
      <c r="F4" s="6" t="s">
        <v>4</v>
      </c>
      <c r="G4" s="6" t="s">
        <v>5</v>
      </c>
      <c r="H4" s="7" t="s">
        <v>6</v>
      </c>
      <c r="I4" s="4"/>
      <c r="J4" s="4"/>
      <c r="L4" s="4"/>
      <c r="M4" s="8"/>
      <c r="Q4" s="4"/>
      <c r="R4" s="4"/>
    </row>
    <row r="5" spans="1:18" s="3" customFormat="1" ht="15" customHeight="1">
      <c r="B5" s="9" t="str">
        <f>IF(DAY(JulSun1)=1,"",IF(AND(YEAR(JulSun1+1)=CalendarYear,MONTH(JulSun1+1)=7),JulSun1+1,""))</f>
        <v/>
      </c>
      <c r="C5" s="9" t="str">
        <f>IF(DAY(JulSun1)=1,"",IF(AND(YEAR(JulSun1+2)=CalendarYear,MONTH(JulSun1+2)=7),JulSun1+2,""))</f>
        <v/>
      </c>
      <c r="D5" s="9" t="str">
        <f>IF(DAY(JulSun1)=1,"",IF(AND(YEAR(JulSun1+3)=CalendarYear,MONTH(JulSun1+3)=7),JulSun1+3,""))</f>
        <v/>
      </c>
      <c r="E5" s="9" t="str">
        <f>IF(DAY(JulSun1)=1,"",IF(AND(YEAR(JulSun1+4)=CalendarYear,MONTH(JulSun1+4)=7),JulSun1+4,""))</f>
        <v/>
      </c>
      <c r="F5" s="9">
        <f>IF(DAY(JulSun1)=1,"",IF(AND(YEAR(JulSun1+5)=CalendarYear,MONTH(JulSun1+5)=7),JulSun1+5,""))</f>
        <v>40725</v>
      </c>
      <c r="G5" s="9">
        <f>IF(DAY(JulSun1)=1,"",IF(AND(YEAR(JulSun1+6)=CalendarYear,MONTH(JulSun1+6)=7),JulSun1+6,""))</f>
        <v>40726</v>
      </c>
      <c r="H5" s="9">
        <f>IF(DAY(JulSun1)=1,IF(AND(YEAR(JulSun1)=CalendarYear,MONTH(JulSun1)=7),JulSun1,""),IF(AND(YEAR(JulSun1+7)=CalendarYear,MONTH(JulSun1+7)=7),JulSun1+7,""))</f>
        <v>40727</v>
      </c>
      <c r="I5" s="10"/>
      <c r="K5" s="4"/>
      <c r="L5" s="4"/>
      <c r="M5" s="4"/>
      <c r="Q5" s="11"/>
      <c r="R5" s="4"/>
    </row>
    <row r="6" spans="1:18" s="11" customFormat="1" ht="55.5" customHeight="1">
      <c r="A6" s="3"/>
      <c r="B6" s="12"/>
      <c r="C6" s="12"/>
      <c r="D6" s="12"/>
      <c r="E6" s="12"/>
      <c r="F6" s="12"/>
      <c r="G6" s="13"/>
      <c r="H6" s="13"/>
      <c r="I6" s="10"/>
    </row>
    <row r="7" spans="1:18" ht="15" customHeight="1">
      <c r="A7" s="3"/>
      <c r="B7" s="14">
        <f>IF(DAY(JulSun1)=1,IF(AND(YEAR(JulSun1+1)=CalendarYear,MONTH(JulSun1+1)=7),JulSun1+1,""),IF(AND(YEAR(JulSun1+8)=CalendarYear,MONTH(JulSun1+8)=7),JulSun1+8,""))</f>
        <v>40728</v>
      </c>
      <c r="C7" s="14">
        <f>IF(DAY(JulSun1)=1,IF(AND(YEAR(JulSun1+2)=CalendarYear,MONTH(JulSun1+2)=7),JulSun1+2,""),IF(AND(YEAR(JulSun1+9)=CalendarYear,MONTH(JulSun1+9)=7),JulSun1+9,""))</f>
        <v>40729</v>
      </c>
      <c r="D7" s="14">
        <f>IF(DAY(JulSun1)=1,IF(AND(YEAR(JulSun1+3)=CalendarYear,MONTH(JulSun1+3)=7),JulSun1+3,""),IF(AND(YEAR(JulSun1+10)=CalendarYear,MONTH(JulSun1+10)=7),JulSun1+10,""))</f>
        <v>40730</v>
      </c>
      <c r="E7" s="14">
        <f>IF(DAY(JulSun1)=1,IF(AND(YEAR(JulSun1+4)=CalendarYear,MONTH(JulSun1+4)=7),JulSun1+4,""),IF(AND(YEAR(JulSun1+11)=CalendarYear,MONTH(JulSun1+11)=7),JulSun1+11,""))</f>
        <v>40731</v>
      </c>
      <c r="F7" s="14">
        <f>IF(DAY(JulSun1)=1,IF(AND(YEAR(JulSun1+5)=CalendarYear,MONTH(JulSun1+5)=7),JulSun1+5,""),IF(AND(YEAR(JulSun1+12)=CalendarYear,MONTH(JulSun1+12)=7),JulSun1+12,""))</f>
        <v>40732</v>
      </c>
      <c r="G7" s="14">
        <f>IF(DAY(JulSun1)=1,IF(AND(YEAR(JulSun1+6)=CalendarYear,MONTH(JulSun1+6)=7),JulSun1+6,""),IF(AND(YEAR(JulSun1+13)=CalendarYear,MONTH(JulSun1+13)=7),JulSun1+13,""))</f>
        <v>40733</v>
      </c>
      <c r="H7" s="14">
        <f>IF(DAY(JulSun1)=1,IF(AND(YEAR(JulSun1+7)=CalendarYear,MONTH(JulSun1+7)=7),JulSun1+7,""),IF(AND(YEAR(JulSun1+14)=CalendarYear,MONTH(JulSun1+14)=7),JulSun1+14,""))</f>
        <v>40734</v>
      </c>
      <c r="I7" s="10"/>
    </row>
    <row r="8" spans="1:18" ht="55.5" customHeight="1">
      <c r="A8" s="3"/>
      <c r="B8" s="15"/>
      <c r="C8" s="15"/>
      <c r="D8" s="15"/>
      <c r="E8" s="15"/>
      <c r="F8" s="15"/>
      <c r="G8" s="16"/>
      <c r="H8" s="16"/>
      <c r="I8" s="10"/>
    </row>
    <row r="9" spans="1:18" ht="15" customHeight="1">
      <c r="A9" s="3"/>
      <c r="B9" s="17">
        <f>IF(DAY(JulSun1)=1,IF(AND(YEAR(JulSun1+8)=CalendarYear,MONTH(JulSun1+8)=7),JulSun1+8,""),IF(AND(YEAR(JulSun1+15)=CalendarYear,MONTH(JulSun1+15)=7),JulSun1+15,""))</f>
        <v>40735</v>
      </c>
      <c r="C9" s="17">
        <f>IF(DAY(JulSun1)=1,IF(AND(YEAR(JulSun1+9)=CalendarYear,MONTH(JulSun1+9)=7),JulSun1+9,""),IF(AND(YEAR(JulSun1+16)=CalendarYear,MONTH(JulSun1+16)=7),JulSun1+16,""))</f>
        <v>40736</v>
      </c>
      <c r="D9" s="17">
        <f>IF(DAY(JulSun1)=1,IF(AND(YEAR(JulSun1+10)=CalendarYear,MONTH(JulSun1+10)=7),JulSun1+10,""),IF(AND(YEAR(JulSun1+17)=CalendarYear,MONTH(JulSun1+17)=7),JulSun1+17,""))</f>
        <v>40737</v>
      </c>
      <c r="E9" s="17">
        <f>IF(DAY(JulSun1)=1,IF(AND(YEAR(JulSun1+11)=CalendarYear,MONTH(JulSun1+11)=7),JulSun1+11,""),IF(AND(YEAR(JulSun1+18)=CalendarYear,MONTH(JulSun1+18)=7),JulSun1+18,""))</f>
        <v>40738</v>
      </c>
      <c r="F9" s="17">
        <f>IF(DAY(JulSun1)=1,IF(AND(YEAR(JulSun1+12)=CalendarYear,MONTH(JulSun1+12)=7),JulSun1+12,""),IF(AND(YEAR(JulSun1+19)=CalendarYear,MONTH(JulSun1+19)=7),JulSun1+19,""))</f>
        <v>40739</v>
      </c>
      <c r="G9" s="17">
        <f>IF(DAY(JulSun1)=1,IF(AND(YEAR(JulSun1+13)=CalendarYear,MONTH(JulSun1+13)=7),JulSun1+13,""),IF(AND(YEAR(JulSun1+20)=CalendarYear,MONTH(JulSun1+20)=7),JulSun1+20,""))</f>
        <v>40740</v>
      </c>
      <c r="H9" s="17">
        <f>IF(DAY(JulSun1)=1,IF(AND(YEAR(JulSun1+14)=CalendarYear,MONTH(JulSun1+14)=7),JulSun1+14,""),IF(AND(YEAR(JulSun1+21)=CalendarYear,MONTH(JulSun1+21)=7),JulSun1+21,""))</f>
        <v>40741</v>
      </c>
      <c r="I9" s="10"/>
    </row>
    <row r="10" spans="1:18" ht="55.5" customHeight="1">
      <c r="A10" s="3"/>
      <c r="B10" s="12"/>
      <c r="C10" s="12"/>
      <c r="D10" s="12"/>
      <c r="E10" s="12"/>
      <c r="F10" s="12"/>
      <c r="G10" s="13"/>
      <c r="H10" s="13"/>
      <c r="I10" s="10"/>
    </row>
    <row r="11" spans="1:18" ht="15" customHeight="1">
      <c r="A11" s="3"/>
      <c r="B11" s="18">
        <f>IF(DAY(JulSun1)=1,IF(AND(YEAR(JulSun1+15)=CalendarYear,MONTH(JulSun1+15)=7),JulSun1+15,""),IF(AND(YEAR(JulSun1+22)=CalendarYear,MONTH(JulSun1+22)=7),JulSun1+22,""))</f>
        <v>40742</v>
      </c>
      <c r="C11" s="18">
        <f>IF(DAY(JulSun1)=1,IF(AND(YEAR(JulSun1+16)=CalendarYear,MONTH(JulSun1+16)=7),JulSun1+16,""),IF(AND(YEAR(JulSun1+23)=CalendarYear,MONTH(JulSun1+23)=7),JulSun1+23,""))</f>
        <v>40743</v>
      </c>
      <c r="D11" s="18">
        <f>IF(DAY(JulSun1)=1,IF(AND(YEAR(JulSun1+17)=CalendarYear,MONTH(JulSun1+17)=7),JulSun1+17,""),IF(AND(YEAR(JulSun1+24)=CalendarYear,MONTH(JulSun1+24)=7),JulSun1+24,""))</f>
        <v>40744</v>
      </c>
      <c r="E11" s="18">
        <f>IF(DAY(JulSun1)=1,IF(AND(YEAR(JulSun1+18)=CalendarYear,MONTH(JulSun1+18)=7),JulSun1+18,""),IF(AND(YEAR(JulSun1+25)=CalendarYear,MONTH(JulSun1+25)=7),JulSun1+25,""))</f>
        <v>40745</v>
      </c>
      <c r="F11" s="18">
        <f>IF(DAY(JulSun1)=1,IF(AND(YEAR(JulSun1+19)=CalendarYear,MONTH(JulSun1+19)=7),JulSun1+19,""),IF(AND(YEAR(JulSun1+26)=CalendarYear,MONTH(JulSun1+26)=7),JulSun1+26,""))</f>
        <v>40746</v>
      </c>
      <c r="G11" s="18">
        <f>IF(DAY(JulSun1)=1,IF(AND(YEAR(JulSun1+20)=CalendarYear,MONTH(JulSun1+20)=7),JulSun1+20,""),IF(AND(YEAR(JulSun1+27)=CalendarYear,MONTH(JulSun1+27)=7),JulSun1+27,""))</f>
        <v>40747</v>
      </c>
      <c r="H11" s="18">
        <f>IF(DAY(JulSun1)=1,IF(AND(YEAR(JulSun1+21)=CalendarYear,MONTH(JulSun1+21)=7),JulSun1+21,""),IF(AND(YEAR(JulSun1+28)=CalendarYear,MONTH(JulSun1+28)=7),JulSun1+28,""))</f>
        <v>40748</v>
      </c>
      <c r="I11" s="10"/>
    </row>
    <row r="12" spans="1:18" ht="55.5" customHeight="1">
      <c r="A12" s="3"/>
      <c r="B12" s="15"/>
      <c r="C12" s="15"/>
      <c r="D12" s="15"/>
      <c r="E12" s="15"/>
      <c r="F12" s="15"/>
      <c r="G12" s="16"/>
      <c r="H12" s="16"/>
      <c r="I12" s="10"/>
    </row>
    <row r="13" spans="1:18" ht="15" customHeight="1">
      <c r="A13" s="3"/>
      <c r="B13" s="17">
        <f>IF(DAY(JulSun1)=1,IF(AND(YEAR(JulSun1+22)=CalendarYear,MONTH(JulSun1+22)=7),JulSun1+22,""),IF(AND(YEAR(JulSun1+29)=CalendarYear,MONTH(JulSun1+29)=7),JulSun1+29,""))</f>
        <v>40749</v>
      </c>
      <c r="C13" s="17">
        <f>IF(DAY(JulSun1)=1,IF(AND(YEAR(JulSun1+23)=CalendarYear,MONTH(JulSun1+23)=7),JulSun1+23,""),IF(AND(YEAR(JulSun1+30)=CalendarYear,MONTH(JulSun1+30)=7),JulSun1+30,""))</f>
        <v>40750</v>
      </c>
      <c r="D13" s="17">
        <f>IF(DAY(JulSun1)=1,IF(AND(YEAR(JulSun1+24)=CalendarYear,MONTH(JulSun1+24)=7),JulSun1+24,""),IF(AND(YEAR(JulSun1+31)=CalendarYear,MONTH(JulSun1+31)=7),JulSun1+31,""))</f>
        <v>40751</v>
      </c>
      <c r="E13" s="17">
        <f>IF(DAY(JulSun1)=1,IF(AND(YEAR(JulSun1+25)=CalendarYear,MONTH(JulSun1+25)=7),JulSun1+25,""),IF(AND(YEAR(JulSun1+32)=CalendarYear,MONTH(JulSun1+32)=7),JulSun1+32,""))</f>
        <v>40752</v>
      </c>
      <c r="F13" s="17">
        <f>IF(DAY(JulSun1)=1,IF(AND(YEAR(JulSun1+26)=CalendarYear,MONTH(JulSun1+26)=7),JulSun1+26,""),IF(AND(YEAR(JulSun1+33)=CalendarYear,MONTH(JulSun1+33)=7),JulSun1+33,""))</f>
        <v>40753</v>
      </c>
      <c r="G13" s="17">
        <f>IF(DAY(JulSun1)=1,IF(AND(YEAR(JulSun1+27)=CalendarYear,MONTH(JulSun1+27)=7),JulSun1+27,""),IF(AND(YEAR(JulSun1+34)=CalendarYear,MONTH(JulSun1+34)=7),JulSun1+34,""))</f>
        <v>40754</v>
      </c>
      <c r="H13" s="17">
        <f>IF(DAY(JulSun1)=1,IF(AND(YEAR(JulSun1+28)=CalendarYear,MONTH(JulSun1+28)=7),JulSun1+28,""),IF(AND(YEAR(JulSun1+35)=CalendarYear,MONTH(JulSun1+35)=7),JulSun1+35,""))</f>
        <v>40755</v>
      </c>
      <c r="I13" s="10"/>
    </row>
    <row r="14" spans="1:18" ht="55.5" customHeight="1">
      <c r="A14" s="3"/>
      <c r="B14" s="12"/>
      <c r="C14" s="12"/>
      <c r="D14" s="12"/>
      <c r="E14" s="12"/>
      <c r="F14" s="12"/>
      <c r="G14" s="13"/>
      <c r="H14" s="13"/>
      <c r="I14" s="10"/>
    </row>
    <row r="15" spans="1:18" ht="15" customHeight="1">
      <c r="A15" s="3"/>
      <c r="B15" s="18" t="str">
        <f>IF(DAY(JulSun1)=1,IF(AND(YEAR(JulSun1+29)=CalendarYear,MONTH(JulSun1+29)=7),JulSun1+29,""),IF(AND(YEAR(JulSun1+36)=CalendarYear,MONTH(JulSun1+36)=7),JulSun1+36,""))</f>
        <v/>
      </c>
      <c r="C15" s="19" t="str">
        <f>IF(DAY(JulSun1)=1,IF(AND(YEAR(JulSun1+30)=CalendarYear,MONTH(JulSun1+30)=7),JulSun1+30,""),IF(AND(YEAR(JulSun1+37)=CalendarYear,MONTH(JulSun1+37)=7),JulSun1+37,""))</f>
        <v/>
      </c>
      <c r="D15" s="26" t="s">
        <v>8</v>
      </c>
      <c r="E15" s="27"/>
      <c r="F15" s="27"/>
      <c r="G15" s="27"/>
      <c r="H15" s="28"/>
      <c r="I15" s="10"/>
    </row>
    <row r="16" spans="1:18" ht="55.5" customHeight="1">
      <c r="A16" s="3"/>
      <c r="B16" s="15"/>
      <c r="C16" s="15"/>
      <c r="D16" s="23"/>
      <c r="E16" s="24"/>
      <c r="F16" s="24"/>
      <c r="G16" s="24"/>
      <c r="H16" s="25"/>
      <c r="I16" s="10"/>
    </row>
    <row r="17" spans="3:5" ht="17.25" customHeight="1"/>
    <row r="19" spans="3:5" ht="21" customHeight="1">
      <c r="C19" s="20"/>
      <c r="D19" s="21"/>
      <c r="E19" s="22"/>
    </row>
    <row r="20" spans="3:5" ht="19.5" customHeight="1"/>
  </sheetData>
  <mergeCells count="3">
    <mergeCell ref="B3:F3"/>
    <mergeCell ref="D15:H15"/>
    <mergeCell ref="D16:H16"/>
  </mergeCells>
  <phoneticPr fontId="6" type="noConversion"/>
  <printOptions horizontalCentered="1" verticalCentered="1"/>
  <pageMargins left="0.2" right="0.2" top="0.25" bottom="0.25" header="0" footer="0"/>
  <pageSetup scale="68" orientation="landscape" r:id="rId1"/>
  <headerFooter scaleWithDoc="0"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8">
    <pageSetUpPr fitToPage="1"/>
  </sheetPr>
  <dimension ref="A1:R20"/>
  <sheetViews>
    <sheetView showGridLines="0" zoomScale="80" zoomScaleNormal="80" workbookViewId="0"/>
  </sheetViews>
  <sheetFormatPr defaultColWidth="6.6640625" defaultRowHeight="15"/>
  <cols>
    <col min="1" max="1" width="3.109375" style="4" customWidth="1"/>
    <col min="2" max="9" width="13.77734375" style="4" customWidth="1"/>
    <col min="10" max="10" width="12.6640625" style="4" customWidth="1"/>
    <col min="11" max="11" width="2.109375" style="4" customWidth="1"/>
    <col min="12" max="12" width="11.77734375" style="4" customWidth="1"/>
    <col min="13" max="13" width="11.33203125" style="4" customWidth="1"/>
    <col min="14" max="16384" width="6.6640625" style="4"/>
  </cols>
  <sheetData>
    <row r="1" spans="1:18" ht="15.75">
      <c r="A1" s="3"/>
    </row>
    <row r="2" spans="1:18" ht="26.25" customHeight="1">
      <c r="A2" s="3"/>
    </row>
    <row r="3" spans="1:18" ht="57.75" customHeight="1">
      <c r="A3" s="3"/>
      <c r="B3" s="29" t="str">
        <f>UPPER(TEXT(DATE(CalendarYear,8,1),"[$-404]mmmm yyyy"))</f>
        <v>八月 2011</v>
      </c>
      <c r="C3" s="29"/>
      <c r="D3" s="29"/>
      <c r="E3" s="29"/>
      <c r="F3" s="29"/>
    </row>
    <row r="4" spans="1:18" s="3" customFormat="1" ht="29.25" customHeight="1">
      <c r="B4" s="1" t="s">
        <v>0</v>
      </c>
      <c r="C4" s="6" t="s">
        <v>1</v>
      </c>
      <c r="D4" s="6" t="s">
        <v>2</v>
      </c>
      <c r="E4" s="6" t="s">
        <v>3</v>
      </c>
      <c r="F4" s="6" t="s">
        <v>4</v>
      </c>
      <c r="G4" s="6" t="s">
        <v>5</v>
      </c>
      <c r="H4" s="7" t="s">
        <v>6</v>
      </c>
      <c r="I4" s="4"/>
      <c r="J4" s="4"/>
      <c r="L4" s="4"/>
      <c r="M4" s="8"/>
      <c r="Q4" s="4"/>
      <c r="R4" s="4"/>
    </row>
    <row r="5" spans="1:18" s="3" customFormat="1" ht="15" customHeight="1">
      <c r="B5" s="9">
        <f>IF(DAY(AugSun1)=1,"",IF(AND(YEAR(AugSun1+1)=CalendarYear,MONTH(AugSun1+1)=8),AugSun1+1,""))</f>
        <v>40756</v>
      </c>
      <c r="C5" s="9">
        <f>IF(DAY(AugSun1)=1,"",IF(AND(YEAR(AugSun1+2)=CalendarYear,MONTH(AugSun1+2)=8),AugSun1+2,""))</f>
        <v>40757</v>
      </c>
      <c r="D5" s="9">
        <f>IF(DAY(AugSun1)=1,"",IF(AND(YEAR(AugSun1+3)=CalendarYear,MONTH(AugSun1+3)=8),AugSun1+3,""))</f>
        <v>40758</v>
      </c>
      <c r="E5" s="9">
        <f>IF(DAY(AugSun1)=1,"",IF(AND(YEAR(AugSun1+4)=CalendarYear,MONTH(AugSun1+4)=8),AugSun1+4,""))</f>
        <v>40759</v>
      </c>
      <c r="F5" s="9">
        <f>IF(DAY(AugSun1)=1,"",IF(AND(YEAR(AugSun1+5)=CalendarYear,MONTH(AugSun1+5)=8),AugSun1+5,""))</f>
        <v>40760</v>
      </c>
      <c r="G5" s="9">
        <f>IF(DAY(AugSun1)=1,"",IF(AND(YEAR(AugSun1+6)=CalendarYear,MONTH(AugSun1+6)=8),AugSun1+6,""))</f>
        <v>40761</v>
      </c>
      <c r="H5" s="9">
        <f>IF(DAY(AugSun1)=1,IF(AND(YEAR(AugSun1)=CalendarYear,MONTH(AugSun1)=8),AugSun1,""),IF(AND(YEAR(AugSun1+7)=CalendarYear,MONTH(AugSun1+7)=8),AugSun1+7,""))</f>
        <v>40762</v>
      </c>
      <c r="I5" s="10"/>
      <c r="K5" s="4"/>
      <c r="L5" s="4"/>
      <c r="M5" s="4"/>
      <c r="Q5" s="11"/>
      <c r="R5" s="4"/>
    </row>
    <row r="6" spans="1:18" s="11" customFormat="1" ht="55.5" customHeight="1">
      <c r="A6" s="3"/>
      <c r="B6" s="12"/>
      <c r="C6" s="12"/>
      <c r="D6" s="12"/>
      <c r="E6" s="12"/>
      <c r="F6" s="12"/>
      <c r="G6" s="13"/>
      <c r="H6" s="13"/>
      <c r="I6" s="10"/>
    </row>
    <row r="7" spans="1:18" ht="15" customHeight="1">
      <c r="A7" s="3"/>
      <c r="B7" s="14">
        <f>IF(DAY(AugSun1)=1,IF(AND(YEAR(AugSun1+1)=CalendarYear,MONTH(AugSun1+1)=8),AugSun1+1,""),IF(AND(YEAR(AugSun1+8)=CalendarYear,MONTH(AugSun1+8)=8),AugSun1+8,""))</f>
        <v>40763</v>
      </c>
      <c r="C7" s="14">
        <f>IF(DAY(AugSun1)=1,IF(AND(YEAR(AugSun1+2)=CalendarYear,MONTH(AugSun1+2)=8),AugSun1+2,""),IF(AND(YEAR(AugSun1+9)=CalendarYear,MONTH(AugSun1+9)=8),AugSun1+9,""))</f>
        <v>40764</v>
      </c>
      <c r="D7" s="14">
        <f>IF(DAY(AugSun1)=1,IF(AND(YEAR(AugSun1+3)=CalendarYear,MONTH(AugSun1+3)=8),AugSun1+3,""),IF(AND(YEAR(AugSun1+10)=CalendarYear,MONTH(AugSun1+10)=8),AugSun1+10,""))</f>
        <v>40765</v>
      </c>
      <c r="E7" s="14">
        <f>IF(DAY(AugSun1)=1,IF(AND(YEAR(AugSun1+4)=CalendarYear,MONTH(AugSun1+4)=8),AugSun1+4,""),IF(AND(YEAR(AugSun1+11)=CalendarYear,MONTH(AugSun1+11)=8),AugSun1+11,""))</f>
        <v>40766</v>
      </c>
      <c r="F7" s="14">
        <f>IF(DAY(AugSun1)=1,IF(AND(YEAR(AugSun1+5)=CalendarYear,MONTH(AugSun1+5)=8),AugSun1+5,""),IF(AND(YEAR(AugSun1+12)=CalendarYear,MONTH(AugSun1+12)=8),AugSun1+12,""))</f>
        <v>40767</v>
      </c>
      <c r="G7" s="14">
        <f>IF(DAY(AugSun1)=1,IF(AND(YEAR(AugSun1+6)=CalendarYear,MONTH(AugSun1+6)=8),AugSun1+6,""),IF(AND(YEAR(AugSun1+13)=CalendarYear,MONTH(AugSun1+13)=8),AugSun1+13,""))</f>
        <v>40768</v>
      </c>
      <c r="H7" s="14">
        <f>IF(DAY(AugSun1)=1,IF(AND(YEAR(AugSun1+7)=CalendarYear,MONTH(AugSun1+7)=8),AugSun1+7,""),IF(AND(YEAR(AugSun1+14)=CalendarYear,MONTH(AugSun1+14)=8),AugSun1+14,""))</f>
        <v>40769</v>
      </c>
      <c r="I7" s="10"/>
    </row>
    <row r="8" spans="1:18" ht="55.5" customHeight="1">
      <c r="A8" s="3"/>
      <c r="B8" s="15"/>
      <c r="C8" s="15"/>
      <c r="D8" s="15"/>
      <c r="E8" s="15"/>
      <c r="F8" s="15"/>
      <c r="G8" s="16"/>
      <c r="H8" s="16"/>
      <c r="I8" s="10"/>
    </row>
    <row r="9" spans="1:18" ht="15" customHeight="1">
      <c r="A9" s="3"/>
      <c r="B9" s="17">
        <f>IF(DAY(AugSun1)=1,IF(AND(YEAR(AugSun1+8)=CalendarYear,MONTH(AugSun1+8)=8),AugSun1+8,""),IF(AND(YEAR(AugSun1+15)=CalendarYear,MONTH(AugSun1+15)=8),AugSun1+15,""))</f>
        <v>40770</v>
      </c>
      <c r="C9" s="17">
        <f>IF(DAY(AugSun1)=1,IF(AND(YEAR(AugSun1+9)=CalendarYear,MONTH(AugSun1+9)=8),AugSun1+9,""),IF(AND(YEAR(AugSun1+16)=CalendarYear,MONTH(AugSun1+16)=8),AugSun1+16,""))</f>
        <v>40771</v>
      </c>
      <c r="D9" s="17">
        <f>IF(DAY(AugSun1)=1,IF(AND(YEAR(AugSun1+10)=CalendarYear,MONTH(AugSun1+10)=8),AugSun1+10,""),IF(AND(YEAR(AugSun1+17)=CalendarYear,MONTH(AugSun1+17)=8),AugSun1+17,""))</f>
        <v>40772</v>
      </c>
      <c r="E9" s="17">
        <f>IF(DAY(AugSun1)=1,IF(AND(YEAR(AugSun1+11)=CalendarYear,MONTH(AugSun1+11)=8),AugSun1+11,""),IF(AND(YEAR(AugSun1+18)=CalendarYear,MONTH(AugSun1+18)=8),AugSun1+18,""))</f>
        <v>40773</v>
      </c>
      <c r="F9" s="17">
        <f>IF(DAY(AugSun1)=1,IF(AND(YEAR(AugSun1+12)=CalendarYear,MONTH(AugSun1+12)=8),AugSun1+12,""),IF(AND(YEAR(AugSun1+19)=CalendarYear,MONTH(AugSun1+19)=8),AugSun1+19,""))</f>
        <v>40774</v>
      </c>
      <c r="G9" s="17">
        <f>IF(DAY(AugSun1)=1,IF(AND(YEAR(AugSun1+13)=CalendarYear,MONTH(AugSun1+13)=8),AugSun1+13,""),IF(AND(YEAR(AugSun1+20)=CalendarYear,MONTH(AugSun1+20)=8),AugSun1+20,""))</f>
        <v>40775</v>
      </c>
      <c r="H9" s="17">
        <f>IF(DAY(AugSun1)=1,IF(AND(YEAR(AugSun1+14)=CalendarYear,MONTH(AugSun1+14)=8),AugSun1+14,""),IF(AND(YEAR(AugSun1+21)=CalendarYear,MONTH(AugSun1+21)=8),AugSun1+21,""))</f>
        <v>40776</v>
      </c>
      <c r="I9" s="10"/>
    </row>
    <row r="10" spans="1:18" ht="55.5" customHeight="1">
      <c r="A10" s="3"/>
      <c r="B10" s="12"/>
      <c r="C10" s="12"/>
      <c r="D10" s="12"/>
      <c r="E10" s="12"/>
      <c r="F10" s="12"/>
      <c r="G10" s="13"/>
      <c r="H10" s="13"/>
      <c r="I10" s="10"/>
    </row>
    <row r="11" spans="1:18" ht="15" customHeight="1">
      <c r="A11" s="3"/>
      <c r="B11" s="18">
        <f>IF(DAY(AugSun1)=1,IF(AND(YEAR(AugSun1+15)=CalendarYear,MONTH(AugSun1+15)=8),AugSun1+15,""),IF(AND(YEAR(AugSun1+22)=CalendarYear,MONTH(AugSun1+22)=8),AugSun1+22,""))</f>
        <v>40777</v>
      </c>
      <c r="C11" s="18">
        <f>IF(DAY(AugSun1)=1,IF(AND(YEAR(AugSun1+16)=CalendarYear,MONTH(AugSun1+16)=8),AugSun1+16,""),IF(AND(YEAR(AugSun1+23)=CalendarYear,MONTH(AugSun1+23)=8),AugSun1+23,""))</f>
        <v>40778</v>
      </c>
      <c r="D11" s="18">
        <f>IF(DAY(AugSun1)=1,IF(AND(YEAR(AugSun1+17)=CalendarYear,MONTH(AugSun1+17)=8),AugSun1+17,""),IF(AND(YEAR(AugSun1+24)=CalendarYear,MONTH(AugSun1+24)=8),AugSun1+24,""))</f>
        <v>40779</v>
      </c>
      <c r="E11" s="18">
        <f>IF(DAY(AugSun1)=1,IF(AND(YEAR(AugSun1+18)=CalendarYear,MONTH(AugSun1+18)=8),AugSun1+18,""),IF(AND(YEAR(AugSun1+25)=CalendarYear,MONTH(AugSun1+25)=8),AugSun1+25,""))</f>
        <v>40780</v>
      </c>
      <c r="F11" s="18">
        <f>IF(DAY(AugSun1)=1,IF(AND(YEAR(AugSun1+19)=CalendarYear,MONTH(AugSun1+19)=8),AugSun1+19,""),IF(AND(YEAR(AugSun1+26)=CalendarYear,MONTH(AugSun1+26)=8),AugSun1+26,""))</f>
        <v>40781</v>
      </c>
      <c r="G11" s="18">
        <f>IF(DAY(AugSun1)=1,IF(AND(YEAR(AugSun1+20)=CalendarYear,MONTH(AugSun1+20)=8),AugSun1+20,""),IF(AND(YEAR(AugSun1+27)=CalendarYear,MONTH(AugSun1+27)=8),AugSun1+27,""))</f>
        <v>40782</v>
      </c>
      <c r="H11" s="18">
        <f>IF(DAY(AugSun1)=1,IF(AND(YEAR(AugSun1+21)=CalendarYear,MONTH(AugSun1+21)=8),AugSun1+21,""),IF(AND(YEAR(AugSun1+28)=CalendarYear,MONTH(AugSun1+28)=8),AugSun1+28,""))</f>
        <v>40783</v>
      </c>
      <c r="I11" s="10"/>
    </row>
    <row r="12" spans="1:18" ht="55.5" customHeight="1">
      <c r="A12" s="3"/>
      <c r="B12" s="15"/>
      <c r="C12" s="15"/>
      <c r="D12" s="15"/>
      <c r="E12" s="15"/>
      <c r="F12" s="15"/>
      <c r="G12" s="16"/>
      <c r="H12" s="16"/>
      <c r="I12" s="10"/>
    </row>
    <row r="13" spans="1:18" ht="15" customHeight="1">
      <c r="A13" s="3"/>
      <c r="B13" s="17">
        <f>IF(DAY(AugSun1)=1,IF(AND(YEAR(AugSun1+22)=CalendarYear,MONTH(AugSun1+22)=8),AugSun1+22,""),IF(AND(YEAR(AugSun1+29)=CalendarYear,MONTH(AugSun1+29)=8),AugSun1+29,""))</f>
        <v>40784</v>
      </c>
      <c r="C13" s="17">
        <f>IF(DAY(AugSun1)=1,IF(AND(YEAR(AugSun1+23)=CalendarYear,MONTH(AugSun1+23)=8),AugSun1+23,""),IF(AND(YEAR(AugSun1+30)=CalendarYear,MONTH(AugSun1+30)=8),AugSun1+30,""))</f>
        <v>40785</v>
      </c>
      <c r="D13" s="17">
        <f>IF(DAY(AugSun1)=1,IF(AND(YEAR(AugSun1+24)=CalendarYear,MONTH(AugSun1+24)=8),AugSun1+24,""),IF(AND(YEAR(AugSun1+31)=CalendarYear,MONTH(AugSun1+31)=8),AugSun1+31,""))</f>
        <v>40786</v>
      </c>
      <c r="E13" s="17" t="str">
        <f>IF(DAY(AugSun1)=1,IF(AND(YEAR(AugSun1+25)=CalendarYear,MONTH(AugSun1+25)=8),AugSun1+25,""),IF(AND(YEAR(AugSun1+32)=CalendarYear,MONTH(AugSun1+32)=8),AugSun1+32,""))</f>
        <v/>
      </c>
      <c r="F13" s="17" t="str">
        <f>IF(DAY(AugSun1)=1,IF(AND(YEAR(AugSun1+26)=CalendarYear,MONTH(AugSun1+26)=8),AugSun1+26,""),IF(AND(YEAR(AugSun1+33)=CalendarYear,MONTH(AugSun1+33)=8),AugSun1+33,""))</f>
        <v/>
      </c>
      <c r="G13" s="17" t="str">
        <f>IF(DAY(AugSun1)=1,IF(AND(YEAR(AugSun1+27)=CalendarYear,MONTH(AugSun1+27)=8),AugSun1+27,""),IF(AND(YEAR(AugSun1+34)=CalendarYear,MONTH(AugSun1+34)=8),AugSun1+34,""))</f>
        <v/>
      </c>
      <c r="H13" s="17" t="str">
        <f>IF(DAY(AugSun1)=1,IF(AND(YEAR(AugSun1+28)=CalendarYear,MONTH(AugSun1+28)=8),AugSun1+28,""),IF(AND(YEAR(AugSun1+35)=CalendarYear,MONTH(AugSun1+35)=8),AugSun1+35,""))</f>
        <v/>
      </c>
      <c r="I13" s="10"/>
    </row>
    <row r="14" spans="1:18" ht="55.5" customHeight="1">
      <c r="A14" s="3"/>
      <c r="B14" s="12"/>
      <c r="C14" s="12"/>
      <c r="D14" s="12"/>
      <c r="E14" s="12"/>
      <c r="F14" s="12"/>
      <c r="G14" s="13"/>
      <c r="H14" s="13"/>
      <c r="I14" s="10"/>
    </row>
    <row r="15" spans="1:18" ht="15" customHeight="1">
      <c r="A15" s="3"/>
      <c r="B15" s="18" t="str">
        <f>IF(DAY(AugSun1)=1,IF(AND(YEAR(AugSun1+29)=CalendarYear,MONTH(AugSun1+29)=8),AugSun1+29,""),IF(AND(YEAR(AugSun1+36)=CalendarYear,MONTH(AugSun1+36)=8),AugSun1+36,""))</f>
        <v/>
      </c>
      <c r="C15" s="19" t="str">
        <f>IF(DAY(AugSun1)=1,IF(AND(YEAR(AugSun1+30)=CalendarYear,MONTH(AugSun1+30)=8),AugSun1+30,""),IF(AND(YEAR(AugSun1+37)=CalendarYear,MONTH(AugSun1+37)=8),AugSun1+37,""))</f>
        <v/>
      </c>
      <c r="D15" s="26" t="s">
        <v>8</v>
      </c>
      <c r="E15" s="27"/>
      <c r="F15" s="27"/>
      <c r="G15" s="27"/>
      <c r="H15" s="28"/>
      <c r="I15" s="10"/>
    </row>
    <row r="16" spans="1:18" ht="55.5" customHeight="1">
      <c r="A16" s="3"/>
      <c r="B16" s="15"/>
      <c r="C16" s="15"/>
      <c r="D16" s="23"/>
      <c r="E16" s="24"/>
      <c r="F16" s="24"/>
      <c r="G16" s="24"/>
      <c r="H16" s="25"/>
      <c r="I16" s="10"/>
    </row>
    <row r="17" spans="3:5" ht="17.25" customHeight="1"/>
    <row r="19" spans="3:5" ht="21" customHeight="1">
      <c r="C19" s="20"/>
      <c r="D19" s="21"/>
      <c r="E19" s="22"/>
    </row>
    <row r="20" spans="3:5" ht="19.5" customHeight="1"/>
  </sheetData>
  <mergeCells count="3">
    <mergeCell ref="B3:F3"/>
    <mergeCell ref="D15:H15"/>
    <mergeCell ref="D16:H16"/>
  </mergeCells>
  <phoneticPr fontId="6" type="noConversion"/>
  <printOptions horizontalCentered="1" verticalCentered="1"/>
  <pageMargins left="0.2" right="0.2" top="0.25" bottom="0.25" header="0" footer="0"/>
  <pageSetup scale="68" orientation="landscape" r:id="rId1"/>
  <headerFooter scaleWithDoc="0"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9">
    <pageSetUpPr fitToPage="1"/>
  </sheetPr>
  <dimension ref="A1:R20"/>
  <sheetViews>
    <sheetView showGridLines="0" zoomScale="80" zoomScaleNormal="80" workbookViewId="0"/>
  </sheetViews>
  <sheetFormatPr defaultColWidth="6.6640625" defaultRowHeight="15"/>
  <cols>
    <col min="1" max="1" width="3.109375" style="4" customWidth="1"/>
    <col min="2" max="9" width="13.77734375" style="4" customWidth="1"/>
    <col min="10" max="10" width="12.6640625" style="4" customWidth="1"/>
    <col min="11" max="11" width="2.109375" style="4" customWidth="1"/>
    <col min="12" max="12" width="11.77734375" style="4" customWidth="1"/>
    <col min="13" max="13" width="11.33203125" style="4" customWidth="1"/>
    <col min="14" max="16384" width="6.6640625" style="4"/>
  </cols>
  <sheetData>
    <row r="1" spans="1:18" ht="15.75">
      <c r="A1" s="3"/>
    </row>
    <row r="2" spans="1:18" ht="26.25" customHeight="1">
      <c r="A2" s="3"/>
    </row>
    <row r="3" spans="1:18" ht="57.75" customHeight="1">
      <c r="A3" s="3"/>
      <c r="B3" s="29" t="str">
        <f>UPPER(TEXT(DATE(CalendarYear,9,1),"[$-404]mmmm yyyy"))</f>
        <v>九月 2011</v>
      </c>
      <c r="C3" s="29"/>
      <c r="D3" s="29"/>
      <c r="E3" s="29"/>
      <c r="F3" s="29"/>
    </row>
    <row r="4" spans="1:18" s="3" customFormat="1" ht="29.25" customHeight="1">
      <c r="B4" s="1" t="s">
        <v>0</v>
      </c>
      <c r="C4" s="6" t="s">
        <v>1</v>
      </c>
      <c r="D4" s="6" t="s">
        <v>2</v>
      </c>
      <c r="E4" s="6" t="s">
        <v>3</v>
      </c>
      <c r="F4" s="6" t="s">
        <v>4</v>
      </c>
      <c r="G4" s="6" t="s">
        <v>5</v>
      </c>
      <c r="H4" s="7" t="s">
        <v>6</v>
      </c>
      <c r="I4" s="4"/>
      <c r="J4" s="4"/>
      <c r="L4" s="4"/>
      <c r="M4" s="8"/>
      <c r="Q4" s="4"/>
      <c r="R4" s="4"/>
    </row>
    <row r="5" spans="1:18" s="3" customFormat="1" ht="15" customHeight="1">
      <c r="B5" s="9" t="str">
        <f>IF(DAY(SepSun1)=1,"",IF(AND(YEAR(SepSun1+1)=CalendarYear,MONTH(SepSun1+1)=9),SepSun1+1,""))</f>
        <v/>
      </c>
      <c r="C5" s="9" t="str">
        <f>IF(DAY(SepSun1)=1,"",IF(AND(YEAR(SepSun1+2)=CalendarYear,MONTH(SepSun1+2)=9),SepSun1+2,""))</f>
        <v/>
      </c>
      <c r="D5" s="9" t="str">
        <f>IF(DAY(SepSun1)=1,"",IF(AND(YEAR(SepSun1+3)=CalendarYear,MONTH(SepSun1+3)=9),SepSun1+3,""))</f>
        <v/>
      </c>
      <c r="E5" s="9">
        <f>IF(DAY(SepSun1)=1,"",IF(AND(YEAR(SepSun1+4)=CalendarYear,MONTH(SepSun1+4)=9),SepSun1+4,""))</f>
        <v>40787</v>
      </c>
      <c r="F5" s="9">
        <f>IF(DAY(SepSun1)=1,"",IF(AND(YEAR(SepSun1+5)=CalendarYear,MONTH(SepSun1+5)=9),SepSun1+5,""))</f>
        <v>40788</v>
      </c>
      <c r="G5" s="9">
        <f>IF(DAY(SepSun1)=1,"",IF(AND(YEAR(SepSun1+6)=CalendarYear,MONTH(SepSun1+6)=9),SepSun1+6,""))</f>
        <v>40789</v>
      </c>
      <c r="H5" s="9">
        <f>IF(DAY(SepSun1)=1,IF(AND(YEAR(SepSun1)=CalendarYear,MONTH(SepSun1)=9),SepSun1,""),IF(AND(YEAR(SepSun1+7)=CalendarYear,MONTH(SepSun1+7)=9),SepSun1+7,""))</f>
        <v>40790</v>
      </c>
      <c r="I5" s="10"/>
      <c r="K5" s="4"/>
      <c r="L5" s="4"/>
      <c r="M5" s="4"/>
      <c r="Q5" s="11"/>
      <c r="R5" s="4"/>
    </row>
    <row r="6" spans="1:18" s="11" customFormat="1" ht="55.5" customHeight="1">
      <c r="A6" s="3"/>
      <c r="B6" s="12"/>
      <c r="C6" s="12"/>
      <c r="D6" s="12"/>
      <c r="E6" s="12"/>
      <c r="F6" s="12"/>
      <c r="G6" s="13"/>
      <c r="H6" s="13"/>
      <c r="I6" s="10"/>
    </row>
    <row r="7" spans="1:18" ht="15" customHeight="1">
      <c r="A7" s="3"/>
      <c r="B7" s="14">
        <f>IF(DAY(SepSun1)=1,IF(AND(YEAR(SepSun1+1)=CalendarYear,MONTH(SepSun1+1)=9),SepSun1+1,""),IF(AND(YEAR(SepSun1+8)=CalendarYear,MONTH(SepSun1+8)=9),SepSun1+8,""))</f>
        <v>40791</v>
      </c>
      <c r="C7" s="14">
        <f>IF(DAY(SepSun1)=1,IF(AND(YEAR(SepSun1+2)=CalendarYear,MONTH(SepSun1+2)=9),SepSun1+2,""),IF(AND(YEAR(SepSun1+9)=CalendarYear,MONTH(SepSun1+9)=9),SepSun1+9,""))</f>
        <v>40792</v>
      </c>
      <c r="D7" s="14">
        <f>IF(DAY(SepSun1)=1,IF(AND(YEAR(SepSun1+3)=CalendarYear,MONTH(SepSun1+3)=9),SepSun1+3,""),IF(AND(YEAR(SepSun1+10)=CalendarYear,MONTH(SepSun1+10)=9),SepSun1+10,""))</f>
        <v>40793</v>
      </c>
      <c r="E7" s="14">
        <f>IF(DAY(SepSun1)=1,IF(AND(YEAR(SepSun1+4)=CalendarYear,MONTH(SepSun1+4)=9),SepSun1+4,""),IF(AND(YEAR(SepSun1+11)=CalendarYear,MONTH(SepSun1+11)=9),SepSun1+11,""))</f>
        <v>40794</v>
      </c>
      <c r="F7" s="14">
        <f>IF(DAY(SepSun1)=1,IF(AND(YEAR(SepSun1+5)=CalendarYear,MONTH(SepSun1+5)=9),SepSun1+5,""),IF(AND(YEAR(SepSun1+12)=CalendarYear,MONTH(SepSun1+12)=9),SepSun1+12,""))</f>
        <v>40795</v>
      </c>
      <c r="G7" s="14">
        <f>IF(DAY(SepSun1)=1,IF(AND(YEAR(SepSun1+6)=CalendarYear,MONTH(SepSun1+6)=9),SepSun1+6,""),IF(AND(YEAR(SepSun1+13)=CalendarYear,MONTH(SepSun1+13)=9),SepSun1+13,""))</f>
        <v>40796</v>
      </c>
      <c r="H7" s="14">
        <f>IF(DAY(SepSun1)=1,IF(AND(YEAR(SepSun1+7)=CalendarYear,MONTH(SepSun1+7)=9),SepSun1+7,""),IF(AND(YEAR(SepSun1+14)=CalendarYear,MONTH(SepSun1+14)=9),SepSun1+14,""))</f>
        <v>40797</v>
      </c>
      <c r="I7" s="10"/>
    </row>
    <row r="8" spans="1:18" ht="55.5" customHeight="1">
      <c r="A8" s="3"/>
      <c r="B8" s="15"/>
      <c r="C8" s="15"/>
      <c r="D8" s="15"/>
      <c r="E8" s="15"/>
      <c r="F8" s="15"/>
      <c r="G8" s="16"/>
      <c r="H8" s="16"/>
      <c r="I8" s="10"/>
    </row>
    <row r="9" spans="1:18" ht="15" customHeight="1">
      <c r="A9" s="3"/>
      <c r="B9" s="17">
        <f>IF(DAY(SepSun1)=1,IF(AND(YEAR(SepSun1+8)=CalendarYear,MONTH(SepSun1+8)=9),SepSun1+8,""),IF(AND(YEAR(SepSun1+15)=CalendarYear,MONTH(SepSun1+15)=9),SepSun1+15,""))</f>
        <v>40798</v>
      </c>
      <c r="C9" s="17">
        <f>IF(DAY(SepSun1)=1,IF(AND(YEAR(SepSun1+9)=CalendarYear,MONTH(SepSun1+9)=9),SepSun1+9,""),IF(AND(YEAR(SepSun1+16)=CalendarYear,MONTH(SepSun1+16)=9),SepSun1+16,""))</f>
        <v>40799</v>
      </c>
      <c r="D9" s="17">
        <f>IF(DAY(SepSun1)=1,IF(AND(YEAR(SepSun1+10)=CalendarYear,MONTH(SepSun1+10)=9),SepSun1+10,""),IF(AND(YEAR(SepSun1+17)=CalendarYear,MONTH(SepSun1+17)=9),SepSun1+17,""))</f>
        <v>40800</v>
      </c>
      <c r="E9" s="17">
        <f>IF(DAY(SepSun1)=1,IF(AND(YEAR(SepSun1+11)=CalendarYear,MONTH(SepSun1+11)=9),SepSun1+11,""),IF(AND(YEAR(SepSun1+18)=CalendarYear,MONTH(SepSun1+18)=9),SepSun1+18,""))</f>
        <v>40801</v>
      </c>
      <c r="F9" s="17">
        <f>IF(DAY(SepSun1)=1,IF(AND(YEAR(SepSun1+12)=CalendarYear,MONTH(SepSun1+12)=9),SepSun1+12,""),IF(AND(YEAR(SepSun1+19)=CalendarYear,MONTH(SepSun1+19)=9),SepSun1+19,""))</f>
        <v>40802</v>
      </c>
      <c r="G9" s="17">
        <f>IF(DAY(SepSun1)=1,IF(AND(YEAR(SepSun1+13)=CalendarYear,MONTH(SepSun1+13)=9),SepSun1+13,""),IF(AND(YEAR(SepSun1+20)=CalendarYear,MONTH(SepSun1+20)=9),SepSun1+20,""))</f>
        <v>40803</v>
      </c>
      <c r="H9" s="17">
        <f>IF(DAY(SepSun1)=1,IF(AND(YEAR(SepSun1+14)=CalendarYear,MONTH(SepSun1+14)=9),SepSun1+14,""),IF(AND(YEAR(SepSun1+21)=CalendarYear,MONTH(SepSun1+21)=9),SepSun1+21,""))</f>
        <v>40804</v>
      </c>
      <c r="I9" s="10"/>
    </row>
    <row r="10" spans="1:18" ht="55.5" customHeight="1">
      <c r="A10" s="3"/>
      <c r="B10" s="12"/>
      <c r="C10" s="12"/>
      <c r="D10" s="12"/>
      <c r="E10" s="12"/>
      <c r="F10" s="12"/>
      <c r="G10" s="13"/>
      <c r="H10" s="13"/>
      <c r="I10" s="10"/>
    </row>
    <row r="11" spans="1:18" ht="15" customHeight="1">
      <c r="A11" s="3"/>
      <c r="B11" s="18">
        <f>IF(DAY(SepSun1)=1,IF(AND(YEAR(SepSun1+15)=CalendarYear,MONTH(SepSun1+15)=9),SepSun1+15,""),IF(AND(YEAR(SepSun1+22)=CalendarYear,MONTH(SepSun1+22)=9),SepSun1+22,""))</f>
        <v>40805</v>
      </c>
      <c r="C11" s="18">
        <f>IF(DAY(SepSun1)=1,IF(AND(YEAR(SepSun1+16)=CalendarYear,MONTH(SepSun1+16)=9),SepSun1+16,""),IF(AND(YEAR(SepSun1+23)=CalendarYear,MONTH(SepSun1+23)=9),SepSun1+23,""))</f>
        <v>40806</v>
      </c>
      <c r="D11" s="18">
        <f>IF(DAY(SepSun1)=1,IF(AND(YEAR(SepSun1+17)=CalendarYear,MONTH(SepSun1+17)=9),SepSun1+17,""),IF(AND(YEAR(SepSun1+24)=CalendarYear,MONTH(SepSun1+24)=9),SepSun1+24,""))</f>
        <v>40807</v>
      </c>
      <c r="E11" s="18">
        <f>IF(DAY(SepSun1)=1,IF(AND(YEAR(SepSun1+18)=CalendarYear,MONTH(SepSun1+18)=9),SepSun1+18,""),IF(AND(YEAR(SepSun1+25)=CalendarYear,MONTH(SepSun1+25)=9),SepSun1+25,""))</f>
        <v>40808</v>
      </c>
      <c r="F11" s="18">
        <f>IF(DAY(SepSun1)=1,IF(AND(YEAR(SepSun1+19)=CalendarYear,MONTH(SepSun1+19)=9),SepSun1+19,""),IF(AND(YEAR(SepSun1+26)=CalendarYear,MONTH(SepSun1+26)=9),SepSun1+26,""))</f>
        <v>40809</v>
      </c>
      <c r="G11" s="18">
        <f>IF(DAY(SepSun1)=1,IF(AND(YEAR(SepSun1+20)=CalendarYear,MONTH(SepSun1+20)=9),SepSun1+20,""),IF(AND(YEAR(SepSun1+27)=CalendarYear,MONTH(SepSun1+27)=9),SepSun1+27,""))</f>
        <v>40810</v>
      </c>
      <c r="H11" s="18">
        <f>IF(DAY(SepSun1)=1,IF(AND(YEAR(SepSun1+21)=CalendarYear,MONTH(SepSun1+21)=9),SepSun1+21,""),IF(AND(YEAR(SepSun1+28)=CalendarYear,MONTH(SepSun1+28)=9),SepSun1+28,""))</f>
        <v>40811</v>
      </c>
      <c r="I11" s="10"/>
    </row>
    <row r="12" spans="1:18" ht="55.5" customHeight="1">
      <c r="A12" s="3"/>
      <c r="B12" s="15"/>
      <c r="C12" s="15"/>
      <c r="D12" s="15"/>
      <c r="E12" s="15"/>
      <c r="F12" s="15"/>
      <c r="G12" s="16"/>
      <c r="H12" s="16"/>
      <c r="I12" s="10"/>
    </row>
    <row r="13" spans="1:18" ht="15" customHeight="1">
      <c r="A13" s="3"/>
      <c r="B13" s="17">
        <f>IF(DAY(SepSun1)=1,IF(AND(YEAR(SepSun1+22)=CalendarYear,MONTH(SepSun1+22)=9),SepSun1+22,""),IF(AND(YEAR(SepSun1+29)=CalendarYear,MONTH(SepSun1+29)=9),SepSun1+29,""))</f>
        <v>40812</v>
      </c>
      <c r="C13" s="17">
        <f>IF(DAY(SepSun1)=1,IF(AND(YEAR(SepSun1+23)=CalendarYear,MONTH(SepSun1+23)=9),SepSun1+23,""),IF(AND(YEAR(SepSun1+30)=CalendarYear,MONTH(SepSun1+30)=9),SepSun1+30,""))</f>
        <v>40813</v>
      </c>
      <c r="D13" s="17">
        <f>IF(DAY(SepSun1)=1,IF(AND(YEAR(SepSun1+24)=CalendarYear,MONTH(SepSun1+24)=9),SepSun1+24,""),IF(AND(YEAR(SepSun1+31)=CalendarYear,MONTH(SepSun1+31)=9),SepSun1+31,""))</f>
        <v>40814</v>
      </c>
      <c r="E13" s="17">
        <f>IF(DAY(SepSun1)=1,IF(AND(YEAR(SepSun1+25)=CalendarYear,MONTH(SepSun1+25)=9),SepSun1+25,""),IF(AND(YEAR(SepSun1+32)=CalendarYear,MONTH(SepSun1+32)=9),SepSun1+32,""))</f>
        <v>40815</v>
      </c>
      <c r="F13" s="17">
        <f>IF(DAY(SepSun1)=1,IF(AND(YEAR(SepSun1+26)=CalendarYear,MONTH(SepSun1+26)=9),SepSun1+26,""),IF(AND(YEAR(SepSun1+33)=CalendarYear,MONTH(SepSun1+33)=9),SepSun1+33,""))</f>
        <v>40816</v>
      </c>
      <c r="G13" s="17" t="str">
        <f>IF(DAY(SepSun1)=1,IF(AND(YEAR(SepSun1+27)=CalendarYear,MONTH(SepSun1+27)=9),SepSun1+27,""),IF(AND(YEAR(SepSun1+34)=CalendarYear,MONTH(SepSun1+34)=9),SepSun1+34,""))</f>
        <v/>
      </c>
      <c r="H13" s="17" t="str">
        <f>IF(DAY(SepSun1)=1,IF(AND(YEAR(SepSun1+28)=CalendarYear,MONTH(SepSun1+28)=9),SepSun1+28,""),IF(AND(YEAR(SepSun1+35)=CalendarYear,MONTH(SepSun1+35)=9),SepSun1+35,""))</f>
        <v/>
      </c>
      <c r="I13" s="10"/>
    </row>
    <row r="14" spans="1:18" ht="55.5" customHeight="1">
      <c r="A14" s="3"/>
      <c r="B14" s="12"/>
      <c r="C14" s="12"/>
      <c r="D14" s="12"/>
      <c r="E14" s="12"/>
      <c r="F14" s="12"/>
      <c r="G14" s="13"/>
      <c r="H14" s="13"/>
      <c r="I14" s="10"/>
    </row>
    <row r="15" spans="1:18" ht="15" customHeight="1">
      <c r="A15" s="3"/>
      <c r="B15" s="18" t="str">
        <f>IF(DAY(SepSun1)=1,IF(AND(YEAR(SepSun1+29)=CalendarYear,MONTH(SepSun1+29)=9),SepSun1+29,""),IF(AND(YEAR(SepSun1+36)=CalendarYear,MONTH(SepSun1+36)=9),SepSun1+36,""))</f>
        <v/>
      </c>
      <c r="C15" s="19" t="str">
        <f>IF(DAY(SepSun1)=1,IF(AND(YEAR(SepSun1+30)=CalendarYear,MONTH(SepSun1+30)=9),SepSun1+30,""),IF(AND(YEAR(SepSun1+37)=CalendarYear,MONTH(SepSun1+37)=9),SepSun1+37,""))</f>
        <v/>
      </c>
      <c r="D15" s="26" t="s">
        <v>8</v>
      </c>
      <c r="E15" s="27"/>
      <c r="F15" s="27"/>
      <c r="G15" s="27"/>
      <c r="H15" s="28"/>
      <c r="I15" s="10"/>
    </row>
    <row r="16" spans="1:18" ht="55.5" customHeight="1">
      <c r="A16" s="3"/>
      <c r="B16" s="15"/>
      <c r="C16" s="15"/>
      <c r="D16" s="23"/>
      <c r="E16" s="24"/>
      <c r="F16" s="24"/>
      <c r="G16" s="24"/>
      <c r="H16" s="25"/>
      <c r="I16" s="10"/>
    </row>
    <row r="17" spans="3:5" ht="17.25" customHeight="1"/>
    <row r="19" spans="3:5" ht="21" customHeight="1">
      <c r="C19" s="20"/>
      <c r="D19" s="21"/>
      <c r="E19" s="22"/>
    </row>
    <row r="20" spans="3:5" ht="19.5" customHeight="1"/>
  </sheetData>
  <mergeCells count="3">
    <mergeCell ref="B3:F3"/>
    <mergeCell ref="D15:H15"/>
    <mergeCell ref="D16:H16"/>
  </mergeCells>
  <phoneticPr fontId="6" type="noConversion"/>
  <printOptions horizontalCentered="1" verticalCentered="1"/>
  <pageMargins left="0.2" right="0.2" top="0.25" bottom="0.25" header="0" footer="0"/>
  <pageSetup scale="68" orientation="landscape" r:id="rId1"/>
  <headerFooter scaleWithDoc="0"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irectSourceMarket xmlns="c66daf58-3c46-4c48-8560-c485e881f7f9">english</DirectSourceMarket>
    <ApprovalStatus xmlns="c66daf58-3c46-4c48-8560-c485e881f7f9">InProgress</ApprovalStatus>
    <MarketSpecific xmlns="c66daf58-3c46-4c48-8560-c485e881f7f9">false</MarketSpecific>
    <LocPublishedLinkedAssetsLookup xmlns="c66daf58-3c46-4c48-8560-c485e881f7f9" xsi:nil="true"/>
    <LocLastLocAttemptVersionTypeLookup xmlns="c66daf58-3c46-4c48-8560-c485e881f7f9" xsi:nil="true"/>
    <LocComments xmlns="c66daf58-3c46-4c48-8560-c485e881f7f9" xsi:nil="true"/>
    <ThumbnailAssetId xmlns="c66daf58-3c46-4c48-8560-c485e881f7f9" xsi:nil="true"/>
    <PrimaryImageGen xmlns="c66daf58-3c46-4c48-8560-c485e881f7f9">true</PrimaryImageGen>
    <LegacyData xmlns="c66daf58-3c46-4c48-8560-c485e881f7f9" xsi:nil="true"/>
    <LocNewPublishedVersionLookup xmlns="c66daf58-3c46-4c48-8560-c485e881f7f9" xsi:nil="true"/>
    <BlockPublish xmlns="c66daf58-3c46-4c48-8560-c485e881f7f9">false</BlockPublish>
    <BusinessGroup xmlns="c66daf58-3c46-4c48-8560-c485e881f7f9" xsi:nil="true"/>
    <TPFriendlyName xmlns="c66daf58-3c46-4c48-8560-c485e881f7f9" xsi:nil="true"/>
    <NumericId xmlns="c66daf58-3c46-4c48-8560-c485e881f7f9" xsi:nil="true"/>
    <LocOverallPublishStatusLookup xmlns="c66daf58-3c46-4c48-8560-c485e881f7f9" xsi:nil="true"/>
    <LocRecommendedHandoff xmlns="c66daf58-3c46-4c48-8560-c485e881f7f9" xsi:nil="true"/>
    <APEditor xmlns="c66daf58-3c46-4c48-8560-c485e881f7f9">
      <UserInfo>
        <DisplayName/>
        <AccountId xsi:nil="true"/>
        <AccountType/>
      </UserInfo>
    </APEditor>
    <SourceTitle xmlns="c66daf58-3c46-4c48-8560-c485e881f7f9" xsi:nil="true"/>
    <OpenTemplate xmlns="c66daf58-3c46-4c48-8560-c485e881f7f9">true</OpenTemplate>
    <LocOverallLocStatusLookup xmlns="c66daf58-3c46-4c48-8560-c485e881f7f9" xsi:nil="true"/>
    <UALocComments xmlns="c66daf58-3c46-4c48-8560-c485e881f7f9" xsi:nil="true"/>
    <IntlLangReviewDate xmlns="c66daf58-3c46-4c48-8560-c485e881f7f9" xsi:nil="true"/>
    <PublishStatusLookup xmlns="c66daf58-3c46-4c48-8560-c485e881f7f9">
      <Value>380839</Value>
      <Value>397003</Value>
    </PublishStatusLookup>
    <ParentAssetId xmlns="c66daf58-3c46-4c48-8560-c485e881f7f9" xsi:nil="true"/>
    <LastPublishResultLookup xmlns="c66daf58-3c46-4c48-8560-c485e881f7f9"/>
    <FeatureTagsTaxHTField0 xmlns="c66daf58-3c46-4c48-8560-c485e881f7f9">
      <Terms xmlns="http://schemas.microsoft.com/office/infopath/2007/PartnerControls"/>
    </FeatureTagsTaxHTField0>
    <MachineTranslated xmlns="c66daf58-3c46-4c48-8560-c485e881f7f9">false</MachineTranslated>
    <Providers xmlns="c66daf58-3c46-4c48-8560-c485e881f7f9" xsi:nil="true"/>
    <OriginalSourceMarket xmlns="c66daf58-3c46-4c48-8560-c485e881f7f9">english</OriginalSourceMarket>
    <APDescription xmlns="c66daf58-3c46-4c48-8560-c485e881f7f9" xsi:nil="true"/>
    <ClipArtFilename xmlns="c66daf58-3c46-4c48-8560-c485e881f7f9" xsi:nil="true"/>
    <ContentItem xmlns="c66daf58-3c46-4c48-8560-c485e881f7f9" xsi:nil="true"/>
    <TPInstallLocation xmlns="c66daf58-3c46-4c48-8560-c485e881f7f9" xsi:nil="true"/>
    <PublishTargets xmlns="c66daf58-3c46-4c48-8560-c485e881f7f9">OfficeOnline</PublishTargets>
    <TimesCloned xmlns="c66daf58-3c46-4c48-8560-c485e881f7f9" xsi:nil="true"/>
    <AssetStart xmlns="c66daf58-3c46-4c48-8560-c485e881f7f9">2011-02-21T07:34:00+00:00</AssetStart>
    <Provider xmlns="c66daf58-3c46-4c48-8560-c485e881f7f9" xsi:nil="true"/>
    <AcquiredFrom xmlns="c66daf58-3c46-4c48-8560-c485e881f7f9">Internal MS</AcquiredFrom>
    <FriendlyTitle xmlns="c66daf58-3c46-4c48-8560-c485e881f7f9" xsi:nil="true"/>
    <LastHandOff xmlns="c66daf58-3c46-4c48-8560-c485e881f7f9" xsi:nil="true"/>
    <TPClientViewer xmlns="c66daf58-3c46-4c48-8560-c485e881f7f9" xsi:nil="true"/>
    <ShowIn xmlns="c66daf58-3c46-4c48-8560-c485e881f7f9">Show everywhere</ShowIn>
    <UANotes xmlns="c66daf58-3c46-4c48-8560-c485e881f7f9" xsi:nil="true"/>
    <TemplateStatus xmlns="c66daf58-3c46-4c48-8560-c485e881f7f9" xsi:nil="true"/>
    <CSXHash xmlns="c66daf58-3c46-4c48-8560-c485e881f7f9" xsi:nil="true"/>
    <Downloads xmlns="c66daf58-3c46-4c48-8560-c485e881f7f9">0</Downloads>
    <VoteCount xmlns="c66daf58-3c46-4c48-8560-c485e881f7f9" xsi:nil="true"/>
    <OOCacheId xmlns="c66daf58-3c46-4c48-8560-c485e881f7f9" xsi:nil="true"/>
    <IsDeleted xmlns="c66daf58-3c46-4c48-8560-c485e881f7f9">false</IsDeleted>
    <InternalTagsTaxHTField0 xmlns="c66daf58-3c46-4c48-8560-c485e881f7f9">
      <Terms xmlns="http://schemas.microsoft.com/office/infopath/2007/PartnerControls"/>
    </InternalTagsTaxHTField0>
    <AssetExpire xmlns="c66daf58-3c46-4c48-8560-c485e881f7f9">2029-05-12T07:00:00+00:00</AssetExpire>
    <DSATActionTaken xmlns="c66daf58-3c46-4c48-8560-c485e881f7f9" xsi:nil="true"/>
    <CSXSubmissionMarket xmlns="c66daf58-3c46-4c48-8560-c485e881f7f9" xsi:nil="true"/>
    <LocPublishedDependentAssetsLookup xmlns="c66daf58-3c46-4c48-8560-c485e881f7f9" xsi:nil="true"/>
    <TPExecutable xmlns="c66daf58-3c46-4c48-8560-c485e881f7f9" xsi:nil="true"/>
    <EditorialTags xmlns="c66daf58-3c46-4c48-8560-c485e881f7f9" xsi:nil="true"/>
    <SubmitterId xmlns="c66daf58-3c46-4c48-8560-c485e881f7f9" xsi:nil="true"/>
    <ApprovalLog xmlns="c66daf58-3c46-4c48-8560-c485e881f7f9" xsi:nil="true"/>
    <AssetType xmlns="c66daf58-3c46-4c48-8560-c485e881f7f9">TP</AssetType>
    <BugNumber xmlns="c66daf58-3c46-4c48-8560-c485e881f7f9" xsi:nil="true"/>
    <CSXSubmissionDate xmlns="c66daf58-3c46-4c48-8560-c485e881f7f9" xsi:nil="true"/>
    <CSXUpdate xmlns="c66daf58-3c46-4c48-8560-c485e881f7f9">false</CSXUpdate>
    <Milestone xmlns="c66daf58-3c46-4c48-8560-c485e881f7f9" xsi:nil="true"/>
    <OriginAsset xmlns="c66daf58-3c46-4c48-8560-c485e881f7f9" xsi:nil="true"/>
    <TPComponent xmlns="c66daf58-3c46-4c48-8560-c485e881f7f9" xsi:nil="true"/>
    <RecommendationsModifier xmlns="c66daf58-3c46-4c48-8560-c485e881f7f9" xsi:nil="true"/>
    <AssetId xmlns="c66daf58-3c46-4c48-8560-c485e881f7f9">TP102550755</AssetId>
    <IntlLocPriority xmlns="c66daf58-3c46-4c48-8560-c485e881f7f9" xsi:nil="true"/>
    <PolicheckWords xmlns="c66daf58-3c46-4c48-8560-c485e881f7f9" xsi:nil="true"/>
    <TPLaunchHelpLink xmlns="c66daf58-3c46-4c48-8560-c485e881f7f9" xsi:nil="true"/>
    <TPApplication xmlns="c66daf58-3c46-4c48-8560-c485e881f7f9" xsi:nil="true"/>
    <CrawlForDependencies xmlns="c66daf58-3c46-4c48-8560-c485e881f7f9">false</CrawlForDependencies>
    <PlannedPubDate xmlns="c66daf58-3c46-4c48-8560-c485e881f7f9" xsi:nil="true"/>
    <HandoffToMSDN xmlns="c66daf58-3c46-4c48-8560-c485e881f7f9" xsi:nil="true"/>
    <IntlLangReviewer xmlns="c66daf58-3c46-4c48-8560-c485e881f7f9" xsi:nil="true"/>
    <TrustLevel xmlns="c66daf58-3c46-4c48-8560-c485e881f7f9">1 Microsoft Managed Content</TrustLevel>
    <LocLastLocAttemptVersionLookup xmlns="c66daf58-3c46-4c48-8560-c485e881f7f9">167063</LocLastLocAttemptVersionLookup>
    <LocProcessedForHandoffsLookup xmlns="c66daf58-3c46-4c48-8560-c485e881f7f9" xsi:nil="true"/>
    <IsSearchable xmlns="c66daf58-3c46-4c48-8560-c485e881f7f9">true</IsSearchable>
    <TemplateTemplateType xmlns="c66daf58-3c46-4c48-8560-c485e881f7f9">Excel Chart Template</TemplateTemplateType>
    <TPNamespace xmlns="c66daf58-3c46-4c48-8560-c485e881f7f9" xsi:nil="true"/>
    <CampaignTagsTaxHTField0 xmlns="c66daf58-3c46-4c48-8560-c485e881f7f9">
      <Terms xmlns="http://schemas.microsoft.com/office/infopath/2007/PartnerControls"/>
    </CampaignTagsTaxHTField0>
    <LocOverallPreviewStatusLookup xmlns="c66daf58-3c46-4c48-8560-c485e881f7f9" xsi:nil="true"/>
    <TaxCatchAll xmlns="c66daf58-3c46-4c48-8560-c485e881f7f9"/>
    <Markets xmlns="c66daf58-3c46-4c48-8560-c485e881f7f9"/>
    <UAProjectedTotalWords xmlns="c66daf58-3c46-4c48-8560-c485e881f7f9" xsi:nil="true"/>
    <IntlLangReview xmlns="c66daf58-3c46-4c48-8560-c485e881f7f9" xsi:nil="true"/>
    <OutputCachingOn xmlns="c66daf58-3c46-4c48-8560-c485e881f7f9">false</OutputCachingOn>
    <AverageRating xmlns="c66daf58-3c46-4c48-8560-c485e881f7f9" xsi:nil="true"/>
    <APAuthor xmlns="c66daf58-3c46-4c48-8560-c485e881f7f9">
      <UserInfo>
        <DisplayName/>
        <AccountId>2098</AccountId>
        <AccountType/>
      </UserInfo>
    </APAuthor>
    <TPCommandLine xmlns="c66daf58-3c46-4c48-8560-c485e881f7f9" xsi:nil="true"/>
    <TPAppVersion xmlns="c66daf58-3c46-4c48-8560-c485e881f7f9" xsi:nil="true"/>
    <LocManualTestRequired xmlns="c66daf58-3c46-4c48-8560-c485e881f7f9">false</LocManualTestRequired>
    <EditorialStatus xmlns="c66daf58-3c46-4c48-8560-c485e881f7f9" xsi:nil="true"/>
    <LastModifiedDateTime xmlns="c66daf58-3c46-4c48-8560-c485e881f7f9" xsi:nil="true"/>
    <TPLaunchHelpLinkType xmlns="c66daf58-3c46-4c48-8560-c485e881f7f9">Template</TPLaunchHelpLinkType>
    <LocProcessedForMarketsLookup xmlns="c66daf58-3c46-4c48-8560-c485e881f7f9" xsi:nil="true"/>
    <ScenarioTagsTaxHTField0 xmlns="c66daf58-3c46-4c48-8560-c485e881f7f9">
      <Terms xmlns="http://schemas.microsoft.com/office/infopath/2007/PartnerControls"/>
    </ScenarioTagsTaxHTField0>
    <LocalizationTagsTaxHTField0 xmlns="c66daf58-3c46-4c48-8560-c485e881f7f9">
      <Terms xmlns="http://schemas.microsoft.com/office/infopath/2007/PartnerControls"/>
    </LocalizationTagsTaxHTField0>
    <UACurrentWords xmlns="c66daf58-3c46-4c48-8560-c485e881f7f9" xsi:nil="true"/>
    <ArtSampleDocs xmlns="c66daf58-3c46-4c48-8560-c485e881f7f9" xsi:nil="true"/>
    <UALocRecommendation xmlns="c66daf58-3c46-4c48-8560-c485e881f7f9">Localize</UALocRecommendation>
    <Manager xmlns="c66daf58-3c46-4c48-8560-c485e881f7f9" xsi:nil="true"/>
    <LocOverallHandbackStatusLookup xmlns="c66daf58-3c46-4c48-8560-c485e881f7f9" xsi:nil="true"/>
    <OriginalRelease xmlns="c66daf58-3c46-4c48-8560-c485e881f7f9">14</OriginalRelease>
    <Component xmlns="8e8ea6d1-e150-4704-b47c-0a92d6aed386" xsi:nil="true"/>
    <Description0 xmlns="8e8ea6d1-e150-4704-b47c-0a92d6aed386" xsi:nil="true"/>
    <LocMarketGroupTiers2 xmlns="c66daf58-3c46-4c48-8560-c485e881f7f9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TemplateFile" ma:contentTypeID="0x0101009D4095AFEE790E42B52CF3AD35B999BF040086E71550AC00CE488731BAE03648ABFB" ma:contentTypeVersion="69" ma:contentTypeDescription="Create a new document." ma:contentTypeScope="" ma:versionID="19c8e0d4ec850202fc84bb6df7d27d5a">
  <xsd:schema xmlns:xsd="http://www.w3.org/2001/XMLSchema" xmlns:xs="http://www.w3.org/2001/XMLSchema" xmlns:p="http://schemas.microsoft.com/office/2006/metadata/properties" xmlns:ns2="c66daf58-3c46-4c48-8560-c485e881f7f9" xmlns:ns3="8e8ea6d1-e150-4704-b47c-0a92d6aed386" targetNamespace="http://schemas.microsoft.com/office/2006/metadata/properties" ma:root="true" ma:fieldsID="61474f05e94678c8e4bfc6326c72eb04" ns2:_="" ns3:_="">
    <xsd:import namespace="c66daf58-3c46-4c48-8560-c485e881f7f9"/>
    <xsd:import namespace="8e8ea6d1-e150-4704-b47c-0a92d6aed386"/>
    <xsd:element name="properties">
      <xsd:complexType>
        <xsd:sequence>
          <xsd:element name="documentManagement">
            <xsd:complexType>
              <xsd:all>
                <xsd:element ref="ns2:AcquiredFrom" minOccurs="0"/>
                <xsd:element ref="ns2:UACurrentWords" minOccurs="0"/>
                <xsd:element ref="ns2:TPApplication" minOccurs="0"/>
                <xsd:element ref="ns2:ApprovalLog" minOccurs="0"/>
                <xsd:element ref="ns2:ApprovalStatus" minOccurs="0"/>
                <xsd:element ref="ns2:AssetStart" minOccurs="0"/>
                <xsd:element ref="ns2:AssetExpire" minOccurs="0"/>
                <xsd:element ref="ns2:AssetId" minOccurs="0"/>
                <xsd:element ref="ns2:IsSearchable" minOccurs="0"/>
                <xsd:element ref="ns2:AssetType" minOccurs="0"/>
                <xsd:element ref="ns2:APAuthor" minOccurs="0"/>
                <xsd:element ref="ns2:AverageRating" minOccurs="0"/>
                <xsd:element ref="ns2:BlockPublish" minOccurs="0"/>
                <xsd:element ref="ns2:BugNumber" minOccurs="0"/>
                <xsd:element ref="ns2:CampaignTagsTaxHTField0" minOccurs="0"/>
                <xsd:element ref="ns2:TPClientViewer" minOccurs="0"/>
                <xsd:element ref="ns2:ClipArtFilename" minOccurs="0"/>
                <xsd:element ref="ns2:TPCommandLine" minOccurs="0"/>
                <xsd:element ref="ns2:TPComponent" minOccurs="0"/>
                <xsd:element ref="ns2:ContentItem" minOccurs="0"/>
                <xsd:element ref="ns2:CrawlForDependencies" minOccurs="0"/>
                <xsd:element ref="ns2:CSXHash" minOccurs="0"/>
                <xsd:element ref="ns2:CSXSubmissionMarket" minOccurs="0"/>
                <xsd:element ref="ns2:CSXUpdate" minOccurs="0"/>
                <xsd:element ref="ns2:IntlLangReviewDate" minOccurs="0"/>
                <xsd:element ref="ns2:IsDeleted" minOccurs="0"/>
                <xsd:element ref="ns2:APDescription" minOccurs="0"/>
                <xsd:element ref="ns2:DirectSourceMarket" minOccurs="0"/>
                <xsd:element ref="ns2:Downloads" minOccurs="0"/>
                <xsd:element ref="ns2:DSATActionTaken" minOccurs="0"/>
                <xsd:element ref="ns2:APEditor" minOccurs="0"/>
                <xsd:element ref="ns2:EditorialStatus" minOccurs="0"/>
                <xsd:element ref="ns2:EditorialTags" minOccurs="0"/>
                <xsd:element ref="ns2:TPExecutable" minOccurs="0"/>
                <xsd:element ref="ns2:FeatureTagsTaxHTField0" minOccurs="0"/>
                <xsd:element ref="ns2:TPFriendlyName" minOccurs="0"/>
                <xsd:element ref="ns2:FriendlyTitle" minOccurs="0"/>
                <xsd:element ref="ns2:PrimaryImageGen" minOccurs="0"/>
                <xsd:element ref="ns2:HandoffToMSDN" minOccurs="0"/>
                <xsd:element ref="ns2:InProjectListLookup" minOccurs="0"/>
                <xsd:element ref="ns2:TPInstallLocation" minOccurs="0"/>
                <xsd:element ref="ns2:InternalTagsTaxHTField0" minOccurs="0"/>
                <xsd:element ref="ns2:IntlLangReview" minOccurs="0"/>
                <xsd:element ref="ns2:IntlLangReviewer" minOccurs="0"/>
                <xsd:element ref="ns2:MarketSpecific" minOccurs="0"/>
                <xsd:element ref="ns2:LastCompleteVersionLookup" minOccurs="0"/>
                <xsd:element ref="ns2:LastHandOff" minOccurs="0"/>
                <xsd:element ref="ns2:LastModifiedDateTime" minOccurs="0"/>
                <xsd:element ref="ns2:LastPreviewErrorLookup" minOccurs="0"/>
                <xsd:element ref="ns2:LastPreviewResultLookup" minOccurs="0"/>
                <xsd:element ref="ns2:LastPreviewAttemptDateLookup" minOccurs="0"/>
                <xsd:element ref="ns2:LastPreviewedByLookup" minOccurs="0"/>
                <xsd:element ref="ns2:LastPreviewTimeLookup" minOccurs="0"/>
                <xsd:element ref="ns2:LastPreviewVersionLookup" minOccurs="0"/>
                <xsd:element ref="ns2:LastPublishErrorLookup" minOccurs="0"/>
                <xsd:element ref="ns2:LastPublishResultLookup" minOccurs="0"/>
                <xsd:element ref="ns2:LastPublishAttemptDateLookup" minOccurs="0"/>
                <xsd:element ref="ns2:LastPublishedByLookup" minOccurs="0"/>
                <xsd:element ref="ns2:LastPublishTimeLookup" minOccurs="0"/>
                <xsd:element ref="ns2:LastPublishVersionLookup" minOccurs="0"/>
                <xsd:element ref="ns2:TPLaunchHelpLinkType" minOccurs="0"/>
                <xsd:element ref="ns2:LegacyData" minOccurs="0"/>
                <xsd:element ref="ns2:TPLaunchHelpLink" minOccurs="0"/>
                <xsd:element ref="ns2:LocComments" minOccurs="0"/>
                <xsd:element ref="ns2:LocLastLocAttemptVersionLookup" minOccurs="0"/>
                <xsd:element ref="ns2:LocLastLocAttemptVersionTypeLookup" minOccurs="0"/>
                <xsd:element ref="ns2:LocManualTestRequired" minOccurs="0"/>
                <xsd:element ref="ns2:LocMarketGroupTiers2" minOccurs="0"/>
                <xsd:element ref="ns2:LocNewPublishedVersionLookup" minOccurs="0"/>
                <xsd:element ref="ns2:LocOverallHandbackStatusLookup" minOccurs="0"/>
                <xsd:element ref="ns2:LocOverallLocStatusLookup" minOccurs="0"/>
                <xsd:element ref="ns2:LocOverallPreviewStatusLookup" minOccurs="0"/>
                <xsd:element ref="ns2:LocOverallPublishStatusLookup" minOccurs="0"/>
                <xsd:element ref="ns2:IntlLocPriority" minOccurs="0"/>
                <xsd:element ref="ns2:LocProcessedForHandoffsLookup" minOccurs="0"/>
                <xsd:element ref="ns2:LocProcessedForMarketsLookup" minOccurs="0"/>
                <xsd:element ref="ns2:LocPublishedDependentAssetsLookup" minOccurs="0"/>
                <xsd:element ref="ns2:LocPublishedLinkedAssetsLookup" minOccurs="0"/>
                <xsd:element ref="ns2:LocRecommendedHandoff" minOccurs="0"/>
                <xsd:element ref="ns2:LocalizationTagsTaxHTField0" minOccurs="0"/>
                <xsd:element ref="ns2:MachineTranslated" minOccurs="0"/>
                <xsd:element ref="ns2:Manager" minOccurs="0"/>
                <xsd:element ref="ns2:Markets" minOccurs="0"/>
                <xsd:element ref="ns2:Milestone" minOccurs="0"/>
                <xsd:element ref="ns2:TPNamespace" minOccurs="0"/>
                <xsd:element ref="ns2:NumericId" minOccurs="0"/>
                <xsd:element ref="ns2:NumOfRatingsLookup" minOccurs="0"/>
                <xsd:element ref="ns2:OOCacheId" minOccurs="0"/>
                <xsd:element ref="ns2:OpenTemplate" minOccurs="0"/>
                <xsd:element ref="ns2:OriginAsset" minOccurs="0"/>
                <xsd:element ref="ns2:OriginalRelease" minOccurs="0"/>
                <xsd:element ref="ns2:OriginalSourceMarket" minOccurs="0"/>
                <xsd:element ref="ns2:OutputCachingOn" minOccurs="0"/>
                <xsd:element ref="ns2:ParentAssetId" minOccurs="0"/>
                <xsd:element ref="ns2:PlannedPubDate" minOccurs="0"/>
                <xsd:element ref="ns2:PolicheckWords" minOccurs="0"/>
                <xsd:element ref="ns2:BusinessGroup" minOccurs="0"/>
                <xsd:element ref="ns2:UAProjectedTotalWords" minOccurs="0"/>
                <xsd:element ref="ns2:Provider" minOccurs="0"/>
                <xsd:element ref="ns2:Providers" minOccurs="0"/>
                <xsd:element ref="ns2:PublishStatusLookup" minOccurs="0"/>
                <xsd:element ref="ns2:PublishTargets" minOccurs="0"/>
                <xsd:element ref="ns2:RecommendationsModifier" minOccurs="0"/>
                <xsd:element ref="ns2:ArtSampleDocs" minOccurs="0"/>
                <xsd:element ref="ns2:ScenarioTagsTaxHTField0" minOccurs="0"/>
                <xsd:element ref="ns2:ShowIn" minOccurs="0"/>
                <xsd:element ref="ns2:SourceTitle" minOccurs="0"/>
                <xsd:element ref="ns2:CSXSubmissionDate" minOccurs="0"/>
                <xsd:element ref="ns2:SubmitterId" minOccurs="0"/>
                <xsd:element ref="ns2:TaxCatchAll" minOccurs="0"/>
                <xsd:element ref="ns2:TaxCatchAllLabel" minOccurs="0"/>
                <xsd:element ref="ns2:TemplateStatus" minOccurs="0"/>
                <xsd:element ref="ns2:TemplateTemplateType" minOccurs="0"/>
                <xsd:element ref="ns2:ThumbnailAssetId" minOccurs="0"/>
                <xsd:element ref="ns2:TimesCloned" minOccurs="0"/>
                <xsd:element ref="ns2:TrustLevel" minOccurs="0"/>
                <xsd:element ref="ns2:UALocComments" minOccurs="0"/>
                <xsd:element ref="ns2:UALocRecommendation" minOccurs="0"/>
                <xsd:element ref="ns2:UANotes" minOccurs="0"/>
                <xsd:element ref="ns2:TPAppVersion" minOccurs="0"/>
                <xsd:element ref="ns2:VoteCount" minOccurs="0"/>
                <xsd:element ref="ns3:Description0" minOccurs="0"/>
                <xsd:element ref="ns3:Componen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66daf58-3c46-4c48-8560-c485e881f7f9" elementFormDefault="qualified">
    <xsd:import namespace="http://schemas.microsoft.com/office/2006/documentManagement/types"/>
    <xsd:import namespace="http://schemas.microsoft.com/office/infopath/2007/PartnerControls"/>
    <xsd:element name="AcquiredFrom" ma:index="1" nillable="true" ma:displayName="Acquired From" ma:default="Internal MS" ma:internalName="AcquiredFrom" ma:readOnly="false">
      <xsd:simpleType>
        <xsd:restriction base="dms:Choice">
          <xsd:enumeration value="Internal MS"/>
          <xsd:enumeration value="Community"/>
          <xsd:enumeration value="MVP"/>
          <xsd:enumeration value="Publisher"/>
          <xsd:enumeration value="Partner"/>
          <xsd:enumeration value="None"/>
        </xsd:restriction>
      </xsd:simpleType>
    </xsd:element>
    <xsd:element name="UACurrentWords" ma:index="2" nillable="true" ma:displayName="Actual Word Count" ma:default="" ma:internalName="UACurrentWords" ma:readOnly="false">
      <xsd:simpleType>
        <xsd:restriction base="dms:Unknown"/>
      </xsd:simpleType>
    </xsd:element>
    <xsd:element name="TPApplication" ma:index="3" nillable="true" ma:displayName="Application to Open Template With" ma:default="" ma:internalName="TPApplication">
      <xsd:simpleType>
        <xsd:restriction base="dms:Text"/>
      </xsd:simpleType>
    </xsd:element>
    <xsd:element name="ApprovalLog" ma:index="4" nillable="true" ma:displayName="Approval Log" ma:default="" ma:hidden="true" ma:internalName="ApprovalLog" ma:readOnly="false">
      <xsd:simpleType>
        <xsd:restriction base="dms:Note"/>
      </xsd:simpleType>
    </xsd:element>
    <xsd:element name="ApprovalStatus" ma:index="5" nillable="true" ma:displayName="Approval Status" ma:default="InProgress" ma:internalName="ApprovalStatus" ma:readOnly="false">
      <xsd:simpleType>
        <xsd:restriction base="dms:Choice">
          <xsd:enumeration value="InProgress"/>
          <xsd:enumeration value="Rejected"/>
          <xsd:enumeration value="Questionable"/>
          <xsd:enumeration value="ApprovedAutomatic"/>
          <xsd:enumeration value="ApprovedManual"/>
          <xsd:enumeration value="On Hold"/>
          <xsd:enumeration value="Needs Review"/>
          <xsd:enumeration value="A Violation"/>
          <xsd:enumeration value="Unpublished Violation"/>
        </xsd:restriction>
      </xsd:simpleType>
    </xsd:element>
    <xsd:element name="AssetStart" ma:index="6" nillable="true" ma:displayName="Asset Begin Date" ma:default="[Today]" ma:internalName="AssetStart" ma:readOnly="false">
      <xsd:simpleType>
        <xsd:restriction base="dms:DateTime"/>
      </xsd:simpleType>
    </xsd:element>
    <xsd:element name="AssetExpire" ma:index="7" nillable="true" ma:displayName="Asset End Date" ma:default="2029-01-01T00:00:00Z" ma:internalName="AssetExpire" ma:readOnly="false">
      <xsd:simpleType>
        <xsd:restriction base="dms:DateTime"/>
      </xsd:simpleType>
    </xsd:element>
    <xsd:element name="AssetId" ma:index="8" nillable="true" ma:displayName="Asset ID" ma:default="" ma:indexed="true" ma:internalName="AssetId" ma:readOnly="false">
      <xsd:simpleType>
        <xsd:restriction base="dms:Text">
          <xsd:maxLength value="255"/>
        </xsd:restriction>
      </xsd:simpleType>
    </xsd:element>
    <xsd:element name="IsSearchable" ma:index="9" nillable="true" ma:displayName="Asset Searchable?" ma:default="true" ma:internalName="IsSearchable" ma:readOnly="false">
      <xsd:simpleType>
        <xsd:restriction base="dms:Boolean"/>
      </xsd:simpleType>
    </xsd:element>
    <xsd:element name="AssetType" ma:index="10" nillable="true" ma:displayName="Asset Type" ma:default="" ma:internalName="AssetType" ma:readOnly="false">
      <xsd:simpleType>
        <xsd:restriction base="dms:Unknown"/>
      </xsd:simpleType>
    </xsd:element>
    <xsd:element name="APAuthor" ma:index="11" nillable="true" ma:displayName="Author" ma:default="" ma:list="UserInfo" ma:internalName="APAuth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AverageRating" ma:index="12" nillable="true" ma:displayName="Average Rating" ma:internalName="AverageRating" ma:readOnly="false">
      <xsd:simpleType>
        <xsd:restriction base="dms:Text"/>
      </xsd:simpleType>
    </xsd:element>
    <xsd:element name="BlockPublish" ma:index="13" nillable="true" ma:displayName="Block from Publishing?" ma:default="" ma:internalName="BlockPublish" ma:readOnly="false">
      <xsd:simpleType>
        <xsd:restriction base="dms:Boolean"/>
      </xsd:simpleType>
    </xsd:element>
    <xsd:element name="BugNumber" ma:index="14" nillable="true" ma:displayName="Bug Number" ma:default="" ma:internalName="BugNumber" ma:readOnly="false">
      <xsd:simpleType>
        <xsd:restriction base="dms:Text"/>
      </xsd:simpleType>
    </xsd:element>
    <xsd:element name="CampaignTagsTaxHTField0" ma:index="16" nillable="true" ma:taxonomy="true" ma:internalName="CampaignTagsTaxHTField0" ma:taxonomyFieldName="CampaignTags" ma:displayName="Campaigns" ma:readOnly="false" ma:default="" ma:fieldId="{7395a81f-9577-418e-910a-32f7a61cddb7}" ma:taxonomyMulti="true" ma:sspId="8f79753a-75d3-41f5-8ca3-40b843941b4f" ma:termSetId="ca0e50d4-faa1-44ce-961e-bb1441c60e6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ClientViewer" ma:index="17" nillable="true" ma:displayName="Client Viewer" ma:default="" ma:internalName="TPClientViewer">
      <xsd:simpleType>
        <xsd:restriction base="dms:Text"/>
      </xsd:simpleType>
    </xsd:element>
    <xsd:element name="ClipArtFilename" ma:index="18" nillable="true" ma:displayName="Clip Art Name" ma:default="" ma:internalName="ClipArtFilename" ma:readOnly="false">
      <xsd:simpleType>
        <xsd:restriction base="dms:Text"/>
      </xsd:simpleType>
    </xsd:element>
    <xsd:element name="TPCommandLine" ma:index="19" nillable="true" ma:displayName="Command Line" ma:default="" ma:internalName="TPCommandLine">
      <xsd:simpleType>
        <xsd:restriction base="dms:Text"/>
      </xsd:simpleType>
    </xsd:element>
    <xsd:element name="TPComponent" ma:index="20" nillable="true" ma:displayName="Component" ma:default="" ma:internalName="TPComponent">
      <xsd:simpleType>
        <xsd:restriction base="dms:Text"/>
      </xsd:simpleType>
    </xsd:element>
    <xsd:element name="ContentItem" ma:index="21" nillable="true" ma:displayName="Content Item" ma:default="" ma:hidden="true" ma:internalName="ContentItem" ma:readOnly="false">
      <xsd:simpleType>
        <xsd:restriction base="dms:Unknown"/>
      </xsd:simpleType>
    </xsd:element>
    <xsd:element name="CrawlForDependencies" ma:index="23" nillable="true" ma:displayName="Crawl for Dependencies?" ma:default="true" ma:internalName="CrawlForDependencies" ma:readOnly="false">
      <xsd:simpleType>
        <xsd:restriction base="dms:Boolean"/>
      </xsd:simpleType>
    </xsd:element>
    <xsd:element name="CSXHash" ma:index="26" nillable="true" ma:displayName="CSX Hash" ma:default="" ma:indexed="true" ma:internalName="CSXHash" ma:readOnly="false">
      <xsd:simpleType>
        <xsd:restriction base="dms:Text"/>
      </xsd:simpleType>
    </xsd:element>
    <xsd:element name="CSXSubmissionMarket" ma:index="27" nillable="true" ma:displayName="CSX Submission Market" ma:default="" ma:list="{5EEE958E-8061-4FA6-908C-FF1913BBCE99}" ma:internalName="CSXSubmissionMarket" ma:readOnly="false" ma:showField="MarketName" ma:web="c66daf58-3c46-4c48-8560-c485e881f7f9">
      <xsd:simpleType>
        <xsd:restriction base="dms:Lookup"/>
      </xsd:simpleType>
    </xsd:element>
    <xsd:element name="CSXUpdate" ma:index="28" nillable="true" ma:displayName="CSX Updated?" ma:default="false" ma:internalName="CSXUpdate" ma:readOnly="false">
      <xsd:simpleType>
        <xsd:restriction base="dms:Boolean"/>
      </xsd:simpleType>
    </xsd:element>
    <xsd:element name="IntlLangReviewDate" ma:index="29" nillable="true" ma:displayName="Date to Complete Intl QA" ma:default="" ma:internalName="IntlLangReviewDate" ma:readOnly="false">
      <xsd:simpleType>
        <xsd:restriction base="dms:DateTime"/>
      </xsd:simpleType>
    </xsd:element>
    <xsd:element name="IsDeleted" ma:index="30" nillable="true" ma:displayName="Deleted?" ma:default="" ma:internalName="IsDeleted" ma:readOnly="false">
      <xsd:simpleType>
        <xsd:restriction base="dms:Boolean"/>
      </xsd:simpleType>
    </xsd:element>
    <xsd:element name="APDescription" ma:index="31" nillable="true" ma:displayName="Description" ma:default="" ma:internalName="APDescription" ma:readOnly="false">
      <xsd:simpleType>
        <xsd:restriction base="dms:Note"/>
      </xsd:simpleType>
    </xsd:element>
    <xsd:element name="DirectSourceMarket" ma:index="32" nillable="true" ma:displayName="Direct Source Market Group" ma:default="" ma:internalName="DirectSourceMarket" ma:readOnly="false">
      <xsd:simpleType>
        <xsd:restriction base="dms:Text"/>
      </xsd:simpleType>
    </xsd:element>
    <xsd:element name="Downloads" ma:index="33" nillable="true" ma:displayName="Downloads" ma:default="0" ma:hidden="true" ma:internalName="Downloads" ma:readOnly="false">
      <xsd:simpleType>
        <xsd:restriction base="dms:Unknown"/>
      </xsd:simpleType>
    </xsd:element>
    <xsd:element name="DSATActionTaken" ma:index="34" nillable="true" ma:displayName="DSAT Action Taken" ma:default="" ma:internalName="DSATActionTaken" ma:readOnly="false">
      <xsd:simpleType>
        <xsd:restriction base="dms:Choice">
          <xsd:enumeration value="Best Bets"/>
          <xsd:enumeration value="Expire"/>
          <xsd:enumeration value="Hide"/>
          <xsd:enumeration value="None"/>
        </xsd:restriction>
      </xsd:simpleType>
    </xsd:element>
    <xsd:element name="APEditor" ma:index="35" nillable="true" ma:displayName="Editor" ma:default="" ma:list="UserInfo" ma:internalName="APEdit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ditorialStatus" ma:index="36" nillable="true" ma:displayName="Editorial Status" ma:default="" ma:internalName="EditorialStatus" ma:readOnly="false">
      <xsd:simpleType>
        <xsd:restriction base="dms:Unknown"/>
      </xsd:simpleType>
    </xsd:element>
    <xsd:element name="EditorialTags" ma:index="37" nillable="true" ma:displayName="Editorial Tags" ma:default="" ma:internalName="EditorialTags">
      <xsd:simpleType>
        <xsd:restriction base="dms:Unknown"/>
      </xsd:simpleType>
    </xsd:element>
    <xsd:element name="TPExecutable" ma:index="38" nillable="true" ma:displayName="Executable" ma:default="" ma:internalName="TPExecutable">
      <xsd:simpleType>
        <xsd:restriction base="dms:Text"/>
      </xsd:simpleType>
    </xsd:element>
    <xsd:element name="FeatureTagsTaxHTField0" ma:index="40" nillable="true" ma:taxonomy="true" ma:internalName="FeatureTagsTaxHTField0" ma:taxonomyFieldName="FeatureTags" ma:displayName="Features" ma:readOnly="false" ma:default="" ma:fieldId="{c3aa597f-d352-4d18-b6bb-dd7b199309e2}" ma:taxonomyMulti="true" ma:sspId="8f79753a-75d3-41f5-8ca3-40b843941b4f" ma:termSetId="f1ab6845-967d-4854-a0ba-4ec07f0f811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FriendlyName" ma:index="41" nillable="true" ma:displayName="Friendly Name" ma:default="" ma:internalName="TPFriendlyName">
      <xsd:simpleType>
        <xsd:restriction base="dms:Text"/>
      </xsd:simpleType>
    </xsd:element>
    <xsd:element name="FriendlyTitle" ma:index="42" nillable="true" ma:displayName="Friendly Title" ma:default="" ma:description="Shorter title to be used when displaying search results" ma:internalName="FriendlyTitle" ma:readOnly="false">
      <xsd:simpleType>
        <xsd:restriction base="dms:Text"/>
      </xsd:simpleType>
    </xsd:element>
    <xsd:element name="PrimaryImageGen" ma:index="43" nillable="true" ma:displayName="Generate Images?" ma:default="true" ma:internalName="PrimaryImageGen">
      <xsd:simpleType>
        <xsd:restriction base="dms:Boolean"/>
      </xsd:simpleType>
    </xsd:element>
    <xsd:element name="HandoffToMSDN" ma:index="44" nillable="true" ma:displayName="Handoff To MSDN Date" ma:default="" ma:internalName="HandoffToMSDN" ma:readOnly="false">
      <xsd:simpleType>
        <xsd:restriction base="dms:DateTime"/>
      </xsd:simpleType>
    </xsd:element>
    <xsd:element name="InProjectListLookup" ma:index="45" nillable="true" ma:displayName="InProjectListLookup" ma:list="{4424DF09-D473-47CB-8F99-CE4C88C30A56}" ma:internalName="InProjectListLookup" ma:readOnly="true" ma:showField="InProjectList" ma:web="c66daf58-3c46-4c48-8560-c485e881f7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InstallLocation" ma:index="46" nillable="true" ma:displayName="Install Location" ma:default="" ma:internalName="TPInstallLocation">
      <xsd:simpleType>
        <xsd:restriction base="dms:Text"/>
      </xsd:simpleType>
    </xsd:element>
    <xsd:element name="InternalTagsTaxHTField0" ma:index="48" nillable="true" ma:taxonomy="true" ma:internalName="InternalTagsTaxHTField0" ma:taxonomyFieldName="InternalTags" ma:displayName="Internal Tags" ma:readOnly="false" ma:default="" ma:fieldId="{c392861a-3365-44e0-a108-b907e1530f9f}" ma:taxonomyMulti="true" ma:sspId="8f79753a-75d3-41f5-8ca3-40b843941b4f" ma:termSetId="82b6639e-f7fc-4c18-ad2d-003a6e70776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ntlLangReview" ma:index="49" nillable="true" ma:displayName="Intl Lang QA Review Required?" ma:default="" ma:internalName="IntlLangReview" ma:readOnly="false">
      <xsd:simpleType>
        <xsd:restriction base="dms:Boolean"/>
      </xsd:simpleType>
    </xsd:element>
    <xsd:element name="IntlLangReviewer" ma:index="50" nillable="true" ma:displayName="Intl Lang QA Reviewer" ma:default="" ma:internalName="IntlLangReviewer" ma:readOnly="false">
      <xsd:simpleType>
        <xsd:restriction base="dms:Text"/>
      </xsd:simpleType>
    </xsd:element>
    <xsd:element name="MarketSpecific" ma:index="51" nillable="true" ma:displayName="Is Market Specific?" ma:default="" ma:internalName="MarketSpecific" ma:readOnly="false">
      <xsd:simpleType>
        <xsd:restriction base="dms:Boolean"/>
      </xsd:simpleType>
    </xsd:element>
    <xsd:element name="LastCompleteVersionLookup" ma:index="52" nillable="true" ma:displayName="Last Complete Version Lookup" ma:default="" ma:list="{4424DF09-D473-47CB-8F99-CE4C88C30A56}" ma:internalName="LastCompleteVersionLookup" ma:readOnly="true" ma:showField="LastCompleteVersion" ma:web="c66daf58-3c46-4c48-8560-c485e881f7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HandOff" ma:index="53" nillable="true" ma:displayName="Last Hand-off" ma:default="" ma:internalName="LastHandOff" ma:readOnly="false">
      <xsd:simpleType>
        <xsd:restriction base="dms:DateTime"/>
      </xsd:simpleType>
    </xsd:element>
    <xsd:element name="LastModifiedDateTime" ma:index="54" nillable="true" ma:displayName="Last Modified Date" ma:default="" ma:internalName="LastModifiedDateTime" ma:readOnly="false">
      <xsd:simpleType>
        <xsd:restriction base="dms:DateTime"/>
      </xsd:simpleType>
    </xsd:element>
    <xsd:element name="LastPreviewErrorLookup" ma:index="55" nillable="true" ma:displayName="Last Preview Attempt Error" ma:default="" ma:list="{4424DF09-D473-47CB-8F99-CE4C88C30A56}" ma:internalName="LastPreviewErrorLookup" ma:readOnly="true" ma:showField="LastPreviewError" ma:web="c66daf58-3c46-4c48-8560-c485e881f7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ResultLookup" ma:index="56" nillable="true" ma:displayName="Last Preview Attempt Result" ma:default="" ma:list="{4424DF09-D473-47CB-8F99-CE4C88C30A56}" ma:internalName="LastPreviewResultLookup" ma:readOnly="true" ma:showField="LastPreviewResult" ma:web="c66daf58-3c46-4c48-8560-c485e881f7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AttemptDateLookup" ma:index="57" nillable="true" ma:displayName="Last Preview Attempted On" ma:default="" ma:list="{4424DF09-D473-47CB-8F99-CE4C88C30A56}" ma:internalName="LastPreviewAttemptDateLookup" ma:readOnly="true" ma:showField="LastPreviewAttemptDate" ma:web="c66daf58-3c46-4c48-8560-c485e881f7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edByLookup" ma:index="58" nillable="true" ma:displayName="Last Previewed By" ma:default="" ma:list="{4424DF09-D473-47CB-8F99-CE4C88C30A56}" ma:internalName="LastPreviewedByLookup" ma:readOnly="true" ma:showField="LastPreviewedBy" ma:web="c66daf58-3c46-4c48-8560-c485e881f7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TimeLookup" ma:index="59" nillable="true" ma:displayName="Last Previewed Date" ma:default="" ma:list="{4424DF09-D473-47CB-8F99-CE4C88C30A56}" ma:internalName="LastPreviewTimeLookup" ma:readOnly="true" ma:showField="LastPreviewTime" ma:web="c66daf58-3c46-4c48-8560-c485e881f7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VersionLookup" ma:index="60" nillable="true" ma:displayName="Last Previewed Version" ma:default="" ma:list="{4424DF09-D473-47CB-8F99-CE4C88C30A56}" ma:internalName="LastPreviewVersionLookup" ma:readOnly="true" ma:showField="LastPreviewVersion" ma:web="c66daf58-3c46-4c48-8560-c485e881f7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rrorLookup" ma:index="61" nillable="true" ma:displayName="Last Publish Attempt Error" ma:default="" ma:list="{4424DF09-D473-47CB-8F99-CE4C88C30A56}" ma:internalName="LastPublishErrorLookup" ma:readOnly="true" ma:showField="LastPublishError" ma:web="c66daf58-3c46-4c48-8560-c485e881f7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ResultLookup" ma:index="62" nillable="true" ma:displayName="Last Publish Attempt Result" ma:default="" ma:list="{4424DF09-D473-47CB-8F99-CE4C88C30A56}" ma:internalName="LastPublishResultLookup" ma:readOnly="true" ma:showField="LastPublishResult" ma:web="c66daf58-3c46-4c48-8560-c485e881f7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AttemptDateLookup" ma:index="63" nillable="true" ma:displayName="Last Publish Attempted On" ma:default="" ma:list="{4424DF09-D473-47CB-8F99-CE4C88C30A56}" ma:internalName="LastPublishAttemptDateLookup" ma:readOnly="true" ma:showField="LastPublishAttemptDate" ma:web="c66daf58-3c46-4c48-8560-c485e881f7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dByLookup" ma:index="64" nillable="true" ma:displayName="Last Published By" ma:default="" ma:list="{4424DF09-D473-47CB-8F99-CE4C88C30A56}" ma:internalName="LastPublishedByLookup" ma:readOnly="true" ma:showField="LastPublishedBy" ma:web="c66daf58-3c46-4c48-8560-c485e881f7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TimeLookup" ma:index="65" nillable="true" ma:displayName="Last Published Date" ma:default="" ma:list="{4424DF09-D473-47CB-8F99-CE4C88C30A56}" ma:internalName="LastPublishTimeLookup" ma:readOnly="true" ma:showField="LastPublishTime" ma:web="c66daf58-3c46-4c48-8560-c485e881f7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VersionLookup" ma:index="66" nillable="true" ma:displayName="Last Published Version" ma:default="" ma:list="{4424DF09-D473-47CB-8F99-CE4C88C30A56}" ma:internalName="LastPublishVersionLookup" ma:readOnly="true" ma:showField="LastPublishVersion" ma:web="c66daf58-3c46-4c48-8560-c485e881f7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LaunchHelpLinkType" ma:index="67" nillable="true" ma:displayName="Launch Help Link Type" ma:default="Template" ma:internalName="TPLaunchHelpLinkType">
      <xsd:simpleType>
        <xsd:restriction base="dms:Choice">
          <xsd:enumeration value="Template"/>
          <xsd:enumeration value="Training"/>
          <xsd:enumeration value="URL"/>
          <xsd:enumeration value="None"/>
        </xsd:restriction>
      </xsd:simpleType>
    </xsd:element>
    <xsd:element name="LegacyData" ma:index="68" nillable="true" ma:displayName="Legacy Data" ma:default="" ma:internalName="LegacyData" ma:readOnly="false">
      <xsd:simpleType>
        <xsd:restriction base="dms:Note"/>
      </xsd:simpleType>
    </xsd:element>
    <xsd:element name="TPLaunchHelpLink" ma:index="69" nillable="true" ma:displayName="Link to Launch Help Topic" ma:default="" ma:internalName="TPLaunchHelpLink">
      <xsd:simpleType>
        <xsd:restriction base="dms:Text"/>
      </xsd:simpleType>
    </xsd:element>
    <xsd:element name="LocComments" ma:index="70" nillable="true" ma:displayName="Loc Approval Comments" ma:default="" ma:internalName="LocComments" ma:readOnly="false">
      <xsd:simpleType>
        <xsd:restriction base="dms:Note"/>
      </xsd:simpleType>
    </xsd:element>
    <xsd:element name="LocLastLocAttemptVersionLookup" ma:index="71" nillable="true" ma:displayName="Loc Last Loc Attempt Version" ma:default="" ma:list="{B02123C9-D1B3-425D-A38A-7FDEACDA3FC6}" ma:internalName="LocLastLocAttemptVersionLookup" ma:readOnly="false" ma:showField="LastLocAttemptVersion" ma:web="c66daf58-3c46-4c48-8560-c485e881f7f9">
      <xsd:simpleType>
        <xsd:restriction base="dms:Lookup"/>
      </xsd:simpleType>
    </xsd:element>
    <xsd:element name="LocLastLocAttemptVersionTypeLookup" ma:index="72" nillable="true" ma:displayName="Loc Last Loc Attempt Version Type" ma:default="" ma:list="{B02123C9-D1B3-425D-A38A-7FDEACDA3FC6}" ma:internalName="LocLastLocAttemptVersionTypeLookup" ma:readOnly="true" ma:showField="LastLocAttemptVersionType" ma:web="c66daf58-3c46-4c48-8560-c485e881f7f9">
      <xsd:simpleType>
        <xsd:restriction base="dms:Lookup"/>
      </xsd:simpleType>
    </xsd:element>
    <xsd:element name="LocManualTestRequired" ma:index="73" nillable="true" ma:displayName="Loc Manual Test Required" ma:default="" ma:internalName="LocManualTestRequired" ma:readOnly="false">
      <xsd:simpleType>
        <xsd:restriction base="dms:Boolean"/>
      </xsd:simpleType>
    </xsd:element>
    <xsd:element name="LocMarketGroupTiers2" ma:index="74" nillable="true" ma:displayName="Loc Market Group Tiers" ma:internalName="LocMarketGroupTiers2" ma:readOnly="false">
      <xsd:simpleType>
        <xsd:restriction base="dms:Unknown"/>
      </xsd:simpleType>
    </xsd:element>
    <xsd:element name="LocNewPublishedVersionLookup" ma:index="75" nillable="true" ma:displayName="Loc New Published Version Lookup" ma:default="" ma:list="{B02123C9-D1B3-425D-A38A-7FDEACDA3FC6}" ma:internalName="LocNewPublishedVersionLookup" ma:readOnly="true" ma:showField="NewPublishedVersion" ma:web="c66daf58-3c46-4c48-8560-c485e881f7f9">
      <xsd:simpleType>
        <xsd:restriction base="dms:Lookup"/>
      </xsd:simpleType>
    </xsd:element>
    <xsd:element name="LocOverallHandbackStatusLookup" ma:index="76" nillable="true" ma:displayName="Loc Overall Handback Status" ma:default="" ma:list="{B02123C9-D1B3-425D-A38A-7FDEACDA3FC6}" ma:internalName="LocOverallHandbackStatusLookup" ma:readOnly="true" ma:showField="OverallHandbackStatus" ma:web="c66daf58-3c46-4c48-8560-c485e881f7f9">
      <xsd:simpleType>
        <xsd:restriction base="dms:Lookup"/>
      </xsd:simpleType>
    </xsd:element>
    <xsd:element name="LocOverallLocStatusLookup" ma:index="77" nillable="true" ma:displayName="Loc Overall Localize Status" ma:default="" ma:list="{B02123C9-D1B3-425D-A38A-7FDEACDA3FC6}" ma:internalName="LocOverallLocStatusLookup" ma:readOnly="true" ma:showField="OverallLocStatus" ma:web="c66daf58-3c46-4c48-8560-c485e881f7f9">
      <xsd:simpleType>
        <xsd:restriction base="dms:Lookup"/>
      </xsd:simpleType>
    </xsd:element>
    <xsd:element name="LocOverallPreviewStatusLookup" ma:index="78" nillable="true" ma:displayName="Loc Overall Preview Status" ma:default="" ma:list="{B02123C9-D1B3-425D-A38A-7FDEACDA3FC6}" ma:internalName="LocOverallPreviewStatusLookup" ma:readOnly="true" ma:showField="OverallPreviewStatus" ma:web="c66daf58-3c46-4c48-8560-c485e881f7f9">
      <xsd:simpleType>
        <xsd:restriction base="dms:Lookup"/>
      </xsd:simpleType>
    </xsd:element>
    <xsd:element name="LocOverallPublishStatusLookup" ma:index="79" nillable="true" ma:displayName="Loc Overall Publish Status" ma:default="" ma:list="{B02123C9-D1B3-425D-A38A-7FDEACDA3FC6}" ma:internalName="LocOverallPublishStatusLookup" ma:readOnly="true" ma:showField="OverallPublishStatus" ma:web="c66daf58-3c46-4c48-8560-c485e881f7f9">
      <xsd:simpleType>
        <xsd:restriction base="dms:Lookup"/>
      </xsd:simpleType>
    </xsd:element>
    <xsd:element name="IntlLocPriority" ma:index="80" nillable="true" ma:displayName="Loc Priority" ma:default="" ma:internalName="IntlLocPriority" ma:readOnly="false">
      <xsd:simpleType>
        <xsd:restriction base="dms:Unknown"/>
      </xsd:simpleType>
    </xsd:element>
    <xsd:element name="LocProcessedForHandoffsLookup" ma:index="81" nillable="true" ma:displayName="Loc Processed For Handoffs" ma:default="" ma:list="{B02123C9-D1B3-425D-A38A-7FDEACDA3FC6}" ma:internalName="LocProcessedForHandoffsLookup" ma:readOnly="true" ma:showField="ProcessedForHandoffs" ma:web="c66daf58-3c46-4c48-8560-c485e881f7f9">
      <xsd:simpleType>
        <xsd:restriction base="dms:Lookup"/>
      </xsd:simpleType>
    </xsd:element>
    <xsd:element name="LocProcessedForMarketsLookup" ma:index="82" nillable="true" ma:displayName="Loc Processed For Markets" ma:default="" ma:list="{B02123C9-D1B3-425D-A38A-7FDEACDA3FC6}" ma:internalName="LocProcessedForMarketsLookup" ma:readOnly="true" ma:showField="ProcessedForMarkets" ma:web="c66daf58-3c46-4c48-8560-c485e881f7f9">
      <xsd:simpleType>
        <xsd:restriction base="dms:Lookup"/>
      </xsd:simpleType>
    </xsd:element>
    <xsd:element name="LocPublishedDependentAssetsLookup" ma:index="83" nillable="true" ma:displayName="Loc Published Dependent Assets" ma:default="" ma:list="{B02123C9-D1B3-425D-A38A-7FDEACDA3FC6}" ma:internalName="LocPublishedDependentAssetsLookup" ma:readOnly="true" ma:showField="PublishedDependentAssets" ma:web="c66daf58-3c46-4c48-8560-c485e881f7f9">
      <xsd:simpleType>
        <xsd:restriction base="dms:Lookup"/>
      </xsd:simpleType>
    </xsd:element>
    <xsd:element name="LocPublishedLinkedAssetsLookup" ma:index="84" nillable="true" ma:displayName="Loc Published Linked Assets" ma:default="" ma:list="{B02123C9-D1B3-425D-A38A-7FDEACDA3FC6}" ma:internalName="LocPublishedLinkedAssetsLookup" ma:readOnly="true" ma:showField="PublishedLinkedAssets" ma:web="c66daf58-3c46-4c48-8560-c485e881f7f9">
      <xsd:simpleType>
        <xsd:restriction base="dms:Lookup"/>
      </xsd:simpleType>
    </xsd:element>
    <xsd:element name="LocRecommendedHandoff" ma:index="85" nillable="true" ma:displayName="Loc Recommended Handoff" ma:default="" ma:indexed="true" ma:internalName="LocRecommendedHandoff" ma:readOnly="false">
      <xsd:simpleType>
        <xsd:restriction base="dms:Text"/>
      </xsd:simpleType>
    </xsd:element>
    <xsd:element name="LocalizationTagsTaxHTField0" ma:index="87" nillable="true" ma:taxonomy="true" ma:internalName="LocalizationTagsTaxHTField0" ma:taxonomyFieldName="LocalizationTags" ma:displayName="Localization Tags" ma:readOnly="false" ma:default="" ma:fieldId="{8612d4a4-f894-4474-9fef-d579f90c35e1}" ma:taxonomyMulti="true" ma:sspId="8f79753a-75d3-41f5-8ca3-40b843941b4f" ma:termSetId="5b7703a5-8e8b-4b58-8b31-1cea35331da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achineTranslated" ma:index="88" nillable="true" ma:displayName="Machine Translated" ma:default="" ma:internalName="MachineTranslated" ma:readOnly="false">
      <xsd:simpleType>
        <xsd:restriction base="dms:Boolean"/>
      </xsd:simpleType>
    </xsd:element>
    <xsd:element name="Manager" ma:index="89" nillable="true" ma:displayName="Manager" ma:hidden="true" ma:internalName="Manager" ma:readOnly="false">
      <xsd:simpleType>
        <xsd:restriction base="dms:Text"/>
      </xsd:simpleType>
    </xsd:element>
    <xsd:element name="Markets" ma:index="90" nillable="true" ma:displayName="Markets" ma:default="" ma:description="Leave blank to show in all markets" ma:list="{5EEE958E-8061-4FA6-908C-FF1913BBCE99}" ma:internalName="Markets" ma:readOnly="false" ma:showField="MarketName" ma:web="c66daf58-3c46-4c48-8560-c485e881f7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lestone" ma:index="91" nillable="true" ma:displayName="Milestone" ma:default="" ma:internalName="Milestone" ma:readOnly="false">
      <xsd:simpleType>
        <xsd:restriction base="dms:Unknown"/>
      </xsd:simpleType>
    </xsd:element>
    <xsd:element name="TPNamespace" ma:index="94" nillable="true" ma:displayName="Namespace" ma:default="" ma:internalName="TPNamespace">
      <xsd:simpleType>
        <xsd:restriction base="dms:Text"/>
      </xsd:simpleType>
    </xsd:element>
    <xsd:element name="NumericId" ma:index="95" nillable="true" ma:displayName="Numeric ID" ma:default="" ma:indexed="true" ma:internalName="NumericId" ma:readOnly="false">
      <xsd:simpleType>
        <xsd:restriction base="dms:Number"/>
      </xsd:simpleType>
    </xsd:element>
    <xsd:element name="NumOfRatingsLookup" ma:index="96" nillable="true" ma:displayName="NumOfRatings" ma:default="" ma:list="{4424DF09-D473-47CB-8F99-CE4C88C30A56}" ma:internalName="NumOfRatingsLookup" ma:readOnly="true" ma:showField="NumOfRatings" ma:web="c66daf58-3c46-4c48-8560-c485e881f7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OOCacheId" ma:index="97" nillable="true" ma:displayName="OOCacheId" ma:internalName="OOCacheId" ma:readOnly="false">
      <xsd:simpleType>
        <xsd:restriction base="dms:Text"/>
      </xsd:simpleType>
    </xsd:element>
    <xsd:element name="OpenTemplate" ma:index="98" nillable="true" ma:displayName="Open Template" ma:default="true" ma:internalName="OpenTemplate">
      <xsd:simpleType>
        <xsd:restriction base="dms:Boolean"/>
      </xsd:simpleType>
    </xsd:element>
    <xsd:element name="OriginAsset" ma:index="99" nillable="true" ma:displayName="Origin Asset" ma:default="" ma:internalName="OriginAsset" ma:readOnly="false">
      <xsd:simpleType>
        <xsd:restriction base="dms:Text"/>
      </xsd:simpleType>
    </xsd:element>
    <xsd:element name="OriginalRelease" ma:index="100" nillable="true" ma:displayName="Original Release" ma:default="15" ma:internalName="OriginalRelease" ma:readOnly="false">
      <xsd:simpleType>
        <xsd:restriction base="dms:Choice">
          <xsd:enumeration value="14"/>
          <xsd:enumeration value="15"/>
          <xsd:enumeration value="16"/>
        </xsd:restriction>
      </xsd:simpleType>
    </xsd:element>
    <xsd:element name="OriginalSourceMarket" ma:index="101" nillable="true" ma:displayName="Original Source Market Group" ma:default="" ma:internalName="OriginalSourceMarket" ma:readOnly="false">
      <xsd:simpleType>
        <xsd:restriction base="dms:Text"/>
      </xsd:simpleType>
    </xsd:element>
    <xsd:element name="OutputCachingOn" ma:index="102" nillable="true" ma:displayName="Output Caching" ma:default="true" ma:hidden="true" ma:internalName="OutputCachingOn" ma:readOnly="false">
      <xsd:simpleType>
        <xsd:restriction base="dms:Boolean"/>
      </xsd:simpleType>
    </xsd:element>
    <xsd:element name="ParentAssetId" ma:index="103" nillable="true" ma:displayName="Parent Asset Id" ma:default="" ma:internalName="ParentAssetId" ma:readOnly="false">
      <xsd:simpleType>
        <xsd:restriction base="dms:Text"/>
      </xsd:simpleType>
    </xsd:element>
    <xsd:element name="PlannedPubDate" ma:index="104" nillable="true" ma:displayName="Planned Publish Date" ma:default="" ma:indexed="true" ma:internalName="PlannedPubDate" ma:readOnly="false">
      <xsd:simpleType>
        <xsd:restriction base="dms:DateTime"/>
      </xsd:simpleType>
    </xsd:element>
    <xsd:element name="PolicheckWords" ma:index="105" nillable="true" ma:displayName="Policheck Words" ma:default="" ma:internalName="PolicheckWords" ma:readOnly="false">
      <xsd:simpleType>
        <xsd:restriction base="dms:Text"/>
      </xsd:simpleType>
    </xsd:element>
    <xsd:element name="BusinessGroup" ma:index="106" nillable="true" ma:displayName="Product Division Owner" ma:default="" ma:internalName="BusinessGroup" ma:readOnly="false">
      <xsd:simpleType>
        <xsd:restriction base="dms:Unknown"/>
      </xsd:simpleType>
    </xsd:element>
    <xsd:element name="UAProjectedTotalWords" ma:index="107" nillable="true" ma:displayName="Projected Word Count" ma:default="" ma:internalName="UAProjectedTotalWords" ma:readOnly="false">
      <xsd:simpleType>
        <xsd:restriction base="dms:Unknown"/>
      </xsd:simpleType>
    </xsd:element>
    <xsd:element name="Provider" ma:index="108" nillable="true" ma:displayName="Provider" ma:default="" ma:internalName="Provider" ma:readOnly="false">
      <xsd:simpleType>
        <xsd:restriction base="dms:Unknown"/>
      </xsd:simpleType>
    </xsd:element>
    <xsd:element name="Providers" ma:index="109" nillable="true" ma:displayName="Providers" ma:default="" ma:internalName="Providers">
      <xsd:simpleType>
        <xsd:restriction base="dms:Unknown"/>
      </xsd:simpleType>
    </xsd:element>
    <xsd:element name="PublishStatusLookup" ma:index="110" nillable="true" ma:displayName="Publish Status" ma:default="" ma:list="{4424DF09-D473-47CB-8F99-CE4C88C30A56}" ma:internalName="PublishStatusLookup" ma:readOnly="false" ma:showField="PublishStatus" ma:web="c66daf58-3c46-4c48-8560-c485e881f7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ublishTargets" ma:index="111" nillable="true" ma:displayName="Publish Target" ma:default="OfficeOnlineVNext" ma:internalName="PublishTargets" ma:readOnly="false">
      <xsd:simpleType>
        <xsd:restriction base="dms:Unknown"/>
      </xsd:simpleType>
    </xsd:element>
    <xsd:element name="RecommendationsModifier" ma:index="112" nillable="true" ma:displayName="Recommendations Modifier" ma:default="" ma:internalName="RecommendationsModifier" ma:readOnly="false">
      <xsd:simpleType>
        <xsd:restriction base="dms:Number"/>
      </xsd:simpleType>
    </xsd:element>
    <xsd:element name="ArtSampleDocs" ma:index="113" nillable="true" ma:displayName="Sample Docs" ma:default="" ma:hidden="true" ma:internalName="ArtSampleDocs" ma:readOnly="false">
      <xsd:simpleType>
        <xsd:restriction base="dms:Text"/>
      </xsd:simpleType>
    </xsd:element>
    <xsd:element name="ScenarioTagsTaxHTField0" ma:index="115" nillable="true" ma:taxonomy="true" ma:internalName="ScenarioTagsTaxHTField0" ma:taxonomyFieldName="ScenarioTags" ma:displayName="Scenarios" ma:readOnly="false" ma:default="" ma:fieldId="{8e26204e-beeb-4929-ac8b-f970debed3f2}" ma:taxonomyMulti="true" ma:sspId="8f79753a-75d3-41f5-8ca3-40b843941b4f" ma:termSetId="4b7d5f16-e2f2-4fc0-bab3-6e8b931e57d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owIn" ma:index="117" nillable="true" ma:displayName="Show In" ma:default="Show everywhere" ma:internalName="ShowIn" ma:readOnly="false">
      <xsd:simpleType>
        <xsd:restriction base="dms:Choice">
          <xsd:enumeration value="Hide on web"/>
          <xsd:enumeration value="On Web no search"/>
          <xsd:enumeration value="Show everywhere"/>
          <xsd:enumeration value="Special use only"/>
        </xsd:restriction>
      </xsd:simpleType>
    </xsd:element>
    <xsd:element name="SourceTitle" ma:index="118" nillable="true" ma:displayName="Source Title" ma:default="" ma:indexed="true" ma:internalName="SourceTitle" ma:readOnly="false">
      <xsd:simpleType>
        <xsd:restriction base="dms:Text"/>
      </xsd:simpleType>
    </xsd:element>
    <xsd:element name="CSXSubmissionDate" ma:index="119" nillable="true" ma:displayName="Submission Date" ma:default="" ma:internalName="CSXSubmissionDate" ma:readOnly="false">
      <xsd:simpleType>
        <xsd:restriction base="dms:DateTime"/>
      </xsd:simpleType>
    </xsd:element>
    <xsd:element name="SubmitterId" ma:index="120" nillable="true" ma:displayName="Submitter ID" ma:default="" ma:internalName="SubmitterId" ma:readOnly="false">
      <xsd:simpleType>
        <xsd:restriction base="dms:Text"/>
      </xsd:simpleType>
    </xsd:element>
    <xsd:element name="TaxCatchAll" ma:index="121" nillable="true" ma:displayName="Taxonomy Catch All Column" ma:hidden="true" ma:list="{a0cdb01e-f835-423d-bf84-41ea51f83b24}" ma:internalName="TaxCatchAll" ma:showField="CatchAllData" ma:web="c66daf58-3c46-4c48-8560-c485e881f7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2" nillable="true" ma:displayName="Taxonomy Catch All Column1" ma:hidden="true" ma:list="{a0cdb01e-f835-423d-bf84-41ea51f83b24}" ma:internalName="TaxCatchAllLabel" ma:readOnly="true" ma:showField="CatchAllDataLabel" ma:web="c66daf58-3c46-4c48-8560-c485e881f7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emplateStatus" ma:index="123" nillable="true" ma:displayName="Template Status" ma:default="" ma:internalName="TemplateStatus">
      <xsd:simpleType>
        <xsd:restriction base="dms:Unknown"/>
      </xsd:simpleType>
    </xsd:element>
    <xsd:element name="TemplateTemplateType" ma:index="124" nillable="true" ma:displayName="Template Type" ma:default="" ma:internalName="TemplateTemplateType">
      <xsd:simpleType>
        <xsd:restriction base="dms:Unknown"/>
      </xsd:simpleType>
    </xsd:element>
    <xsd:element name="ThumbnailAssetId" ma:index="125" nillable="true" ma:displayName="Thumbnail Image Asset" ma:default="" ma:internalName="ThumbnailAssetId" ma:readOnly="false">
      <xsd:simpleType>
        <xsd:restriction base="dms:Text"/>
      </xsd:simpleType>
    </xsd:element>
    <xsd:element name="TimesCloned" ma:index="126" nillable="true" ma:displayName="Times Cloned" ma:default="" ma:internalName="TimesCloned" ma:readOnly="false">
      <xsd:simpleType>
        <xsd:restriction base="dms:Number"/>
      </xsd:simpleType>
    </xsd:element>
    <xsd:element name="TrustLevel" ma:index="128" nillable="true" ma:displayName="Trust Level" ma:default="1 Microsoft Managed Content" ma:internalName="TrustLevel" ma:readOnly="false">
      <xsd:simpleType>
        <xsd:restriction base="dms:Unknown"/>
      </xsd:simpleType>
    </xsd:element>
    <xsd:element name="UALocComments" ma:index="129" nillable="true" ma:displayName="UA Loc Comments" ma:default="" ma:internalName="UALocComments" ma:readOnly="false">
      <xsd:simpleType>
        <xsd:restriction base="dms:Note"/>
      </xsd:simpleType>
    </xsd:element>
    <xsd:element name="UALocRecommendation" ma:index="130" nillable="true" ma:displayName="UA Loc Recommendation" ma:default="Localize" ma:internalName="UALocRecommendation" ma:readOnly="false">
      <xsd:simpleType>
        <xsd:restriction base="dms:Choice">
          <xsd:enumeration value="Localize"/>
          <xsd:enumeration value="Never Localize"/>
          <xsd:enumeration value="Priority Localize"/>
        </xsd:restriction>
      </xsd:simpleType>
    </xsd:element>
    <xsd:element name="UANotes" ma:index="131" nillable="true" ma:displayName="UA Notes" ma:default="" ma:internalName="UANotes" ma:readOnly="false">
      <xsd:simpleType>
        <xsd:restriction base="dms:Note"/>
      </xsd:simpleType>
    </xsd:element>
    <xsd:element name="TPAppVersion" ma:index="132" nillable="true" ma:displayName="Version" ma:default="" ma:internalName="TPAppVersion">
      <xsd:simpleType>
        <xsd:restriction base="dms:Text"/>
      </xsd:simpleType>
    </xsd:element>
    <xsd:element name="VoteCount" ma:index="133" nillable="true" ma:displayName="Vote Count" ma:default="" ma:internalName="VoteCount" ma:readOnly="fals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8ea6d1-e150-4704-b47c-0a92d6aed386" elementFormDefault="qualified">
    <xsd:import namespace="http://schemas.microsoft.com/office/2006/documentManagement/types"/>
    <xsd:import namespace="http://schemas.microsoft.com/office/infopath/2007/PartnerControls"/>
    <xsd:element name="Description0" ma:index="134" nillable="true" ma:displayName="Description" ma:internalName="Description0">
      <xsd:simpleType>
        <xsd:restriction base="dms:Note"/>
      </xsd:simpleType>
    </xsd:element>
    <xsd:element name="Component" ma:index="135" nillable="true" ma:displayName="Component" ma:internalName="Component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2" ma:displayName="Content Type"/>
        <xsd:element ref="dc:title" minOccurs="0" maxOccurs="1" ma:index="127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18E8732-BE5F-4F75-8499-05414FA6205D}"/>
</file>

<file path=customXml/itemProps2.xml><?xml version="1.0" encoding="utf-8"?>
<ds:datastoreItem xmlns:ds="http://schemas.openxmlformats.org/officeDocument/2006/customXml" ds:itemID="{235FE055-26FF-4389-A30B-04D76EE52130}"/>
</file>

<file path=customXml/itemProps3.xml><?xml version="1.0" encoding="utf-8"?>
<ds:datastoreItem xmlns:ds="http://schemas.openxmlformats.org/officeDocument/2006/customXml" ds:itemID="{9DF509E0-DCE6-4551-A2CE-A7E7A86E335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13</vt:i4>
      </vt:variant>
    </vt:vector>
  </HeadingPairs>
  <TitlesOfParts>
    <vt:vector size="25" baseType="lpstr">
      <vt:lpstr>一月</vt:lpstr>
      <vt:lpstr>二月</vt:lpstr>
      <vt:lpstr>三月</vt:lpstr>
      <vt:lpstr>四月</vt:lpstr>
      <vt:lpstr>五月</vt:lpstr>
      <vt:lpstr>六月</vt:lpstr>
      <vt:lpstr>七月</vt:lpstr>
      <vt:lpstr>八月</vt:lpstr>
      <vt:lpstr>九月</vt:lpstr>
      <vt:lpstr>十月</vt:lpstr>
      <vt:lpstr>十一月</vt:lpstr>
      <vt:lpstr>十二月</vt:lpstr>
      <vt:lpstr>CalendarYear</vt:lpstr>
      <vt:lpstr>一月!Print_Area</vt:lpstr>
      <vt:lpstr>七月!Print_Area</vt:lpstr>
      <vt:lpstr>三月!Print_Area</vt:lpstr>
      <vt:lpstr>九月!Print_Area</vt:lpstr>
      <vt:lpstr>二月!Print_Area</vt:lpstr>
      <vt:lpstr>五月!Print_Area</vt:lpstr>
      <vt:lpstr>八月!Print_Area</vt:lpstr>
      <vt:lpstr>六月!Print_Area</vt:lpstr>
      <vt:lpstr>十一月!Print_Area</vt:lpstr>
      <vt:lpstr>十二月!Print_Area</vt:lpstr>
      <vt:lpstr>十月!Print_Area</vt:lpstr>
      <vt:lpstr>四月!Print_Area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2010-11-26T17:40:45Z</dcterms:created>
  <dcterms:modified xsi:type="dcterms:W3CDTF">2012-05-30T08:38:26Z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0x0101009D4095AFEE790E42B52CF3AD35B999BF040086E71550AC00CE488731BAE03648ABFB</vt:lpwstr>
  </property>
  <property fmtid="{D5CDD505-2E9C-101B-9397-08002B2CF9AE}" pid="3" name="InternalTags">
    <vt:lpwstr/>
  </property>
  <property fmtid="{D5CDD505-2E9C-101B-9397-08002B2CF9AE}" pid="4" name="LocalizationTags">
    <vt:lpwstr/>
  </property>
  <property fmtid="{D5CDD505-2E9C-101B-9397-08002B2CF9AE}" pid="5" name="FeatureTags">
    <vt:lpwstr/>
  </property>
  <property fmtid="{D5CDD505-2E9C-101B-9397-08002B2CF9AE}" pid="6" name="CampaignTags">
    <vt:lpwstr/>
  </property>
  <property fmtid="{D5CDD505-2E9C-101B-9397-08002B2CF9AE}" pid="7" name="ScenarioTags">
    <vt:lpwstr/>
  </property>
  <property fmtid="{D5CDD505-2E9C-101B-9397-08002B2CF9AE}" pid="8" name="Order">
    <vt:r8>9227000</vt:r8>
  </property>
  <property fmtid="{D5CDD505-2E9C-101B-9397-08002B2CF9AE}" pid="9" name="HiddenCategoryTags">
    <vt:lpwstr/>
  </property>
  <property fmtid="{D5CDD505-2E9C-101B-9397-08002B2CF9AE}" pid="10" name="ImageGenStatus">
    <vt:i4>0</vt:i4>
  </property>
  <property fmtid="{D5CDD505-2E9C-101B-9397-08002B2CF9AE}" pid="11" name="CategoryTags">
    <vt:lpwstr/>
  </property>
  <property fmtid="{D5CDD505-2E9C-101B-9397-08002B2CF9AE}" pid="12" name="Applications">
    <vt:lpwstr/>
  </property>
</Properties>
</file>