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ChutawadcharaK\Desktop\新增資料夾\"/>
    </mc:Choice>
  </mc:AlternateContent>
  <bookViews>
    <workbookView xWindow="0" yWindow="60" windowWidth="25440" windowHeight="14175"/>
  </bookViews>
  <sheets>
    <sheet name="資料項目" sheetId="1" r:id="rId1"/>
    <sheet name="銷售報表" sheetId="2" r:id="rId2"/>
    <sheet name="銷售預估" sheetId="5" r:id="rId3"/>
  </sheets>
  <definedNames>
    <definedName name="fDate">銷售預估!$D$3</definedName>
    <definedName name="fDay">銷售預估!$H$2</definedName>
    <definedName name="fMonth">銷售預估!$G$2</definedName>
    <definedName name="ForecastDate">銷售預估!$D$3</definedName>
    <definedName name="fYear">銷售預估!$I$2</definedName>
    <definedName name="_xlnm.Print_Area" localSheetId="2">銷售預估!$B$2:$J$43</definedName>
    <definedName name="_xlnm.Print_Titles" localSheetId="1">銷售報表!$B:$E,銷售報表!$5:$5</definedName>
  </definedNames>
  <calcPr calcId="152511" concurrentCalc="0"/>
  <pivotCaches>
    <pivotCache cacheId="6" r:id="rId4"/>
  </pivotCaches>
</workbook>
</file>

<file path=xl/calcChain.xml><?xml version="1.0" encoding="utf-8"?>
<calcChain xmlns="http://schemas.openxmlformats.org/spreadsheetml/2006/main">
  <c r="B3" i="5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1" i="5"/>
  <c r="B10" i="1"/>
  <c r="H10" i="1"/>
  <c r="B11" i="1"/>
  <c r="H11" i="1"/>
  <c r="B12" i="1"/>
  <c r="H12" i="1"/>
  <c r="B13" i="1"/>
  <c r="H13" i="1"/>
  <c r="B14" i="1"/>
  <c r="H14" i="1"/>
  <c r="B15" i="1"/>
  <c r="H15" i="1"/>
  <c r="B16" i="1"/>
  <c r="H16" i="1"/>
  <c r="B17" i="1"/>
  <c r="H17" i="1"/>
  <c r="B18" i="1"/>
  <c r="H18" i="1"/>
  <c r="B19" i="1"/>
  <c r="H19" i="1"/>
  <c r="B20" i="1"/>
  <c r="H20" i="1"/>
  <c r="B21" i="1"/>
  <c r="H21" i="1"/>
  <c r="B22" i="1"/>
  <c r="H22" i="1"/>
  <c r="B23" i="1"/>
  <c r="H23" i="1"/>
  <c r="B24" i="1"/>
  <c r="H24" i="1"/>
  <c r="B8" i="1"/>
  <c r="H8" i="1"/>
  <c r="B9" i="1"/>
  <c r="H9" i="1"/>
  <c r="B7" i="1"/>
  <c r="H7" i="1"/>
  <c r="B6" i="1"/>
  <c r="H6" i="1"/>
  <c r="I6" i="1"/>
  <c r="D3" i="5"/>
  <c r="J1" i="1"/>
  <c r="G10" i="5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D14" i="5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I14" i="5"/>
  <c r="G6" i="1"/>
  <c r="J24" i="1"/>
  <c r="J23" i="1"/>
  <c r="O6" i="1"/>
  <c r="O23" i="1"/>
  <c r="O21" i="1"/>
  <c r="O19" i="1"/>
  <c r="O17" i="1"/>
  <c r="O15" i="1"/>
  <c r="O13" i="1"/>
  <c r="O11" i="1"/>
  <c r="O9" i="1"/>
  <c r="O7" i="1"/>
  <c r="O24" i="1"/>
  <c r="O22" i="1"/>
  <c r="O20" i="1"/>
  <c r="O18" i="1"/>
  <c r="O16" i="1"/>
  <c r="O14" i="1"/>
  <c r="O12" i="1"/>
  <c r="O10" i="1"/>
  <c r="O8" i="1"/>
  <c r="H8" i="5"/>
  <c r="G7" i="5"/>
  <c r="H7" i="5"/>
  <c r="G6" i="5"/>
  <c r="G8" i="5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8" i="5"/>
  <c r="J7" i="5"/>
  <c r="G9" i="5"/>
  <c r="H9" i="5"/>
  <c r="J8" i="5"/>
  <c r="Q21" i="1"/>
  <c r="Q19" i="1"/>
  <c r="Q17" i="1"/>
  <c r="Q15" i="1"/>
  <c r="Q13" i="1"/>
  <c r="Q11" i="1"/>
  <c r="Q9" i="1"/>
  <c r="Q7" i="1"/>
  <c r="Q22" i="1"/>
  <c r="Q20" i="1"/>
  <c r="Q18" i="1"/>
  <c r="Q16" i="1"/>
  <c r="Q14" i="1"/>
  <c r="Q12" i="1"/>
  <c r="Q10" i="1"/>
  <c r="Q8" i="1"/>
  <c r="Q6" i="1"/>
  <c r="Q23" i="1"/>
  <c r="Q24" i="1"/>
  <c r="C8" i="5"/>
  <c r="C10" i="5"/>
  <c r="C7" i="5"/>
  <c r="D8" i="5"/>
  <c r="D7" i="5"/>
  <c r="C6" i="5"/>
  <c r="G11" i="5"/>
  <c r="I7" i="5"/>
  <c r="J9" i="5"/>
  <c r="M24" i="1"/>
  <c r="M23" i="1"/>
  <c r="M6" i="1"/>
  <c r="M8" i="1"/>
  <c r="M12" i="1"/>
  <c r="M16" i="1"/>
  <c r="M20" i="1"/>
  <c r="M7" i="1"/>
  <c r="M11" i="1"/>
  <c r="M15" i="1"/>
  <c r="M19" i="1"/>
  <c r="M10" i="1"/>
  <c r="M14" i="1"/>
  <c r="M18" i="1"/>
  <c r="M22" i="1"/>
  <c r="M9" i="1"/>
  <c r="M13" i="1"/>
  <c r="M17" i="1"/>
  <c r="M21" i="1"/>
  <c r="F7" i="5"/>
  <c r="C11" i="5"/>
  <c r="F8" i="5"/>
  <c r="D9" i="5"/>
  <c r="C9" i="5"/>
  <c r="E8" i="5"/>
  <c r="E7" i="5"/>
  <c r="P10" i="1"/>
  <c r="P14" i="1"/>
  <c r="P15" i="1"/>
  <c r="P7" i="1"/>
  <c r="P16" i="1"/>
  <c r="P8" i="1"/>
  <c r="P23" i="1"/>
  <c r="P21" i="1"/>
  <c r="P13" i="1"/>
  <c r="P22" i="1"/>
  <c r="P19" i="1"/>
  <c r="P11" i="1"/>
  <c r="P20" i="1"/>
  <c r="P12" i="1"/>
  <c r="P24" i="1"/>
  <c r="P6" i="1"/>
  <c r="P17" i="1"/>
  <c r="P9" i="1"/>
  <c r="P18" i="1"/>
  <c r="F14" i="5"/>
  <c r="F9" i="5"/>
</calcChain>
</file>

<file path=xl/sharedStrings.xml><?xml version="1.0" encoding="utf-8"?>
<sst xmlns="http://schemas.openxmlformats.org/spreadsheetml/2006/main" count="94" uniqueCount="56">
  <si>
    <t>A. Datum Corporation</t>
  </si>
  <si>
    <t>Consolidated Messenger</t>
  </si>
  <si>
    <t>Proseware, Inc.</t>
  </si>
  <si>
    <t>%</t>
  </si>
  <si>
    <t>YTD %</t>
  </si>
  <si>
    <t>MONTH NUM (HIDE)</t>
  </si>
  <si>
    <t xml:space="preserve"> </t>
  </si>
  <si>
    <t>日期</t>
  </si>
  <si>
    <t>公司</t>
  </si>
  <si>
    <t>金額</t>
  </si>
  <si>
    <t>計劃</t>
  </si>
  <si>
    <t>成本</t>
  </si>
  <si>
    <t>營收</t>
  </si>
  <si>
    <t>月份</t>
  </si>
  <si>
    <t>季度</t>
  </si>
  <si>
    <t>年度</t>
  </si>
  <si>
    <t xml:space="preserve">月份  </t>
  </si>
  <si>
    <t xml:space="preserve">季度  </t>
  </si>
  <si>
    <t xml:space="preserve">年度  </t>
  </si>
  <si>
    <t>本月份</t>
  </si>
  <si>
    <t>實際額</t>
  </si>
  <si>
    <t>差異</t>
  </si>
  <si>
    <t>數量</t>
  </si>
  <si>
    <t>銷售</t>
  </si>
  <si>
    <t>利潤</t>
  </si>
  <si>
    <t>訂單數量</t>
  </si>
  <si>
    <t>平均訂單價值</t>
  </si>
  <si>
    <t>預測</t>
  </si>
  <si>
    <t>下一月</t>
  </si>
  <si>
    <t>下一季度</t>
  </si>
  <si>
    <t>下一年</t>
  </si>
  <si>
    <t>月度預測</t>
  </si>
  <si>
    <t>季度預測</t>
  </si>
  <si>
    <t>年度預測</t>
  </si>
  <si>
    <t>收益額</t>
  </si>
  <si>
    <t>銷售歷史</t>
    <phoneticPr fontId="5" type="noConversion"/>
  </si>
  <si>
    <t>合計</t>
    <phoneticPr fontId="5" type="noConversion"/>
  </si>
  <si>
    <t>預測</t>
    <phoneticPr fontId="5" type="noConversion"/>
  </si>
  <si>
    <t>YTD 實際值</t>
  </si>
  <si>
    <t>YTD 計劃值</t>
  </si>
  <si>
    <t>YTD 差異</t>
  </si>
  <si>
    <r>
      <t>每月</t>
    </r>
    <r>
      <rPr>
        <sz val="22"/>
        <color theme="4" tint="-0.249977111117893"/>
        <rFont val="Microsoft JhengHei UI"/>
        <family val="2"/>
        <charset val="136"/>
      </rPr>
      <t xml:space="preserve"> 銷售預估</t>
    </r>
    <phoneticPr fontId="5" type="noConversion"/>
  </si>
  <si>
    <t xml:space="preserve">月份 </t>
  </si>
  <si>
    <t xml:space="preserve">季度 </t>
  </si>
  <si>
    <t xml:space="preserve">整年 </t>
  </si>
  <si>
    <r>
      <t xml:space="preserve">每月 </t>
    </r>
    <r>
      <rPr>
        <sz val="22"/>
        <color theme="4" tint="-0.249977111117893"/>
        <rFont val="Microsoft JhengHei UI"/>
        <family val="2"/>
        <charset val="136"/>
      </rPr>
      <t>資料項目</t>
    </r>
    <phoneticPr fontId="5" type="noConversion"/>
  </si>
  <si>
    <t>加總 - 金額</t>
  </si>
  <si>
    <t>Contoso 製藥</t>
  </si>
  <si>
    <t>美術學校</t>
  </si>
  <si>
    <t>正人資源</t>
  </si>
  <si>
    <t>Quarter 2 合計</t>
  </si>
  <si>
    <t>Quarter 3 合計</t>
  </si>
  <si>
    <t>Quarter 4 合計</t>
  </si>
  <si>
    <t>2013 合計</t>
  </si>
  <si>
    <t>總計</t>
  </si>
  <si>
    <r>
      <t xml:space="preserve">每月 </t>
    </r>
    <r>
      <rPr>
        <sz val="22"/>
        <color theme="4" tint="-0.249977111117893"/>
        <rFont val="Microsoft JhengHei UI"/>
        <family val="2"/>
        <charset val="136"/>
      </rPr>
      <t>銷售報表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</si>
</sst>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.00_);_(* \(#,##0.00\);_(* &quot;-&quot;??_);_(@_)"/>
    <numFmt numFmtId="177" formatCode="&quot;$&quot;#,##0.00"/>
    <numFmt numFmtId="178" formatCode="&quot;Quarter &quot;0"/>
    <numFmt numFmtId="179" formatCode="_-&quot;NT$&quot;* #,##0_ ;_-&quot;NT$&quot;* \-#,##0\ ;_-&quot;NT$&quot;* &quot;-&quot;_ ;_-@_ "/>
    <numFmt numFmtId="180" formatCode="_-&quot;NT$&quot;* #,##0.00_ ;_-&quot;NT$&quot;* \-#,##0.00\ ;_-&quot;NT$&quot;* &quot;-&quot;??_ ;_-@_ "/>
    <numFmt numFmtId="184" formatCode="[DBNum1][$-404]m&quot;月&quot;;@"/>
    <numFmt numFmtId="186" formatCode="&quot; 第 &quot;0\ &quot;季&quot;"/>
    <numFmt numFmtId="189" formatCode="&quot;NT$&quot;#,##0;[Red]&quot;NT$&quot;#,##0"/>
    <numFmt numFmtId="190" formatCode="&quot;NT$&quot;#,##0.00"/>
  </numFmts>
  <fonts count="20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sz val="9"/>
      <name val="Arial"/>
      <family val="3"/>
      <charset val="136"/>
      <scheme val="minor"/>
    </font>
    <font>
      <sz val="22"/>
      <name val="Microsoft JhengHei UI"/>
      <family val="2"/>
      <charset val="136"/>
    </font>
    <font>
      <sz val="22"/>
      <color theme="4" tint="-0.249977111117893"/>
      <name val="Microsoft JhengHei UI"/>
      <family val="2"/>
      <charset val="136"/>
    </font>
    <font>
      <sz val="8"/>
      <color theme="1"/>
      <name val="Microsoft JhengHei UI"/>
      <family val="2"/>
      <charset val="136"/>
    </font>
    <font>
      <sz val="12"/>
      <color theme="1" tint="0.249977111117893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b/>
      <sz val="10"/>
      <color theme="5"/>
      <name val="Microsoft JhengHei UI"/>
      <family val="2"/>
      <charset val="136"/>
    </font>
    <font>
      <sz val="10"/>
      <color theme="5"/>
      <name val="Microsoft JhengHei UI"/>
      <family val="2"/>
      <charset val="136"/>
    </font>
    <font>
      <b/>
      <sz val="8"/>
      <color theme="3"/>
      <name val="Microsoft JhengHei UI"/>
      <family val="2"/>
      <charset val="136"/>
    </font>
    <font>
      <sz val="8"/>
      <color theme="3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sz val="6"/>
      <color theme="3"/>
      <name val="Microsoft JhengHei UI"/>
      <family val="2"/>
      <charset val="136"/>
    </font>
    <font>
      <b/>
      <sz val="8"/>
      <color theme="1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76" fontId="1" fillId="0" borderId="0" applyFont="0" applyFill="0" applyBorder="0" applyAlignment="0" applyProtection="0"/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Border="0" applyAlignment="0" applyProtection="0"/>
  </cellStyleXfs>
  <cellXfs count="61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/>
    </xf>
    <xf numFmtId="14" fontId="10" fillId="0" borderId="0" xfId="0" applyNumberFormat="1" applyFont="1" applyAlignment="1">
      <alignment horizontal="right"/>
    </xf>
    <xf numFmtId="0" fontId="11" fillId="0" borderId="4" xfId="4" applyFont="1" applyFill="1" applyBorder="1" applyAlignment="1">
      <alignment horizontal="left" vertical="center"/>
    </xf>
    <xf numFmtId="177" fontId="12" fillId="0" borderId="4" xfId="4" applyNumberFormat="1" applyFont="1" applyFill="1" applyBorder="1" applyAlignment="1">
      <alignment horizontal="left" vertical="center" indent="1"/>
    </xf>
    <xf numFmtId="177" fontId="12" fillId="0" borderId="4" xfId="4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0" xfId="0" applyFont="1" applyBorder="1">
      <alignment vertical="center"/>
    </xf>
    <xf numFmtId="177" fontId="12" fillId="0" borderId="4" xfId="4" applyNumberFormat="1" applyFont="1" applyFill="1" applyBorder="1" applyAlignment="1">
      <alignment horizontal="left" vertical="center"/>
    </xf>
    <xf numFmtId="0" fontId="12" fillId="0" borderId="4" xfId="4" applyFont="1" applyBorder="1" applyAlignment="1">
      <alignment horizontal="left" vertical="center"/>
    </xf>
    <xf numFmtId="177" fontId="12" fillId="0" borderId="4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180" fontId="13" fillId="0" borderId="3" xfId="0" applyNumberFormat="1" applyFont="1" applyBorder="1" applyAlignment="1">
      <alignment horizontal="left"/>
    </xf>
    <xf numFmtId="180" fontId="13" fillId="0" borderId="3" xfId="0" applyNumberFormat="1" applyFont="1" applyBorder="1" applyAlignment="1">
      <alignment horizontal="left" vertical="center"/>
    </xf>
    <xf numFmtId="177" fontId="14" fillId="0" borderId="3" xfId="0" applyNumberFormat="1" applyFont="1" applyBorder="1" applyAlignment="1">
      <alignment horizontal="left"/>
    </xf>
    <xf numFmtId="177" fontId="9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11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2" borderId="0" xfId="1" applyNumberFormat="1" applyFont="1" applyFill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4" fontId="8" fillId="3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179" fontId="14" fillId="3" borderId="2" xfId="1" applyNumberFormat="1" applyFont="1" applyFill="1" applyBorder="1" applyAlignment="1">
      <alignment horizontal="left" vertical="center" indent="1"/>
    </xf>
    <xf numFmtId="179" fontId="14" fillId="0" borderId="2" xfId="1" applyNumberFormat="1" applyFont="1" applyFill="1" applyBorder="1" applyAlignment="1">
      <alignment horizontal="left" vertical="center" indent="1"/>
    </xf>
    <xf numFmtId="179" fontId="14" fillId="0" borderId="2" xfId="0" applyNumberFormat="1" applyFont="1" applyFill="1" applyBorder="1" applyAlignment="1">
      <alignment horizontal="left" vertical="center"/>
    </xf>
    <xf numFmtId="179" fontId="14" fillId="0" borderId="2" xfId="1" applyNumberFormat="1" applyFont="1" applyFill="1" applyBorder="1" applyAlignment="1">
      <alignment horizontal="left" vertical="center"/>
    </xf>
    <xf numFmtId="179" fontId="14" fillId="0" borderId="2" xfId="0" applyNumberFormat="1" applyFont="1" applyFill="1" applyBorder="1" applyAlignment="1">
      <alignment horizontal="right" vertical="center"/>
    </xf>
    <xf numFmtId="179" fontId="14" fillId="3" borderId="1" xfId="0" applyNumberFormat="1" applyFont="1" applyFill="1" applyBorder="1" applyAlignment="1">
      <alignment horizontal="left" vertical="center" indent="1"/>
    </xf>
    <xf numFmtId="179" fontId="14" fillId="3" borderId="1" xfId="0" applyNumberFormat="1" applyFont="1" applyFill="1" applyBorder="1" applyAlignment="1">
      <alignment horizontal="right" vertical="center"/>
    </xf>
    <xf numFmtId="179" fontId="14" fillId="0" borderId="1" xfId="0" applyNumberFormat="1" applyFont="1" applyFill="1" applyBorder="1" applyAlignment="1">
      <alignment horizontal="left" vertical="center"/>
    </xf>
    <xf numFmtId="179" fontId="14" fillId="0" borderId="1" xfId="0" applyNumberFormat="1" applyFont="1" applyFill="1" applyBorder="1" applyAlignment="1">
      <alignment horizontal="right" vertical="center"/>
    </xf>
    <xf numFmtId="0" fontId="19" fillId="0" borderId="0" xfId="0" pivotButton="1" applyFont="1">
      <alignment vertical="center"/>
    </xf>
    <xf numFmtId="0" fontId="8" fillId="0" borderId="0" xfId="0" pivotButton="1" applyFont="1">
      <alignment vertical="center"/>
    </xf>
    <xf numFmtId="0" fontId="12" fillId="0" borderId="0" xfId="0" applyFont="1" applyAlignment="1">
      <alignment horizontal="right" vertical="center"/>
    </xf>
    <xf numFmtId="178" fontId="8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186" fontId="8" fillId="3" borderId="0" xfId="0" applyNumberFormat="1" applyFont="1" applyFill="1" applyBorder="1" applyAlignment="1">
      <alignment horizontal="left" vertical="center"/>
    </xf>
    <xf numFmtId="186" fontId="8" fillId="0" borderId="0" xfId="0" applyNumberFormat="1" applyFont="1" applyAlignment="1">
      <alignment horizontal="left" vertical="center"/>
    </xf>
    <xf numFmtId="0" fontId="8" fillId="0" borderId="0" xfId="0" pivotButton="1" applyFont="1" applyAlignment="1">
      <alignment horizontal="left" vertical="center"/>
    </xf>
    <xf numFmtId="184" fontId="8" fillId="0" borderId="0" xfId="0" applyNumberFormat="1" applyFont="1" applyAlignment="1">
      <alignment horizontal="left" vertical="center"/>
    </xf>
    <xf numFmtId="189" fontId="8" fillId="3" borderId="0" xfId="0" applyNumberFormat="1" applyFont="1" applyFill="1" applyBorder="1" applyAlignment="1">
      <alignment horizontal="left" vertical="center"/>
    </xf>
    <xf numFmtId="189" fontId="17" fillId="3" borderId="0" xfId="0" applyNumberFormat="1" applyFont="1" applyFill="1" applyBorder="1" applyAlignment="1">
      <alignment horizontal="left" vertical="center"/>
    </xf>
    <xf numFmtId="189" fontId="8" fillId="0" borderId="0" xfId="0" applyNumberFormat="1" applyFont="1">
      <alignment vertical="center"/>
    </xf>
    <xf numFmtId="190" fontId="13" fillId="0" borderId="3" xfId="0" applyNumberFormat="1" applyFont="1" applyBorder="1" applyAlignment="1">
      <alignment horizontal="left"/>
    </xf>
  </cellXfs>
  <cellStyles count="5">
    <cellStyle name="一般" xfId="0" builtinId="0" customBuiltin="1"/>
    <cellStyle name="千分位" xfId="1" builtinId="3"/>
    <cellStyle name="標題 1" xfId="2" builtinId="16" customBuiltin="1"/>
    <cellStyle name="標題 2" xfId="3" builtinId="17" customBuiltin="1"/>
    <cellStyle name="標題 4" xfId="4" builtinId="19" customBuiltin="1"/>
  </cellStyles>
  <dxfs count="310">
    <dxf>
      <numFmt numFmtId="189" formatCode="&quot;NT$&quot;#,##0;[Red]&quot;NT$&quot;#,##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font>
        <name val="Microsoft JhengHei UI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b/>
      </font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6" formatCode="&quot; 第 &quot;0\ &quot;季&quot;"/>
    </dxf>
    <dxf>
      <numFmt numFmtId="186" formatCode="&quot; 第 &quot;0\ &quot;季&quot;"/>
    </dxf>
    <dxf>
      <numFmt numFmtId="186" formatCode="&quot; 第 &quot;0\ &quot;季&quot;"/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alignment horizontal="left" readingOrder="0"/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79" formatCode="_-&quot;NT$&quot;* #,##0_ ;_-&quot;NT$&quot;* \-#,##0\ ;_-&quot;NT$&quot;* &quot;-&quot;_ ;_-@_ 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9" formatCode="&quot;NT$&quot;#,##0;[Red]&quot;NT$&quot;#,##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alignment horizontal="left" vertical="center" textRotation="0" indent="0" justifyLastLine="0" shrinkToFit="0" readingOrder="0"/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rcrosoft jhenghai ui"/>
        <scheme val="none"/>
      </font>
    </dxf>
    <dxf>
      <font>
        <name val="Microsoft JhengHei UI"/>
        <scheme val="none"/>
      </font>
    </dxf>
    <dxf>
      <font>
        <name val="Microsoft JhengHei UI"/>
        <scheme val="none"/>
      </font>
    </dxf>
    <dxf>
      <alignment horizontal="general" readingOrder="0"/>
    </dxf>
    <dxf>
      <alignment horizontal="lef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font>
        <name val="Microsoft JhengHei UI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b/>
      </font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6" formatCode="&quot; 第 &quot;0\ &quot;季&quot;"/>
    </dxf>
    <dxf>
      <numFmt numFmtId="186" formatCode="&quot; 第 &quot;0\ &quot;季&quot;"/>
    </dxf>
    <dxf>
      <numFmt numFmtId="186" formatCode="&quot; 第 &quot;0\ &quot;季&quot;"/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font>
        <name val="Microsoft JhengHei UI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b/>
      </font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6" formatCode="&quot; 第 &quot;0\ &quot;季&quot;"/>
    </dxf>
    <dxf>
      <numFmt numFmtId="186" formatCode="&quot; 第 &quot;0\ &quot;季&quot;"/>
    </dxf>
    <dxf>
      <numFmt numFmtId="186" formatCode="&quot; 第 &quot;0\ &quot;季&quot;"/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font>
        <name val="Mircrosoft jhenghai ui"/>
        <scheme val="none"/>
      </font>
    </dxf>
    <dxf>
      <numFmt numFmtId="186" formatCode="&quot; 第 &quot;0\ &quot;季&quot;"/>
    </dxf>
    <dxf>
      <numFmt numFmtId="186" formatCode="&quot; 第 &quot;0\ &quot;季&quot;"/>
    </dxf>
    <dxf>
      <numFmt numFmtId="186" formatCode="&quot; 第 &quot;0\ &quot;季&quot;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font>
        <name val="Microsoft JhengHei UI"/>
        <scheme val="none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b/>
      </font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numFmt numFmtId="184" formatCode="[DBNum1][$-404]m&quot;月&quot;;@"/>
    </dxf>
    <dxf>
      <font>
        <b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name val="Microsoft Jheng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alignment horizontal="right" readingOrder="0"/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numFmt numFmtId="185" formatCode="mm/d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>
      <tableStyleElement type="wholeTable" dxfId="309"/>
      <tableStyleElement type="headerRow" dxfId="308"/>
      <tableStyleElement type="totalRow" dxfId="307"/>
      <tableStyleElement type="secondSubtotalRow" dxfId="306"/>
      <tableStyleElement type="thirdSubtotalRow" dxfId="305"/>
      <tableStyleElement type="firstRowSubheading" dxfId="304"/>
      <tableStyleElement type="secondRowSubheading" dxfId="303"/>
      <tableStyleElement type="thirdRowSubheading" dxfId="302"/>
    </tableStyle>
    <tableStyle name="Monthly Sales Report Table Style" pivot="0" count="2">
      <tableStyleElement type="wholeTable" dxfId="301"/>
      <tableStyleElement type="headerRow" dxfId="30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資料項目!$D$5</c:f>
              <c:strCache>
                <c:ptCount val="1"/>
                <c:pt idx="0">
                  <c:v>金額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資料項目!$D$6:$D$24</c:f>
              <c:numCache>
                <c:formatCode>"NT$"#,##0;[Red]"NT$"#,##0</c:formatCode>
                <c:ptCount val="19"/>
                <c:pt idx="0">
                  <c:v>192000</c:v>
                </c:pt>
                <c:pt idx="1">
                  <c:v>246000</c:v>
                </c:pt>
                <c:pt idx="2">
                  <c:v>132000</c:v>
                </c:pt>
                <c:pt idx="3">
                  <c:v>162000</c:v>
                </c:pt>
                <c:pt idx="4">
                  <c:v>174000</c:v>
                </c:pt>
                <c:pt idx="5">
                  <c:v>186000</c:v>
                </c:pt>
                <c:pt idx="6">
                  <c:v>207000</c:v>
                </c:pt>
                <c:pt idx="7">
                  <c:v>225000</c:v>
                </c:pt>
                <c:pt idx="8">
                  <c:v>261000</c:v>
                </c:pt>
                <c:pt idx="9">
                  <c:v>255000</c:v>
                </c:pt>
                <c:pt idx="10">
                  <c:v>237000</c:v>
                </c:pt>
                <c:pt idx="11">
                  <c:v>273000</c:v>
                </c:pt>
                <c:pt idx="12">
                  <c:v>168000</c:v>
                </c:pt>
                <c:pt idx="13">
                  <c:v>279000</c:v>
                </c:pt>
                <c:pt idx="14">
                  <c:v>264000</c:v>
                </c:pt>
                <c:pt idx="15">
                  <c:v>273000</c:v>
                </c:pt>
                <c:pt idx="16">
                  <c:v>270000</c:v>
                </c:pt>
                <c:pt idx="17">
                  <c:v>225000</c:v>
                </c:pt>
                <c:pt idx="18">
                  <c:v>285000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資料項目!$E$5</c:f>
              <c:strCache>
                <c:ptCount val="1"/>
                <c:pt idx="0">
                  <c:v>計劃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資料項目!$E$6:$E$24</c:f>
              <c:numCache>
                <c:formatCode>"NT$"#,##0;[Red]"NT$"#,##0</c:formatCode>
                <c:ptCount val="19"/>
                <c:pt idx="0">
                  <c:v>186000</c:v>
                </c:pt>
                <c:pt idx="1">
                  <c:v>240000</c:v>
                </c:pt>
                <c:pt idx="2">
                  <c:v>126000</c:v>
                </c:pt>
                <c:pt idx="3">
                  <c:v>165000</c:v>
                </c:pt>
                <c:pt idx="4">
                  <c:v>180000</c:v>
                </c:pt>
                <c:pt idx="5">
                  <c:v>180000</c:v>
                </c:pt>
                <c:pt idx="6">
                  <c:v>225000</c:v>
                </c:pt>
                <c:pt idx="7">
                  <c:v>216000</c:v>
                </c:pt>
                <c:pt idx="8">
                  <c:v>255000</c:v>
                </c:pt>
                <c:pt idx="9">
                  <c:v>249000</c:v>
                </c:pt>
                <c:pt idx="10">
                  <c:v>231000</c:v>
                </c:pt>
                <c:pt idx="11">
                  <c:v>267000</c:v>
                </c:pt>
                <c:pt idx="12">
                  <c:v>174000</c:v>
                </c:pt>
                <c:pt idx="13">
                  <c:v>273000</c:v>
                </c:pt>
                <c:pt idx="14">
                  <c:v>280500</c:v>
                </c:pt>
                <c:pt idx="15">
                  <c:v>276000</c:v>
                </c:pt>
                <c:pt idx="16">
                  <c:v>300000</c:v>
                </c:pt>
                <c:pt idx="17">
                  <c:v>240000</c:v>
                </c:pt>
                <c:pt idx="18">
                  <c:v>276000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資料項目!$F$5</c:f>
              <c:strCache>
                <c:ptCount val="1"/>
                <c:pt idx="0">
                  <c:v>成本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資料項目!$F$6:$F$24</c:f>
              <c:numCache>
                <c:formatCode>"NT$"#,##0;[Red]"NT$"#,##0</c:formatCode>
                <c:ptCount val="19"/>
                <c:pt idx="0">
                  <c:v>133500</c:v>
                </c:pt>
                <c:pt idx="1">
                  <c:v>192000</c:v>
                </c:pt>
                <c:pt idx="2">
                  <c:v>78000</c:v>
                </c:pt>
                <c:pt idx="3">
                  <c:v>135000</c:v>
                </c:pt>
                <c:pt idx="4">
                  <c:v>135000</c:v>
                </c:pt>
                <c:pt idx="5">
                  <c:v>135000</c:v>
                </c:pt>
                <c:pt idx="6">
                  <c:v>162000</c:v>
                </c:pt>
                <c:pt idx="7">
                  <c:v>195000</c:v>
                </c:pt>
                <c:pt idx="8">
                  <c:v>217500</c:v>
                </c:pt>
                <c:pt idx="9">
                  <c:v>213000</c:v>
                </c:pt>
                <c:pt idx="10">
                  <c:v>198000</c:v>
                </c:pt>
                <c:pt idx="11">
                  <c:v>237000</c:v>
                </c:pt>
                <c:pt idx="12">
                  <c:v>135000</c:v>
                </c:pt>
                <c:pt idx="13">
                  <c:v>225000</c:v>
                </c:pt>
                <c:pt idx="14">
                  <c:v>213000</c:v>
                </c:pt>
                <c:pt idx="15">
                  <c:v>235500</c:v>
                </c:pt>
                <c:pt idx="16">
                  <c:v>227250</c:v>
                </c:pt>
                <c:pt idx="17">
                  <c:v>175500</c:v>
                </c:pt>
                <c:pt idx="18">
                  <c:v>255000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資料項目!$G$5</c:f>
              <c:strCache>
                <c:ptCount val="1"/>
                <c:pt idx="0">
                  <c:v>營收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資料項目!$G$6:$G$24</c:f>
              <c:numCache>
                <c:formatCode>"NT$"#,##0;[Red]"NT$"#,##0</c:formatCode>
                <c:ptCount val="19"/>
                <c:pt idx="0">
                  <c:v>58500</c:v>
                </c:pt>
                <c:pt idx="1">
                  <c:v>54000</c:v>
                </c:pt>
                <c:pt idx="2">
                  <c:v>54000</c:v>
                </c:pt>
                <c:pt idx="3">
                  <c:v>27000</c:v>
                </c:pt>
                <c:pt idx="4">
                  <c:v>39000</c:v>
                </c:pt>
                <c:pt idx="5">
                  <c:v>51000</c:v>
                </c:pt>
                <c:pt idx="6">
                  <c:v>45000</c:v>
                </c:pt>
                <c:pt idx="7">
                  <c:v>30000</c:v>
                </c:pt>
                <c:pt idx="8">
                  <c:v>43500</c:v>
                </c:pt>
                <c:pt idx="9">
                  <c:v>42000</c:v>
                </c:pt>
                <c:pt idx="10">
                  <c:v>39000</c:v>
                </c:pt>
                <c:pt idx="11">
                  <c:v>36000</c:v>
                </c:pt>
                <c:pt idx="12">
                  <c:v>33000</c:v>
                </c:pt>
                <c:pt idx="13">
                  <c:v>54000</c:v>
                </c:pt>
                <c:pt idx="14">
                  <c:v>51000</c:v>
                </c:pt>
                <c:pt idx="15">
                  <c:v>37500</c:v>
                </c:pt>
                <c:pt idx="16">
                  <c:v>42750</c:v>
                </c:pt>
                <c:pt idx="17">
                  <c:v>49500</c:v>
                </c:pt>
                <c:pt idx="18">
                  <c:v>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668448"/>
        <c:axId val="1130670624"/>
      </c:lineChart>
      <c:dateAx>
        <c:axId val="1130668448"/>
        <c:scaling>
          <c:orientation val="minMax"/>
        </c:scaling>
        <c:delete val="0"/>
        <c:axPos val="b"/>
        <c:numFmt formatCode="m&quot;月&quot;d&quot;日&quot;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TW"/>
          </a:p>
        </c:txPr>
        <c:crossAx val="1130670624"/>
        <c:crosses val="autoZero"/>
        <c:auto val="1"/>
        <c:lblOffset val="100"/>
        <c:baseTimeUnit val="days"/>
        <c:majorUnit val="1"/>
        <c:majorTimeUnit val="months"/>
      </c:dateAx>
      <c:valAx>
        <c:axId val="113067062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NT$&quot;#,##0;[Red]&quot;NT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zh-TW"/>
          </a:p>
        </c:txPr>
        <c:crossAx val="1130668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資料項目!$O$5</c:f>
              <c:strCache>
                <c:ptCount val="1"/>
                <c:pt idx="0">
                  <c:v>月份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資料項目!$O$6:$O$24</c:f>
              <c:numCache>
                <c:formatCode>"NT$"#,##0;[Red]"NT$"#,##0</c:formatCode>
                <c:ptCount val="19"/>
                <c:pt idx="0">
                  <c:v>438000</c:v>
                </c:pt>
                <c:pt idx="1">
                  <c:v>438000</c:v>
                </c:pt>
                <c:pt idx="2">
                  <c:v>870000</c:v>
                </c:pt>
                <c:pt idx="3">
                  <c:v>870000</c:v>
                </c:pt>
                <c:pt idx="4">
                  <c:v>870000</c:v>
                </c:pt>
                <c:pt idx="5">
                  <c:v>869999.99999999988</c:v>
                </c:pt>
                <c:pt idx="6">
                  <c:v>647999.99999999988</c:v>
                </c:pt>
                <c:pt idx="7">
                  <c:v>538500</c:v>
                </c:pt>
                <c:pt idx="8">
                  <c:v>323294.1176470588</c:v>
                </c:pt>
                <c:pt idx="9">
                  <c:v>373675.86206896557</c:v>
                </c:pt>
                <c:pt idx="10">
                  <c:v>410027.02702702698</c:v>
                </c:pt>
                <c:pt idx="11">
                  <c:v>529550</c:v>
                </c:pt>
                <c:pt idx="12">
                  <c:v>596337.34939759038</c:v>
                </c:pt>
                <c:pt idx="13">
                  <c:v>634141.50943396217</c:v>
                </c:pt>
                <c:pt idx="14">
                  <c:v>538552.3255813953</c:v>
                </c:pt>
                <c:pt idx="15">
                  <c:v>616683.90325271059</c:v>
                </c:pt>
                <c:pt idx="16">
                  <c:v>659914.17425227573</c:v>
                </c:pt>
                <c:pt idx="17">
                  <c:v>687529.03569525853</c:v>
                </c:pt>
                <c:pt idx="18">
                  <c:v>615129.44162436551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665184"/>
        <c:axId val="1130666272"/>
      </c:lineChart>
      <c:dateAx>
        <c:axId val="113066518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130666272"/>
        <c:crosses val="autoZero"/>
        <c:auto val="1"/>
        <c:lblOffset val="100"/>
        <c:baseTimeUnit val="days"/>
        <c:majorUnit val="1"/>
        <c:majorTimeUnit val="months"/>
      </c:dateAx>
      <c:valAx>
        <c:axId val="113066627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NT$&quot;#,##0;[Red]&quot;NT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zh-TW"/>
          </a:p>
        </c:txPr>
        <c:crossAx val="11306651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資料項目!$P$5</c:f>
              <c:strCache>
                <c:ptCount val="1"/>
                <c:pt idx="0">
                  <c:v>季度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資料項目!$P$6:$P$24</c:f>
              <c:numCache>
                <c:formatCode>"NT$"#,##0;[Red]"NT$"#,##0</c:formatCode>
                <c:ptCount val="19"/>
                <c:pt idx="0">
                  <c:v>1524000</c:v>
                </c:pt>
                <c:pt idx="1">
                  <c:v>1524000</c:v>
                </c:pt>
                <c:pt idx="2">
                  <c:v>1524000</c:v>
                </c:pt>
                <c:pt idx="3">
                  <c:v>1524000</c:v>
                </c:pt>
                <c:pt idx="4">
                  <c:v>1524000</c:v>
                </c:pt>
                <c:pt idx="5">
                  <c:v>1524000</c:v>
                </c:pt>
                <c:pt idx="6">
                  <c:v>1524000</c:v>
                </c:pt>
                <c:pt idx="7">
                  <c:v>1524000</c:v>
                </c:pt>
                <c:pt idx="8">
                  <c:v>1422000</c:v>
                </c:pt>
                <c:pt idx="9">
                  <c:v>1422000</c:v>
                </c:pt>
                <c:pt idx="10">
                  <c:v>1422000</c:v>
                </c:pt>
                <c:pt idx="11">
                  <c:v>1422000</c:v>
                </c:pt>
                <c:pt idx="12">
                  <c:v>1422000</c:v>
                </c:pt>
                <c:pt idx="13">
                  <c:v>1421999.9999999998</c:v>
                </c:pt>
                <c:pt idx="14">
                  <c:v>1297744.1860465116</c:v>
                </c:pt>
                <c:pt idx="15">
                  <c:v>1269387.0967741937</c:v>
                </c:pt>
                <c:pt idx="16">
                  <c:v>1254333.3333333335</c:v>
                </c:pt>
                <c:pt idx="17">
                  <c:v>1245000</c:v>
                </c:pt>
                <c:pt idx="18">
                  <c:v>1238647.0588235294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667360"/>
        <c:axId val="1130669536"/>
      </c:lineChart>
      <c:dateAx>
        <c:axId val="113066736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130669536"/>
        <c:crosses val="autoZero"/>
        <c:auto val="1"/>
        <c:lblOffset val="100"/>
        <c:baseTimeUnit val="days"/>
        <c:majorUnit val="1"/>
        <c:majorTimeUnit val="months"/>
      </c:dateAx>
      <c:valAx>
        <c:axId val="11306695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NT$&quot;#,##0;[Red]&quot;NT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zh-TW"/>
          </a:p>
        </c:txPr>
        <c:crossAx val="11306673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資料項目!$Q$5</c:f>
              <c:strCache>
                <c:ptCount val="1"/>
                <c:pt idx="0">
                  <c:v>年度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資料項目!$Q$6:$Q$24</c:f>
              <c:numCache>
                <c:formatCode>"NT$"#,##0;[Red]"NT$"#,##0</c:formatCode>
                <c:ptCount val="19"/>
                <c:pt idx="0">
                  <c:v>4314000</c:v>
                </c:pt>
                <c:pt idx="1">
                  <c:v>4314000</c:v>
                </c:pt>
                <c:pt idx="2">
                  <c:v>4314000</c:v>
                </c:pt>
                <c:pt idx="3">
                  <c:v>4314000</c:v>
                </c:pt>
                <c:pt idx="4">
                  <c:v>4314000</c:v>
                </c:pt>
                <c:pt idx="5">
                  <c:v>4314000</c:v>
                </c:pt>
                <c:pt idx="6">
                  <c:v>4314000</c:v>
                </c:pt>
                <c:pt idx="7">
                  <c:v>4314000</c:v>
                </c:pt>
                <c:pt idx="8">
                  <c:v>4314000</c:v>
                </c:pt>
                <c:pt idx="9">
                  <c:v>4314000</c:v>
                </c:pt>
                <c:pt idx="10">
                  <c:v>4314000</c:v>
                </c:pt>
                <c:pt idx="11">
                  <c:v>4314000</c:v>
                </c:pt>
                <c:pt idx="12">
                  <c:v>4314000</c:v>
                </c:pt>
                <c:pt idx="13">
                  <c:v>4314000</c:v>
                </c:pt>
                <c:pt idx="14">
                  <c:v>4314000</c:v>
                </c:pt>
                <c:pt idx="15">
                  <c:v>4314000</c:v>
                </c:pt>
                <c:pt idx="16">
                  <c:v>4314000</c:v>
                </c:pt>
                <c:pt idx="17">
                  <c:v>4314000</c:v>
                </c:pt>
                <c:pt idx="18">
                  <c:v>4314000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216224"/>
        <c:axId val="1187218400"/>
      </c:lineChart>
      <c:dateAx>
        <c:axId val="118721622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187218400"/>
        <c:crosses val="autoZero"/>
        <c:auto val="1"/>
        <c:lblOffset val="100"/>
        <c:baseTimeUnit val="days"/>
        <c:majorUnit val="1"/>
        <c:majorTimeUnit val="months"/>
      </c:dateAx>
      <c:valAx>
        <c:axId val="118721840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NT$&quot;#,##0;[Red]&quot;NT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zh-TW"/>
          </a:p>
        </c:txPr>
        <c:crossAx val="1187216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資料項目!$G$5</c:f>
              <c:strCache>
                <c:ptCount val="1"/>
                <c:pt idx="0">
                  <c:v>營收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資料項目!$B$6:$B$24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資料項目!$G$6:$G$24</c:f>
              <c:numCache>
                <c:formatCode>"NT$"#,##0;[Red]"NT$"#,##0</c:formatCode>
                <c:ptCount val="19"/>
                <c:pt idx="0">
                  <c:v>58500</c:v>
                </c:pt>
                <c:pt idx="1">
                  <c:v>54000</c:v>
                </c:pt>
                <c:pt idx="2">
                  <c:v>54000</c:v>
                </c:pt>
                <c:pt idx="3">
                  <c:v>27000</c:v>
                </c:pt>
                <c:pt idx="4">
                  <c:v>39000</c:v>
                </c:pt>
                <c:pt idx="5">
                  <c:v>51000</c:v>
                </c:pt>
                <c:pt idx="6">
                  <c:v>45000</c:v>
                </c:pt>
                <c:pt idx="7">
                  <c:v>30000</c:v>
                </c:pt>
                <c:pt idx="8">
                  <c:v>43500</c:v>
                </c:pt>
                <c:pt idx="9">
                  <c:v>42000</c:v>
                </c:pt>
                <c:pt idx="10">
                  <c:v>39000</c:v>
                </c:pt>
                <c:pt idx="11">
                  <c:v>36000</c:v>
                </c:pt>
                <c:pt idx="12">
                  <c:v>33000</c:v>
                </c:pt>
                <c:pt idx="13">
                  <c:v>54000</c:v>
                </c:pt>
                <c:pt idx="14">
                  <c:v>51000</c:v>
                </c:pt>
                <c:pt idx="15">
                  <c:v>37500</c:v>
                </c:pt>
                <c:pt idx="16">
                  <c:v>42750</c:v>
                </c:pt>
                <c:pt idx="17">
                  <c:v>49500</c:v>
                </c:pt>
                <c:pt idx="18">
                  <c:v>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218944"/>
        <c:axId val="1187212416"/>
      </c:lineChart>
      <c:dateAx>
        <c:axId val="118721894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187212416"/>
        <c:crosses val="autoZero"/>
        <c:auto val="1"/>
        <c:lblOffset val="100"/>
        <c:baseTimeUnit val="days"/>
        <c:majorUnit val="1"/>
        <c:majorTimeUnit val="months"/>
      </c:dateAx>
      <c:valAx>
        <c:axId val="118721241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NT$&quot;#,##0;[Red]&quot;NT$&quot;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zh-TW"/>
          </a:p>
        </c:txPr>
        <c:crossAx val="11872189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37559;&#21806;&#38928;&#20272;!A1"/><Relationship Id="rId1" Type="http://schemas.openxmlformats.org/officeDocument/2006/relationships/hyperlink" Target="#&#37559;&#21806;&#22577;&#34920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7559;&#21806;&#38928;&#20272;!A1"/><Relationship Id="rId1" Type="http://schemas.openxmlformats.org/officeDocument/2006/relationships/hyperlink" Target="#&#36039;&#26009;&#38917;&#30446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&#37559;&#21806;&#22577;&#34920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&#36039;&#26009;&#38917;&#30446;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</xdr:row>
      <xdr:rowOff>85725</xdr:rowOff>
    </xdr:from>
    <xdr:to>
      <xdr:col>6</xdr:col>
      <xdr:colOff>849250</xdr:colOff>
      <xdr:row>1</xdr:row>
      <xdr:rowOff>314325</xdr:rowOff>
    </xdr:to>
    <xdr:sp macro="" textlink="">
      <xdr:nvSpPr>
        <xdr:cNvPr id="2" name="銷售報表" descr="按一下以檢視銷售報表工作表。" title="銷售報表導覽按鈕">
          <a:hlinkClick xmlns:r="http://schemas.openxmlformats.org/officeDocument/2006/relationships" r:id="rId1" tooltip="按一下以檢視銷售報表工作表。"/>
        </xdr:cNvPr>
        <xdr:cNvSpPr/>
      </xdr:nvSpPr>
      <xdr:spPr>
        <a:xfrm>
          <a:off x="4686301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0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銷售報表</a:t>
          </a:r>
          <a:endParaRPr lang="en-US" sz="100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6</xdr:col>
      <xdr:colOff>904875</xdr:colOff>
      <xdr:row>1</xdr:row>
      <xdr:rowOff>85726</xdr:rowOff>
    </xdr:from>
    <xdr:to>
      <xdr:col>8</xdr:col>
      <xdr:colOff>413004</xdr:colOff>
      <xdr:row>1</xdr:row>
      <xdr:rowOff>314326</xdr:rowOff>
    </xdr:to>
    <xdr:sp macro="" textlink="">
      <xdr:nvSpPr>
        <xdr:cNvPr id="3" name="銷售預測" descr="按一下以檢視銷售趨勢預測工作表。" title="銷售預測導覽按鈕">
          <a:hlinkClick xmlns:r="http://schemas.openxmlformats.org/officeDocument/2006/relationships" r:id="rId2" tooltip="按一下以檢視銷售趨勢預測工作表。"/>
        </xdr:cNvPr>
        <xdr:cNvSpPr/>
      </xdr:nvSpPr>
      <xdr:spPr>
        <a:xfrm>
          <a:off x="5848350" y="228601"/>
          <a:ext cx="1289304" cy="228600"/>
        </a:xfrm>
        <a:prstGeom prst="roundRect">
          <a:avLst/>
        </a:prstGeom>
        <a:solidFill>
          <a:schemeClr val="accent2"/>
        </a:soli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0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銷售預測</a:t>
          </a:r>
          <a:endParaRPr lang="en-US" sz="100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1704976</xdr:colOff>
      <xdr:row>1</xdr:row>
      <xdr:rowOff>85725</xdr:rowOff>
    </xdr:from>
    <xdr:to>
      <xdr:col>5</xdr:col>
      <xdr:colOff>563500</xdr:colOff>
      <xdr:row>1</xdr:row>
      <xdr:rowOff>314325</xdr:rowOff>
    </xdr:to>
    <xdr:sp macro="" textlink="">
      <xdr:nvSpPr>
        <xdr:cNvPr id="7" name="銷售報表" descr="按一下以檢視資料輸入工作表。" title="資料輸入導覽按鈕">
          <a:hlinkClick xmlns:r="http://schemas.openxmlformats.org/officeDocument/2006/relationships" r:id="rId1" tooltip="按一下以檢視資料輸入工作表。"/>
        </xdr:cNvPr>
        <xdr:cNvSpPr/>
      </xdr:nvSpPr>
      <xdr:spPr>
        <a:xfrm>
          <a:off x="4676776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0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資料項目</a:t>
          </a:r>
          <a:endParaRPr lang="en-US" sz="100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5</xdr:col>
      <xdr:colOff>619125</xdr:colOff>
      <xdr:row>1</xdr:row>
      <xdr:rowOff>85726</xdr:rowOff>
    </xdr:from>
    <xdr:to>
      <xdr:col>6</xdr:col>
      <xdr:colOff>365379</xdr:colOff>
      <xdr:row>1</xdr:row>
      <xdr:rowOff>314326</xdr:rowOff>
    </xdr:to>
    <xdr:sp macro="" textlink="">
      <xdr:nvSpPr>
        <xdr:cNvPr id="8" name="銷售預測" descr="按一下以檢視銷售趨勢預測工作表。" title="銷售預測導覽按鈕">
          <a:hlinkClick xmlns:r="http://schemas.openxmlformats.org/officeDocument/2006/relationships" r:id="rId2" tooltip="按一下以檢視銷售趨勢預測工作表。"/>
        </xdr:cNvPr>
        <xdr:cNvSpPr/>
      </xdr:nvSpPr>
      <xdr:spPr>
        <a:xfrm>
          <a:off x="58388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0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銷售預測</a:t>
          </a:r>
          <a:endParaRPr lang="en-US" sz="100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銷售歷史" descr="銷售歷史圖表" title="圖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月度預測" descr="月度預測圖表" title="圖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季度預測" descr="季度預測圖表" title="圖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年度預測" descr="年度預測圖表" title="圖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收益額" descr="收益額圖表" title="圖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1</xdr:row>
      <xdr:rowOff>85725</xdr:rowOff>
    </xdr:from>
    <xdr:to>
      <xdr:col>6</xdr:col>
      <xdr:colOff>696849</xdr:colOff>
      <xdr:row>1</xdr:row>
      <xdr:rowOff>314325</xdr:rowOff>
    </xdr:to>
    <xdr:sp macro="" textlink="">
      <xdr:nvSpPr>
        <xdr:cNvPr id="10" name="銷售報表" descr="按一下以檢視資料輸入工作表。" title="資料輸入導覽按鈕">
          <a:hlinkClick xmlns:r="http://schemas.openxmlformats.org/officeDocument/2006/relationships" r:id="rId6" tooltip="按一下以檢視資料輸入工作表。"/>
        </xdr:cNvPr>
        <xdr:cNvSpPr/>
      </xdr:nvSpPr>
      <xdr:spPr>
        <a:xfrm>
          <a:off x="4752975" y="295275"/>
          <a:ext cx="1249299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0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資料項目</a:t>
          </a:r>
          <a:endParaRPr lang="en-US" sz="100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6</xdr:col>
      <xdr:colOff>752475</xdr:colOff>
      <xdr:row>1</xdr:row>
      <xdr:rowOff>85726</xdr:rowOff>
    </xdr:from>
    <xdr:to>
      <xdr:col>8</xdr:col>
      <xdr:colOff>212979</xdr:colOff>
      <xdr:row>1</xdr:row>
      <xdr:rowOff>314326</xdr:rowOff>
    </xdr:to>
    <xdr:sp macro="" textlink="">
      <xdr:nvSpPr>
        <xdr:cNvPr id="11" name="銷售預測" descr="按一下以檢視銷售報表工作表。" title="銷售報表導覽按鈕">
          <a:hlinkClick xmlns:r="http://schemas.openxmlformats.org/officeDocument/2006/relationships" r:id="rId7" tooltip="按一下以檢視銷售報表工作表。"/>
        </xdr:cNvPr>
        <xdr:cNvSpPr/>
      </xdr:nvSpPr>
      <xdr:spPr>
        <a:xfrm>
          <a:off x="5838825" y="228601"/>
          <a:ext cx="128930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0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銷售報表</a:t>
          </a:r>
          <a:endParaRPr lang="en-US" sz="100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utawadchara Kaentubtim" refreshedDate="41180.643802777777" createdVersion="5" refreshedVersion="5" minRefreshableVersion="3" recordCount="19">
  <cacheSource type="worksheet">
    <worksheetSource name="tblData"/>
  </cacheSource>
  <cacheFields count="16">
    <cacheField name="日期" numFmtId="14">
      <sharedItems containsSemiMixedTypes="0" containsNonDate="0" containsDate="1" containsString="0" minDate="2013-04-23T00:00:00" maxDate="2013-12-12T00:00:00"/>
    </cacheField>
    <cacheField name="公司" numFmtId="0">
      <sharedItems count="9">
        <s v="A. Datum Corporation"/>
        <s v="Contoso 製藥"/>
        <s v="Consolidated Messenger"/>
        <s v="Proseware, Inc."/>
        <s v="美術學校"/>
        <s v="正人資源"/>
        <s v="Contoso Pharmaceuticals" u="1"/>
        <s v="School of Fine Art" u="1"/>
        <s v="Trey Research" u="1"/>
      </sharedItems>
    </cacheField>
    <cacheField name="金額" numFmtId="179">
      <sharedItems containsSemiMixedTypes="0" containsString="0" containsNumber="1" containsInteger="1" minValue="132000" maxValue="285000"/>
    </cacheField>
    <cacheField name="計劃" numFmtId="179">
      <sharedItems containsSemiMixedTypes="0" containsString="0" containsNumber="1" containsInteger="1" minValue="126000" maxValue="300000"/>
    </cacheField>
    <cacheField name="成本" numFmtId="179">
      <sharedItems containsSemiMixedTypes="0" containsString="0" containsNumber="1" containsInteger="1" minValue="78000" maxValue="255000"/>
    </cacheField>
    <cacheField name="營收" numFmtId="179">
      <sharedItems containsSemiMixedTypes="0" containsString="0" containsNumber="1" containsInteger="1" minValue="27000" maxValue="58500"/>
    </cacheField>
    <cacheField name="月份" numFmtId="184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季度" numFmtId="0">
      <sharedItems containsSemiMixedTypes="0" containsString="0" containsNumber="1" containsInteger="1" minValue="2" maxValue="4" count="3">
        <n v="2"/>
        <n v="3"/>
        <n v="4"/>
      </sharedItems>
    </cacheField>
    <cacheField name="年度" numFmtId="0">
      <sharedItems containsSemiMixedTypes="0" containsString="0" containsNumber="1" containsInteger="1" minValue="2013" maxValue="2013" count="1">
        <n v="2013"/>
      </sharedItems>
    </cacheField>
    <cacheField name="MONTH NUM (HIDE)" numFmtId="0">
      <sharedItems containsSemiMixedTypes="0" containsString="0" containsNumber="1" containsInteger="1" minValue="4" maxValue="12"/>
    </cacheField>
    <cacheField name="月份 " numFmtId="179">
      <sharedItems containsSemiMixedTypes="0" containsString="0" containsNumber="1" containsInteger="1" minValue="261000" maxValue="768000"/>
    </cacheField>
    <cacheField name="季度 " numFmtId="179">
      <sharedItems containsSemiMixedTypes="0" containsString="0" containsNumber="1" containsInteger="1" minValue="1317000" maxValue="1524000"/>
    </cacheField>
    <cacheField name="整年 " numFmtId="179">
      <sharedItems containsSemiMixedTypes="0" containsString="0" containsNumber="1" containsInteger="1" minValue="4314000" maxValue="4314000"/>
    </cacheField>
    <cacheField name="月份  " numFmtId="179">
      <sharedItems containsSemiMixedTypes="0" containsString="0" containsNumber="1" minValue="323294.1176470588" maxValue="870000"/>
    </cacheField>
    <cacheField name="季度  " numFmtId="179">
      <sharedItems containsSemiMixedTypes="0" containsString="0" containsNumber="1" minValue="1238647.0588235294" maxValue="1524000"/>
    </cacheField>
    <cacheField name="年度  " numFmtId="179">
      <sharedItems containsSemiMixedTypes="0" containsString="0" containsNumber="1" containsInteger="1" minValue="4314000" maxValue="431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192000"/>
    <n v="186000"/>
    <n v="133500"/>
    <n v="58500"/>
    <x v="0"/>
    <x v="0"/>
    <x v="0"/>
    <n v="4"/>
    <n v="438000"/>
    <n v="1524000"/>
    <n v="4314000"/>
    <n v="438000"/>
    <n v="1524000"/>
    <n v="4314000"/>
  </r>
  <r>
    <d v="2013-04-25T00:00:00"/>
    <x v="1"/>
    <n v="246000"/>
    <n v="240000"/>
    <n v="192000"/>
    <n v="54000"/>
    <x v="0"/>
    <x v="0"/>
    <x v="0"/>
    <n v="4"/>
    <n v="438000"/>
    <n v="1524000"/>
    <n v="4314000"/>
    <n v="438000"/>
    <n v="1524000"/>
    <n v="4314000"/>
  </r>
  <r>
    <d v="2013-05-07T00:00:00"/>
    <x v="2"/>
    <n v="132000"/>
    <n v="126000"/>
    <n v="78000"/>
    <n v="54000"/>
    <x v="1"/>
    <x v="0"/>
    <x v="0"/>
    <n v="5"/>
    <n v="654000"/>
    <n v="1524000"/>
    <n v="4314000"/>
    <n v="870000"/>
    <n v="1524000"/>
    <n v="4314000"/>
  </r>
  <r>
    <d v="2013-05-14T00:00:00"/>
    <x v="3"/>
    <n v="162000"/>
    <n v="165000"/>
    <n v="135000"/>
    <n v="27000"/>
    <x v="1"/>
    <x v="0"/>
    <x v="0"/>
    <n v="5"/>
    <n v="654000"/>
    <n v="1524000"/>
    <n v="4314000"/>
    <n v="870000"/>
    <n v="1524000"/>
    <n v="4314000"/>
  </r>
  <r>
    <d v="2013-05-14T00:00:00"/>
    <x v="4"/>
    <n v="174000"/>
    <n v="180000"/>
    <n v="135000"/>
    <n v="39000"/>
    <x v="1"/>
    <x v="0"/>
    <x v="0"/>
    <n v="5"/>
    <n v="654000"/>
    <n v="1524000"/>
    <n v="4314000"/>
    <n v="870000"/>
    <n v="1524000"/>
    <n v="4314000"/>
  </r>
  <r>
    <d v="2013-05-29T00:00:00"/>
    <x v="5"/>
    <n v="186000"/>
    <n v="180000"/>
    <n v="135000"/>
    <n v="51000"/>
    <x v="1"/>
    <x v="0"/>
    <x v="0"/>
    <n v="5"/>
    <n v="654000"/>
    <n v="1524000"/>
    <n v="4314000"/>
    <n v="869999.99999999988"/>
    <n v="1524000"/>
    <n v="4314000"/>
  </r>
  <r>
    <d v="2013-06-10T00:00:00"/>
    <x v="0"/>
    <n v="207000"/>
    <n v="225000"/>
    <n v="162000"/>
    <n v="45000"/>
    <x v="2"/>
    <x v="0"/>
    <x v="0"/>
    <n v="6"/>
    <n v="432000"/>
    <n v="1524000"/>
    <n v="4314000"/>
    <n v="647999.99999999988"/>
    <n v="1524000"/>
    <n v="4314000"/>
  </r>
  <r>
    <d v="2013-06-21T00:00:00"/>
    <x v="1"/>
    <n v="225000"/>
    <n v="216000"/>
    <n v="195000"/>
    <n v="30000"/>
    <x v="2"/>
    <x v="0"/>
    <x v="0"/>
    <n v="6"/>
    <n v="432000"/>
    <n v="1524000"/>
    <n v="4314000"/>
    <n v="538500"/>
    <n v="1524000"/>
    <n v="4314000"/>
  </r>
  <r>
    <d v="2013-07-06T00:00:00"/>
    <x v="2"/>
    <n v="261000"/>
    <n v="255000"/>
    <n v="217500"/>
    <n v="43500"/>
    <x v="3"/>
    <x v="1"/>
    <x v="0"/>
    <n v="7"/>
    <n v="261000"/>
    <n v="1473000"/>
    <n v="4314000"/>
    <n v="323294.1176470588"/>
    <n v="1422000"/>
    <n v="4314000"/>
  </r>
  <r>
    <d v="2013-08-05T00:00:00"/>
    <x v="3"/>
    <n v="255000"/>
    <n v="249000"/>
    <n v="213000"/>
    <n v="42000"/>
    <x v="4"/>
    <x v="1"/>
    <x v="0"/>
    <n v="8"/>
    <n v="492000"/>
    <n v="1473000"/>
    <n v="4314000"/>
    <n v="373675.86206896557"/>
    <n v="1422000"/>
    <n v="4314000"/>
  </r>
  <r>
    <d v="2013-08-19T00:00:00"/>
    <x v="4"/>
    <n v="237000"/>
    <n v="231000"/>
    <n v="198000"/>
    <n v="39000"/>
    <x v="4"/>
    <x v="1"/>
    <x v="0"/>
    <n v="8"/>
    <n v="492000"/>
    <n v="1473000"/>
    <n v="4314000"/>
    <n v="410027.02702702698"/>
    <n v="1422000"/>
    <n v="4314000"/>
  </r>
  <r>
    <d v="2013-09-04T00:00:00"/>
    <x v="5"/>
    <n v="273000"/>
    <n v="267000"/>
    <n v="237000"/>
    <n v="36000"/>
    <x v="5"/>
    <x v="1"/>
    <x v="0"/>
    <n v="9"/>
    <n v="720000"/>
    <n v="1473000"/>
    <n v="4314000"/>
    <n v="529550"/>
    <n v="1422000"/>
    <n v="4314000"/>
  </r>
  <r>
    <d v="2013-09-20T00:00:00"/>
    <x v="1"/>
    <n v="168000"/>
    <n v="174000"/>
    <n v="135000"/>
    <n v="33000"/>
    <x v="5"/>
    <x v="1"/>
    <x v="0"/>
    <n v="9"/>
    <n v="720000"/>
    <n v="1473000"/>
    <n v="4314000"/>
    <n v="596337.34939759038"/>
    <n v="1422000"/>
    <n v="4314000"/>
  </r>
  <r>
    <d v="2013-09-25T00:00:00"/>
    <x v="2"/>
    <n v="279000"/>
    <n v="273000"/>
    <n v="225000"/>
    <n v="54000"/>
    <x v="5"/>
    <x v="1"/>
    <x v="0"/>
    <n v="9"/>
    <n v="720000"/>
    <n v="1473000"/>
    <n v="4314000"/>
    <n v="634141.50943396217"/>
    <n v="1421999.9999999998"/>
    <n v="4314000"/>
  </r>
  <r>
    <d v="2013-10-15T00:00:00"/>
    <x v="3"/>
    <n v="264000"/>
    <n v="280500"/>
    <n v="213000"/>
    <n v="51000"/>
    <x v="6"/>
    <x v="2"/>
    <x v="0"/>
    <n v="10"/>
    <n v="264000"/>
    <n v="1317000"/>
    <n v="4314000"/>
    <n v="538552.3255813953"/>
    <n v="1297744.1860465116"/>
    <n v="4314000"/>
  </r>
  <r>
    <d v="2013-11-05T00:00:00"/>
    <x v="4"/>
    <n v="273000"/>
    <n v="276000"/>
    <n v="235500"/>
    <n v="37500"/>
    <x v="7"/>
    <x v="2"/>
    <x v="0"/>
    <n v="11"/>
    <n v="768000"/>
    <n v="1317000"/>
    <n v="4314000"/>
    <n v="616683.90325271059"/>
    <n v="1269387.0967741937"/>
    <n v="4314000"/>
  </r>
  <r>
    <d v="2013-11-26T00:00:00"/>
    <x v="5"/>
    <n v="270000"/>
    <n v="300000"/>
    <n v="227250"/>
    <n v="42750"/>
    <x v="7"/>
    <x v="2"/>
    <x v="0"/>
    <n v="11"/>
    <n v="768000"/>
    <n v="1317000"/>
    <n v="4314000"/>
    <n v="659914.17425227573"/>
    <n v="1254333.3333333335"/>
    <n v="4314000"/>
  </r>
  <r>
    <d v="2013-11-30T00:00:00"/>
    <x v="5"/>
    <n v="225000"/>
    <n v="240000"/>
    <n v="175500"/>
    <n v="49500"/>
    <x v="7"/>
    <x v="2"/>
    <x v="0"/>
    <n v="11"/>
    <n v="768000"/>
    <n v="1317000"/>
    <n v="4314000"/>
    <n v="687529.03569525853"/>
    <n v="1245000"/>
    <n v="4314000"/>
  </r>
  <r>
    <d v="2013-12-11T00:00:00"/>
    <x v="1"/>
    <n v="285000"/>
    <n v="276000"/>
    <n v="255000"/>
    <n v="30000"/>
    <x v="8"/>
    <x v="2"/>
    <x v="0"/>
    <n v="12"/>
    <n v="285000"/>
    <n v="1317000"/>
    <n v="4314000"/>
    <n v="615129.44162436551"/>
    <n v="1238647.0588235294"/>
    <n v="431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Data" cacheId="6" dataOnRows="1" applyNumberFormats="0" applyBorderFormats="0" applyFontFormats="0" applyPatternFormats="0" applyAlignmentFormats="0" applyWidthHeightFormats="1" dataCaption="Values" updatedVersion="5" minRefreshableVersion="3" showDrill="0" fieldPrintTitles="1" itemPrintTitles="1" createdVersion="4" indent="0" compact="0" compactData="0" multipleFieldFilters="0">
  <location ref="B5:F28" firstHeaderRow="1" firstDataRow="1" firstDataCol="4"/>
  <pivotFields count="16">
    <pivotField compact="0" numFmtId="14" outline="0" showAll="0" defaultSubtotal="0"/>
    <pivotField axis="axisRow" compact="0" outline="0" showAll="0">
      <items count="10">
        <item x="0"/>
        <item x="2"/>
        <item m="1" x="6"/>
        <item x="3"/>
        <item m="1" x="7"/>
        <item m="1" x="8"/>
        <item x="1"/>
        <item x="4"/>
        <item x="5"/>
        <item t="default"/>
      </items>
    </pivotField>
    <pivotField dataField="1" compact="0" numFmtId="177" outline="0" showAll="0" defaultSubtotal="0"/>
    <pivotField compact="0" numFmtId="177" outline="0" showAll="0" defaultSubtotal="0"/>
    <pivotField compact="0" numFmtId="177" outline="0" showAll="0" defaultSubtotal="0"/>
    <pivotField compact="0" numFmtId="177" outline="0" showAll="0" defaultSubtotal="0"/>
    <pivotField axis="axisRow" compact="0" numFmtId="184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78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 defaultSubtotal="0"/>
    <pivotField compact="0" numFmtId="177" outline="0" showAll="0" defaultSubtotal="0"/>
    <pivotField compact="0" numFmtId="177" outline="0" showAll="0" defaultSubtotal="0"/>
    <pivotField compact="0" numFmtId="177" outline="0" showAll="0" defaultSubtotal="0"/>
    <pivotField compact="0" numFmtId="177" outline="0" showAll="0" defaultSubtotal="0"/>
    <pivotField compact="0" numFmtId="177" outline="0" showAll="0" defaultSubtotal="0"/>
    <pivotField compact="0" numFmtId="177" outline="0" showAll="0" defaultSubtotal="0"/>
  </pivotFields>
  <rowFields count="4">
    <field x="8"/>
    <field x="7"/>
    <field x="6"/>
    <field x="1"/>
  </rowFields>
  <rowItems count="23">
    <i>
      <x/>
      <x/>
      <x/>
      <x/>
    </i>
    <i r="3">
      <x v="6"/>
    </i>
    <i r="2">
      <x v="1"/>
      <x v="1"/>
    </i>
    <i r="3">
      <x v="3"/>
    </i>
    <i r="3">
      <x v="7"/>
    </i>
    <i r="3">
      <x v="8"/>
    </i>
    <i r="2">
      <x v="2"/>
      <x/>
    </i>
    <i r="3">
      <x v="6"/>
    </i>
    <i t="default" r="1">
      <x/>
    </i>
    <i r="1">
      <x v="1"/>
      <x v="3"/>
      <x v="1"/>
    </i>
    <i r="2">
      <x v="4"/>
      <x v="3"/>
    </i>
    <i r="3">
      <x v="7"/>
    </i>
    <i r="2">
      <x v="5"/>
      <x v="1"/>
    </i>
    <i r="3">
      <x v="6"/>
    </i>
    <i r="3">
      <x v="8"/>
    </i>
    <i t="default" r="1">
      <x v="1"/>
    </i>
    <i r="1">
      <x v="2"/>
      <x v="6"/>
      <x v="3"/>
    </i>
    <i r="2">
      <x v="7"/>
      <x v="7"/>
    </i>
    <i r="3">
      <x v="8"/>
    </i>
    <i r="2">
      <x v="8"/>
      <x v="6"/>
    </i>
    <i t="default" r="1">
      <x v="2"/>
    </i>
    <i t="default">
      <x/>
    </i>
    <i t="grand">
      <x/>
    </i>
  </rowItems>
  <colItems count="1">
    <i/>
  </colItems>
  <dataFields count="1">
    <dataField name="加總 - 金額" fld="2" baseField="0" baseItem="0" numFmtId="189"/>
  </dataFields>
  <formats count="57">
    <format dxfId="288">
      <pivotArea dataOnly="0" labelOnly="1" outline="0" axis="axisValues" fieldPosition="0"/>
    </format>
    <format dxfId="287">
      <pivotArea dataOnly="0" labelOnly="1" outline="0" axis="axisValues" fieldPosition="0"/>
    </format>
    <format dxfId="286">
      <pivotArea type="all" dataOnly="0" outline="0" fieldPosition="0"/>
    </format>
    <format dxfId="285">
      <pivotArea dataOnly="0" labelOnly="1" outline="0" fieldPosition="0">
        <references count="2">
          <reference field="7" count="1">
            <x v="0"/>
          </reference>
          <reference field="8" count="0" selected="0"/>
        </references>
      </pivotArea>
    </format>
    <format dxfId="284">
      <pivotArea dataOnly="0" labelOnly="1" outline="0" fieldPosition="0">
        <references count="2">
          <reference field="7" count="1">
            <x v="1"/>
          </reference>
          <reference field="8" count="0" selected="0"/>
        </references>
      </pivotArea>
    </format>
    <format dxfId="283">
      <pivotArea dataOnly="0" labelOnly="1" outline="0" fieldPosition="0">
        <references count="2">
          <reference field="7" count="1">
            <x v="2"/>
          </reference>
          <reference field="8" count="0" selected="0"/>
        </references>
      </pivotArea>
    </format>
    <format dxfId="282">
      <pivotArea field="8" type="button" dataOnly="0" labelOnly="1" outline="0" axis="axisRow" fieldPosition="0"/>
    </format>
    <format dxfId="281">
      <pivotArea field="8" type="button" dataOnly="0" labelOnly="1" outline="0" axis="axisRow" fieldPosition="0"/>
    </format>
    <format dxfId="280">
      <pivotArea dataOnly="0" labelOnly="1" outline="0" fieldPosition="0">
        <references count="2">
          <reference field="7" count="1" defaultSubtotal="1">
            <x v="0"/>
          </reference>
          <reference field="8" count="0" selected="0"/>
        </references>
      </pivotArea>
    </format>
    <format dxfId="279">
      <pivotArea dataOnly="0" labelOnly="1" outline="0" fieldPosition="0">
        <references count="2">
          <reference field="7" count="1" defaultSubtotal="1">
            <x v="1"/>
          </reference>
          <reference field="8" count="0" selected="0"/>
        </references>
      </pivotArea>
    </format>
    <format dxfId="278">
      <pivotArea dataOnly="0" labelOnly="1" outline="0" fieldPosition="0">
        <references count="4">
          <reference field="1" count="1" selected="0">
            <x v="0"/>
          </reference>
          <reference field="6" count="2">
            <x v="0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277">
      <pivotArea dataOnly="0" labelOnly="1" outline="0" fieldPosition="0">
        <references count="4">
          <reference field="1" count="1" selected="0">
            <x v="1"/>
          </reference>
          <reference field="6" count="1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276">
      <pivotArea dataOnly="0" labelOnly="1" outline="0" fieldPosition="0">
        <references count="4">
          <reference field="1" count="1" selected="0">
            <x v="2"/>
          </reference>
          <reference field="6" count="2">
            <x v="0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275">
      <pivotArea dataOnly="0" labelOnly="1" outline="0" fieldPosition="0">
        <references count="4">
          <reference field="1" count="1" selected="0">
            <x v="3"/>
          </reference>
          <reference field="6" count="1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274">
      <pivotArea dataOnly="0" labelOnly="1" outline="0" fieldPosition="0">
        <references count="4">
          <reference field="1" count="1" selected="0">
            <x v="4"/>
          </reference>
          <reference field="6" count="1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273">
      <pivotArea dataOnly="0" labelOnly="1" outline="0" fieldPosition="0">
        <references count="4">
          <reference field="1" count="1" selected="0">
            <x v="5"/>
          </reference>
          <reference field="6" count="1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272">
      <pivotArea dataOnly="0" labelOnly="1" outline="0" fieldPosition="0">
        <references count="4">
          <reference field="1" count="1" selected="0">
            <x v="1"/>
          </reference>
          <reference field="6" count="2">
            <x v="3"/>
            <x v="5"/>
          </reference>
          <reference field="7" count="1" selected="0">
            <x v="1"/>
          </reference>
          <reference field="8" count="0" selected="0"/>
        </references>
      </pivotArea>
    </format>
    <format dxfId="271">
      <pivotArea dataOnly="0" labelOnly="1" outline="0" fieldPosition="0">
        <references count="4">
          <reference field="1" count="1" selected="0">
            <x v="2"/>
          </reference>
          <reference field="6" count="1">
            <x v="5"/>
          </reference>
          <reference field="7" count="1" selected="0">
            <x v="1"/>
          </reference>
          <reference field="8" count="0" selected="0"/>
        </references>
      </pivotArea>
    </format>
    <format dxfId="270">
      <pivotArea dataOnly="0" labelOnly="1" outline="0" fieldPosition="0">
        <references count="4">
          <reference field="1" count="1" selected="0">
            <x v="3"/>
          </reference>
          <reference field="6" count="1">
            <x v="4"/>
          </reference>
          <reference field="7" count="1" selected="0">
            <x v="1"/>
          </reference>
          <reference field="8" count="0" selected="0"/>
        </references>
      </pivotArea>
    </format>
    <format dxfId="269">
      <pivotArea dataOnly="0" labelOnly="1" outline="0" fieldPosition="0">
        <references count="4">
          <reference field="1" count="1" selected="0">
            <x v="4"/>
          </reference>
          <reference field="6" count="1">
            <x v="4"/>
          </reference>
          <reference field="7" count="1" selected="0">
            <x v="1"/>
          </reference>
          <reference field="8" count="0" selected="0"/>
        </references>
      </pivotArea>
    </format>
    <format dxfId="268">
      <pivotArea dataOnly="0" labelOnly="1" outline="0" fieldPosition="0">
        <references count="4">
          <reference field="1" count="1" selected="0">
            <x v="5"/>
          </reference>
          <reference field="6" count="1">
            <x v="5"/>
          </reference>
          <reference field="7" count="1" selected="0">
            <x v="1"/>
          </reference>
          <reference field="8" count="0" selected="0"/>
        </references>
      </pivotArea>
    </format>
    <format dxfId="267">
      <pivotArea dataOnly="0" labelOnly="1" outline="0" fieldPosition="0">
        <references count="4">
          <reference field="1" count="1" selected="0">
            <x v="2"/>
          </reference>
          <reference field="6" count="1">
            <x v="8"/>
          </reference>
          <reference field="7" count="1" selected="0">
            <x v="2"/>
          </reference>
          <reference field="8" count="0" selected="0"/>
        </references>
      </pivotArea>
    </format>
    <format dxfId="266">
      <pivotArea dataOnly="0" labelOnly="1" outline="0" fieldPosition="0">
        <references count="4">
          <reference field="1" count="1" selected="0">
            <x v="3"/>
          </reference>
          <reference field="6" count="1">
            <x v="6"/>
          </reference>
          <reference field="7" count="1" selected="0">
            <x v="2"/>
          </reference>
          <reference field="8" count="0" selected="0"/>
        </references>
      </pivotArea>
    </format>
    <format dxfId="265">
      <pivotArea dataOnly="0" labelOnly="1" outline="0" fieldPosition="0">
        <references count="4">
          <reference field="1" count="1" selected="0">
            <x v="4"/>
          </reference>
          <reference field="6" count="1">
            <x v="7"/>
          </reference>
          <reference field="7" count="1" selected="0">
            <x v="2"/>
          </reference>
          <reference field="8" count="0" selected="0"/>
        </references>
      </pivotArea>
    </format>
    <format dxfId="264">
      <pivotArea dataOnly="0" labelOnly="1" outline="0" fieldPosition="0">
        <references count="4">
          <reference field="1" count="1" selected="0">
            <x v="5"/>
          </reference>
          <reference field="6" count="1">
            <x v="7"/>
          </reference>
          <reference field="7" count="1" selected="0">
            <x v="2"/>
          </reference>
          <reference field="8" count="0" selected="0"/>
        </references>
      </pivotArea>
    </format>
    <format dxfId="235">
      <pivotArea dataOnly="0" labelOnly="1" outline="0" fieldPosition="0">
        <references count="2">
          <reference field="7" count="1">
            <x v="0"/>
          </reference>
          <reference field="8" count="0" selected="0"/>
        </references>
      </pivotArea>
    </format>
    <format dxfId="234">
      <pivotArea dataOnly="0" labelOnly="1" outline="0" fieldPosition="0">
        <references count="2">
          <reference field="7" count="1">
            <x v="1"/>
          </reference>
          <reference field="8" count="0" selected="0"/>
        </references>
      </pivotArea>
    </format>
    <format dxfId="233">
      <pivotArea dataOnly="0" labelOnly="1" outline="0" fieldPosition="0">
        <references count="2">
          <reference field="7" count="1">
            <x v="2"/>
          </reference>
          <reference field="8" count="0" selected="0"/>
        </references>
      </pivotArea>
    </format>
    <format dxfId="232">
      <pivotArea type="all" dataOnly="0" outline="0" fieldPosition="0"/>
    </format>
    <format dxfId="231">
      <pivotArea dataOnly="0" labelOnly="1" outline="0" fieldPosition="0">
        <references count="3">
          <reference field="1" count="0"/>
          <reference field="7" count="1" selected="0">
            <x v="0"/>
          </reference>
          <reference field="8" count="0" selected="0"/>
        </references>
      </pivotArea>
    </format>
    <format dxfId="230">
      <pivotArea dataOnly="0" labelOnly="1" outline="0" fieldPosition="0">
        <references count="3">
          <reference field="1" count="0" defaultSubtotal="1"/>
          <reference field="7" count="1" selected="0">
            <x v="0"/>
          </reference>
          <reference field="8" count="0" selected="0"/>
        </references>
      </pivotArea>
    </format>
    <format dxfId="229">
      <pivotArea dataOnly="0" labelOnly="1" outline="0" fieldPosition="0">
        <references count="3">
          <reference field="1" count="5">
            <x v="1"/>
            <x v="3"/>
            <x v="6"/>
            <x v="7"/>
            <x v="8"/>
          </reference>
          <reference field="7" count="1" selected="0">
            <x v="1"/>
          </reference>
          <reference field="8" count="0" selected="0"/>
        </references>
      </pivotArea>
    </format>
    <format dxfId="228">
      <pivotArea dataOnly="0" labelOnly="1" outline="0" fieldPosition="0">
        <references count="3">
          <reference field="1" count="5" defaultSubtotal="1">
            <x v="1"/>
            <x v="3"/>
            <x v="6"/>
            <x v="7"/>
            <x v="8"/>
          </reference>
          <reference field="7" count="1" selected="0">
            <x v="1"/>
          </reference>
          <reference field="8" count="0" selected="0"/>
        </references>
      </pivotArea>
    </format>
    <format dxfId="227">
      <pivotArea dataOnly="0" labelOnly="1" outline="0" fieldPosition="0">
        <references count="3">
          <reference field="1" count="4">
            <x v="3"/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226">
      <pivotArea dataOnly="0" labelOnly="1" outline="0" fieldPosition="0">
        <references count="3">
          <reference field="1" count="4" defaultSubtotal="1">
            <x v="3"/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111">
      <pivotArea field="6" type="button" dataOnly="0" labelOnly="1" outline="0" axis="axisRow" fieldPosition="2"/>
    </format>
    <format dxfId="109">
      <pivotArea type="all" dataOnly="0" outline="0" fieldPosition="0"/>
    </format>
    <format dxfId="108">
      <pivotArea outline="0" collapsedLevelsAreSubtotals="1" fieldPosition="0"/>
    </format>
    <format dxfId="106">
      <pivotArea dataOnly="0" labelOnly="1" outline="0" axis="axisValues" fieldPosition="0"/>
    </format>
    <format dxfId="104">
      <pivotArea dataOnly="0" labelOnly="1" outline="0" fieldPosition="0">
        <references count="1">
          <reference field="8" count="0"/>
        </references>
      </pivotArea>
    </format>
    <format dxfId="102">
      <pivotArea dataOnly="0" labelOnly="1" outline="0" fieldPosition="0">
        <references count="1">
          <reference field="8" count="0" defaultSubtotal="1"/>
        </references>
      </pivotArea>
    </format>
    <format dxfId="100">
      <pivotArea dataOnly="0" labelOnly="1" grandRow="1" outline="0" fieldPosition="0"/>
    </format>
    <format dxfId="98">
      <pivotArea dataOnly="0" labelOnly="1" outline="0" fieldPosition="0">
        <references count="2">
          <reference field="7" count="0"/>
          <reference field="8" count="0" selected="0"/>
        </references>
      </pivotArea>
    </format>
    <format dxfId="96">
      <pivotArea dataOnly="0" labelOnly="1" outline="0" fieldPosition="0">
        <references count="2">
          <reference field="7" count="0" defaultSubtotal="1"/>
          <reference field="8" count="0" selected="0"/>
        </references>
      </pivotArea>
    </format>
    <format dxfId="94">
      <pivotArea dataOnly="0" labelOnly="1" outline="0" fieldPosition="0">
        <references count="3">
          <reference field="6" count="3">
            <x v="0"/>
            <x v="1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87">
      <pivotArea dataOnly="0" labelOnly="1" outline="0" fieldPosition="0">
        <references count="3">
          <reference field="6" count="3">
            <x v="3"/>
            <x v="4"/>
            <x v="5"/>
          </reference>
          <reference field="7" count="1" selected="0">
            <x v="1"/>
          </reference>
          <reference field="8" count="0" selected="0"/>
        </references>
      </pivotArea>
    </format>
    <format dxfId="81">
      <pivotArea dataOnly="0" labelOnly="1" outline="0" fieldPosition="0">
        <references count="3">
          <reference field="6" count="3"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76">
      <pivotArea dataOnly="0" labelOnly="1" outline="0" fieldPosition="0">
        <references count="4">
          <reference field="1" count="2">
            <x v="0"/>
            <x v="6"/>
          </reference>
          <reference field="6" count="1" selected="0">
            <x v="0"/>
          </reference>
          <reference field="7" count="1" selected="0">
            <x v="0"/>
          </reference>
          <reference field="8" count="0" selected="0"/>
        </references>
      </pivotArea>
    </format>
    <format dxfId="75">
      <pivotArea dataOnly="0" labelOnly="1" outline="0" fieldPosition="0">
        <references count="4">
          <reference field="1" count="4">
            <x v="1"/>
            <x v="3"/>
            <x v="7"/>
            <x v="8"/>
          </reference>
          <reference field="6" count="1" selected="0">
            <x v="1"/>
          </reference>
          <reference field="7" count="1" selected="0">
            <x v="0"/>
          </reference>
          <reference field="8" count="0" selected="0"/>
        </references>
      </pivotArea>
    </format>
    <format dxfId="74">
      <pivotArea dataOnly="0" labelOnly="1" outline="0" fieldPosition="0">
        <references count="4">
          <reference field="1" count="2">
            <x v="0"/>
            <x v="6"/>
          </reference>
          <reference field="6" count="1" selected="0">
            <x v="2"/>
          </reference>
          <reference field="7" count="1" selected="0">
            <x v="0"/>
          </reference>
          <reference field="8" count="0" selected="0"/>
        </references>
      </pivotArea>
    </format>
    <format dxfId="73">
      <pivotArea dataOnly="0" labelOnly="1" outline="0" fieldPosition="0">
        <references count="4">
          <reference field="1" count="1">
            <x v="1"/>
          </reference>
          <reference field="6" count="1" selected="0">
            <x v="3"/>
          </reference>
          <reference field="7" count="1" selected="0">
            <x v="1"/>
          </reference>
          <reference field="8" count="0" selected="0"/>
        </references>
      </pivotArea>
    </format>
    <format dxfId="72">
      <pivotArea dataOnly="0" labelOnly="1" outline="0" fieldPosition="0">
        <references count="4">
          <reference field="1" count="2">
            <x v="3"/>
            <x v="7"/>
          </reference>
          <reference field="6" count="1" selected="0">
            <x v="4"/>
          </reference>
          <reference field="7" count="1" selected="0">
            <x v="1"/>
          </reference>
          <reference field="8" count="0" selected="0"/>
        </references>
      </pivotArea>
    </format>
    <format dxfId="71">
      <pivotArea dataOnly="0" labelOnly="1" outline="0" fieldPosition="0">
        <references count="4">
          <reference field="1" count="3">
            <x v="1"/>
            <x v="6"/>
            <x v="8"/>
          </reference>
          <reference field="6" count="1" selected="0">
            <x v="5"/>
          </reference>
          <reference field="7" count="1" selected="0">
            <x v="1"/>
          </reference>
          <reference field="8" count="0" selected="0"/>
        </references>
      </pivotArea>
    </format>
    <format dxfId="70">
      <pivotArea dataOnly="0" labelOnly="1" outline="0" fieldPosition="0">
        <references count="4">
          <reference field="1" count="1">
            <x v="3"/>
          </reference>
          <reference field="6" count="1" selected="0">
            <x v="6"/>
          </reference>
          <reference field="7" count="1" selected="0">
            <x v="2"/>
          </reference>
          <reference field="8" count="0" selected="0"/>
        </references>
      </pivotArea>
    </format>
    <format dxfId="69">
      <pivotArea dataOnly="0" labelOnly="1" outline="0" fieldPosition="0">
        <references count="4">
          <reference field="1" count="2">
            <x v="7"/>
            <x v="8"/>
          </reference>
          <reference field="6" count="1" selected="0">
            <x v="7"/>
          </reference>
          <reference field="7" count="1" selected="0">
            <x v="2"/>
          </reference>
          <reference field="8" count="0" selected="0"/>
        </references>
      </pivotArea>
    </format>
    <format dxfId="68">
      <pivotArea dataOnly="0" labelOnly="1" outline="0" fieldPosition="0">
        <references count="4">
          <reference field="1" count="1">
            <x v="6"/>
          </reference>
          <reference field="6" count="1" selected="0">
            <x v="8"/>
          </reference>
          <reference field="7" count="1" selected="0">
            <x v="2"/>
          </reference>
          <reference field="8" count="0" selected="0"/>
        </references>
      </pivotArea>
    </format>
    <format dxfId="0">
      <pivotArea outline="0" collapsedLevelsAreSubtotals="1" fieldPosition="0"/>
    </format>
  </formats>
  <pivotTableStyleInfo name="Monthly Sales Report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Monthly Sales Report PivotTable" altTextSummary="A PivotTable showing the monthly sales, grouped by Year, Quarter, Month, and Company along with the Total Sales for each group." hideValuesRow="1"/>
    </ext>
  </extLst>
</pivotTableDefinition>
</file>

<file path=xl/tables/table1.xml><?xml version="1.0" encoding="utf-8"?>
<table xmlns="http://schemas.openxmlformats.org/spreadsheetml/2006/main" id="1" name="tblData" displayName="tblData" ref="B5:Q24" totalsRowShown="0" headerRowDxfId="299" dataDxfId="298">
  <autoFilter ref="B5:Q24"/>
  <tableColumns count="16">
    <tableColumn id="1" name="日期" dataDxfId="297"/>
    <tableColumn id="2" name="公司" dataDxfId="67"/>
    <tableColumn id="3" name="金額" dataDxfId="66"/>
    <tableColumn id="4" name="計劃" dataDxfId="65"/>
    <tableColumn id="5" name="成本" dataDxfId="63"/>
    <tableColumn id="16" name="營收" dataDxfId="64">
      <calculatedColumnFormula>tblData[[#This Row],[金額]]-tblData[[#This Row],[成本]]</calculatedColumnFormula>
    </tableColumn>
    <tableColumn id="6" name="月份" dataDxfId="296">
      <calculatedColumnFormula>DATE(YEAR(資料項目!$B6),MONTH(資料項目!$B6),1)</calculatedColumnFormula>
    </tableColumn>
    <tableColumn id="7" name="季度" dataDxfId="295">
      <calculatedColumnFormula>LOOKUP(MONTH(資料項目!$H6),{1,1;2,1;3,1;4,2;5,2;6,2;7,3;8,3;9,3;10,4;11,4;12,4})</calculatedColumnFormula>
    </tableColumn>
    <tableColumn id="8" name="年度" dataDxfId="294">
      <calculatedColumnFormula>YEAR(資料項目!$B6)</calculatedColumnFormula>
    </tableColumn>
    <tableColumn id="12" name="MONTH NUM (HIDE)" dataDxfId="293">
      <calculatedColumnFormula>MONTH(tblData[[#This Row],[日期]])</calculatedColumnFormula>
    </tableColumn>
    <tableColumn id="9" name="月份 " dataDxfId="62">
      <calculatedColumnFormula>SUMIFS(tblData[金額],tblData[日期],"&gt;="&amp;EOMONTH(tblData[[#This Row],[日期]],-1)+1,tblData[日期],"&lt;="&amp;EOMONTH(tblData[[#This Row],[日期]],0))</calculatedColumnFormula>
    </tableColumn>
    <tableColumn id="10" name="季度 " dataDxfId="61">
      <calculatedColumnFormula>SUMIFS(tblData[金額],tblData[日期],"&gt;="&amp;DATE(YEAR(tblData[[#This Row],[日期]]),1,1),tblData[日期],"&lt;="&amp;DATE(YEAR(tblData[[#This Row],[日期]]),12,31),tblData[季度],tblData[[#This Row],[季度]])</calculatedColumnFormula>
    </tableColumn>
    <tableColumn id="11" name="整年 " dataDxfId="60">
      <calculatedColumnFormula>SUMIFS(tblData[金額],tblData[日期],"&gt;="&amp;DATE(YEAR(tblData[[#This Row],[日期]]),1,1),tblData[日期],"&lt;="&amp;DATE(YEAR(tblData[[#This Row],[日期]]),12,31))</calculatedColumnFormula>
    </tableColumn>
    <tableColumn id="13" name="月份  " dataDxfId="59">
      <calculatedColumnFormula>IFERROR(TREND($L$6:INDEX($L:$L,ROW(),1),$K$6:INDEX($K:$K,ROW(),1),IF(MONTH(tblData[[#This Row],[日期]])=12,13,MONTH(tblData[[#This Row],[日期]])+1)),"")</calculatedColumnFormula>
    </tableColumn>
    <tableColumn id="14" name="季度  " dataDxfId="58">
      <calculatedColumnFormula>IFERROR(TREND($M$6:INDEX($M:$M,ROW(),1),$I$6:INDEX($I:$I,ROW(),1),IF(tblData[[#This Row],[季度]]=4,5,tblData[[#This Row],[季度]]+1)),"")</calculatedColumnFormula>
    </tableColumn>
    <tableColumn id="15" name="年度  " dataDxfId="57">
      <calculatedColumnFormula>IFERROR(TREND($N$6:INDEX($N:$N,ROW(),1),$J$6:INDEX($J:$J,ROW(),1),tblData[[#This Row],[年度]]+1),"")</calculatedColumnFormula>
    </tableColumn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月資料編輯表" altTextSummary="在此表格中輸入每月資料，例如日期、公司、金額、計劃金額、成本、收入、月、季與年。公式將會為您計算目前及未來的資料。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9" customWidth="1"/>
    <col min="2" max="2" width="12.1640625" style="9" customWidth="1"/>
    <col min="3" max="3" width="27.1640625" style="9" customWidth="1"/>
    <col min="4" max="4" width="15.6640625" style="9" customWidth="1"/>
    <col min="5" max="5" width="16.6640625" style="9" customWidth="1"/>
    <col min="6" max="6" width="14.33203125" style="9" customWidth="1"/>
    <col min="7" max="7" width="16.83203125" style="9" customWidth="1"/>
    <col min="8" max="8" width="14.33203125" style="9" customWidth="1"/>
    <col min="9" max="9" width="17.5" style="9" customWidth="1"/>
    <col min="10" max="10" width="12.83203125" style="9" customWidth="1"/>
    <col min="11" max="11" width="12.83203125" style="9" hidden="1" customWidth="1"/>
    <col min="12" max="12" width="13.83203125" style="9" customWidth="1"/>
    <col min="13" max="13" width="16.33203125" style="9" customWidth="1"/>
    <col min="14" max="14" width="13.83203125" style="9" customWidth="1"/>
    <col min="15" max="15" width="14" style="9" customWidth="1"/>
    <col min="16" max="16" width="16.6640625" style="9" customWidth="1"/>
    <col min="17" max="17" width="13.83203125" style="9" customWidth="1"/>
    <col min="18" max="16384" width="9.33203125" style="9"/>
  </cols>
  <sheetData>
    <row r="1" spans="2:17" s="2" customFormat="1" ht="11.25" customHeight="1" x14ac:dyDescent="0.2">
      <c r="J1" s="2">
        <f>365*2</f>
        <v>730</v>
      </c>
    </row>
    <row r="2" spans="2:17" s="2" customFormat="1" ht="33.75" customHeight="1" x14ac:dyDescent="0.2">
      <c r="B2" s="1" t="s">
        <v>45</v>
      </c>
    </row>
    <row r="3" spans="2:17" s="2" customFormat="1" ht="17.25" customHeight="1" x14ac:dyDescent="0.2">
      <c r="L3" s="20" t="s">
        <v>36</v>
      </c>
      <c r="M3" s="21"/>
      <c r="N3" s="21"/>
      <c r="O3" s="20" t="s">
        <v>37</v>
      </c>
      <c r="P3" s="21"/>
      <c r="Q3" s="21"/>
    </row>
    <row r="4" spans="2:17" s="2" customFormat="1" ht="11.25" customHeight="1" x14ac:dyDescent="0.2">
      <c r="L4" s="22"/>
      <c r="M4" s="23"/>
      <c r="N4" s="24"/>
      <c r="O4" s="22"/>
      <c r="P4" s="23"/>
      <c r="Q4" s="24"/>
    </row>
    <row r="5" spans="2:17" ht="17.25" customHeight="1" x14ac:dyDescent="0.2">
      <c r="B5" s="25" t="s">
        <v>7</v>
      </c>
      <c r="C5" s="25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5</v>
      </c>
      <c r="L5" s="26" t="s">
        <v>42</v>
      </c>
      <c r="M5" s="26" t="s">
        <v>43</v>
      </c>
      <c r="N5" s="26" t="s">
        <v>44</v>
      </c>
      <c r="O5" s="26" t="s">
        <v>16</v>
      </c>
      <c r="P5" s="26" t="s">
        <v>17</v>
      </c>
      <c r="Q5" s="26" t="s">
        <v>18</v>
      </c>
    </row>
    <row r="6" spans="2:17" ht="17.25" customHeight="1" x14ac:dyDescent="0.2">
      <c r="B6" s="27">
        <f>40657+(365*2)</f>
        <v>41387</v>
      </c>
      <c r="C6" s="28" t="s">
        <v>0</v>
      </c>
      <c r="D6" s="58">
        <v>192000</v>
      </c>
      <c r="E6" s="58">
        <v>186000</v>
      </c>
      <c r="F6" s="58">
        <v>133500</v>
      </c>
      <c r="G6" s="57">
        <f>tblData[[#This Row],[金額]]-tblData[[#This Row],[成本]]</f>
        <v>58500</v>
      </c>
      <c r="H6" s="36">
        <f>DATE(YEAR(資料項目!$B6),MONTH(資料項目!$B6),1)</f>
        <v>41365</v>
      </c>
      <c r="I6" s="53">
        <f>LOOKUP(MONTH(資料項目!$H6),{1,1;2,1;3,1;4,2;5,2;6,2;7,3;8,3;9,3;10,4;11,4;12,4})</f>
        <v>2</v>
      </c>
      <c r="J6" s="29">
        <f>YEAR(資料項目!$B6)</f>
        <v>2013</v>
      </c>
      <c r="K6" s="30">
        <f>MONTH(tblData[[#This Row],[日期]])</f>
        <v>4</v>
      </c>
      <c r="L6" s="57">
        <f>SUMIFS(tblData[金額],tblData[日期],"&gt;="&amp;EOMONTH(tblData[[#This Row],[日期]],-1)+1,tblData[日期],"&lt;="&amp;EOMONTH(tblData[[#This Row],[日期]],0))</f>
        <v>438000</v>
      </c>
      <c r="M6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6" s="57">
        <f>SUMIFS(tblData[金額],tblData[日期],"&gt;="&amp;DATE(YEAR(tblData[[#This Row],[日期]]),1,1),tblData[日期],"&lt;="&amp;DATE(YEAR(tblData[[#This Row],[日期]]),12,31))</f>
        <v>4314000</v>
      </c>
      <c r="O6" s="57">
        <f>IFERROR(TREND($L$6:INDEX($L:$L,ROW(),1),$K$6:INDEX($K:$K,ROW(),1),IF(MONTH(tblData[[#This Row],[日期]])=12,13,MONTH(tblData[[#This Row],[日期]])+1)),"")</f>
        <v>438000</v>
      </c>
      <c r="P6" s="57">
        <f>IFERROR(TREND($M$6:INDEX($M:$M,ROW(),1),$I$6:INDEX($I:$I,ROW(),1),IF(tblData[[#This Row],[季度]]=4,5,tblData[[#This Row],[季度]]+1)),"")</f>
        <v>1524000</v>
      </c>
      <c r="Q6" s="57">
        <f>IFERROR(TREND($N$6:INDEX($N:$N,ROW(),1),$J$6:INDEX($J:$J,ROW(),1),tblData[[#This Row],[年度]]+1),"")</f>
        <v>4314000</v>
      </c>
    </row>
    <row r="7" spans="2:17" ht="17.25" customHeight="1" x14ac:dyDescent="0.2">
      <c r="B7" s="27">
        <f>40659+(365*2)</f>
        <v>41389</v>
      </c>
      <c r="C7" s="28" t="s">
        <v>47</v>
      </c>
      <c r="D7" s="58">
        <v>246000</v>
      </c>
      <c r="E7" s="58">
        <v>240000</v>
      </c>
      <c r="F7" s="58">
        <v>192000</v>
      </c>
      <c r="G7" s="57">
        <f>tblData[[#This Row],[金額]]-tblData[[#This Row],[成本]]</f>
        <v>54000</v>
      </c>
      <c r="H7" s="36">
        <f>DATE(YEAR(資料項目!$B7),MONTH(資料項目!$B7),1)</f>
        <v>41365</v>
      </c>
      <c r="I7" s="53">
        <f>LOOKUP(MONTH(資料項目!$H7),{1,1;2,1;3,1;4,2;5,2;6,2;7,3;8,3;9,3;10,4;11,4;12,4})</f>
        <v>2</v>
      </c>
      <c r="J7" s="29">
        <f>YEAR(資料項目!$B7)</f>
        <v>2013</v>
      </c>
      <c r="K7" s="30">
        <f>MONTH(tblData[[#This Row],[日期]])</f>
        <v>4</v>
      </c>
      <c r="L7" s="57">
        <f>SUMIFS(tblData[金額],tblData[日期],"&gt;="&amp;EOMONTH(tblData[[#This Row],[日期]],-1)+1,tblData[日期],"&lt;="&amp;EOMONTH(tblData[[#This Row],[日期]],0))</f>
        <v>438000</v>
      </c>
      <c r="M7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7" s="57">
        <f>SUMIFS(tblData[金額],tblData[日期],"&gt;="&amp;DATE(YEAR(tblData[[#This Row],[日期]]),1,1),tblData[日期],"&lt;="&amp;DATE(YEAR(tblData[[#This Row],[日期]]),12,31))</f>
        <v>4314000</v>
      </c>
      <c r="O7" s="57">
        <f>IFERROR(TREND($L$6:INDEX($L:$L,ROW(),1),$K$6:INDEX($K:$K,ROW(),1),IF(MONTH(tblData[[#This Row],[日期]])=12,13,MONTH(tblData[[#This Row],[日期]])+1)),"")</f>
        <v>438000</v>
      </c>
      <c r="P7" s="57">
        <f>IFERROR(TREND($M$6:INDEX($M:$M,ROW(),1),$I$6:INDEX($I:$I,ROW(),1),IF(tblData[[#This Row],[季度]]=4,5,tblData[[#This Row],[季度]]+1)),"")</f>
        <v>1524000</v>
      </c>
      <c r="Q7" s="57">
        <f>IFERROR(TREND($N$6:INDEX($N:$N,ROW(),1),$J$6:INDEX($J:$J,ROW(),1),tblData[[#This Row],[年度]]+1),"")</f>
        <v>4314000</v>
      </c>
    </row>
    <row r="8" spans="2:17" ht="17.25" customHeight="1" x14ac:dyDescent="0.2">
      <c r="B8" s="27">
        <f>40671+(365*2)</f>
        <v>41401</v>
      </c>
      <c r="C8" s="28" t="s">
        <v>1</v>
      </c>
      <c r="D8" s="58">
        <v>132000</v>
      </c>
      <c r="E8" s="58">
        <v>126000</v>
      </c>
      <c r="F8" s="58">
        <v>78000</v>
      </c>
      <c r="G8" s="57">
        <f>tblData[[#This Row],[金額]]-tblData[[#This Row],[成本]]</f>
        <v>54000</v>
      </c>
      <c r="H8" s="36">
        <f>DATE(YEAR(資料項目!$B8),MONTH(資料項目!$B8),1)</f>
        <v>41395</v>
      </c>
      <c r="I8" s="53">
        <f>LOOKUP(MONTH(資料項目!$H8),{1,1;2,1;3,1;4,2;5,2;6,2;7,3;8,3;9,3;10,4;11,4;12,4})</f>
        <v>2</v>
      </c>
      <c r="J8" s="29">
        <f>YEAR(資料項目!$B8)</f>
        <v>2013</v>
      </c>
      <c r="K8" s="30">
        <f>MONTH(tblData[[#This Row],[日期]])</f>
        <v>5</v>
      </c>
      <c r="L8" s="57">
        <f>SUMIFS(tblData[金額],tblData[日期],"&gt;="&amp;EOMONTH(tblData[[#This Row],[日期]],-1)+1,tblData[日期],"&lt;="&amp;EOMONTH(tblData[[#This Row],[日期]],0))</f>
        <v>654000</v>
      </c>
      <c r="M8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8" s="57">
        <f>SUMIFS(tblData[金額],tblData[日期],"&gt;="&amp;DATE(YEAR(tblData[[#This Row],[日期]]),1,1),tblData[日期],"&lt;="&amp;DATE(YEAR(tblData[[#This Row],[日期]]),12,31))</f>
        <v>4314000</v>
      </c>
      <c r="O8" s="57">
        <f>IFERROR(TREND($L$6:INDEX($L:$L,ROW(),1),$K$6:INDEX($K:$K,ROW(),1),IF(MONTH(tblData[[#This Row],[日期]])=12,13,MONTH(tblData[[#This Row],[日期]])+1)),"")</f>
        <v>870000</v>
      </c>
      <c r="P8" s="57">
        <f>IFERROR(TREND($M$6:INDEX($M:$M,ROW(),1),$I$6:INDEX($I:$I,ROW(),1),IF(tblData[[#This Row],[季度]]=4,5,tblData[[#This Row],[季度]]+1)),"")</f>
        <v>1524000</v>
      </c>
      <c r="Q8" s="57">
        <f>IFERROR(TREND($N$6:INDEX($N:$N,ROW(),1),$J$6:INDEX($J:$J,ROW(),1),tblData[[#This Row],[年度]]+1),"")</f>
        <v>4314000</v>
      </c>
    </row>
    <row r="9" spans="2:17" ht="17.25" customHeight="1" x14ac:dyDescent="0.2">
      <c r="B9" s="27">
        <f>40678+(365*2)</f>
        <v>41408</v>
      </c>
      <c r="C9" s="28" t="s">
        <v>2</v>
      </c>
      <c r="D9" s="58">
        <v>162000</v>
      </c>
      <c r="E9" s="58">
        <v>165000</v>
      </c>
      <c r="F9" s="58">
        <v>135000</v>
      </c>
      <c r="G9" s="57">
        <f>tblData[[#This Row],[金額]]-tblData[[#This Row],[成本]]</f>
        <v>27000</v>
      </c>
      <c r="H9" s="36">
        <f>DATE(YEAR(資料項目!$B9),MONTH(資料項目!$B9),1)</f>
        <v>41395</v>
      </c>
      <c r="I9" s="53">
        <f>LOOKUP(MONTH(資料項目!$H9),{1,1;2,1;3,1;4,2;5,2;6,2;7,3;8,3;9,3;10,4;11,4;12,4})</f>
        <v>2</v>
      </c>
      <c r="J9" s="29">
        <f>YEAR(資料項目!$B9)</f>
        <v>2013</v>
      </c>
      <c r="K9" s="30">
        <f>MONTH(tblData[[#This Row],[日期]])</f>
        <v>5</v>
      </c>
      <c r="L9" s="57">
        <f>SUMIFS(tblData[金額],tblData[日期],"&gt;="&amp;EOMONTH(tblData[[#This Row],[日期]],-1)+1,tblData[日期],"&lt;="&amp;EOMONTH(tblData[[#This Row],[日期]],0))</f>
        <v>654000</v>
      </c>
      <c r="M9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9" s="57">
        <f>SUMIFS(tblData[金額],tblData[日期],"&gt;="&amp;DATE(YEAR(tblData[[#This Row],[日期]]),1,1),tblData[日期],"&lt;="&amp;DATE(YEAR(tblData[[#This Row],[日期]]),12,31))</f>
        <v>4314000</v>
      </c>
      <c r="O9" s="57">
        <f>IFERROR(TREND($L$6:INDEX($L:$L,ROW(),1),$K$6:INDEX($K:$K,ROW(),1),IF(MONTH(tblData[[#This Row],[日期]])=12,13,MONTH(tblData[[#This Row],[日期]])+1)),"")</f>
        <v>870000</v>
      </c>
      <c r="P9" s="57">
        <f>IFERROR(TREND($M$6:INDEX($M:$M,ROW(),1),$I$6:INDEX($I:$I,ROW(),1),IF(tblData[[#This Row],[季度]]=4,5,tblData[[#This Row],[季度]]+1)),"")</f>
        <v>1524000</v>
      </c>
      <c r="Q9" s="57">
        <f>IFERROR(TREND($N$6:INDEX($N:$N,ROW(),1),$J$6:INDEX($J:$J,ROW(),1),tblData[[#This Row],[年度]]+1),"")</f>
        <v>4314000</v>
      </c>
    </row>
    <row r="10" spans="2:17" ht="17.25" customHeight="1" x14ac:dyDescent="0.2">
      <c r="B10" s="27">
        <f>40678+(365*2)</f>
        <v>41408</v>
      </c>
      <c r="C10" s="28" t="s">
        <v>48</v>
      </c>
      <c r="D10" s="58">
        <v>174000</v>
      </c>
      <c r="E10" s="58">
        <v>180000</v>
      </c>
      <c r="F10" s="58">
        <v>135000</v>
      </c>
      <c r="G10" s="57">
        <f>tblData[[#This Row],[金額]]-tblData[[#This Row],[成本]]</f>
        <v>39000</v>
      </c>
      <c r="H10" s="36">
        <f>DATE(YEAR(資料項目!$B10),MONTH(資料項目!$B10),1)</f>
        <v>41395</v>
      </c>
      <c r="I10" s="53">
        <f>LOOKUP(MONTH(資料項目!$H10),{1,1;2,1;3,1;4,2;5,2;6,2;7,3;8,3;9,3;10,4;11,4;12,4})</f>
        <v>2</v>
      </c>
      <c r="J10" s="29">
        <f>YEAR(資料項目!$B10)</f>
        <v>2013</v>
      </c>
      <c r="K10" s="30">
        <f>MONTH(tblData[[#This Row],[日期]])</f>
        <v>5</v>
      </c>
      <c r="L10" s="57">
        <f>SUMIFS(tblData[金額],tblData[日期],"&gt;="&amp;EOMONTH(tblData[[#This Row],[日期]],-1)+1,tblData[日期],"&lt;="&amp;EOMONTH(tblData[[#This Row],[日期]],0))</f>
        <v>654000</v>
      </c>
      <c r="M10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10" s="57">
        <f>SUMIFS(tblData[金額],tblData[日期],"&gt;="&amp;DATE(YEAR(tblData[[#This Row],[日期]]),1,1),tblData[日期],"&lt;="&amp;DATE(YEAR(tblData[[#This Row],[日期]]),12,31))</f>
        <v>4314000</v>
      </c>
      <c r="O10" s="57">
        <f>IFERROR(TREND($L$6:INDEX($L:$L,ROW(),1),$K$6:INDEX($K:$K,ROW(),1),IF(MONTH(tblData[[#This Row],[日期]])=12,13,MONTH(tblData[[#This Row],[日期]])+1)),"")</f>
        <v>870000</v>
      </c>
      <c r="P10" s="57">
        <f>IFERROR(TREND($M$6:INDEX($M:$M,ROW(),1),$I$6:INDEX($I:$I,ROW(),1),IF(tblData[[#This Row],[季度]]=4,5,tblData[[#This Row],[季度]]+1)),"")</f>
        <v>1524000</v>
      </c>
      <c r="Q10" s="57">
        <f>IFERROR(TREND($N$6:INDEX($N:$N,ROW(),1),$J$6:INDEX($J:$J,ROW(),1),tblData[[#This Row],[年度]]+1),"")</f>
        <v>4314000</v>
      </c>
    </row>
    <row r="11" spans="2:17" ht="17.25" customHeight="1" x14ac:dyDescent="0.2">
      <c r="B11" s="27">
        <f>40693+(365*2)</f>
        <v>41423</v>
      </c>
      <c r="C11" s="28" t="s">
        <v>49</v>
      </c>
      <c r="D11" s="58">
        <v>186000</v>
      </c>
      <c r="E11" s="58">
        <v>180000</v>
      </c>
      <c r="F11" s="58">
        <v>135000</v>
      </c>
      <c r="G11" s="57">
        <f>tblData[[#This Row],[金額]]-tblData[[#This Row],[成本]]</f>
        <v>51000</v>
      </c>
      <c r="H11" s="36">
        <f>DATE(YEAR(資料項目!$B11),MONTH(資料項目!$B11),1)</f>
        <v>41395</v>
      </c>
      <c r="I11" s="53">
        <f>LOOKUP(MONTH(資料項目!$H11),{1,1;2,1;3,1;4,2;5,2;6,2;7,3;8,3;9,3;10,4;11,4;12,4})</f>
        <v>2</v>
      </c>
      <c r="J11" s="29">
        <f>YEAR(資料項目!$B11)</f>
        <v>2013</v>
      </c>
      <c r="K11" s="30">
        <f>MONTH(tblData[[#This Row],[日期]])</f>
        <v>5</v>
      </c>
      <c r="L11" s="57">
        <f>SUMIFS(tblData[金額],tblData[日期],"&gt;="&amp;EOMONTH(tblData[[#This Row],[日期]],-1)+1,tblData[日期],"&lt;="&amp;EOMONTH(tblData[[#This Row],[日期]],0))</f>
        <v>654000</v>
      </c>
      <c r="M11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11" s="57">
        <f>SUMIFS(tblData[金額],tblData[日期],"&gt;="&amp;DATE(YEAR(tblData[[#This Row],[日期]]),1,1),tblData[日期],"&lt;="&amp;DATE(YEAR(tblData[[#This Row],[日期]]),12,31))</f>
        <v>4314000</v>
      </c>
      <c r="O11" s="57">
        <f>IFERROR(TREND($L$6:INDEX($L:$L,ROW(),1),$K$6:INDEX($K:$K,ROW(),1),IF(MONTH(tblData[[#This Row],[日期]])=12,13,MONTH(tblData[[#This Row],[日期]])+1)),"")</f>
        <v>869999.99999999988</v>
      </c>
      <c r="P11" s="57">
        <f>IFERROR(TREND($M$6:INDEX($M:$M,ROW(),1),$I$6:INDEX($I:$I,ROW(),1),IF(tblData[[#This Row],[季度]]=4,5,tblData[[#This Row],[季度]]+1)),"")</f>
        <v>1524000</v>
      </c>
      <c r="Q11" s="57">
        <f>IFERROR(TREND($N$6:INDEX($N:$N,ROW(),1),$J$6:INDEX($J:$J,ROW(),1),tblData[[#This Row],[年度]]+1),"")</f>
        <v>4314000</v>
      </c>
    </row>
    <row r="12" spans="2:17" ht="17.25" customHeight="1" x14ac:dyDescent="0.2">
      <c r="B12" s="27">
        <f>40705+(365*2)</f>
        <v>41435</v>
      </c>
      <c r="C12" s="28" t="s">
        <v>0</v>
      </c>
      <c r="D12" s="58">
        <v>207000</v>
      </c>
      <c r="E12" s="58">
        <v>225000</v>
      </c>
      <c r="F12" s="58">
        <v>162000</v>
      </c>
      <c r="G12" s="57">
        <f>tblData[[#This Row],[金額]]-tblData[[#This Row],[成本]]</f>
        <v>45000</v>
      </c>
      <c r="H12" s="36">
        <f>DATE(YEAR(資料項目!$B12),MONTH(資料項目!$B12),1)</f>
        <v>41426</v>
      </c>
      <c r="I12" s="53">
        <f>LOOKUP(MONTH(資料項目!$H12),{1,1;2,1;3,1;4,2;5,2;6,2;7,3;8,3;9,3;10,4;11,4;12,4})</f>
        <v>2</v>
      </c>
      <c r="J12" s="29">
        <f>YEAR(資料項目!$B12)</f>
        <v>2013</v>
      </c>
      <c r="K12" s="30">
        <f>MONTH(tblData[[#This Row],[日期]])</f>
        <v>6</v>
      </c>
      <c r="L12" s="57">
        <f>SUMIFS(tblData[金額],tblData[日期],"&gt;="&amp;EOMONTH(tblData[[#This Row],[日期]],-1)+1,tblData[日期],"&lt;="&amp;EOMONTH(tblData[[#This Row],[日期]],0))</f>
        <v>432000</v>
      </c>
      <c r="M12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12" s="57">
        <f>SUMIFS(tblData[金額],tblData[日期],"&gt;="&amp;DATE(YEAR(tblData[[#This Row],[日期]]),1,1),tblData[日期],"&lt;="&amp;DATE(YEAR(tblData[[#This Row],[日期]]),12,31))</f>
        <v>4314000</v>
      </c>
      <c r="O12" s="57">
        <f>IFERROR(TREND($L$6:INDEX($L:$L,ROW(),1),$K$6:INDEX($K:$K,ROW(),1),IF(MONTH(tblData[[#This Row],[日期]])=12,13,MONTH(tblData[[#This Row],[日期]])+1)),"")</f>
        <v>647999.99999999988</v>
      </c>
      <c r="P12" s="57">
        <f>IFERROR(TREND($M$6:INDEX($M:$M,ROW(),1),$I$6:INDEX($I:$I,ROW(),1),IF(tblData[[#This Row],[季度]]=4,5,tblData[[#This Row],[季度]]+1)),"")</f>
        <v>1524000</v>
      </c>
      <c r="Q12" s="57">
        <f>IFERROR(TREND($N$6:INDEX($N:$N,ROW(),1),$J$6:INDEX($J:$J,ROW(),1),tblData[[#This Row],[年度]]+1),"")</f>
        <v>4314000</v>
      </c>
    </row>
    <row r="13" spans="2:17" ht="17.25" customHeight="1" x14ac:dyDescent="0.2">
      <c r="B13" s="27">
        <f>40716+(365*2)</f>
        <v>41446</v>
      </c>
      <c r="C13" s="28" t="s">
        <v>47</v>
      </c>
      <c r="D13" s="58">
        <v>225000</v>
      </c>
      <c r="E13" s="58">
        <v>216000</v>
      </c>
      <c r="F13" s="58">
        <v>195000</v>
      </c>
      <c r="G13" s="57">
        <f>tblData[[#This Row],[金額]]-tblData[[#This Row],[成本]]</f>
        <v>30000</v>
      </c>
      <c r="H13" s="36">
        <f>DATE(YEAR(資料項目!$B13),MONTH(資料項目!$B13),1)</f>
        <v>41426</v>
      </c>
      <c r="I13" s="53">
        <f>LOOKUP(MONTH(資料項目!$H13),{1,1;2,1;3,1;4,2;5,2;6,2;7,3;8,3;9,3;10,4;11,4;12,4})</f>
        <v>2</v>
      </c>
      <c r="J13" s="29">
        <f>YEAR(資料項目!$B13)</f>
        <v>2013</v>
      </c>
      <c r="K13" s="30">
        <f>MONTH(tblData[[#This Row],[日期]])</f>
        <v>6</v>
      </c>
      <c r="L13" s="57">
        <f>SUMIFS(tblData[金額],tblData[日期],"&gt;="&amp;EOMONTH(tblData[[#This Row],[日期]],-1)+1,tblData[日期],"&lt;="&amp;EOMONTH(tblData[[#This Row],[日期]],0))</f>
        <v>432000</v>
      </c>
      <c r="M13" s="57">
        <f>SUMIFS(tblData[金額],tblData[日期],"&gt;="&amp;DATE(YEAR(tblData[[#This Row],[日期]]),1,1),tblData[日期],"&lt;="&amp;DATE(YEAR(tblData[[#This Row],[日期]]),12,31),tblData[季度],tblData[[#This Row],[季度]])</f>
        <v>1524000</v>
      </c>
      <c r="N13" s="57">
        <f>SUMIFS(tblData[金額],tblData[日期],"&gt;="&amp;DATE(YEAR(tblData[[#This Row],[日期]]),1,1),tblData[日期],"&lt;="&amp;DATE(YEAR(tblData[[#This Row],[日期]]),12,31))</f>
        <v>4314000</v>
      </c>
      <c r="O13" s="57">
        <f>IFERROR(TREND($L$6:INDEX($L:$L,ROW(),1),$K$6:INDEX($K:$K,ROW(),1),IF(MONTH(tblData[[#This Row],[日期]])=12,13,MONTH(tblData[[#This Row],[日期]])+1)),"")</f>
        <v>538500</v>
      </c>
      <c r="P13" s="57">
        <f>IFERROR(TREND($M$6:INDEX($M:$M,ROW(),1),$I$6:INDEX($I:$I,ROW(),1),IF(tblData[[#This Row],[季度]]=4,5,tblData[[#This Row],[季度]]+1)),"")</f>
        <v>1524000</v>
      </c>
      <c r="Q13" s="57">
        <f>IFERROR(TREND($N$6:INDEX($N:$N,ROW(),1),$J$6:INDEX($J:$J,ROW(),1),tblData[[#This Row],[年度]]+1),"")</f>
        <v>4314000</v>
      </c>
    </row>
    <row r="14" spans="2:17" ht="17.25" customHeight="1" x14ac:dyDescent="0.2">
      <c r="B14" s="27">
        <f>40731+(365*2)</f>
        <v>41461</v>
      </c>
      <c r="C14" s="28" t="s">
        <v>1</v>
      </c>
      <c r="D14" s="58">
        <v>261000</v>
      </c>
      <c r="E14" s="58">
        <v>255000</v>
      </c>
      <c r="F14" s="58">
        <v>217500</v>
      </c>
      <c r="G14" s="57">
        <f>tblData[[#This Row],[金額]]-tblData[[#This Row],[成本]]</f>
        <v>43500</v>
      </c>
      <c r="H14" s="36">
        <f>DATE(YEAR(資料項目!$B14),MONTH(資料項目!$B14),1)</f>
        <v>41456</v>
      </c>
      <c r="I14" s="53">
        <f>LOOKUP(MONTH(資料項目!$H14),{1,1;2,1;3,1;4,2;5,2;6,2;7,3;8,3;9,3;10,4;11,4;12,4})</f>
        <v>3</v>
      </c>
      <c r="J14" s="29">
        <f>YEAR(資料項目!$B14)</f>
        <v>2013</v>
      </c>
      <c r="K14" s="30">
        <f>MONTH(tblData[[#This Row],[日期]])</f>
        <v>7</v>
      </c>
      <c r="L14" s="57">
        <f>SUMIFS(tblData[金額],tblData[日期],"&gt;="&amp;EOMONTH(tblData[[#This Row],[日期]],-1)+1,tblData[日期],"&lt;="&amp;EOMONTH(tblData[[#This Row],[日期]],0))</f>
        <v>261000</v>
      </c>
      <c r="M14" s="57">
        <f>SUMIFS(tblData[金額],tblData[日期],"&gt;="&amp;DATE(YEAR(tblData[[#This Row],[日期]]),1,1),tblData[日期],"&lt;="&amp;DATE(YEAR(tblData[[#This Row],[日期]]),12,31),tblData[季度],tblData[[#This Row],[季度]])</f>
        <v>1473000</v>
      </c>
      <c r="N14" s="57">
        <f>SUMIFS(tblData[金額],tblData[日期],"&gt;="&amp;DATE(YEAR(tblData[[#This Row],[日期]]),1,1),tblData[日期],"&lt;="&amp;DATE(YEAR(tblData[[#This Row],[日期]]),12,31))</f>
        <v>4314000</v>
      </c>
      <c r="O14" s="57">
        <f>IFERROR(TREND($L$6:INDEX($L:$L,ROW(),1),$K$6:INDEX($K:$K,ROW(),1),IF(MONTH(tblData[[#This Row],[日期]])=12,13,MONTH(tblData[[#This Row],[日期]])+1)),"")</f>
        <v>323294.1176470588</v>
      </c>
      <c r="P14" s="57">
        <f>IFERROR(TREND($M$6:INDEX($M:$M,ROW(),1),$I$6:INDEX($I:$I,ROW(),1),IF(tblData[[#This Row],[季度]]=4,5,tblData[[#This Row],[季度]]+1)),"")</f>
        <v>1422000</v>
      </c>
      <c r="Q14" s="57">
        <f>IFERROR(TREND($N$6:INDEX($N:$N,ROW(),1),$J$6:INDEX($J:$J,ROW(),1),tblData[[#This Row],[年度]]+1),"")</f>
        <v>4314000</v>
      </c>
    </row>
    <row r="15" spans="2:17" ht="17.25" customHeight="1" x14ac:dyDescent="0.2">
      <c r="B15" s="27">
        <f>40761+(365*2)</f>
        <v>41491</v>
      </c>
      <c r="C15" s="28" t="s">
        <v>2</v>
      </c>
      <c r="D15" s="58">
        <v>255000</v>
      </c>
      <c r="E15" s="58">
        <v>249000</v>
      </c>
      <c r="F15" s="58">
        <v>213000</v>
      </c>
      <c r="G15" s="57">
        <f>tblData[[#This Row],[金額]]-tblData[[#This Row],[成本]]</f>
        <v>42000</v>
      </c>
      <c r="H15" s="36">
        <f>DATE(YEAR(資料項目!$B15),MONTH(資料項目!$B15),1)</f>
        <v>41487</v>
      </c>
      <c r="I15" s="53">
        <f>LOOKUP(MONTH(資料項目!$H15),{1,1;2,1;3,1;4,2;5,2;6,2;7,3;8,3;9,3;10,4;11,4;12,4})</f>
        <v>3</v>
      </c>
      <c r="J15" s="29">
        <f>YEAR(資料項目!$B15)</f>
        <v>2013</v>
      </c>
      <c r="K15" s="30">
        <f>MONTH(tblData[[#This Row],[日期]])</f>
        <v>8</v>
      </c>
      <c r="L15" s="57">
        <f>SUMIFS(tblData[金額],tblData[日期],"&gt;="&amp;EOMONTH(tblData[[#This Row],[日期]],-1)+1,tblData[日期],"&lt;="&amp;EOMONTH(tblData[[#This Row],[日期]],0))</f>
        <v>492000</v>
      </c>
      <c r="M15" s="57">
        <f>SUMIFS(tblData[金額],tblData[日期],"&gt;="&amp;DATE(YEAR(tblData[[#This Row],[日期]]),1,1),tblData[日期],"&lt;="&amp;DATE(YEAR(tblData[[#This Row],[日期]]),12,31),tblData[季度],tblData[[#This Row],[季度]])</f>
        <v>1473000</v>
      </c>
      <c r="N15" s="57">
        <f>SUMIFS(tblData[金額],tblData[日期],"&gt;="&amp;DATE(YEAR(tblData[[#This Row],[日期]]),1,1),tblData[日期],"&lt;="&amp;DATE(YEAR(tblData[[#This Row],[日期]]),12,31))</f>
        <v>4314000</v>
      </c>
      <c r="O15" s="57">
        <f>IFERROR(TREND($L$6:INDEX($L:$L,ROW(),1),$K$6:INDEX($K:$K,ROW(),1),IF(MONTH(tblData[[#This Row],[日期]])=12,13,MONTH(tblData[[#This Row],[日期]])+1)),"")</f>
        <v>373675.86206896557</v>
      </c>
      <c r="P15" s="57">
        <f>IFERROR(TREND($M$6:INDEX($M:$M,ROW(),1),$I$6:INDEX($I:$I,ROW(),1),IF(tblData[[#This Row],[季度]]=4,5,tblData[[#This Row],[季度]]+1)),"")</f>
        <v>1422000</v>
      </c>
      <c r="Q15" s="57">
        <f>IFERROR(TREND($N$6:INDEX($N:$N,ROW(),1),$J$6:INDEX($J:$J,ROW(),1),tblData[[#This Row],[年度]]+1),"")</f>
        <v>4314000</v>
      </c>
    </row>
    <row r="16" spans="2:17" ht="17.25" customHeight="1" x14ac:dyDescent="0.2">
      <c r="B16" s="27">
        <f>40775+(365*2)</f>
        <v>41505</v>
      </c>
      <c r="C16" s="28" t="s">
        <v>48</v>
      </c>
      <c r="D16" s="58">
        <v>237000</v>
      </c>
      <c r="E16" s="58">
        <v>231000</v>
      </c>
      <c r="F16" s="58">
        <v>198000</v>
      </c>
      <c r="G16" s="57">
        <f>tblData[[#This Row],[金額]]-tblData[[#This Row],[成本]]</f>
        <v>39000</v>
      </c>
      <c r="H16" s="36">
        <f>DATE(YEAR(資料項目!$B16),MONTH(資料項目!$B16),1)</f>
        <v>41487</v>
      </c>
      <c r="I16" s="53">
        <f>LOOKUP(MONTH(資料項目!$H16),{1,1;2,1;3,1;4,2;5,2;6,2;7,3;8,3;9,3;10,4;11,4;12,4})</f>
        <v>3</v>
      </c>
      <c r="J16" s="29">
        <f>YEAR(資料項目!$B16)</f>
        <v>2013</v>
      </c>
      <c r="K16" s="30">
        <f>MONTH(tblData[[#This Row],[日期]])</f>
        <v>8</v>
      </c>
      <c r="L16" s="57">
        <f>SUMIFS(tblData[金額],tblData[日期],"&gt;="&amp;EOMONTH(tblData[[#This Row],[日期]],-1)+1,tblData[日期],"&lt;="&amp;EOMONTH(tblData[[#This Row],[日期]],0))</f>
        <v>492000</v>
      </c>
      <c r="M16" s="57">
        <f>SUMIFS(tblData[金額],tblData[日期],"&gt;="&amp;DATE(YEAR(tblData[[#This Row],[日期]]),1,1),tblData[日期],"&lt;="&amp;DATE(YEAR(tblData[[#This Row],[日期]]),12,31),tblData[季度],tblData[[#This Row],[季度]])</f>
        <v>1473000</v>
      </c>
      <c r="N16" s="57">
        <f>SUMIFS(tblData[金額],tblData[日期],"&gt;="&amp;DATE(YEAR(tblData[[#This Row],[日期]]),1,1),tblData[日期],"&lt;="&amp;DATE(YEAR(tblData[[#This Row],[日期]]),12,31))</f>
        <v>4314000</v>
      </c>
      <c r="O16" s="57">
        <f>IFERROR(TREND($L$6:INDEX($L:$L,ROW(),1),$K$6:INDEX($K:$K,ROW(),1),IF(MONTH(tblData[[#This Row],[日期]])=12,13,MONTH(tblData[[#This Row],[日期]])+1)),"")</f>
        <v>410027.02702702698</v>
      </c>
      <c r="P16" s="57">
        <f>IFERROR(TREND($M$6:INDEX($M:$M,ROW(),1),$I$6:INDEX($I:$I,ROW(),1),IF(tblData[[#This Row],[季度]]=4,5,tblData[[#This Row],[季度]]+1)),"")</f>
        <v>1422000</v>
      </c>
      <c r="Q16" s="57">
        <f>IFERROR(TREND($N$6:INDEX($N:$N,ROW(),1),$J$6:INDEX($J:$J,ROW(),1),tblData[[#This Row],[年度]]+1),"")</f>
        <v>4314000</v>
      </c>
    </row>
    <row r="17" spans="2:17" ht="17.25" customHeight="1" x14ac:dyDescent="0.2">
      <c r="B17" s="27">
        <f>40791+(365*2)</f>
        <v>41521</v>
      </c>
      <c r="C17" s="28" t="s">
        <v>49</v>
      </c>
      <c r="D17" s="58">
        <v>273000</v>
      </c>
      <c r="E17" s="58">
        <v>267000</v>
      </c>
      <c r="F17" s="58">
        <v>237000</v>
      </c>
      <c r="G17" s="57">
        <f>tblData[[#This Row],[金額]]-tblData[[#This Row],[成本]]</f>
        <v>36000</v>
      </c>
      <c r="H17" s="36">
        <f>DATE(YEAR(資料項目!$B17),MONTH(資料項目!$B17),1)</f>
        <v>41518</v>
      </c>
      <c r="I17" s="53">
        <f>LOOKUP(MONTH(資料項目!$H17),{1,1;2,1;3,1;4,2;5,2;6,2;7,3;8,3;9,3;10,4;11,4;12,4})</f>
        <v>3</v>
      </c>
      <c r="J17" s="29">
        <f>YEAR(資料項目!$B17)</f>
        <v>2013</v>
      </c>
      <c r="K17" s="30">
        <f>MONTH(tblData[[#This Row],[日期]])</f>
        <v>9</v>
      </c>
      <c r="L17" s="57">
        <f>SUMIFS(tblData[金額],tblData[日期],"&gt;="&amp;EOMONTH(tblData[[#This Row],[日期]],-1)+1,tblData[日期],"&lt;="&amp;EOMONTH(tblData[[#This Row],[日期]],0))</f>
        <v>720000</v>
      </c>
      <c r="M17" s="57">
        <f>SUMIFS(tblData[金額],tblData[日期],"&gt;="&amp;DATE(YEAR(tblData[[#This Row],[日期]]),1,1),tblData[日期],"&lt;="&amp;DATE(YEAR(tblData[[#This Row],[日期]]),12,31),tblData[季度],tblData[[#This Row],[季度]])</f>
        <v>1473000</v>
      </c>
      <c r="N17" s="57">
        <f>SUMIFS(tblData[金額],tblData[日期],"&gt;="&amp;DATE(YEAR(tblData[[#This Row],[日期]]),1,1),tblData[日期],"&lt;="&amp;DATE(YEAR(tblData[[#This Row],[日期]]),12,31))</f>
        <v>4314000</v>
      </c>
      <c r="O17" s="57">
        <f>IFERROR(TREND($L$6:INDEX($L:$L,ROW(),1),$K$6:INDEX($K:$K,ROW(),1),IF(MONTH(tblData[[#This Row],[日期]])=12,13,MONTH(tblData[[#This Row],[日期]])+1)),"")</f>
        <v>529550</v>
      </c>
      <c r="P17" s="57">
        <f>IFERROR(TREND($M$6:INDEX($M:$M,ROW(),1),$I$6:INDEX($I:$I,ROW(),1),IF(tblData[[#This Row],[季度]]=4,5,tblData[[#This Row],[季度]]+1)),"")</f>
        <v>1422000</v>
      </c>
      <c r="Q17" s="57">
        <f>IFERROR(TREND($N$6:INDEX($N:$N,ROW(),1),$J$6:INDEX($J:$J,ROW(),1),tblData[[#This Row],[年度]]+1),"")</f>
        <v>4314000</v>
      </c>
    </row>
    <row r="18" spans="2:17" ht="17.25" customHeight="1" x14ac:dyDescent="0.2">
      <c r="B18" s="27">
        <f>40807+(365*2)</f>
        <v>41537</v>
      </c>
      <c r="C18" s="28" t="s">
        <v>47</v>
      </c>
      <c r="D18" s="58">
        <v>168000</v>
      </c>
      <c r="E18" s="58">
        <v>174000</v>
      </c>
      <c r="F18" s="58">
        <v>135000</v>
      </c>
      <c r="G18" s="57">
        <f>tblData[[#This Row],[金額]]-tblData[[#This Row],[成本]]</f>
        <v>33000</v>
      </c>
      <c r="H18" s="36">
        <f>DATE(YEAR(資料項目!$B18),MONTH(資料項目!$B18),1)</f>
        <v>41518</v>
      </c>
      <c r="I18" s="53">
        <f>LOOKUP(MONTH(資料項目!$H18),{1,1;2,1;3,1;4,2;5,2;6,2;7,3;8,3;9,3;10,4;11,4;12,4})</f>
        <v>3</v>
      </c>
      <c r="J18" s="29">
        <f>YEAR(資料項目!$B18)</f>
        <v>2013</v>
      </c>
      <c r="K18" s="30">
        <f>MONTH(tblData[[#This Row],[日期]])</f>
        <v>9</v>
      </c>
      <c r="L18" s="57">
        <f>SUMIFS(tblData[金額],tblData[日期],"&gt;="&amp;EOMONTH(tblData[[#This Row],[日期]],-1)+1,tblData[日期],"&lt;="&amp;EOMONTH(tblData[[#This Row],[日期]],0))</f>
        <v>720000</v>
      </c>
      <c r="M18" s="57">
        <f>SUMIFS(tblData[金額],tblData[日期],"&gt;="&amp;DATE(YEAR(tblData[[#This Row],[日期]]),1,1),tblData[日期],"&lt;="&amp;DATE(YEAR(tblData[[#This Row],[日期]]),12,31),tblData[季度],tblData[[#This Row],[季度]])</f>
        <v>1473000</v>
      </c>
      <c r="N18" s="57">
        <f>SUMIFS(tblData[金額],tblData[日期],"&gt;="&amp;DATE(YEAR(tblData[[#This Row],[日期]]),1,1),tblData[日期],"&lt;="&amp;DATE(YEAR(tblData[[#This Row],[日期]]),12,31))</f>
        <v>4314000</v>
      </c>
      <c r="O18" s="57">
        <f>IFERROR(TREND($L$6:INDEX($L:$L,ROW(),1),$K$6:INDEX($K:$K,ROW(),1),IF(MONTH(tblData[[#This Row],[日期]])=12,13,MONTH(tblData[[#This Row],[日期]])+1)),"")</f>
        <v>596337.34939759038</v>
      </c>
      <c r="P18" s="57">
        <f>IFERROR(TREND($M$6:INDEX($M:$M,ROW(),1),$I$6:INDEX($I:$I,ROW(),1),IF(tblData[[#This Row],[季度]]=4,5,tblData[[#This Row],[季度]]+1)),"")</f>
        <v>1422000</v>
      </c>
      <c r="Q18" s="57">
        <f>IFERROR(TREND($N$6:INDEX($N:$N,ROW(),1),$J$6:INDEX($J:$J,ROW(),1),tblData[[#This Row],[年度]]+1),"")</f>
        <v>4314000</v>
      </c>
    </row>
    <row r="19" spans="2:17" ht="17.25" customHeight="1" x14ac:dyDescent="0.2">
      <c r="B19" s="27">
        <f>40812+(365*2)</f>
        <v>41542</v>
      </c>
      <c r="C19" s="28" t="s">
        <v>1</v>
      </c>
      <c r="D19" s="58">
        <v>279000</v>
      </c>
      <c r="E19" s="58">
        <v>273000</v>
      </c>
      <c r="F19" s="58">
        <v>225000</v>
      </c>
      <c r="G19" s="57">
        <f>tblData[[#This Row],[金額]]-tblData[[#This Row],[成本]]</f>
        <v>54000</v>
      </c>
      <c r="H19" s="36">
        <f>DATE(YEAR(資料項目!$B19),MONTH(資料項目!$B19),1)</f>
        <v>41518</v>
      </c>
      <c r="I19" s="53">
        <f>LOOKUP(MONTH(資料項目!$H19),{1,1;2,1;3,1;4,2;5,2;6,2;7,3;8,3;9,3;10,4;11,4;12,4})</f>
        <v>3</v>
      </c>
      <c r="J19" s="29">
        <f>YEAR(資料項目!$B19)</f>
        <v>2013</v>
      </c>
      <c r="K19" s="30">
        <f>MONTH(tblData[[#This Row],[日期]])</f>
        <v>9</v>
      </c>
      <c r="L19" s="57">
        <f>SUMIFS(tblData[金額],tblData[日期],"&gt;="&amp;EOMONTH(tblData[[#This Row],[日期]],-1)+1,tblData[日期],"&lt;="&amp;EOMONTH(tblData[[#This Row],[日期]],0))</f>
        <v>720000</v>
      </c>
      <c r="M19" s="57">
        <f>SUMIFS(tblData[金額],tblData[日期],"&gt;="&amp;DATE(YEAR(tblData[[#This Row],[日期]]),1,1),tblData[日期],"&lt;="&amp;DATE(YEAR(tblData[[#This Row],[日期]]),12,31),tblData[季度],tblData[[#This Row],[季度]])</f>
        <v>1473000</v>
      </c>
      <c r="N19" s="57">
        <f>SUMIFS(tblData[金額],tblData[日期],"&gt;="&amp;DATE(YEAR(tblData[[#This Row],[日期]]),1,1),tblData[日期],"&lt;="&amp;DATE(YEAR(tblData[[#This Row],[日期]]),12,31))</f>
        <v>4314000</v>
      </c>
      <c r="O19" s="57">
        <f>IFERROR(TREND($L$6:INDEX($L:$L,ROW(),1),$K$6:INDEX($K:$K,ROW(),1),IF(MONTH(tblData[[#This Row],[日期]])=12,13,MONTH(tblData[[#This Row],[日期]])+1)),"")</f>
        <v>634141.50943396217</v>
      </c>
      <c r="P19" s="57">
        <f>IFERROR(TREND($M$6:INDEX($M:$M,ROW(),1),$I$6:INDEX($I:$I,ROW(),1),IF(tblData[[#This Row],[季度]]=4,5,tblData[[#This Row],[季度]]+1)),"")</f>
        <v>1421999.9999999998</v>
      </c>
      <c r="Q19" s="57">
        <f>IFERROR(TREND($N$6:INDEX($N:$N,ROW(),1),$J$6:INDEX($J:$J,ROW(),1),tblData[[#This Row],[年度]]+1),"")</f>
        <v>4314000</v>
      </c>
    </row>
    <row r="20" spans="2:17" ht="17.25" customHeight="1" x14ac:dyDescent="0.2">
      <c r="B20" s="27">
        <f>40832+(365*2)</f>
        <v>41562</v>
      </c>
      <c r="C20" s="28" t="s">
        <v>2</v>
      </c>
      <c r="D20" s="58">
        <v>264000</v>
      </c>
      <c r="E20" s="58">
        <v>280500</v>
      </c>
      <c r="F20" s="58">
        <v>213000</v>
      </c>
      <c r="G20" s="57">
        <f>tblData[[#This Row],[金額]]-tblData[[#This Row],[成本]]</f>
        <v>51000</v>
      </c>
      <c r="H20" s="36">
        <f>DATE(YEAR(資料項目!$B20),MONTH(資料項目!$B20),1)</f>
        <v>41548</v>
      </c>
      <c r="I20" s="53">
        <f>LOOKUP(MONTH(資料項目!$H20),{1,1;2,1;3,1;4,2;5,2;6,2;7,3;8,3;9,3;10,4;11,4;12,4})</f>
        <v>4</v>
      </c>
      <c r="J20" s="29">
        <f>YEAR(資料項目!$B20)</f>
        <v>2013</v>
      </c>
      <c r="K20" s="30">
        <f>MONTH(tblData[[#This Row],[日期]])</f>
        <v>10</v>
      </c>
      <c r="L20" s="57">
        <f>SUMIFS(tblData[金額],tblData[日期],"&gt;="&amp;EOMONTH(tblData[[#This Row],[日期]],-1)+1,tblData[日期],"&lt;="&amp;EOMONTH(tblData[[#This Row],[日期]],0))</f>
        <v>264000</v>
      </c>
      <c r="M20" s="57">
        <f>SUMIFS(tblData[金額],tblData[日期],"&gt;="&amp;DATE(YEAR(tblData[[#This Row],[日期]]),1,1),tblData[日期],"&lt;="&amp;DATE(YEAR(tblData[[#This Row],[日期]]),12,31),tblData[季度],tblData[[#This Row],[季度]])</f>
        <v>1317000</v>
      </c>
      <c r="N20" s="57">
        <f>SUMIFS(tblData[金額],tblData[日期],"&gt;="&amp;DATE(YEAR(tblData[[#This Row],[日期]]),1,1),tblData[日期],"&lt;="&amp;DATE(YEAR(tblData[[#This Row],[日期]]),12,31))</f>
        <v>4314000</v>
      </c>
      <c r="O20" s="57">
        <f>IFERROR(TREND($L$6:INDEX($L:$L,ROW(),1),$K$6:INDEX($K:$K,ROW(),1),IF(MONTH(tblData[[#This Row],[日期]])=12,13,MONTH(tblData[[#This Row],[日期]])+1)),"")</f>
        <v>538552.3255813953</v>
      </c>
      <c r="P20" s="57">
        <f>IFERROR(TREND($M$6:INDEX($M:$M,ROW(),1),$I$6:INDEX($I:$I,ROW(),1),IF(tblData[[#This Row],[季度]]=4,5,tblData[[#This Row],[季度]]+1)),"")</f>
        <v>1297744.1860465116</v>
      </c>
      <c r="Q20" s="57">
        <f>IFERROR(TREND($N$6:INDEX($N:$N,ROW(),1),$J$6:INDEX($J:$J,ROW(),1),tblData[[#This Row],[年度]]+1),"")</f>
        <v>4314000</v>
      </c>
    </row>
    <row r="21" spans="2:17" ht="17.25" customHeight="1" x14ac:dyDescent="0.2">
      <c r="B21" s="27">
        <f>40853+(365*2)</f>
        <v>41583</v>
      </c>
      <c r="C21" s="28" t="s">
        <v>48</v>
      </c>
      <c r="D21" s="58">
        <v>273000</v>
      </c>
      <c r="E21" s="58">
        <v>276000</v>
      </c>
      <c r="F21" s="58">
        <v>235500</v>
      </c>
      <c r="G21" s="57">
        <f>tblData[[#This Row],[金額]]-tblData[[#This Row],[成本]]</f>
        <v>37500</v>
      </c>
      <c r="H21" s="36">
        <f>DATE(YEAR(資料項目!$B21),MONTH(資料項目!$B21),1)</f>
        <v>41579</v>
      </c>
      <c r="I21" s="53">
        <f>LOOKUP(MONTH(資料項目!$H21),{1,1;2,1;3,1;4,2;5,2;6,2;7,3;8,3;9,3;10,4;11,4;12,4})</f>
        <v>4</v>
      </c>
      <c r="J21" s="29">
        <f>YEAR(資料項目!$B21)</f>
        <v>2013</v>
      </c>
      <c r="K21" s="30">
        <f>MONTH(tblData[[#This Row],[日期]])</f>
        <v>11</v>
      </c>
      <c r="L21" s="57">
        <f>SUMIFS(tblData[金額],tblData[日期],"&gt;="&amp;EOMONTH(tblData[[#This Row],[日期]],-1)+1,tblData[日期],"&lt;="&amp;EOMONTH(tblData[[#This Row],[日期]],0))</f>
        <v>768000</v>
      </c>
      <c r="M21" s="57">
        <f>SUMIFS(tblData[金額],tblData[日期],"&gt;="&amp;DATE(YEAR(tblData[[#This Row],[日期]]),1,1),tblData[日期],"&lt;="&amp;DATE(YEAR(tblData[[#This Row],[日期]]),12,31),tblData[季度],tblData[[#This Row],[季度]])</f>
        <v>1317000</v>
      </c>
      <c r="N21" s="57">
        <f>SUMIFS(tblData[金額],tblData[日期],"&gt;="&amp;DATE(YEAR(tblData[[#This Row],[日期]]),1,1),tblData[日期],"&lt;="&amp;DATE(YEAR(tblData[[#This Row],[日期]]),12,31))</f>
        <v>4314000</v>
      </c>
      <c r="O21" s="57">
        <f>IFERROR(TREND($L$6:INDEX($L:$L,ROW(),1),$K$6:INDEX($K:$K,ROW(),1),IF(MONTH(tblData[[#This Row],[日期]])=12,13,MONTH(tblData[[#This Row],[日期]])+1)),"")</f>
        <v>616683.90325271059</v>
      </c>
      <c r="P21" s="57">
        <f>IFERROR(TREND($M$6:INDEX($M:$M,ROW(),1),$I$6:INDEX($I:$I,ROW(),1),IF(tblData[[#This Row],[季度]]=4,5,tblData[[#This Row],[季度]]+1)),"")</f>
        <v>1269387.0967741937</v>
      </c>
      <c r="Q21" s="57">
        <f>IFERROR(TREND($N$6:INDEX($N:$N,ROW(),1),$J$6:INDEX($J:$J,ROW(),1),tblData[[#This Row],[年度]]+1),"")</f>
        <v>4314000</v>
      </c>
    </row>
    <row r="22" spans="2:17" ht="17.25" customHeight="1" x14ac:dyDescent="0.2">
      <c r="B22" s="27">
        <f>40874+(365*2)</f>
        <v>41604</v>
      </c>
      <c r="C22" s="28" t="s">
        <v>49</v>
      </c>
      <c r="D22" s="58">
        <v>270000</v>
      </c>
      <c r="E22" s="58">
        <v>300000</v>
      </c>
      <c r="F22" s="58">
        <v>227250</v>
      </c>
      <c r="G22" s="57">
        <f>tblData[[#This Row],[金額]]-tblData[[#This Row],[成本]]</f>
        <v>42750</v>
      </c>
      <c r="H22" s="36">
        <f>DATE(YEAR(資料項目!$B22),MONTH(資料項目!$B22),1)</f>
        <v>41579</v>
      </c>
      <c r="I22" s="53">
        <f>LOOKUP(MONTH(資料項目!$H22),{1,1;2,1;3,1;4,2;5,2;6,2;7,3;8,3;9,3;10,4;11,4;12,4})</f>
        <v>4</v>
      </c>
      <c r="J22" s="29">
        <f>YEAR(資料項目!$B22)</f>
        <v>2013</v>
      </c>
      <c r="K22" s="30">
        <f>MONTH(tblData[[#This Row],[日期]])</f>
        <v>11</v>
      </c>
      <c r="L22" s="57">
        <f>SUMIFS(tblData[金額],tblData[日期],"&gt;="&amp;EOMONTH(tblData[[#This Row],[日期]],-1)+1,tblData[日期],"&lt;="&amp;EOMONTH(tblData[[#This Row],[日期]],0))</f>
        <v>768000</v>
      </c>
      <c r="M22" s="57">
        <f>SUMIFS(tblData[金額],tblData[日期],"&gt;="&amp;DATE(YEAR(tblData[[#This Row],[日期]]),1,1),tblData[日期],"&lt;="&amp;DATE(YEAR(tblData[[#This Row],[日期]]),12,31),tblData[季度],tblData[[#This Row],[季度]])</f>
        <v>1317000</v>
      </c>
      <c r="N22" s="57">
        <f>SUMIFS(tblData[金額],tblData[日期],"&gt;="&amp;DATE(YEAR(tblData[[#This Row],[日期]]),1,1),tblData[日期],"&lt;="&amp;DATE(YEAR(tblData[[#This Row],[日期]]),12,31))</f>
        <v>4314000</v>
      </c>
      <c r="O22" s="57">
        <f>IFERROR(TREND($L$6:INDEX($L:$L,ROW(),1),$K$6:INDEX($K:$K,ROW(),1),IF(MONTH(tblData[[#This Row],[日期]])=12,13,MONTH(tblData[[#This Row],[日期]])+1)),"")</f>
        <v>659914.17425227573</v>
      </c>
      <c r="P22" s="57">
        <f>IFERROR(TREND($M$6:INDEX($M:$M,ROW(),1),$I$6:INDEX($I:$I,ROW(),1),IF(tblData[[#This Row],[季度]]=4,5,tblData[[#This Row],[季度]]+1)),"")</f>
        <v>1254333.3333333335</v>
      </c>
      <c r="Q22" s="57">
        <f>IFERROR(TREND($N$6:INDEX($N:$N,ROW(),1),$J$6:INDEX($J:$J,ROW(),1),tblData[[#This Row],[年度]]+1),"")</f>
        <v>4314000</v>
      </c>
    </row>
    <row r="23" spans="2:17" ht="17.25" customHeight="1" x14ac:dyDescent="0.2">
      <c r="B23" s="27">
        <f>40878+(365*2)</f>
        <v>41608</v>
      </c>
      <c r="C23" s="28" t="s">
        <v>49</v>
      </c>
      <c r="D23" s="58">
        <v>225000</v>
      </c>
      <c r="E23" s="58">
        <v>240000</v>
      </c>
      <c r="F23" s="58">
        <v>175500</v>
      </c>
      <c r="G23" s="57">
        <f>tblData[[#This Row],[金額]]-tblData[[#This Row],[成本]]</f>
        <v>49500</v>
      </c>
      <c r="H23" s="36">
        <f>DATE(YEAR(資料項目!$B23),MONTH(資料項目!$B23),1)</f>
        <v>41579</v>
      </c>
      <c r="I23" s="53">
        <f>LOOKUP(MONTH(資料項目!$H23),{1,1;2,1;3,1;4,2;5,2;6,2;7,3;8,3;9,3;10,4;11,4;12,4})</f>
        <v>4</v>
      </c>
      <c r="J23" s="29">
        <f>YEAR(資料項目!$B23)</f>
        <v>2013</v>
      </c>
      <c r="K23" s="30">
        <f>MONTH(tblData[[#This Row],[日期]])</f>
        <v>11</v>
      </c>
      <c r="L23" s="57">
        <f>SUMIFS(tblData[金額],tblData[日期],"&gt;="&amp;EOMONTH(tblData[[#This Row],[日期]],-1)+1,tblData[日期],"&lt;="&amp;EOMONTH(tblData[[#This Row],[日期]],0))</f>
        <v>768000</v>
      </c>
      <c r="M23" s="57">
        <f>SUMIFS(tblData[金額],tblData[日期],"&gt;="&amp;DATE(YEAR(tblData[[#This Row],[日期]]),1,1),tblData[日期],"&lt;="&amp;DATE(YEAR(tblData[[#This Row],[日期]]),12,31),tblData[季度],tblData[[#This Row],[季度]])</f>
        <v>1317000</v>
      </c>
      <c r="N23" s="57">
        <f>SUMIFS(tblData[金額],tblData[日期],"&gt;="&amp;DATE(YEAR(tblData[[#This Row],[日期]]),1,1),tblData[日期],"&lt;="&amp;DATE(YEAR(tblData[[#This Row],[日期]]),12,31))</f>
        <v>4314000</v>
      </c>
      <c r="O23" s="57">
        <f>IFERROR(TREND($L$6:INDEX($L:$L,ROW(),1),$K$6:INDEX($K:$K,ROW(),1),IF(MONTH(tblData[[#This Row],[日期]])=12,13,MONTH(tblData[[#This Row],[日期]])+1)),"")</f>
        <v>687529.03569525853</v>
      </c>
      <c r="P23" s="57">
        <f>IFERROR(TREND($M$6:INDEX($M:$M,ROW(),1),$I$6:INDEX($I:$I,ROW(),1),IF(tblData[[#This Row],[季度]]=4,5,tblData[[#This Row],[季度]]+1)),"")</f>
        <v>1245000</v>
      </c>
      <c r="Q23" s="57">
        <f>IFERROR(TREND($N$6:INDEX($N:$N,ROW(),1),$J$6:INDEX($J:$J,ROW(),1),tblData[[#This Row],[年度]]+1),"")</f>
        <v>4314000</v>
      </c>
    </row>
    <row r="24" spans="2:17" ht="17.25" customHeight="1" x14ac:dyDescent="0.2">
      <c r="B24" s="27">
        <f>40889+(365*2)</f>
        <v>41619</v>
      </c>
      <c r="C24" s="28" t="s">
        <v>47</v>
      </c>
      <c r="D24" s="58">
        <v>285000</v>
      </c>
      <c r="E24" s="58">
        <v>276000</v>
      </c>
      <c r="F24" s="58">
        <v>255000</v>
      </c>
      <c r="G24" s="57">
        <f>tblData[[#This Row],[金額]]-tblData[[#This Row],[成本]]</f>
        <v>30000</v>
      </c>
      <c r="H24" s="36">
        <f>DATE(YEAR(資料項目!$B24),MONTH(資料項目!$B24),1)</f>
        <v>41609</v>
      </c>
      <c r="I24" s="53">
        <f>LOOKUP(MONTH(資料項目!$H24),{1,1;2,1;3,1;4,2;5,2;6,2;7,3;8,3;9,3;10,4;11,4;12,4})</f>
        <v>4</v>
      </c>
      <c r="J24" s="29">
        <f>YEAR(資料項目!$B24)</f>
        <v>2013</v>
      </c>
      <c r="K24" s="30">
        <f>MONTH(tblData[[#This Row],[日期]])</f>
        <v>12</v>
      </c>
      <c r="L24" s="57">
        <f>SUMIFS(tblData[金額],tblData[日期],"&gt;="&amp;EOMONTH(tblData[[#This Row],[日期]],-1)+1,tblData[日期],"&lt;="&amp;EOMONTH(tblData[[#This Row],[日期]],0))</f>
        <v>285000</v>
      </c>
      <c r="M24" s="57">
        <f>SUMIFS(tblData[金額],tblData[日期],"&gt;="&amp;DATE(YEAR(tblData[[#This Row],[日期]]),1,1),tblData[日期],"&lt;="&amp;DATE(YEAR(tblData[[#This Row],[日期]]),12,31),tblData[季度],tblData[[#This Row],[季度]])</f>
        <v>1317000</v>
      </c>
      <c r="N24" s="57">
        <f>SUMIFS(tblData[金額],tblData[日期],"&gt;="&amp;DATE(YEAR(tblData[[#This Row],[日期]]),1,1),tblData[日期],"&lt;="&amp;DATE(YEAR(tblData[[#This Row],[日期]]),12,31))</f>
        <v>4314000</v>
      </c>
      <c r="O24" s="57">
        <f>IFERROR(TREND($L$6:INDEX($L:$L,ROW(),1),$K$6:INDEX($K:$K,ROW(),1),IF(MONTH(tblData[[#This Row],[日期]])=12,13,MONTH(tblData[[#This Row],[日期]])+1)),"")</f>
        <v>615129.44162436551</v>
      </c>
      <c r="P24" s="57">
        <f>IFERROR(TREND($M$6:INDEX($M:$M,ROW(),1),$I$6:INDEX($I:$I,ROW(),1),IF(tblData[[#This Row],[季度]]=4,5,tblData[[#This Row],[季度]]+1)),"")</f>
        <v>1238647.0588235294</v>
      </c>
      <c r="Q24" s="57">
        <f>IFERROR(TREND($N$6:INDEX($N:$N,ROW(),1),$J$6:INDEX($J:$J,ROW(),1),tblData[[#This Row],[年度]]+1),"")</f>
        <v>4314000</v>
      </c>
    </row>
  </sheetData>
  <phoneticPr fontId="5" type="noConversion"/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O62"/>
  <sheetViews>
    <sheetView showGridLines="0" zoomScaleNormal="100" workbookViewId="0"/>
  </sheetViews>
  <sheetFormatPr defaultRowHeight="17.25" customHeight="1" x14ac:dyDescent="0.2"/>
  <cols>
    <col min="1" max="1" width="2" style="35" customWidth="1"/>
    <col min="2" max="3" width="16.6640625" style="32" customWidth="1"/>
    <col min="4" max="4" width="29.1640625" style="33" customWidth="1"/>
    <col min="5" max="5" width="39.33203125" style="33" customWidth="1"/>
    <col min="6" max="6" width="27" style="34" customWidth="1"/>
    <col min="7" max="16384" width="9.33203125" style="35"/>
  </cols>
  <sheetData>
    <row r="1" spans="1:15" s="31" customFormat="1" ht="11.25" customHeight="1" x14ac:dyDescent="0.2">
      <c r="B1" s="32"/>
      <c r="C1" s="32"/>
      <c r="D1" s="33"/>
      <c r="E1" s="33"/>
      <c r="F1" s="34"/>
    </row>
    <row r="2" spans="1:15" s="2" customFormat="1" ht="28.5" x14ac:dyDescent="0.2">
      <c r="B2" s="1" t="s">
        <v>55</v>
      </c>
      <c r="D2" s="52"/>
    </row>
    <row r="3" spans="1:15" ht="17.25" customHeight="1" x14ac:dyDescent="0.2">
      <c r="A3" s="31"/>
    </row>
    <row r="4" spans="1:15" ht="17.25" customHeight="1" x14ac:dyDescent="0.2">
      <c r="A4" s="31"/>
    </row>
    <row r="5" spans="1:15" ht="13.5" x14ac:dyDescent="0.2">
      <c r="B5" s="47" t="s">
        <v>15</v>
      </c>
      <c r="C5" s="48" t="s">
        <v>14</v>
      </c>
      <c r="D5" s="55" t="s">
        <v>13</v>
      </c>
      <c r="E5" s="48" t="s">
        <v>8</v>
      </c>
      <c r="F5" s="49" t="s">
        <v>46</v>
      </c>
      <c r="G5" s="2"/>
      <c r="H5" s="2"/>
      <c r="I5" s="2"/>
      <c r="J5" s="2"/>
      <c r="K5" s="2"/>
      <c r="L5" s="2"/>
      <c r="M5" s="2"/>
      <c r="N5" s="2"/>
      <c r="O5" s="2"/>
    </row>
    <row r="6" spans="1:15" ht="11.25" x14ac:dyDescent="0.2">
      <c r="B6" s="2">
        <v>2013</v>
      </c>
      <c r="C6" s="54">
        <v>2</v>
      </c>
      <c r="D6" s="56">
        <v>41365</v>
      </c>
      <c r="E6" s="2" t="s">
        <v>0</v>
      </c>
      <c r="F6" s="59">
        <v>192000</v>
      </c>
      <c r="G6" s="2"/>
      <c r="H6" s="2"/>
      <c r="I6" s="2"/>
      <c r="J6" s="2"/>
      <c r="K6" s="2"/>
      <c r="L6" s="2"/>
      <c r="M6" s="2"/>
      <c r="N6" s="2"/>
      <c r="O6" s="2"/>
    </row>
    <row r="7" spans="1:15" ht="11.25" x14ac:dyDescent="0.2">
      <c r="B7" s="2"/>
      <c r="C7" s="54"/>
      <c r="D7" s="52"/>
      <c r="E7" s="2" t="s">
        <v>47</v>
      </c>
      <c r="F7" s="59">
        <v>246000</v>
      </c>
      <c r="G7" s="2"/>
      <c r="H7" s="2"/>
      <c r="I7" s="2"/>
      <c r="J7" s="2"/>
      <c r="K7" s="2"/>
      <c r="L7" s="2"/>
      <c r="M7" s="2"/>
      <c r="N7" s="2"/>
      <c r="O7" s="2"/>
    </row>
    <row r="8" spans="1:15" ht="11.25" x14ac:dyDescent="0.2">
      <c r="B8" s="2"/>
      <c r="C8" s="54"/>
      <c r="D8" s="56">
        <v>41395</v>
      </c>
      <c r="E8" s="2" t="s">
        <v>1</v>
      </c>
      <c r="F8" s="59">
        <v>132000</v>
      </c>
      <c r="G8" s="2"/>
      <c r="H8" s="2"/>
      <c r="I8" s="2"/>
      <c r="J8" s="2"/>
      <c r="K8" s="2"/>
      <c r="L8" s="2"/>
      <c r="M8" s="2"/>
      <c r="N8" s="2"/>
      <c r="O8" s="2"/>
    </row>
    <row r="9" spans="1:15" ht="11.25" x14ac:dyDescent="0.2">
      <c r="B9" s="2"/>
      <c r="C9" s="54"/>
      <c r="D9" s="52"/>
      <c r="E9" s="2" t="s">
        <v>2</v>
      </c>
      <c r="F9" s="59">
        <v>162000</v>
      </c>
      <c r="G9" s="2"/>
      <c r="H9" s="2"/>
      <c r="I9" s="2"/>
      <c r="J9" s="2"/>
      <c r="K9" s="2"/>
      <c r="L9" s="2"/>
      <c r="M9" s="2"/>
      <c r="N9" s="2"/>
      <c r="O9" s="2"/>
    </row>
    <row r="10" spans="1:15" ht="11.25" x14ac:dyDescent="0.2">
      <c r="B10" s="2"/>
      <c r="C10" s="54"/>
      <c r="D10" s="52"/>
      <c r="E10" s="2" t="s">
        <v>48</v>
      </c>
      <c r="F10" s="59">
        <v>174000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1.25" x14ac:dyDescent="0.2">
      <c r="B11" s="2"/>
      <c r="C11" s="54"/>
      <c r="D11" s="52"/>
      <c r="E11" s="2" t="s">
        <v>49</v>
      </c>
      <c r="F11" s="59">
        <v>186000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1.25" x14ac:dyDescent="0.2">
      <c r="B12" s="2"/>
      <c r="C12" s="54"/>
      <c r="D12" s="56">
        <v>41426</v>
      </c>
      <c r="E12" s="2" t="s">
        <v>0</v>
      </c>
      <c r="F12" s="59">
        <v>207000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ht="11.25" x14ac:dyDescent="0.2">
      <c r="B13" s="2"/>
      <c r="C13" s="54"/>
      <c r="D13" s="52"/>
      <c r="E13" s="2" t="s">
        <v>47</v>
      </c>
      <c r="F13" s="59">
        <v>225000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1.25" x14ac:dyDescent="0.2">
      <c r="B14" s="2"/>
      <c r="C14" s="51" t="s">
        <v>50</v>
      </c>
      <c r="D14" s="56"/>
      <c r="E14" s="51"/>
      <c r="F14" s="59">
        <v>1524000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11.25" x14ac:dyDescent="0.2">
      <c r="B15" s="2"/>
      <c r="C15" s="54">
        <v>3</v>
      </c>
      <c r="D15" s="56">
        <v>41456</v>
      </c>
      <c r="E15" s="2" t="s">
        <v>1</v>
      </c>
      <c r="F15" s="59">
        <v>261000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ht="11.25" x14ac:dyDescent="0.2">
      <c r="B16" s="2"/>
      <c r="C16" s="54"/>
      <c r="D16" s="56">
        <v>41487</v>
      </c>
      <c r="E16" s="2" t="s">
        <v>2</v>
      </c>
      <c r="F16" s="59">
        <v>255000</v>
      </c>
      <c r="G16" s="2"/>
      <c r="H16" s="2"/>
      <c r="I16" s="2"/>
      <c r="J16" s="2"/>
      <c r="K16" s="2"/>
      <c r="L16" s="2"/>
      <c r="M16" s="2"/>
      <c r="N16" s="2"/>
      <c r="O16" s="2"/>
    </row>
    <row r="17" spans="2:15" ht="11.25" x14ac:dyDescent="0.2">
      <c r="B17" s="2"/>
      <c r="C17" s="54"/>
      <c r="D17" s="52"/>
      <c r="E17" s="2" t="s">
        <v>48</v>
      </c>
      <c r="F17" s="59">
        <v>237000</v>
      </c>
      <c r="G17" s="2"/>
      <c r="H17" s="2"/>
      <c r="I17" s="2"/>
      <c r="J17" s="2"/>
      <c r="K17" s="2"/>
      <c r="L17" s="2"/>
      <c r="M17" s="2"/>
      <c r="N17" s="2"/>
      <c r="O17" s="2"/>
    </row>
    <row r="18" spans="2:15" ht="11.25" x14ac:dyDescent="0.2">
      <c r="B18" s="2"/>
      <c r="C18" s="54"/>
      <c r="D18" s="56">
        <v>41518</v>
      </c>
      <c r="E18" s="2" t="s">
        <v>1</v>
      </c>
      <c r="F18" s="59">
        <v>279000</v>
      </c>
      <c r="G18" s="2"/>
      <c r="H18" s="2"/>
      <c r="I18" s="2"/>
      <c r="J18" s="2"/>
      <c r="K18" s="2"/>
      <c r="L18" s="2"/>
      <c r="M18" s="2"/>
      <c r="N18" s="2"/>
      <c r="O18" s="2"/>
    </row>
    <row r="19" spans="2:15" ht="11.25" x14ac:dyDescent="0.2">
      <c r="B19" s="2"/>
      <c r="C19" s="54"/>
      <c r="D19" s="52"/>
      <c r="E19" s="2" t="s">
        <v>47</v>
      </c>
      <c r="F19" s="59">
        <v>168000</v>
      </c>
      <c r="G19" s="2"/>
      <c r="H19" s="2"/>
      <c r="I19" s="2"/>
      <c r="J19" s="2"/>
      <c r="K19" s="2"/>
      <c r="L19" s="2"/>
      <c r="M19" s="2"/>
      <c r="N19" s="2"/>
      <c r="O19" s="2"/>
    </row>
    <row r="20" spans="2:15" ht="11.25" x14ac:dyDescent="0.2">
      <c r="B20" s="2"/>
      <c r="C20" s="54"/>
      <c r="D20" s="52"/>
      <c r="E20" s="2" t="s">
        <v>49</v>
      </c>
      <c r="F20" s="59">
        <v>273000</v>
      </c>
      <c r="G20" s="2"/>
      <c r="H20" s="2"/>
      <c r="I20" s="2"/>
      <c r="J20" s="2"/>
      <c r="K20" s="2"/>
      <c r="L20" s="2"/>
      <c r="M20" s="2"/>
      <c r="N20" s="2"/>
      <c r="O20" s="2"/>
    </row>
    <row r="21" spans="2:15" ht="11.25" x14ac:dyDescent="0.2">
      <c r="B21" s="2"/>
      <c r="C21" s="51" t="s">
        <v>51</v>
      </c>
      <c r="D21" s="56"/>
      <c r="E21" s="51"/>
      <c r="F21" s="59">
        <v>1473000</v>
      </c>
      <c r="G21" s="2"/>
      <c r="H21" s="2"/>
      <c r="I21" s="2"/>
      <c r="J21" s="2"/>
      <c r="K21" s="2"/>
      <c r="L21" s="2"/>
      <c r="M21" s="2"/>
      <c r="N21" s="2"/>
      <c r="O21" s="2"/>
    </row>
    <row r="22" spans="2:15" ht="11.25" x14ac:dyDescent="0.2">
      <c r="B22" s="2"/>
      <c r="C22" s="54">
        <v>4</v>
      </c>
      <c r="D22" s="56">
        <v>41548</v>
      </c>
      <c r="E22" s="2" t="s">
        <v>2</v>
      </c>
      <c r="F22" s="59">
        <v>264000</v>
      </c>
      <c r="G22" s="2"/>
      <c r="H22" s="2"/>
      <c r="I22" s="2"/>
      <c r="J22" s="2"/>
      <c r="K22" s="2"/>
      <c r="L22" s="2"/>
      <c r="M22" s="2"/>
      <c r="N22" s="2"/>
      <c r="O22" s="2"/>
    </row>
    <row r="23" spans="2:15" ht="11.25" x14ac:dyDescent="0.2">
      <c r="B23" s="2"/>
      <c r="C23" s="54"/>
      <c r="D23" s="56">
        <v>41579</v>
      </c>
      <c r="E23" s="2" t="s">
        <v>48</v>
      </c>
      <c r="F23" s="59">
        <v>273000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11.25" x14ac:dyDescent="0.2">
      <c r="B24" s="2"/>
      <c r="C24" s="54"/>
      <c r="D24" s="52"/>
      <c r="E24" s="2" t="s">
        <v>49</v>
      </c>
      <c r="F24" s="59">
        <v>495000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ht="11.25" x14ac:dyDescent="0.2">
      <c r="B25" s="2"/>
      <c r="C25" s="54"/>
      <c r="D25" s="56">
        <v>41609</v>
      </c>
      <c r="E25" s="2" t="s">
        <v>47</v>
      </c>
      <c r="F25" s="59">
        <v>285000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ht="11.25" x14ac:dyDescent="0.2">
      <c r="B26" s="2"/>
      <c r="C26" s="50" t="s">
        <v>52</v>
      </c>
      <c r="D26" s="52"/>
      <c r="E26" s="2"/>
      <c r="F26" s="59">
        <v>1317000</v>
      </c>
      <c r="G26" s="2"/>
      <c r="H26" s="2"/>
      <c r="I26" s="2"/>
      <c r="J26" s="2"/>
      <c r="K26" s="2"/>
      <c r="L26" s="2"/>
      <c r="M26" s="2"/>
      <c r="N26" s="2"/>
      <c r="O26" s="2"/>
    </row>
    <row r="27" spans="2:15" ht="11.25" x14ac:dyDescent="0.2">
      <c r="B27" s="2" t="s">
        <v>53</v>
      </c>
      <c r="C27" s="2"/>
      <c r="D27" s="52"/>
      <c r="E27" s="2"/>
      <c r="F27" s="59">
        <v>4314000</v>
      </c>
    </row>
    <row r="28" spans="2:15" ht="11.25" x14ac:dyDescent="0.2">
      <c r="B28" s="2" t="s">
        <v>54</v>
      </c>
      <c r="C28" s="2"/>
      <c r="D28" s="52"/>
      <c r="E28" s="2"/>
      <c r="F28" s="59">
        <v>4314000</v>
      </c>
    </row>
    <row r="29" spans="2:15" ht="11.25" x14ac:dyDescent="0.2">
      <c r="B29" s="2"/>
      <c r="C29" s="2"/>
      <c r="D29" s="52"/>
      <c r="E29" s="2"/>
      <c r="F29" s="2"/>
    </row>
    <row r="30" spans="2:15" ht="11.25" x14ac:dyDescent="0.2">
      <c r="B30" s="2"/>
      <c r="C30" s="2"/>
      <c r="D30" s="52"/>
      <c r="E30" s="2"/>
      <c r="F30" s="2"/>
    </row>
    <row r="31" spans="2:15" ht="11.25" x14ac:dyDescent="0.2">
      <c r="B31" s="2"/>
      <c r="C31" s="2"/>
      <c r="D31" s="52"/>
      <c r="E31" s="2"/>
      <c r="F31" s="2"/>
    </row>
    <row r="32" spans="2:15" ht="11.25" x14ac:dyDescent="0.2">
      <c r="B32" s="2"/>
      <c r="C32" s="2"/>
      <c r="D32" s="52"/>
      <c r="E32" s="2"/>
      <c r="F32" s="2"/>
    </row>
    <row r="33" spans="2:6" ht="11.25" x14ac:dyDescent="0.2">
      <c r="B33" s="2"/>
      <c r="C33" s="2"/>
      <c r="D33" s="52"/>
      <c r="E33" s="2"/>
      <c r="F33" s="2"/>
    </row>
    <row r="34" spans="2:6" ht="11.25" x14ac:dyDescent="0.2">
      <c r="B34" s="2"/>
      <c r="C34" s="2"/>
      <c r="D34" s="52"/>
      <c r="E34" s="2"/>
      <c r="F34" s="2"/>
    </row>
    <row r="35" spans="2:6" ht="11.25" x14ac:dyDescent="0.2">
      <c r="B35" s="2"/>
      <c r="C35" s="2"/>
      <c r="D35" s="52"/>
      <c r="E35" s="2"/>
      <c r="F35" s="2"/>
    </row>
    <row r="36" spans="2:6" ht="11.25" x14ac:dyDescent="0.2">
      <c r="B36" s="2"/>
      <c r="C36" s="2"/>
      <c r="D36" s="52"/>
      <c r="E36" s="2"/>
      <c r="F36" s="2"/>
    </row>
    <row r="37" spans="2:6" ht="11.25" x14ac:dyDescent="0.2">
      <c r="B37" s="2"/>
      <c r="C37" s="2"/>
      <c r="D37" s="52"/>
      <c r="E37" s="2"/>
      <c r="F37" s="2"/>
    </row>
    <row r="38" spans="2:6" ht="11.25" x14ac:dyDescent="0.2">
      <c r="B38" s="2"/>
      <c r="C38" s="2"/>
      <c r="D38" s="52"/>
      <c r="E38" s="2"/>
      <c r="F38" s="2"/>
    </row>
    <row r="39" spans="2:6" ht="11.25" x14ac:dyDescent="0.2">
      <c r="B39" s="2"/>
      <c r="C39" s="2"/>
      <c r="D39" s="52"/>
      <c r="E39" s="2"/>
      <c r="F39" s="2"/>
    </row>
    <row r="40" spans="2:6" ht="11.25" x14ac:dyDescent="0.2">
      <c r="B40" s="2"/>
      <c r="C40" s="2"/>
      <c r="D40" s="52"/>
      <c r="E40" s="2"/>
      <c r="F40" s="2"/>
    </row>
    <row r="41" spans="2:6" ht="11.25" x14ac:dyDescent="0.2">
      <c r="B41" s="2"/>
      <c r="C41" s="2"/>
      <c r="D41" s="52"/>
      <c r="E41" s="2"/>
      <c r="F41" s="2"/>
    </row>
    <row r="42" spans="2:6" ht="11.25" x14ac:dyDescent="0.2">
      <c r="B42" s="2"/>
      <c r="C42" s="2"/>
      <c r="D42" s="52"/>
      <c r="E42" s="2"/>
      <c r="F42" s="2"/>
    </row>
    <row r="43" spans="2:6" ht="11.25" x14ac:dyDescent="0.2">
      <c r="B43" s="2"/>
      <c r="C43" s="2"/>
      <c r="D43" s="52"/>
      <c r="E43" s="2"/>
      <c r="F43" s="2"/>
    </row>
    <row r="44" spans="2:6" ht="11.25" x14ac:dyDescent="0.2">
      <c r="B44" s="2"/>
      <c r="C44" s="2"/>
      <c r="D44" s="52"/>
      <c r="E44" s="2"/>
      <c r="F44" s="2"/>
    </row>
    <row r="45" spans="2:6" ht="11.25" x14ac:dyDescent="0.2">
      <c r="B45" s="2"/>
      <c r="C45" s="2"/>
      <c r="D45" s="52"/>
      <c r="E45" s="2"/>
      <c r="F45" s="2"/>
    </row>
    <row r="46" spans="2:6" ht="11.25" x14ac:dyDescent="0.2">
      <c r="B46" s="2"/>
      <c r="C46" s="2"/>
      <c r="D46" s="52"/>
      <c r="E46" s="2"/>
    </row>
    <row r="47" spans="2:6" ht="11.25" x14ac:dyDescent="0.2">
      <c r="B47" s="2"/>
      <c r="C47" s="2"/>
      <c r="D47" s="52"/>
      <c r="E47" s="2"/>
    </row>
    <row r="48" spans="2:6" ht="11.25" x14ac:dyDescent="0.2">
      <c r="B48" s="2"/>
      <c r="C48" s="2"/>
      <c r="D48" s="52"/>
      <c r="E48" s="2"/>
    </row>
    <row r="49" spans="2:5" ht="11.25" x14ac:dyDescent="0.2">
      <c r="B49" s="2"/>
      <c r="C49" s="2"/>
      <c r="D49" s="52"/>
      <c r="E49" s="2"/>
    </row>
    <row r="50" spans="2:5" ht="11.25" x14ac:dyDescent="0.2">
      <c r="B50" s="2"/>
      <c r="C50" s="2"/>
      <c r="D50" s="52"/>
      <c r="E50" s="2"/>
    </row>
    <row r="51" spans="2:5" ht="11.25" x14ac:dyDescent="0.2">
      <c r="B51" s="2"/>
      <c r="C51" s="2"/>
      <c r="D51" s="52"/>
      <c r="E51" s="2"/>
    </row>
    <row r="52" spans="2:5" ht="11.25" x14ac:dyDescent="0.2">
      <c r="B52" s="2"/>
      <c r="C52" s="2"/>
      <c r="D52" s="52"/>
      <c r="E52" s="2"/>
    </row>
    <row r="53" spans="2:5" ht="11.25" x14ac:dyDescent="0.2">
      <c r="B53" s="2"/>
      <c r="C53" s="2"/>
      <c r="D53" s="52"/>
      <c r="E53" s="2"/>
    </row>
    <row r="54" spans="2:5" ht="11.25" x14ac:dyDescent="0.2">
      <c r="B54" s="2"/>
      <c r="C54" s="2"/>
      <c r="D54" s="52"/>
      <c r="E54" s="2"/>
    </row>
    <row r="55" spans="2:5" ht="11.25" x14ac:dyDescent="0.2">
      <c r="B55" s="2"/>
      <c r="C55" s="2"/>
      <c r="D55" s="52"/>
      <c r="E55" s="2"/>
    </row>
    <row r="56" spans="2:5" ht="11.25" x14ac:dyDescent="0.2">
      <c r="B56" s="2"/>
      <c r="C56" s="2"/>
      <c r="D56" s="52"/>
      <c r="E56" s="2"/>
    </row>
    <row r="57" spans="2:5" ht="11.25" x14ac:dyDescent="0.2">
      <c r="B57" s="2"/>
      <c r="C57" s="2"/>
      <c r="D57" s="52"/>
      <c r="E57" s="2"/>
    </row>
    <row r="58" spans="2:5" ht="11.25" x14ac:dyDescent="0.2">
      <c r="B58" s="2"/>
      <c r="C58" s="2"/>
      <c r="D58" s="52"/>
      <c r="E58" s="2"/>
    </row>
    <row r="59" spans="2:5" ht="11.25" x14ac:dyDescent="0.2">
      <c r="B59" s="2"/>
      <c r="C59" s="2"/>
      <c r="D59" s="52"/>
      <c r="E59" s="2"/>
    </row>
    <row r="60" spans="2:5" ht="11.25" x14ac:dyDescent="0.2">
      <c r="B60" s="2"/>
      <c r="C60" s="2"/>
      <c r="D60" s="52"/>
      <c r="E60" s="2"/>
    </row>
    <row r="61" spans="2:5" ht="11.25" x14ac:dyDescent="0.2">
      <c r="B61" s="2"/>
      <c r="C61" s="2"/>
      <c r="D61" s="52"/>
      <c r="E61" s="2"/>
    </row>
    <row r="62" spans="2:5" ht="11.25" x14ac:dyDescent="0.2">
      <c r="B62" s="2"/>
      <c r="C62" s="2"/>
      <c r="D62" s="52"/>
      <c r="E62" s="2"/>
    </row>
  </sheetData>
  <phoneticPr fontId="5" type="noConversion"/>
  <conditionalFormatting sqref="E1:E4 E63:E1048553">
    <cfRule type="expression" dxfId="292" priority="4">
      <formula>(LEN($E1)&gt;0)*(LEN($D2)&gt;0)</formula>
    </cfRule>
  </conditionalFormatting>
  <conditionalFormatting sqref="D1:D5 D36:D1048576 F46:F1048576">
    <cfRule type="expression" dxfId="291" priority="3">
      <formula>(LEN($D1)&gt;0)*(LEN($C1)=0)</formula>
    </cfRule>
  </conditionalFormatting>
  <conditionalFormatting sqref="F1:F5">
    <cfRule type="expression" dxfId="290" priority="1">
      <formula>(LEN($D1)&gt;0)*(LEN($C1)=0)</formula>
    </cfRule>
  </conditionalFormatting>
  <conditionalFormatting sqref="E1048554:E1048576">
    <cfRule type="expression" dxfId="289" priority="10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1:J43"/>
  <sheetViews>
    <sheetView showGridLines="0" zoomScaleNormal="100" workbookViewId="0"/>
  </sheetViews>
  <sheetFormatPr defaultRowHeight="11.25" x14ac:dyDescent="0.2"/>
  <cols>
    <col min="1" max="1" width="2" style="2" customWidth="1"/>
    <col min="2" max="2" width="23" style="2" customWidth="1"/>
    <col min="3" max="3" width="16" style="2" customWidth="1"/>
    <col min="4" max="4" width="17.33203125" style="2" customWidth="1"/>
    <col min="5" max="5" width="16" style="2" customWidth="1"/>
    <col min="6" max="6" width="18.5" style="2" customWidth="1"/>
    <col min="7" max="8" width="16" style="2" customWidth="1"/>
    <col min="9" max="9" width="21.5" style="2" customWidth="1"/>
    <col min="10" max="10" width="16" style="2" customWidth="1"/>
    <col min="11" max="16384" width="9.33203125" style="2"/>
  </cols>
  <sheetData>
    <row r="1" spans="2:10" ht="15.75" x14ac:dyDescent="0.25">
      <c r="I1" s="37" t="str">
        <f ca="1">"TODAY'S DATE: "&amp;UPPER(TEXT(TODAY(),"mmm d, yyyy"))</f>
        <v>TODAY'S DATE: SEP 28, 2012</v>
      </c>
    </row>
    <row r="2" spans="2:10" ht="28.5" x14ac:dyDescent="0.2">
      <c r="B2" s="1" t="s">
        <v>41</v>
      </c>
    </row>
    <row r="3" spans="2:10" ht="27.75" customHeight="1" x14ac:dyDescent="0.25">
      <c r="B3" s="3" t="str">
        <f ca="1">"今天的日期："&amp;(TEXT(TODAY(),"yyyy年M月d日"))</f>
        <v>今天的日期：2012年9月28日</v>
      </c>
      <c r="D3" s="4">
        <f ca="1">--TRIM(RIGHT(I1,LEN(I1)-FIND(":",I1)))</f>
        <v>41180</v>
      </c>
    </row>
    <row r="4" spans="2:10" ht="15" customHeight="1" x14ac:dyDescent="0.2"/>
    <row r="5" spans="2:10" ht="18.75" customHeight="1" x14ac:dyDescent="0.2">
      <c r="B5" s="5" t="s">
        <v>19</v>
      </c>
      <c r="C5" s="6" t="s">
        <v>20</v>
      </c>
      <c r="D5" s="6" t="s">
        <v>10</v>
      </c>
      <c r="E5" s="6" t="s">
        <v>21</v>
      </c>
      <c r="F5" s="6" t="s">
        <v>3</v>
      </c>
      <c r="G5" s="6" t="s">
        <v>38</v>
      </c>
      <c r="H5" s="6" t="s">
        <v>39</v>
      </c>
      <c r="I5" s="6" t="s">
        <v>40</v>
      </c>
      <c r="J5" s="7" t="s">
        <v>4</v>
      </c>
    </row>
    <row r="6" spans="2:10" s="9" customFormat="1" ht="15" customHeight="1" x14ac:dyDescent="0.2">
      <c r="B6" s="8" t="s">
        <v>22</v>
      </c>
      <c r="C6" s="38">
        <f ca="1">COUNTIF(資料項目!$B$6:$B$24,"&gt;="&amp;DATE(fYear,MONTH(fDate),1))-COUNTIF(資料項目!$B$6:$B$24,"&gt;"&amp;EOMONTH(fDate,0))</f>
        <v>0</v>
      </c>
      <c r="D6" s="39"/>
      <c r="E6" s="40"/>
      <c r="F6" s="40"/>
      <c r="G6" s="38">
        <f ca="1">COUNTIF(tblData[日期],"&lt;="&amp;EOMONTH(fDate,0))</f>
        <v>0</v>
      </c>
      <c r="H6" s="41"/>
      <c r="I6" s="41"/>
      <c r="J6" s="42"/>
    </row>
    <row r="7" spans="2:10" s="9" customFormat="1" ht="15" customHeight="1" x14ac:dyDescent="0.2">
      <c r="B7" s="10" t="s">
        <v>23</v>
      </c>
      <c r="C7" s="43">
        <f ca="1">SUMIF(tblData[日期],"&gt;="&amp;DATE(fYear,MONTH(fDate),1),tblData[金額])-SUMIF(tblData[日期],"&gt;"&amp;EOMONTH(fDate,0),tblData[金額])</f>
        <v>0</v>
      </c>
      <c r="D7" s="43">
        <f ca="1">SUMIF(資料項目!$B$6:$B$24,"&gt;="&amp;DATE(fYear,MONTH(fDate),1),資料項目!$E$6:$E$24)-SUMIF(資料項目!$B$6:$B$24,"&gt;"&amp;EOMONTH(fDate,0),資料項目!$E$6:$E$24)</f>
        <v>0</v>
      </c>
      <c r="E7" s="43">
        <f ca="1">D7-C7</f>
        <v>0</v>
      </c>
      <c r="F7" s="43" t="str">
        <f ca="1">IFERROR(D7/C7,"-")</f>
        <v>-</v>
      </c>
      <c r="G7" s="43">
        <f ca="1">SUMIF(tblData[日期],"&lt;="&amp;EOMONTH(fDate,0),tblData[金額])</f>
        <v>0</v>
      </c>
      <c r="H7" s="43">
        <f ca="1">SUMIF(tblData[日期],"&lt;="&amp;EOMONTH(fDate,0),tblData[計劃])</f>
        <v>0</v>
      </c>
      <c r="I7" s="43">
        <f ca="1">H7-G7</f>
        <v>0</v>
      </c>
      <c r="J7" s="44" t="str">
        <f ca="1">IFERROR(H7/G7,"")</f>
        <v/>
      </c>
    </row>
    <row r="8" spans="2:10" s="9" customFormat="1" ht="15" customHeight="1" x14ac:dyDescent="0.2">
      <c r="B8" s="10" t="s">
        <v>12</v>
      </c>
      <c r="C8" s="43">
        <f ca="1">(SUMIF(tblData[日期],"&gt;="&amp;DATE(fYear,MONTH(fDate),1),tblData[金額])-SUMIF(tblData[日期],"&gt;"&amp;EOMONTH(fDate,0),tblData[金額]))-(SUMIF(tblData[日期],"&gt;="&amp;DATE(fYear,MONTH(fDate),1),tblData[成本])-SUMIF(tblData[日期],"&gt;"&amp;EOMONTH(fDate,0),tblData[成本]))</f>
        <v>0</v>
      </c>
      <c r="D8" s="43">
        <f ca="1">(SUMIF(資料項目!$B$6:$B$24,"&gt;="&amp;DATE(fYear,MONTH(fDate),1),資料項目!$E$6:$E$24)-SUMIF(資料項目!$B$6:$B$24,"&gt;"&amp;EOMONTH(fDate,0),資料項目!$E$6:$E$24))-(SUMIF(資料項目!$B$6:$B$24,"&gt;="&amp;DATE(fYear,MONTH(fDate),1),資料項目!$F$6:$F$24)-SUMIF(資料項目!$B$6:$B$24,"&gt;"&amp;EOMONTH(fDate,0),資料項目!$F$6:$F$24))</f>
        <v>0</v>
      </c>
      <c r="E8" s="43">
        <f ca="1">D8-C8</f>
        <v>0</v>
      </c>
      <c r="F8" s="43" t="str">
        <f ca="1">IFERROR(D8/C8,"-")</f>
        <v>-</v>
      </c>
      <c r="G8" s="43">
        <f ca="1">SUMIF(資料項目!$B$6:$B$24,"&lt;="&amp;EOMONTH(fDate,0),資料項目!$F$6:$F$24)</f>
        <v>0</v>
      </c>
      <c r="H8" s="43">
        <f ca="1">SUMIF(tblData[日期],"&lt;="&amp;EOMONTH(fDate,0),tblData[成本])</f>
        <v>0</v>
      </c>
      <c r="I8" s="43">
        <f ca="1">H8-G8</f>
        <v>0</v>
      </c>
      <c r="J8" s="44" t="str">
        <f ca="1">IFERROR(H8/G8,"")</f>
        <v/>
      </c>
    </row>
    <row r="9" spans="2:10" s="9" customFormat="1" ht="15" customHeight="1" x14ac:dyDescent="0.2">
      <c r="B9" s="10" t="s">
        <v>24</v>
      </c>
      <c r="C9" s="43" t="str">
        <f ca="1">IFERROR(C8/C7,"-")</f>
        <v>-</v>
      </c>
      <c r="D9" s="43" t="str">
        <f ca="1">IFERROR(D8/D7,"-")</f>
        <v>-</v>
      </c>
      <c r="E9" s="43"/>
      <c r="F9" s="43" t="str">
        <f ca="1">IFERROR(F8/F7,"-")</f>
        <v>-</v>
      </c>
      <c r="G9" s="43" t="str">
        <f ca="1">IFERROR(G8/G7,"")</f>
        <v/>
      </c>
      <c r="H9" s="43" t="str">
        <f ca="1">IFERROR(H8/H7,"")</f>
        <v/>
      </c>
      <c r="I9" s="43"/>
      <c r="J9" s="44" t="str">
        <f ca="1">IFERROR(J8/J7,"")</f>
        <v/>
      </c>
    </row>
    <row r="10" spans="2:10" s="9" customFormat="1" ht="15" customHeight="1" x14ac:dyDescent="0.2">
      <c r="B10" s="10" t="s">
        <v>25</v>
      </c>
      <c r="C10" s="43">
        <f ca="1">COUNTIF(tblData[日期],"&gt;="&amp;DATE(fYear,MONTH(fDate),1))-COUNTIF(tblData[日期],"&gt;"&amp;EOMONTH(fDate,0))</f>
        <v>0</v>
      </c>
      <c r="D10" s="45"/>
      <c r="E10" s="45"/>
      <c r="F10" s="45"/>
      <c r="G10" s="43">
        <f ca="1">COUNTIF(tblData[日期],"&gt;"&amp;EOMONTH(fDate,0))</f>
        <v>19</v>
      </c>
      <c r="H10" s="45"/>
      <c r="I10" s="45"/>
      <c r="J10" s="46"/>
    </row>
    <row r="11" spans="2:10" s="9" customFormat="1" ht="15" customHeight="1" x14ac:dyDescent="0.2">
      <c r="B11" s="10" t="s">
        <v>26</v>
      </c>
      <c r="C11" s="43" t="str">
        <f ca="1">IFERROR(C7/C10,"-")</f>
        <v>-</v>
      </c>
      <c r="D11" s="45"/>
      <c r="E11" s="45"/>
      <c r="F11" s="45"/>
      <c r="G11" s="43">
        <f ca="1">IFERROR(G7/G10,"-")</f>
        <v>0</v>
      </c>
      <c r="H11" s="45"/>
      <c r="I11" s="45"/>
      <c r="J11" s="46"/>
    </row>
    <row r="12" spans="2:10" ht="27" customHeight="1" x14ac:dyDescent="0.2">
      <c r="B12" s="11"/>
      <c r="C12" s="11"/>
      <c r="D12" s="11"/>
      <c r="E12" s="11"/>
      <c r="F12" s="11"/>
      <c r="G12" s="11"/>
      <c r="H12" s="11"/>
      <c r="I12" s="11"/>
      <c r="J12" s="11"/>
    </row>
    <row r="13" spans="2:10" ht="15.75" customHeight="1" x14ac:dyDescent="0.25">
      <c r="B13" s="12" t="s">
        <v>27</v>
      </c>
      <c r="C13" s="12"/>
      <c r="D13" s="12" t="s">
        <v>28</v>
      </c>
      <c r="E13" s="13"/>
      <c r="F13" s="12" t="s">
        <v>29</v>
      </c>
      <c r="G13" s="13"/>
      <c r="H13" s="12"/>
      <c r="I13" s="12" t="s">
        <v>30</v>
      </c>
      <c r="J13" s="14"/>
    </row>
    <row r="14" spans="2:10" x14ac:dyDescent="0.2">
      <c r="B14" s="15" t="s">
        <v>23</v>
      </c>
      <c r="C14" s="15"/>
      <c r="D14" s="60">
        <f ca="1">TREND(tblData[[月份 ]],tblData[MONTH NUM (HIDE)],IF(MONTH(fDate)=12,13,MONTH(fDate)+1))</f>
        <v>583557.10659898468</v>
      </c>
      <c r="E14" s="17"/>
      <c r="F14" s="60">
        <f ca="1">TREND(tblData[[季度 ]],tblData[MONTH NUM (HIDE)],IF(MONTH(fDate)=12,13,MONTH(fDate)+1))</f>
        <v>1382969.5431472082</v>
      </c>
      <c r="G14" s="17"/>
      <c r="H14" s="16"/>
      <c r="I14" s="60">
        <f ca="1">TREND(tblData[[整年 ]],tblData[MONTH NUM (HIDE)],IF(MONTH(fDate)=12,13,MONTH(fDate)+1))</f>
        <v>4314000</v>
      </c>
      <c r="J14" s="18"/>
    </row>
    <row r="15" spans="2:10" ht="27" customHeight="1" x14ac:dyDescent="0.2"/>
    <row r="16" spans="2:10" s="19" customFormat="1" ht="27" customHeight="1" x14ac:dyDescent="0.2">
      <c r="B16" s="19" t="s">
        <v>35</v>
      </c>
    </row>
    <row r="30" spans="2:6" s="19" customFormat="1" ht="27" customHeight="1" x14ac:dyDescent="0.2">
      <c r="B30" s="19" t="s">
        <v>31</v>
      </c>
      <c r="F30" s="19" t="s">
        <v>32</v>
      </c>
    </row>
    <row r="38" spans="2:10" s="19" customFormat="1" ht="27" customHeight="1" x14ac:dyDescent="0.2">
      <c r="B38" s="19" t="s">
        <v>33</v>
      </c>
      <c r="F38" s="19" t="s">
        <v>34</v>
      </c>
    </row>
    <row r="43" spans="2:10" x14ac:dyDescent="0.2">
      <c r="J43" s="2" t="s">
        <v>6</v>
      </c>
    </row>
  </sheetData>
  <phoneticPr fontId="5" type="noConversion"/>
  <conditionalFormatting sqref="E2">
    <cfRule type="expression" dxfId="263" priority="3">
      <formula>(LEN($E2)&gt;0)*(LEN($D3)&gt;0)</formula>
    </cfRule>
  </conditionalFormatting>
  <conditionalFormatting sqref="D2">
    <cfRule type="expression" dxfId="262" priority="2">
      <formula>(LEN($D2)&gt;0)*(LEN($C2)=0)</formula>
    </cfRule>
  </conditionalFormatting>
  <conditionalFormatting sqref="F2">
    <cfRule type="expression" dxfId="261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845880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2012-06-28T22:27:47+00:00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477855</Value>
    </PublishStatusLookup>
    <APAuthor xmlns="c66daf58-3c46-4c48-8560-c485e881f7f9">
      <UserInfo>
        <DisplayName/>
        <AccountId>2566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 xsi:nil="true"/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TP102929974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Props1.xml><?xml version="1.0" encoding="utf-8"?>
<ds:datastoreItem xmlns:ds="http://schemas.openxmlformats.org/officeDocument/2006/customXml" ds:itemID="{D7BB4232-4D72-44C3-A9D3-B629E703070F}"/>
</file>

<file path=customXml/itemProps2.xml><?xml version="1.0" encoding="utf-8"?>
<ds:datastoreItem xmlns:ds="http://schemas.openxmlformats.org/officeDocument/2006/customXml" ds:itemID="{0AEE7169-E8EC-4E19-BA48-3F46D4C38897}"/>
</file>

<file path=customXml/itemProps3.xml><?xml version="1.0" encoding="utf-8"?>
<ds:datastoreItem xmlns:ds="http://schemas.openxmlformats.org/officeDocument/2006/customXml" ds:itemID="{C8DE6788-D1FD-452D-A3B7-55A6390F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7</vt:i4>
      </vt:variant>
    </vt:vector>
  </HeadingPairs>
  <TitlesOfParts>
    <vt:vector size="10" baseType="lpstr">
      <vt:lpstr>資料項目</vt:lpstr>
      <vt:lpstr>銷售報表</vt:lpstr>
      <vt:lpstr>銷售預估</vt:lpstr>
      <vt:lpstr>fDate</vt:lpstr>
      <vt:lpstr>fDay</vt:lpstr>
      <vt:lpstr>fMonth</vt:lpstr>
      <vt:lpstr>ForecastDate</vt:lpstr>
      <vt:lpstr>fYear</vt:lpstr>
      <vt:lpstr>銷售預估!Print_Area</vt:lpstr>
      <vt:lpstr>銷售報表!Print_Titles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Chutawadchara Kaentubtim</cp:lastModifiedBy>
  <dcterms:created xsi:type="dcterms:W3CDTF">2012-06-20T20:17:06Z</dcterms:created>
  <dcterms:modified xsi:type="dcterms:W3CDTF">2012-09-28T07:46:00Z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