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902\Bug 3596307\zh-CN\target\"/>
    </mc:Choice>
  </mc:AlternateContent>
  <xr:revisionPtr revIDLastSave="0" documentId="13_ncr:1_{8FCEAA29-0155-4C16-8752-AC6B69D456BC}" xr6:coauthVersionLast="44" xr6:coauthVersionMax="44" xr10:uidLastSave="{00000000-0000-0000-0000-000000000000}"/>
  <bookViews>
    <workbookView xWindow="-120" yWindow="-120" windowWidth="29040" windowHeight="17640" tabRatio="686" xr2:uid="{00000000-000D-0000-FFFF-FFFF00000000}"/>
  </bookViews>
  <sheets>
    <sheet name="1 月" sheetId="4" r:id="rId1"/>
    <sheet name="2 月" sheetId="5" r:id="rId2"/>
    <sheet name="3 月" sheetId="17" r:id="rId3"/>
    <sheet name="4 月" sheetId="18" r:id="rId4"/>
    <sheet name="5 月" sheetId="19" r:id="rId5"/>
    <sheet name="6 月" sheetId="20" r:id="rId6"/>
    <sheet name="7 月" sheetId="21" r:id="rId7"/>
    <sheet name="8 月" sheetId="22" r:id="rId8"/>
    <sheet name="9 月" sheetId="23" r:id="rId9"/>
    <sheet name="10 月" sheetId="24" r:id="rId10"/>
    <sheet name="11 月" sheetId="25" r:id="rId11"/>
    <sheet name="12 月" sheetId="15" r:id="rId12"/>
    <sheet name="员工姓名" sheetId="16" r:id="rId13"/>
  </sheets>
  <definedNames>
    <definedName name="CalendarYear">'1 月'!$AH$4</definedName>
    <definedName name="ColumnTitle13">EmployeeName[[#Headers],[员工姓名]]</definedName>
    <definedName name="Employee_Absence_Title">'1 月'!$B$1</definedName>
    <definedName name="Key_name">'1 月'!$B$2</definedName>
    <definedName name="KeyCustom1">'1 月'!$L$2</definedName>
    <definedName name="KeyCustom1Label">'1 月'!$M$2</definedName>
    <definedName name="KeyCustom2">'1 月'!$O$2</definedName>
    <definedName name="KeyCustom2Label">'1 月'!$P$2</definedName>
    <definedName name="KeyPersonal">'1 月'!$F$2</definedName>
    <definedName name="KeyPersonalLabel">'1 月'!$G$2</definedName>
    <definedName name="KeySick">'1 月'!$I$2</definedName>
    <definedName name="KeySickLabel">'1 月'!$J$2</definedName>
    <definedName name="KeyVacation">'1 月'!$C$2</definedName>
    <definedName name="KeyVacationLabel">'1 月'!$D$2</definedName>
    <definedName name="MonthName" localSheetId="0">'1 月'!$B$4</definedName>
    <definedName name="MonthName" localSheetId="9">'10 月'!$B$4</definedName>
    <definedName name="MonthName" localSheetId="10">'11 月'!$B$4</definedName>
    <definedName name="MonthName" localSheetId="11">'12 月'!$B$4</definedName>
    <definedName name="MonthName" localSheetId="1">'2 月'!$B$4</definedName>
    <definedName name="MonthName" localSheetId="2">'3 月'!$B$4</definedName>
    <definedName name="MonthName" localSheetId="3">'4 月'!$B$4</definedName>
    <definedName name="MonthName" localSheetId="4">'5 月'!$B$4</definedName>
    <definedName name="MonthName" localSheetId="5">'6 月'!$B$4</definedName>
    <definedName name="MonthName" localSheetId="6">'7 月'!$B$4</definedName>
    <definedName name="MonthName" localSheetId="7">'8 月'!$B$4</definedName>
    <definedName name="MonthName" localSheetId="8">'9 月'!$B$4</definedName>
    <definedName name="_xlnm.Print_Titles" localSheetId="0">'1 月'!$4:$6</definedName>
    <definedName name="_xlnm.Print_Titles" localSheetId="9">'10 月'!$4:$6</definedName>
    <definedName name="_xlnm.Print_Titles" localSheetId="10">'11 月'!$4:$6</definedName>
    <definedName name="_xlnm.Print_Titles" localSheetId="11">'12 月'!$4:$6</definedName>
    <definedName name="_xlnm.Print_Titles" localSheetId="1">'2 月'!$4:$6</definedName>
    <definedName name="_xlnm.Print_Titles" localSheetId="2">'3 月'!$4:$6</definedName>
    <definedName name="_xlnm.Print_Titles" localSheetId="3">'4 月'!$4:$6</definedName>
    <definedName name="_xlnm.Print_Titles" localSheetId="4">'5 月'!$4:$6</definedName>
    <definedName name="_xlnm.Print_Titles" localSheetId="5">'6 月'!$4:$6</definedName>
    <definedName name="_xlnm.Print_Titles" localSheetId="6">'7 月'!$4:$6</definedName>
    <definedName name="_xlnm.Print_Titles" localSheetId="7">'8 月'!$4:$6</definedName>
    <definedName name="_xlnm.Print_Titles" localSheetId="8">'9 月'!$4:$6</definedName>
    <definedName name="标题1">一月[[#Headers],[员工姓名]]</definedName>
    <definedName name="标题10">十月[[#Headers],[员工姓名]]</definedName>
    <definedName name="标题11">十一月[[#Headers],[员工姓名]]</definedName>
    <definedName name="标题12">十二月[[#Headers],[员工姓名]]</definedName>
    <definedName name="标题2">二月[[#Headers],[员工姓名]]</definedName>
    <definedName name="标题3">三月[[#Headers],[员工姓名]]</definedName>
    <definedName name="标题4">四月[[#Headers],[员工姓名]]</definedName>
    <definedName name="标题5">五月[[#Headers],[员工姓名]]</definedName>
    <definedName name="标题6">六月[[#Headers],[员工姓名]]</definedName>
    <definedName name="标题7">七月[[#Headers],[员工姓名]]</definedName>
    <definedName name="标题8">八月[[#Headers],[员工姓名]]</definedName>
    <definedName name="标题9">九月[[#Headers],[员工姓名]]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B12" i="5"/>
  <c r="B12" i="17"/>
  <c r="B12" i="18"/>
  <c r="B12" i="19"/>
  <c r="B12" i="20"/>
  <c r="B12" i="21"/>
  <c r="B12" i="22"/>
  <c r="B12" i="23"/>
  <c r="B12" i="24"/>
  <c r="B12" i="2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<sst xmlns="http://schemas.openxmlformats.org/spreadsheetml/2006/main" count="643" uniqueCount="64">
  <si>
    <t>员工考勤时间表</t>
  </si>
  <si>
    <t>缺勤类型键</t>
  </si>
  <si>
    <t>1 月</t>
  </si>
  <si>
    <t>员工姓名</t>
  </si>
  <si>
    <t>员工 1</t>
  </si>
  <si>
    <t>员工 2</t>
  </si>
  <si>
    <t>员工 3</t>
  </si>
  <si>
    <t>员工 4</t>
  </si>
  <si>
    <t>员工 5</t>
  </si>
  <si>
    <t>V</t>
  </si>
  <si>
    <t>缺勤日期</t>
  </si>
  <si>
    <t>1</t>
  </si>
  <si>
    <t>休假</t>
  </si>
  <si>
    <t>2</t>
  </si>
  <si>
    <t>3</t>
  </si>
  <si>
    <t>P</t>
  </si>
  <si>
    <t>4</t>
  </si>
  <si>
    <t>S</t>
  </si>
  <si>
    <t>5</t>
  </si>
  <si>
    <t>个人</t>
  </si>
  <si>
    <t>6</t>
  </si>
  <si>
    <t>7</t>
  </si>
  <si>
    <t>8</t>
  </si>
  <si>
    <t>9</t>
  </si>
  <si>
    <t>病假</t>
  </si>
  <si>
    <t>10</t>
  </si>
  <si>
    <t>11</t>
  </si>
  <si>
    <t>12</t>
  </si>
  <si>
    <t>自定义 1</t>
  </si>
  <si>
    <t>13</t>
  </si>
  <si>
    <t>14</t>
  </si>
  <si>
    <t>15</t>
  </si>
  <si>
    <t>16</t>
  </si>
  <si>
    <t>自定义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</si>
  <si>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</si>
  <si>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</si>
  <si>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</si>
  <si>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</si>
  <si>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</si>
  <si>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</si>
  <si>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</si>
  <si>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</si>
  <si>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</si>
  <si>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</si>
  <si>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</si>
  <si>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</si>
  <si>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</si>
  <si>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</si>
  <si>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</si>
  <si>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输入年份：</t>
  </si>
  <si>
    <t>总天数</t>
  </si>
  <si>
    <t>2 月</t>
  </si>
  <si>
    <t xml:space="preserve"> </t>
  </si>
  <si>
    <t xml:space="preserve">  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</si>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</sst>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0;0;"/>
    <numFmt numFmtId="167" formatCode="0_ "/>
  </numFmts>
  <fonts count="20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b/>
      <sz val="26"/>
      <color theme="3"/>
      <name val="Microsoft YaHei UI"/>
      <family val="2"/>
      <charset val="134"/>
    </font>
    <font>
      <b/>
      <sz val="26"/>
      <color theme="3" tint="-0.24994659260841701"/>
      <name val="Microsoft YaHei UI"/>
      <family val="2"/>
      <charset val="134"/>
    </font>
    <font>
      <b/>
      <sz val="18"/>
      <color theme="4" tint="-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67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6" fillId="0" borderId="0">
      <alignment horizont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3" borderId="0" applyNumberFormat="0" applyBorder="0" applyAlignment="0" applyProtection="0"/>
    <xf numFmtId="0" fontId="14" fillId="24" borderId="1" applyNumberFormat="0" applyAlignment="0" applyProtection="0"/>
    <xf numFmtId="0" fontId="15" fillId="25" borderId="2" applyNumberFormat="0" applyAlignment="0" applyProtection="0"/>
    <xf numFmtId="0" fontId="13" fillId="25" borderId="1" applyNumberFormat="0" applyAlignment="0" applyProtection="0"/>
    <xf numFmtId="0" fontId="17" fillId="0" borderId="3" applyNumberFormat="0" applyFill="0" applyAlignment="0" applyProtection="0"/>
    <xf numFmtId="0" fontId="10" fillId="26" borderId="4" applyNumberFormat="0" applyAlignment="0" applyProtection="0"/>
    <xf numFmtId="0" fontId="12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67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9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6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7" fillId="0" borderId="0" xfId="1">
      <alignment vertical="top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9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- Accent1" xfId="15" builtinId="30" customBuiltin="1"/>
    <cellStyle name="20% - Accent2" xfId="44" builtinId="34" customBuiltin="1"/>
    <cellStyle name="20% - Accent3" xfId="21" builtinId="38" customBuiltin="1"/>
    <cellStyle name="20% - Accent4" xfId="7" builtinId="42" customBuiltin="1"/>
    <cellStyle name="20% - Accent5" xfId="47" builtinId="46" customBuiltin="1"/>
    <cellStyle name="20% - Accent6" xfId="11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8" builtinId="43" customBuiltin="1"/>
    <cellStyle name="40% - Accent5" xfId="24" builtinId="47" customBuiltin="1"/>
    <cellStyle name="40% - Accent6" xfId="12" builtinId="51" customBuiltin="1"/>
    <cellStyle name="60% - Accent1" xfId="17" builtinId="32" customBuiltin="1"/>
    <cellStyle name="60% - Accent2" xfId="45" builtinId="36" customBuiltin="1"/>
    <cellStyle name="60% - Accent3" xfId="23" builtinId="40" customBuiltin="1"/>
    <cellStyle name="60% - Accent4" xfId="9" builtinId="44" customBuiltin="1"/>
    <cellStyle name="60% - Accent5" xfId="48" builtinId="48" customBuiltin="1"/>
    <cellStyle name="60% - Accent6" xfId="13" builtinId="52" customBuiltin="1"/>
    <cellStyle name="Accent1" xfId="14" builtinId="29" customBuiltin="1"/>
    <cellStyle name="Accent2" xfId="18" builtinId="33" customBuiltin="1"/>
    <cellStyle name="Accent3" xfId="20" builtinId="37" customBuiltin="1"/>
    <cellStyle name="Accent4" xfId="6" builtinId="41" customBuiltin="1"/>
    <cellStyle name="Accent5" xfId="46" builtinId="45" customBuiltin="1"/>
    <cellStyle name="Accent6" xfId="10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43" builtinId="53" customBuiltin="1"/>
    <cellStyle name="Good" xfId="3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 customBuiltin="1"/>
    <cellStyle name="Note" xfId="42" builtinId="10" customBuiltin="1"/>
    <cellStyle name="Output" xfId="37" builtinId="21" customBuiltin="1"/>
    <cellStyle name="Percent" xfId="32" builtinId="5" customBuiltin="1"/>
    <cellStyle name="Title" xfId="1" builtinId="15" customBuiltin="1"/>
    <cellStyle name="Total" xfId="25" builtinId="25" customBuiltin="1"/>
    <cellStyle name="Warning Text" xfId="41" builtinId="11" customBuiltin="1"/>
    <cellStyle name="员工" xfId="26" xr:uid="{00000000-0005-0000-0000-000013000000}"/>
    <cellStyle name="标签" xfId="27" xr:uid="{00000000-0005-0000-0000-000018000000}"/>
  </cellStyles>
  <dxfs count="9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1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员工考勤表" pivot="0" count="13" xr9:uid="{00000000-0011-0000-FFFF-FFFF00000000}">
      <tableStyleElement type="wholeTable" dxfId="902"/>
      <tableStyleElement type="headerRow" dxfId="901"/>
      <tableStyleElement type="totalRow" dxfId="900"/>
      <tableStyleElement type="firstColumn" dxfId="899"/>
      <tableStyleElement type="lastColumn" dxfId="898"/>
      <tableStyleElement type="firstRowStripe" dxfId="897"/>
      <tableStyleElement type="secondRowStripe" dxfId="896"/>
      <tableStyleElement type="firstColumnStripe" dxfId="895"/>
      <tableStyleElement type="secondColumnStripe" dxfId="894"/>
      <tableStyleElement type="firstHeaderCell" dxfId="893"/>
      <tableStyleElement type="lastHeaderCell" dxfId="892"/>
      <tableStyleElement type="firstTotalCell" dxfId="891"/>
      <tableStyleElement type="lastTotalCell" dxfId="8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一月" displayName="一月" ref="B6:AH12" totalsRowCount="1" headerRowDxfId="884" dataDxfId="883" totalsRowDxfId="882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员工姓名" totalsRowFunction="custom" dataDxfId="881" totalsRowDxfId="880" dataCellStyle="员工">
      <totalsRowFormula>MonthName&amp;"汇总"</totalsRowFormula>
    </tableColumn>
    <tableColumn id="2" xr3:uid="{00000000-0010-0000-0000-000002000000}" name="1" totalsRowFunction="custom" dataDxfId="879" totalsRowDxfId="878">
      <totalsRowFormula>SUBTOTAL(103,'1 月'!$C$7:$C$11)</totalsRowFormula>
    </tableColumn>
    <tableColumn id="3" xr3:uid="{00000000-0010-0000-0000-000003000000}" name="2" totalsRowFunction="custom" dataDxfId="877" totalsRowDxfId="876">
      <totalsRowFormula>SUBTOTAL(103,'1 月'!$D$7:$D$11)</totalsRowFormula>
    </tableColumn>
    <tableColumn id="4" xr3:uid="{00000000-0010-0000-0000-000004000000}" name="3" totalsRowFunction="custom" dataDxfId="875" totalsRowDxfId="874">
      <totalsRowFormula>SUBTOTAL(103,'1 月'!$E$7:$E$11)</totalsRowFormula>
    </tableColumn>
    <tableColumn id="5" xr3:uid="{00000000-0010-0000-0000-000005000000}" name="4" totalsRowFunction="custom" dataDxfId="873" totalsRowDxfId="872">
      <totalsRowFormula>SUBTOTAL(103,'1 月'!$F$7:$F$11)</totalsRowFormula>
    </tableColumn>
    <tableColumn id="6" xr3:uid="{00000000-0010-0000-0000-000006000000}" name="5" totalsRowFunction="custom" totalsRowDxfId="871">
      <totalsRowFormula>SUBTOTAL(103,'1 月'!$G$7:$G$11)</totalsRowFormula>
    </tableColumn>
    <tableColumn id="7" xr3:uid="{00000000-0010-0000-0000-000007000000}" name="6" totalsRowFunction="custom" dataDxfId="870" totalsRowDxfId="869">
      <totalsRowFormula>SUBTOTAL(103,'1 月'!$H$7:$H$11)</totalsRowFormula>
    </tableColumn>
    <tableColumn id="8" xr3:uid="{00000000-0010-0000-0000-000008000000}" name="7" totalsRowFunction="custom" dataDxfId="868" totalsRowDxfId="867">
      <totalsRowFormula>SUBTOTAL(103,'1 月'!$I$7:$I$11)</totalsRowFormula>
    </tableColumn>
    <tableColumn id="9" xr3:uid="{00000000-0010-0000-0000-000009000000}" name="8" totalsRowFunction="custom" dataDxfId="866" totalsRowDxfId="865">
      <totalsRowFormula>SUBTOTAL(103,'1 月'!$J$7:$J$11)</totalsRowFormula>
    </tableColumn>
    <tableColumn id="10" xr3:uid="{00000000-0010-0000-0000-00000A000000}" name="9" totalsRowFunction="custom" dataDxfId="864" totalsRowDxfId="863">
      <totalsRowFormula>SUBTOTAL(103,'1 月'!$K$7:$K$11)</totalsRowFormula>
    </tableColumn>
    <tableColumn id="11" xr3:uid="{00000000-0010-0000-0000-00000B000000}" name="10" totalsRowFunction="custom" dataDxfId="862" totalsRowDxfId="861">
      <totalsRowFormula>SUBTOTAL(103,'1 月'!$L$7:$L$11)</totalsRowFormula>
    </tableColumn>
    <tableColumn id="12" xr3:uid="{00000000-0010-0000-0000-00000C000000}" name="11" totalsRowFunction="custom" dataDxfId="860" totalsRowDxfId="859">
      <totalsRowFormula>SUBTOTAL(103,'1 月'!$M$7:$M$11)</totalsRowFormula>
    </tableColumn>
    <tableColumn id="13" xr3:uid="{00000000-0010-0000-0000-00000D000000}" name="12" totalsRowFunction="custom" dataDxfId="858" totalsRowDxfId="857">
      <totalsRowFormula>SUBTOTAL(103,'1 月'!$N$7:$N$11)</totalsRowFormula>
    </tableColumn>
    <tableColumn id="14" xr3:uid="{00000000-0010-0000-0000-00000E000000}" name="13" totalsRowFunction="custom" dataDxfId="856" totalsRowDxfId="855">
      <totalsRowFormula>SUBTOTAL(103,'1 月'!$O$7:$O$11)</totalsRowFormula>
    </tableColumn>
    <tableColumn id="15" xr3:uid="{00000000-0010-0000-0000-00000F000000}" name="14" totalsRowFunction="custom" dataDxfId="854" totalsRowDxfId="853">
      <totalsRowFormula>SUBTOTAL(103,'1 月'!$P$7:$P$11)</totalsRowFormula>
    </tableColumn>
    <tableColumn id="16" xr3:uid="{00000000-0010-0000-0000-000010000000}" name="15" totalsRowFunction="custom" dataDxfId="852" totalsRowDxfId="851">
      <totalsRowFormula>SUBTOTAL(103,'1 月'!$Q$7:$Q$11)</totalsRowFormula>
    </tableColumn>
    <tableColumn id="17" xr3:uid="{00000000-0010-0000-0000-000011000000}" name="16" totalsRowFunction="custom" dataDxfId="850" totalsRowDxfId="849">
      <totalsRowFormula>SUBTOTAL(103,'1 月'!$R$7:$R$11)</totalsRowFormula>
    </tableColumn>
    <tableColumn id="18" xr3:uid="{00000000-0010-0000-0000-000012000000}" name="17" totalsRowFunction="custom" dataDxfId="848" totalsRowDxfId="847">
      <totalsRowFormula>SUBTOTAL(103,'1 月'!$S$7:$S$11)</totalsRowFormula>
    </tableColumn>
    <tableColumn id="19" xr3:uid="{00000000-0010-0000-0000-000013000000}" name="18" totalsRowFunction="custom" dataDxfId="846" totalsRowDxfId="845">
      <totalsRowFormula>SUBTOTAL(103,'1 月'!$T$7:$T$11)</totalsRowFormula>
    </tableColumn>
    <tableColumn id="20" xr3:uid="{00000000-0010-0000-0000-000014000000}" name="19" totalsRowFunction="custom" dataDxfId="844" totalsRowDxfId="843">
      <totalsRowFormula>SUBTOTAL(103,'1 月'!$U$7:$U$11)</totalsRowFormula>
    </tableColumn>
    <tableColumn id="21" xr3:uid="{00000000-0010-0000-0000-000015000000}" name="20" totalsRowFunction="custom" dataDxfId="842" totalsRowDxfId="841">
      <totalsRowFormula>SUBTOTAL(103,'1 月'!$V$7:$V$11)</totalsRowFormula>
    </tableColumn>
    <tableColumn id="22" xr3:uid="{00000000-0010-0000-0000-000016000000}" name="21" totalsRowFunction="custom" dataDxfId="840" totalsRowDxfId="839">
      <totalsRowFormula>SUBTOTAL(103,'1 月'!$W$7:$W$11)</totalsRowFormula>
    </tableColumn>
    <tableColumn id="23" xr3:uid="{00000000-0010-0000-0000-000017000000}" name="22" totalsRowFunction="custom" dataDxfId="838" totalsRowDxfId="837">
      <totalsRowFormula>SUBTOTAL(103,'1 月'!$X$7:$X$11)</totalsRowFormula>
    </tableColumn>
    <tableColumn id="24" xr3:uid="{00000000-0010-0000-0000-000018000000}" name="23" totalsRowFunction="custom" dataDxfId="836" totalsRowDxfId="835">
      <totalsRowFormula>SUBTOTAL(103,'1 月'!$Y$7:$Y$11)</totalsRowFormula>
    </tableColumn>
    <tableColumn id="25" xr3:uid="{00000000-0010-0000-0000-000019000000}" name="24" totalsRowFunction="custom" dataDxfId="834" totalsRowDxfId="833">
      <totalsRowFormula>SUBTOTAL(103,'1 月'!$Z$7:$Z$11)</totalsRowFormula>
    </tableColumn>
    <tableColumn id="26" xr3:uid="{00000000-0010-0000-0000-00001A000000}" name="25" totalsRowFunction="custom" dataDxfId="832" totalsRowDxfId="831">
      <totalsRowFormula>SUBTOTAL(103,'1 月'!$AA$7:$AA$11)</totalsRowFormula>
    </tableColumn>
    <tableColumn id="27" xr3:uid="{00000000-0010-0000-0000-00001B000000}" name="26" totalsRowFunction="custom" dataDxfId="830" totalsRowDxfId="829">
      <totalsRowFormula>SUBTOTAL(103,'1 月'!$AB$7:$AB$11)</totalsRowFormula>
    </tableColumn>
    <tableColumn id="28" xr3:uid="{00000000-0010-0000-0000-00001C000000}" name="27" totalsRowFunction="custom" dataDxfId="828" totalsRowDxfId="827">
      <totalsRowFormula>SUBTOTAL(103,'1 月'!$AC$7:$AC$11)</totalsRowFormula>
    </tableColumn>
    <tableColumn id="29" xr3:uid="{00000000-0010-0000-0000-00001D000000}" name="28" totalsRowFunction="custom" dataDxfId="826" totalsRowDxfId="825">
      <totalsRowFormula>SUBTOTAL(103,'1 月'!$AD$7:$AD$11)</totalsRowFormula>
    </tableColumn>
    <tableColumn id="30" xr3:uid="{00000000-0010-0000-0000-00001E000000}" name="29" totalsRowFunction="custom" dataDxfId="824" totalsRowDxfId="823">
      <totalsRowFormula>SUBTOTAL(103,'1 月'!$AE$7:$AE$11)</totalsRowFormula>
    </tableColumn>
    <tableColumn id="31" xr3:uid="{00000000-0010-0000-0000-00001F000000}" name="30" totalsRowFunction="custom" dataDxfId="822" totalsRowDxfId="821">
      <totalsRowFormula>SUBTOTAL(103,'1 月'!$AF$7:$AF$11)</totalsRowFormula>
    </tableColumn>
    <tableColumn id="32" xr3:uid="{00000000-0010-0000-0000-000020000000}" name="31" totalsRowFunction="custom" dataDxfId="820" totalsRowDxfId="819">
      <totalsRowFormula>SUBTOTAL(103,'1 月'!$AG$7:$AG$11)</totalsRowFormula>
    </tableColumn>
    <tableColumn id="33" xr3:uid="{00000000-0010-0000-0000-000021000000}" name="总天数" totalsRowFunction="sum" dataDxfId="818" totalsRowDxfId="817">
      <calculatedColumnFormula>COUNTA('1 月'!$C7:$AG7)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十月" displayName="十月" ref="B6:AH12" totalsRowCount="1" headerRowDxfId="217" dataDxfId="216" totalsRowDxfId="215">
  <tableColumns count="33">
    <tableColumn id="1" xr3:uid="{00000000-0010-0000-0900-000001000000}" name="员工姓名" totalsRowFunction="custom" dataDxfId="214" totalsRowDxfId="213" dataCellStyle="员工">
      <totalsRowFormula>MonthName&amp;"汇总"</totalsRowFormula>
    </tableColumn>
    <tableColumn id="2" xr3:uid="{00000000-0010-0000-0900-000002000000}" name="1" totalsRowFunction="count" dataDxfId="212" totalsRowDxfId="211"/>
    <tableColumn id="3" xr3:uid="{00000000-0010-0000-0900-000003000000}" name="2" totalsRowFunction="count" dataDxfId="210" totalsRowDxfId="209"/>
    <tableColumn id="4" xr3:uid="{00000000-0010-0000-0900-000004000000}" name="3" totalsRowFunction="count" dataDxfId="208" totalsRowDxfId="207"/>
    <tableColumn id="5" xr3:uid="{00000000-0010-0000-0900-000005000000}" name="4" totalsRowFunction="count" dataDxfId="206" totalsRowDxfId="205"/>
    <tableColumn id="6" xr3:uid="{00000000-0010-0000-0900-000006000000}" name="5" totalsRowFunction="count" dataDxfId="204" totalsRowDxfId="203"/>
    <tableColumn id="7" xr3:uid="{00000000-0010-0000-0900-000007000000}" name="6" totalsRowFunction="count" dataDxfId="202" totalsRowDxfId="201"/>
    <tableColumn id="8" xr3:uid="{00000000-0010-0000-0900-000008000000}" name="7" totalsRowFunction="count" dataDxfId="200" totalsRowDxfId="199"/>
    <tableColumn id="9" xr3:uid="{00000000-0010-0000-0900-000009000000}" name="8" totalsRowFunction="count" dataDxfId="198" totalsRowDxfId="197"/>
    <tableColumn id="10" xr3:uid="{00000000-0010-0000-0900-00000A000000}" name="9" totalsRowFunction="count" dataDxfId="196" totalsRowDxfId="195"/>
    <tableColumn id="11" xr3:uid="{00000000-0010-0000-0900-00000B000000}" name="10" totalsRowFunction="count" dataDxfId="194" totalsRowDxfId="193"/>
    <tableColumn id="12" xr3:uid="{00000000-0010-0000-0900-00000C000000}" name="11" totalsRowFunction="count" dataDxfId="192" totalsRowDxfId="191"/>
    <tableColumn id="13" xr3:uid="{00000000-0010-0000-0900-00000D000000}" name="12" totalsRowFunction="count" dataDxfId="190" totalsRowDxfId="189"/>
    <tableColumn id="14" xr3:uid="{00000000-0010-0000-0900-00000E000000}" name="13" totalsRowFunction="count" dataDxfId="188" totalsRowDxfId="187"/>
    <tableColumn id="15" xr3:uid="{00000000-0010-0000-0900-00000F000000}" name="14" totalsRowFunction="count" dataDxfId="186" totalsRowDxfId="185"/>
    <tableColumn id="16" xr3:uid="{00000000-0010-0000-0900-000010000000}" name="15" totalsRowFunction="count" dataDxfId="184" totalsRowDxfId="183"/>
    <tableColumn id="17" xr3:uid="{00000000-0010-0000-0900-000011000000}" name="16" totalsRowFunction="count" dataDxfId="182" totalsRowDxfId="181"/>
    <tableColumn id="18" xr3:uid="{00000000-0010-0000-0900-000012000000}" name="17" totalsRowFunction="count" dataDxfId="180" totalsRowDxfId="179"/>
    <tableColumn id="19" xr3:uid="{00000000-0010-0000-0900-000013000000}" name="18" totalsRowFunction="count" dataDxfId="178" totalsRowDxfId="177"/>
    <tableColumn id="20" xr3:uid="{00000000-0010-0000-0900-000014000000}" name="19" totalsRowFunction="count" dataDxfId="176" totalsRowDxfId="175"/>
    <tableColumn id="21" xr3:uid="{00000000-0010-0000-0900-000015000000}" name="20" totalsRowFunction="count" dataDxfId="174" totalsRowDxfId="173"/>
    <tableColumn id="22" xr3:uid="{00000000-0010-0000-0900-000016000000}" name="21" totalsRowFunction="count" dataDxfId="172" totalsRowDxfId="171"/>
    <tableColumn id="23" xr3:uid="{00000000-0010-0000-0900-000017000000}" name="22" totalsRowFunction="count" dataDxfId="170" totalsRowDxfId="169"/>
    <tableColumn id="24" xr3:uid="{00000000-0010-0000-0900-000018000000}" name="23" totalsRowFunction="count" dataDxfId="168" totalsRowDxfId="167"/>
    <tableColumn id="25" xr3:uid="{00000000-0010-0000-0900-000019000000}" name="24" totalsRowFunction="count" dataDxfId="166" totalsRowDxfId="165"/>
    <tableColumn id="26" xr3:uid="{00000000-0010-0000-0900-00001A000000}" name="25" totalsRowFunction="count" dataDxfId="164" totalsRowDxfId="163"/>
    <tableColumn id="27" xr3:uid="{00000000-0010-0000-0900-00001B000000}" name="26" totalsRowFunction="count" dataDxfId="162" totalsRowDxfId="161"/>
    <tableColumn id="28" xr3:uid="{00000000-0010-0000-0900-00001C000000}" name="27" totalsRowFunction="count" dataDxfId="160" totalsRowDxfId="159"/>
    <tableColumn id="29" xr3:uid="{00000000-0010-0000-0900-00001D000000}" name="28" totalsRowFunction="count" dataDxfId="158" totalsRowDxfId="157"/>
    <tableColumn id="30" xr3:uid="{00000000-0010-0000-0900-00001E000000}" name="29" totalsRowFunction="count" dataDxfId="156" totalsRowDxfId="155"/>
    <tableColumn id="31" xr3:uid="{00000000-0010-0000-0900-00001F000000}" name="30" totalsRowFunction="count" dataDxfId="154" totalsRowDxfId="153"/>
    <tableColumn id="32" xr3:uid="{00000000-0010-0000-0900-000020000000}" name="31" totalsRowFunction="count" dataDxfId="152" totalsRowDxfId="151"/>
    <tableColumn id="33" xr3:uid="{00000000-0010-0000-0900-000021000000}" name="总天数" totalsRowFunction="sum" dataDxfId="150" totalsRowDxfId="149">
      <calculatedColumnFormula>COUNTA(十月[[#This Row],[1]:[31]])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十一月" displayName="十一月" ref="B6:AH12" totalsRowCount="1" headerRowDxfId="143" dataDxfId="142" totalsRowDxfId="141">
  <tableColumns count="33">
    <tableColumn id="1" xr3:uid="{00000000-0010-0000-0A00-000001000000}" name="员工姓名" totalsRowFunction="custom" dataDxfId="140" totalsRowDxfId="139" dataCellStyle="员工">
      <totalsRowFormula>MonthName&amp;"汇总"</totalsRowFormula>
    </tableColumn>
    <tableColumn id="2" xr3:uid="{00000000-0010-0000-0A00-000002000000}" name="1" totalsRowFunction="count" dataDxfId="138" totalsRowDxfId="137"/>
    <tableColumn id="3" xr3:uid="{00000000-0010-0000-0A00-000003000000}" name="2" totalsRowFunction="count" dataDxfId="136" totalsRowDxfId="135"/>
    <tableColumn id="4" xr3:uid="{00000000-0010-0000-0A00-000004000000}" name="3" totalsRowFunction="count" dataDxfId="134" totalsRowDxfId="133"/>
    <tableColumn id="5" xr3:uid="{00000000-0010-0000-0A00-000005000000}" name="4" totalsRowFunction="count" dataDxfId="132" totalsRowDxfId="131"/>
    <tableColumn id="6" xr3:uid="{00000000-0010-0000-0A00-000006000000}" name="5" totalsRowFunction="count" dataDxfId="130" totalsRowDxfId="129"/>
    <tableColumn id="7" xr3:uid="{00000000-0010-0000-0A00-000007000000}" name="6" totalsRowFunction="count" dataDxfId="128" totalsRowDxfId="127"/>
    <tableColumn id="8" xr3:uid="{00000000-0010-0000-0A00-000008000000}" name="7" totalsRowFunction="count" dataDxfId="126" totalsRowDxfId="125"/>
    <tableColumn id="9" xr3:uid="{00000000-0010-0000-0A00-000009000000}" name="8" totalsRowFunction="count" dataDxfId="124" totalsRowDxfId="123"/>
    <tableColumn id="10" xr3:uid="{00000000-0010-0000-0A00-00000A000000}" name="9" totalsRowFunction="count" dataDxfId="122" totalsRowDxfId="121"/>
    <tableColumn id="11" xr3:uid="{00000000-0010-0000-0A00-00000B000000}" name="10" totalsRowFunction="count" dataDxfId="120" totalsRowDxfId="119"/>
    <tableColumn id="12" xr3:uid="{00000000-0010-0000-0A00-00000C000000}" name="11" totalsRowFunction="count" dataDxfId="118" totalsRowDxfId="117"/>
    <tableColumn id="13" xr3:uid="{00000000-0010-0000-0A00-00000D000000}" name="12" totalsRowFunction="count" dataDxfId="116" totalsRowDxfId="115"/>
    <tableColumn id="14" xr3:uid="{00000000-0010-0000-0A00-00000E000000}" name="13" totalsRowFunction="count" dataDxfId="114" totalsRowDxfId="113"/>
    <tableColumn id="15" xr3:uid="{00000000-0010-0000-0A00-00000F000000}" name="14" totalsRowFunction="count" dataDxfId="112" totalsRowDxfId="111"/>
    <tableColumn id="16" xr3:uid="{00000000-0010-0000-0A00-000010000000}" name="15" totalsRowFunction="count" dataDxfId="110" totalsRowDxfId="109"/>
    <tableColumn id="17" xr3:uid="{00000000-0010-0000-0A00-000011000000}" name="16" totalsRowFunction="count" dataDxfId="108" totalsRowDxfId="107"/>
    <tableColumn id="18" xr3:uid="{00000000-0010-0000-0A00-000012000000}" name="17" totalsRowFunction="count" dataDxfId="106" totalsRowDxfId="105"/>
    <tableColumn id="19" xr3:uid="{00000000-0010-0000-0A00-000013000000}" name="18" totalsRowFunction="count" dataDxfId="104" totalsRowDxfId="103"/>
    <tableColumn id="20" xr3:uid="{00000000-0010-0000-0A00-000014000000}" name="19" totalsRowFunction="count" dataDxfId="102" totalsRowDxfId="101"/>
    <tableColumn id="21" xr3:uid="{00000000-0010-0000-0A00-000015000000}" name="20" totalsRowFunction="count" dataDxfId="100" totalsRowDxfId="99"/>
    <tableColumn id="22" xr3:uid="{00000000-0010-0000-0A00-000016000000}" name="21" totalsRowFunction="count" dataDxfId="98" totalsRowDxfId="97"/>
    <tableColumn id="23" xr3:uid="{00000000-0010-0000-0A00-000017000000}" name="22" totalsRowFunction="count" dataDxfId="96" totalsRowDxfId="95"/>
    <tableColumn id="24" xr3:uid="{00000000-0010-0000-0A00-000018000000}" name="23" totalsRowFunction="count" dataDxfId="94" totalsRowDxfId="93"/>
    <tableColumn id="25" xr3:uid="{00000000-0010-0000-0A00-000019000000}" name="24" totalsRowFunction="count" dataDxfId="92" totalsRowDxfId="91"/>
    <tableColumn id="26" xr3:uid="{00000000-0010-0000-0A00-00001A000000}" name="25" totalsRowFunction="count" dataDxfId="90" totalsRowDxfId="89"/>
    <tableColumn id="27" xr3:uid="{00000000-0010-0000-0A00-00001B000000}" name="26" totalsRowFunction="count" dataDxfId="88" totalsRowDxfId="87"/>
    <tableColumn id="28" xr3:uid="{00000000-0010-0000-0A00-00001C000000}" name="27" totalsRowFunction="count" dataDxfId="86" totalsRowDxfId="85"/>
    <tableColumn id="29" xr3:uid="{00000000-0010-0000-0A00-00001D000000}" name="28" totalsRowFunction="count" dataDxfId="84" totalsRowDxfId="83"/>
    <tableColumn id="30" xr3:uid="{00000000-0010-0000-0A00-00001E000000}" name="29" totalsRowFunction="count" dataDxfId="82" totalsRowDxfId="81"/>
    <tableColumn id="31" xr3:uid="{00000000-0010-0000-0A00-00001F000000}" name="30" totalsRowFunction="count" dataDxfId="80" totalsRowDxfId="79"/>
    <tableColumn id="32" xr3:uid="{00000000-0010-0000-0A00-000020000000}" name=" " totalsRowFunction="count" dataDxfId="78" totalsRowDxfId="77"/>
    <tableColumn id="33" xr3:uid="{00000000-0010-0000-0A00-000021000000}" name="总天数" totalsRowFunction="sum" dataDxfId="76" totalsRowDxfId="75">
      <calculatedColumnFormula>COUNTA(十一月[[#This Row],[1]:[30]])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十二月" displayName="十二月" ref="B6:AH12" totalsRowCount="1" headerRowDxfId="69" dataDxfId="68" totalsRowDxfId="67">
  <tableColumns count="33">
    <tableColumn id="1" xr3:uid="{00000000-0010-0000-0B00-000001000000}" name="员工姓名" totalsRowFunction="custom" dataDxfId="66" totalsRowDxfId="65" dataCellStyle="员工">
      <totalsRowFormula>MonthName&amp;"汇总"</totalsRowFormula>
    </tableColumn>
    <tableColumn id="2" xr3:uid="{00000000-0010-0000-0B00-000002000000}" name="1" totalsRowFunction="count" dataDxfId="64" totalsRowDxfId="63"/>
    <tableColumn id="3" xr3:uid="{00000000-0010-0000-0B00-000003000000}" name="2" totalsRowFunction="count" dataDxfId="62" totalsRowDxfId="61"/>
    <tableColumn id="4" xr3:uid="{00000000-0010-0000-0B00-000004000000}" name="3" totalsRowFunction="count" dataDxfId="60" totalsRowDxfId="59"/>
    <tableColumn id="5" xr3:uid="{00000000-0010-0000-0B00-000005000000}" name="4" totalsRowFunction="count" dataDxfId="58" totalsRowDxfId="57"/>
    <tableColumn id="6" xr3:uid="{00000000-0010-0000-0B00-000006000000}" name="5" totalsRowFunction="count" dataDxfId="56" totalsRowDxfId="55"/>
    <tableColumn id="7" xr3:uid="{00000000-0010-0000-0B00-000007000000}" name="6" totalsRowFunction="count" dataDxfId="54" totalsRowDxfId="53"/>
    <tableColumn id="8" xr3:uid="{00000000-0010-0000-0B00-000008000000}" name="7" totalsRowFunction="count" dataDxfId="52" totalsRowDxfId="51"/>
    <tableColumn id="9" xr3:uid="{00000000-0010-0000-0B00-000009000000}" name="8" totalsRowFunction="count" dataDxfId="50" totalsRowDxfId="49"/>
    <tableColumn id="10" xr3:uid="{00000000-0010-0000-0B00-00000A000000}" name="9" totalsRowFunction="count" dataDxfId="48" totalsRowDxfId="47"/>
    <tableColumn id="11" xr3:uid="{00000000-0010-0000-0B00-00000B000000}" name="10" totalsRowFunction="count" dataDxfId="46" totalsRowDxfId="45"/>
    <tableColumn id="12" xr3:uid="{00000000-0010-0000-0B00-00000C000000}" name="11" totalsRowFunction="count" dataDxfId="44" totalsRowDxfId="43"/>
    <tableColumn id="13" xr3:uid="{00000000-0010-0000-0B00-00000D000000}" name="12" totalsRowFunction="count" dataDxfId="42" totalsRowDxfId="41"/>
    <tableColumn id="14" xr3:uid="{00000000-0010-0000-0B00-00000E000000}" name="13" totalsRowFunction="count" dataDxfId="40" totalsRowDxfId="39"/>
    <tableColumn id="15" xr3:uid="{00000000-0010-0000-0B00-00000F000000}" name="14" totalsRowFunction="count" dataDxfId="38" totalsRowDxfId="37"/>
    <tableColumn id="16" xr3:uid="{00000000-0010-0000-0B00-000010000000}" name="15" totalsRowFunction="count" dataDxfId="36" totalsRowDxfId="35"/>
    <tableColumn id="17" xr3:uid="{00000000-0010-0000-0B00-000011000000}" name="16" totalsRowFunction="count" dataDxfId="34" totalsRowDxfId="33"/>
    <tableColumn id="18" xr3:uid="{00000000-0010-0000-0B00-000012000000}" name="17" totalsRowFunction="count" dataDxfId="32" totalsRowDxfId="31"/>
    <tableColumn id="19" xr3:uid="{00000000-0010-0000-0B00-000013000000}" name="18" totalsRowFunction="count" dataDxfId="30" totalsRowDxfId="29"/>
    <tableColumn id="20" xr3:uid="{00000000-0010-0000-0B00-000014000000}" name="19" totalsRowFunction="count" dataDxfId="28" totalsRowDxfId="27"/>
    <tableColumn id="21" xr3:uid="{00000000-0010-0000-0B00-000015000000}" name="20" totalsRowFunction="count" dataDxfId="26" totalsRowDxfId="25"/>
    <tableColumn id="22" xr3:uid="{00000000-0010-0000-0B00-000016000000}" name="21" totalsRowFunction="count" dataDxfId="24" totalsRowDxfId="23"/>
    <tableColumn id="23" xr3:uid="{00000000-0010-0000-0B00-000017000000}" name="22" totalsRowFunction="count" dataDxfId="22" totalsRowDxfId="21"/>
    <tableColumn id="24" xr3:uid="{00000000-0010-0000-0B00-000018000000}" name="23" totalsRowFunction="count" dataDxfId="20" totalsRowDxfId="19"/>
    <tableColumn id="25" xr3:uid="{00000000-0010-0000-0B00-000019000000}" name="24" totalsRowFunction="count" dataDxfId="18" totalsRowDxfId="17"/>
    <tableColumn id="26" xr3:uid="{00000000-0010-0000-0B00-00001A000000}" name="25" totalsRowFunction="count" dataDxfId="16" totalsRowDxfId="15"/>
    <tableColumn id="27" xr3:uid="{00000000-0010-0000-0B00-00001B000000}" name="26" totalsRowFunction="count" dataDxfId="14" totalsRowDxfId="13"/>
    <tableColumn id="28" xr3:uid="{00000000-0010-0000-0B00-00001C000000}" name="27" totalsRowFunction="count" dataDxfId="12" totalsRowDxfId="11"/>
    <tableColumn id="29" xr3:uid="{00000000-0010-0000-0B00-00001D000000}" name="28" totalsRowFunction="count" dataDxfId="10" totalsRowDxfId="9"/>
    <tableColumn id="30" xr3:uid="{00000000-0010-0000-0B00-00001E000000}" name="29" totalsRowFunction="count" dataDxfId="8" totalsRowDxfId="7"/>
    <tableColumn id="31" xr3:uid="{00000000-0010-0000-0B00-00001F000000}" name="30" totalsRowFunction="count" dataDxfId="6" totalsRowDxfId="5"/>
    <tableColumn id="32" xr3:uid="{00000000-0010-0000-0B00-000020000000}" name="31" totalsRowFunction="count" dataDxfId="4" totalsRowDxfId="3"/>
    <tableColumn id="33" xr3:uid="{00000000-0010-0000-0B00-000021000000}" name="总天数" totalsRowFunction="sum" dataDxfId="2" totalsRowDxfId="1">
      <calculatedColumnFormula>COUNTA(十二月[[#This Row],[1]:[31]])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姓名和日历日期列表，以记录员工的缺勤和具体缺勤类型，例如 V = 休假，S = 病假，P = 个人，以及用于自定义项的两个占位符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EmployeeName" displayName="EmployeeName" ref="B3:B8">
  <autoFilter ref="B3:B8" xr:uid="{00000000-0009-0000-0100-00000D000000}"/>
  <tableColumns count="1">
    <tableColumn id="1" xr3:uid="{00000000-0010-0000-0C00-000001000000}" name="员工姓名" totalsRowFunction="count" totalsRowDxfId="0" dataCellStyle="员工"/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在此表中输入员工姓名。这些姓名用作每个月考勤时间表列 B 中的选项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二月" displayName="二月" ref="B6:AH12" totalsRowCount="1" headerRowDxfId="809" dataDxfId="808" totalsRowDxfId="807">
  <tableColumns count="33">
    <tableColumn id="1" xr3:uid="{00000000-0010-0000-0100-000001000000}" name="员工姓名" totalsRowFunction="custom" dataDxfId="806" totalsRowDxfId="805" dataCellStyle="员工">
      <totalsRowFormula>MonthName&amp;"汇总"</totalsRowFormula>
    </tableColumn>
    <tableColumn id="2" xr3:uid="{00000000-0010-0000-0100-000002000000}" name="1" totalsRowFunction="count" dataDxfId="804" totalsRowDxfId="803"/>
    <tableColumn id="3" xr3:uid="{00000000-0010-0000-0100-000003000000}" name="2" totalsRowFunction="count" dataDxfId="802" totalsRowDxfId="801"/>
    <tableColumn id="4" xr3:uid="{00000000-0010-0000-0100-000004000000}" name="3" totalsRowFunction="count" dataDxfId="800" totalsRowDxfId="799"/>
    <tableColumn id="5" xr3:uid="{00000000-0010-0000-0100-000005000000}" name="4" totalsRowFunction="count" dataDxfId="798" totalsRowDxfId="797"/>
    <tableColumn id="6" xr3:uid="{00000000-0010-0000-0100-000006000000}" name="5" totalsRowFunction="count" dataDxfId="796" totalsRowDxfId="795"/>
    <tableColumn id="7" xr3:uid="{00000000-0010-0000-0100-000007000000}" name="6" totalsRowFunction="count" dataDxfId="794" totalsRowDxfId="793"/>
    <tableColumn id="8" xr3:uid="{00000000-0010-0000-0100-000008000000}" name="7" totalsRowFunction="count" dataDxfId="792" totalsRowDxfId="791"/>
    <tableColumn id="9" xr3:uid="{00000000-0010-0000-0100-000009000000}" name="8" totalsRowFunction="count" dataDxfId="790" totalsRowDxfId="789"/>
    <tableColumn id="10" xr3:uid="{00000000-0010-0000-0100-00000A000000}" name="9" totalsRowFunction="count" dataDxfId="788" totalsRowDxfId="787"/>
    <tableColumn id="11" xr3:uid="{00000000-0010-0000-0100-00000B000000}" name="10" totalsRowFunction="count" dataDxfId="786" totalsRowDxfId="785"/>
    <tableColumn id="12" xr3:uid="{00000000-0010-0000-0100-00000C000000}" name="11" totalsRowFunction="count" dataDxfId="784" totalsRowDxfId="783"/>
    <tableColumn id="13" xr3:uid="{00000000-0010-0000-0100-00000D000000}" name="12" totalsRowFunction="count" dataDxfId="782" totalsRowDxfId="781"/>
    <tableColumn id="14" xr3:uid="{00000000-0010-0000-0100-00000E000000}" name="13" totalsRowFunction="count" dataDxfId="780" totalsRowDxfId="779"/>
    <tableColumn id="15" xr3:uid="{00000000-0010-0000-0100-00000F000000}" name="14" totalsRowFunction="count" dataDxfId="778" totalsRowDxfId="777"/>
    <tableColumn id="16" xr3:uid="{00000000-0010-0000-0100-000010000000}" name="15" totalsRowFunction="count" dataDxfId="776" totalsRowDxfId="775"/>
    <tableColumn id="17" xr3:uid="{00000000-0010-0000-0100-000011000000}" name="16" totalsRowFunction="count" dataDxfId="774" totalsRowDxfId="773"/>
    <tableColumn id="18" xr3:uid="{00000000-0010-0000-0100-000012000000}" name="17" totalsRowFunction="count" dataDxfId="772" totalsRowDxfId="771"/>
    <tableColumn id="19" xr3:uid="{00000000-0010-0000-0100-000013000000}" name="18" totalsRowFunction="count" dataDxfId="770" totalsRowDxfId="769"/>
    <tableColumn id="20" xr3:uid="{00000000-0010-0000-0100-000014000000}" name="19" totalsRowFunction="count" dataDxfId="768" totalsRowDxfId="767"/>
    <tableColumn id="21" xr3:uid="{00000000-0010-0000-0100-000015000000}" name="20" totalsRowFunction="count" dataDxfId="766" totalsRowDxfId="765"/>
    <tableColumn id="22" xr3:uid="{00000000-0010-0000-0100-000016000000}" name="21" totalsRowFunction="count" dataDxfId="764" totalsRowDxfId="763"/>
    <tableColumn id="23" xr3:uid="{00000000-0010-0000-0100-000017000000}" name="22" totalsRowFunction="count" dataDxfId="762" totalsRowDxfId="761"/>
    <tableColumn id="24" xr3:uid="{00000000-0010-0000-0100-000018000000}" name="23" totalsRowFunction="count" dataDxfId="760" totalsRowDxfId="759"/>
    <tableColumn id="25" xr3:uid="{00000000-0010-0000-0100-000019000000}" name="24" totalsRowFunction="count" dataDxfId="758" totalsRowDxfId="757"/>
    <tableColumn id="26" xr3:uid="{00000000-0010-0000-0100-00001A000000}" name="25" totalsRowFunction="count" dataDxfId="756" totalsRowDxfId="755"/>
    <tableColumn id="27" xr3:uid="{00000000-0010-0000-0100-00001B000000}" name="26" totalsRowFunction="count" dataDxfId="754" totalsRowDxfId="753"/>
    <tableColumn id="28" xr3:uid="{00000000-0010-0000-0100-00001C000000}" name="27" totalsRowFunction="count" dataDxfId="752" totalsRowDxfId="751"/>
    <tableColumn id="29" xr3:uid="{00000000-0010-0000-0100-00001D000000}" name="28" totalsRowFunction="count" dataDxfId="750" totalsRowDxfId="749"/>
    <tableColumn id="30" xr3:uid="{00000000-0010-0000-0100-00001E000000}" name="29" totalsRowFunction="count" dataDxfId="748" totalsRowDxfId="747"/>
    <tableColumn id="31" xr3:uid="{00000000-0010-0000-0100-00001F000000}" name=" " dataDxfId="746" totalsRowDxfId="745"/>
    <tableColumn id="32" xr3:uid="{00000000-0010-0000-0100-000020000000}" name="  " dataDxfId="744" totalsRowDxfId="743"/>
    <tableColumn id="33" xr3:uid="{00000000-0010-0000-0100-000021000000}" name="总天数" totalsRowFunction="sum" dataDxfId="742" totalsRowDxfId="741">
      <calculatedColumnFormula>COUNTA(二月[[#This Row],[1]:[29]])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三月" displayName="三月" ref="B6:AH12" totalsRowCount="1" headerRowDxfId="735" dataDxfId="734" totalsRowDxfId="733">
  <tableColumns count="33">
    <tableColumn id="1" xr3:uid="{00000000-0010-0000-0200-000001000000}" name="员工姓名" totalsRowFunction="custom" dataDxfId="732" totalsRowDxfId="731" dataCellStyle="员工">
      <totalsRowFormula>MonthName&amp;"汇总"</totalsRowFormula>
    </tableColumn>
    <tableColumn id="2" xr3:uid="{00000000-0010-0000-0200-000002000000}" name="1" totalsRowFunction="count" dataDxfId="730" totalsRowDxfId="729"/>
    <tableColumn id="3" xr3:uid="{00000000-0010-0000-0200-000003000000}" name="2" totalsRowFunction="count" dataDxfId="728" totalsRowDxfId="727"/>
    <tableColumn id="4" xr3:uid="{00000000-0010-0000-0200-000004000000}" name="3" totalsRowFunction="count" dataDxfId="726" totalsRowDxfId="725"/>
    <tableColumn id="5" xr3:uid="{00000000-0010-0000-0200-000005000000}" name="4" totalsRowFunction="count" dataDxfId="724" totalsRowDxfId="723"/>
    <tableColumn id="6" xr3:uid="{00000000-0010-0000-0200-000006000000}" name="5" totalsRowFunction="count" dataDxfId="722" totalsRowDxfId="721"/>
    <tableColumn id="7" xr3:uid="{00000000-0010-0000-0200-000007000000}" name="6" totalsRowFunction="count" dataDxfId="720" totalsRowDxfId="719"/>
    <tableColumn id="8" xr3:uid="{00000000-0010-0000-0200-000008000000}" name="7" totalsRowFunction="count" dataDxfId="718" totalsRowDxfId="717"/>
    <tableColumn id="9" xr3:uid="{00000000-0010-0000-0200-000009000000}" name="8" totalsRowFunction="count" dataDxfId="716" totalsRowDxfId="715"/>
    <tableColumn id="10" xr3:uid="{00000000-0010-0000-0200-00000A000000}" name="9" totalsRowFunction="count" dataDxfId="714" totalsRowDxfId="713"/>
    <tableColumn id="11" xr3:uid="{00000000-0010-0000-0200-00000B000000}" name="10" totalsRowFunction="count" dataDxfId="712" totalsRowDxfId="711"/>
    <tableColumn id="12" xr3:uid="{00000000-0010-0000-0200-00000C000000}" name="11" totalsRowFunction="count" dataDxfId="710" totalsRowDxfId="709"/>
    <tableColumn id="13" xr3:uid="{00000000-0010-0000-0200-00000D000000}" name="12" totalsRowFunction="count" dataDxfId="708" totalsRowDxfId="707"/>
    <tableColumn id="14" xr3:uid="{00000000-0010-0000-0200-00000E000000}" name="13" totalsRowFunction="count" dataDxfId="706" totalsRowDxfId="705"/>
    <tableColumn id="15" xr3:uid="{00000000-0010-0000-0200-00000F000000}" name="14" totalsRowFunction="count" dataDxfId="704" totalsRowDxfId="703"/>
    <tableColumn id="16" xr3:uid="{00000000-0010-0000-0200-000010000000}" name="15" totalsRowFunction="count" dataDxfId="702" totalsRowDxfId="701"/>
    <tableColumn id="17" xr3:uid="{00000000-0010-0000-0200-000011000000}" name="16" totalsRowFunction="count" dataDxfId="700" totalsRowDxfId="699"/>
    <tableColumn id="18" xr3:uid="{00000000-0010-0000-0200-000012000000}" name="17" totalsRowFunction="count" dataDxfId="698" totalsRowDxfId="697"/>
    <tableColumn id="19" xr3:uid="{00000000-0010-0000-0200-000013000000}" name="18" totalsRowFunction="count" dataDxfId="696" totalsRowDxfId="695"/>
    <tableColumn id="20" xr3:uid="{00000000-0010-0000-0200-000014000000}" name="19" totalsRowFunction="count" dataDxfId="694" totalsRowDxfId="693"/>
    <tableColumn id="21" xr3:uid="{00000000-0010-0000-0200-000015000000}" name="20" totalsRowFunction="count" dataDxfId="692" totalsRowDxfId="691"/>
    <tableColumn id="22" xr3:uid="{00000000-0010-0000-0200-000016000000}" name="21" totalsRowFunction="count" dataDxfId="690" totalsRowDxfId="689"/>
    <tableColumn id="23" xr3:uid="{00000000-0010-0000-0200-000017000000}" name="22" totalsRowFunction="count" dataDxfId="688" totalsRowDxfId="687"/>
    <tableColumn id="24" xr3:uid="{00000000-0010-0000-0200-000018000000}" name="23" totalsRowFunction="count" dataDxfId="686" totalsRowDxfId="685"/>
    <tableColumn id="25" xr3:uid="{00000000-0010-0000-0200-000019000000}" name="24" totalsRowFunction="count" dataDxfId="684" totalsRowDxfId="683"/>
    <tableColumn id="26" xr3:uid="{00000000-0010-0000-0200-00001A000000}" name="25" totalsRowFunction="count" dataDxfId="682" totalsRowDxfId="681"/>
    <tableColumn id="27" xr3:uid="{00000000-0010-0000-0200-00001B000000}" name="26" totalsRowFunction="count" dataDxfId="680" totalsRowDxfId="679"/>
    <tableColumn id="28" xr3:uid="{00000000-0010-0000-0200-00001C000000}" name="27" totalsRowFunction="count" dataDxfId="678" totalsRowDxfId="677"/>
    <tableColumn id="29" xr3:uid="{00000000-0010-0000-0200-00001D000000}" name="28" totalsRowFunction="count" dataDxfId="676" totalsRowDxfId="675"/>
    <tableColumn id="30" xr3:uid="{00000000-0010-0000-0200-00001E000000}" name="29" totalsRowFunction="count" dataDxfId="674" totalsRowDxfId="673"/>
    <tableColumn id="31" xr3:uid="{00000000-0010-0000-0200-00001F000000}" name="30" totalsRowFunction="count" dataDxfId="672" totalsRowDxfId="671"/>
    <tableColumn id="32" xr3:uid="{00000000-0010-0000-0200-000020000000}" name="31" totalsRowFunction="count" dataDxfId="670" totalsRowDxfId="669"/>
    <tableColumn id="33" xr3:uid="{00000000-0010-0000-0200-000021000000}" name="总天数" totalsRowFunction="sum" dataDxfId="668" totalsRowDxfId="667">
      <calculatedColumnFormula>COUNTA(三月[[#This Row],[1]:[31]])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四月" displayName="四月" ref="B6:AH12" totalsRowCount="1" headerRowDxfId="661" dataDxfId="660" totalsRowDxfId="659">
  <tableColumns count="33">
    <tableColumn id="1" xr3:uid="{00000000-0010-0000-0300-000001000000}" name="员工姓名" totalsRowFunction="custom" dataDxfId="658" totalsRowDxfId="657" dataCellStyle="员工">
      <totalsRowFormula>MonthName&amp;"汇总"</totalsRowFormula>
    </tableColumn>
    <tableColumn id="2" xr3:uid="{00000000-0010-0000-0300-000002000000}" name="1" totalsRowFunction="count" dataDxfId="656" totalsRowDxfId="655"/>
    <tableColumn id="3" xr3:uid="{00000000-0010-0000-0300-000003000000}" name="2" totalsRowFunction="count" dataDxfId="654" totalsRowDxfId="653"/>
    <tableColumn id="4" xr3:uid="{00000000-0010-0000-0300-000004000000}" name="3" totalsRowFunction="count" dataDxfId="652" totalsRowDxfId="651"/>
    <tableColumn id="5" xr3:uid="{00000000-0010-0000-0300-000005000000}" name="4" totalsRowFunction="count" dataDxfId="650" totalsRowDxfId="649"/>
    <tableColumn id="6" xr3:uid="{00000000-0010-0000-0300-000006000000}" name="5" totalsRowFunction="count" dataDxfId="648" totalsRowDxfId="647"/>
    <tableColumn id="7" xr3:uid="{00000000-0010-0000-0300-000007000000}" name="6" totalsRowFunction="count" dataDxfId="646" totalsRowDxfId="645"/>
    <tableColumn id="8" xr3:uid="{00000000-0010-0000-0300-000008000000}" name="7" totalsRowFunction="count" dataDxfId="644" totalsRowDxfId="643"/>
    <tableColumn id="9" xr3:uid="{00000000-0010-0000-0300-000009000000}" name="8" totalsRowFunction="count" dataDxfId="642" totalsRowDxfId="641"/>
    <tableColumn id="10" xr3:uid="{00000000-0010-0000-0300-00000A000000}" name="9" totalsRowFunction="count" dataDxfId="640" totalsRowDxfId="639"/>
    <tableColumn id="11" xr3:uid="{00000000-0010-0000-0300-00000B000000}" name="10" totalsRowFunction="count" dataDxfId="638" totalsRowDxfId="637"/>
    <tableColumn id="12" xr3:uid="{00000000-0010-0000-0300-00000C000000}" name="11" totalsRowFunction="count" dataDxfId="636" totalsRowDxfId="635"/>
    <tableColumn id="13" xr3:uid="{00000000-0010-0000-0300-00000D000000}" name="12" totalsRowFunction="count" dataDxfId="634" totalsRowDxfId="633"/>
    <tableColumn id="14" xr3:uid="{00000000-0010-0000-0300-00000E000000}" name="13" totalsRowFunction="count" dataDxfId="632" totalsRowDxfId="631"/>
    <tableColumn id="15" xr3:uid="{00000000-0010-0000-0300-00000F000000}" name="14" totalsRowFunction="count" dataDxfId="630" totalsRowDxfId="629"/>
    <tableColumn id="16" xr3:uid="{00000000-0010-0000-0300-000010000000}" name="15" totalsRowFunction="count" dataDxfId="628" totalsRowDxfId="627"/>
    <tableColumn id="17" xr3:uid="{00000000-0010-0000-0300-000011000000}" name="16" totalsRowFunction="count" dataDxfId="626" totalsRowDxfId="625"/>
    <tableColumn id="18" xr3:uid="{00000000-0010-0000-0300-000012000000}" name="17" totalsRowFunction="count" dataDxfId="624" totalsRowDxfId="623"/>
    <tableColumn id="19" xr3:uid="{00000000-0010-0000-0300-000013000000}" name="18" totalsRowFunction="count" dataDxfId="622" totalsRowDxfId="621"/>
    <tableColumn id="20" xr3:uid="{00000000-0010-0000-0300-000014000000}" name="19" totalsRowFunction="count" dataDxfId="620" totalsRowDxfId="619"/>
    <tableColumn id="21" xr3:uid="{00000000-0010-0000-0300-000015000000}" name="20" totalsRowFunction="count" dataDxfId="618" totalsRowDxfId="617"/>
    <tableColumn id="22" xr3:uid="{00000000-0010-0000-0300-000016000000}" name="21" totalsRowFunction="count" dataDxfId="616" totalsRowDxfId="615"/>
    <tableColumn id="23" xr3:uid="{00000000-0010-0000-0300-000017000000}" name="22" totalsRowFunction="count" dataDxfId="614" totalsRowDxfId="613"/>
    <tableColumn id="24" xr3:uid="{00000000-0010-0000-0300-000018000000}" name="23" totalsRowFunction="count" dataDxfId="612" totalsRowDxfId="611"/>
    <tableColumn id="25" xr3:uid="{00000000-0010-0000-0300-000019000000}" name="24" totalsRowFunction="count" dataDxfId="610" totalsRowDxfId="609"/>
    <tableColumn id="26" xr3:uid="{00000000-0010-0000-0300-00001A000000}" name="25" totalsRowFunction="count" dataDxfId="608" totalsRowDxfId="607"/>
    <tableColumn id="27" xr3:uid="{00000000-0010-0000-0300-00001B000000}" name="26" totalsRowFunction="count" dataDxfId="606" totalsRowDxfId="605"/>
    <tableColumn id="28" xr3:uid="{00000000-0010-0000-0300-00001C000000}" name="27" totalsRowFunction="count" dataDxfId="604" totalsRowDxfId="603"/>
    <tableColumn id="29" xr3:uid="{00000000-0010-0000-0300-00001D000000}" name="28" totalsRowFunction="count" dataDxfId="602" totalsRowDxfId="601"/>
    <tableColumn id="30" xr3:uid="{00000000-0010-0000-0300-00001E000000}" name="29" totalsRowFunction="count" dataDxfId="600" totalsRowDxfId="599"/>
    <tableColumn id="31" xr3:uid="{00000000-0010-0000-0300-00001F000000}" name="30" totalsRowFunction="count" dataDxfId="598" totalsRowDxfId="597"/>
    <tableColumn id="32" xr3:uid="{00000000-0010-0000-0300-000020000000}" name=" " totalsRowFunction="custom" dataDxfId="596" totalsRowDxfId="595">
      <totalsRowFormula>SUBTOTAL(103,四月[30])</totalsRowFormula>
    </tableColumn>
    <tableColumn id="33" xr3:uid="{00000000-0010-0000-0300-000021000000}" name="总天数" totalsRowFunction="sum" dataDxfId="594" totalsRowDxfId="593">
      <calculatedColumnFormula>COUNTA(四月[[#This Row],[1]:[30]])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五月" displayName="五月" ref="B6:AH12" totalsRowCount="1" headerRowDxfId="587" dataDxfId="586" totalsRowDxfId="585">
  <tableColumns count="33">
    <tableColumn id="1" xr3:uid="{00000000-0010-0000-0400-000001000000}" name="员工姓名" totalsRowFunction="custom" dataDxfId="584" totalsRowDxfId="583" dataCellStyle="员工">
      <totalsRowFormula>MonthName&amp;"汇总"</totalsRowFormula>
    </tableColumn>
    <tableColumn id="2" xr3:uid="{00000000-0010-0000-0400-000002000000}" name="1" totalsRowFunction="count" dataDxfId="582" totalsRowDxfId="581"/>
    <tableColumn id="3" xr3:uid="{00000000-0010-0000-0400-000003000000}" name="2" totalsRowFunction="count" dataDxfId="580" totalsRowDxfId="579"/>
    <tableColumn id="4" xr3:uid="{00000000-0010-0000-0400-000004000000}" name="3" totalsRowFunction="count" dataDxfId="578" totalsRowDxfId="577"/>
    <tableColumn id="5" xr3:uid="{00000000-0010-0000-0400-000005000000}" name="4" totalsRowFunction="count" dataDxfId="576" totalsRowDxfId="575"/>
    <tableColumn id="6" xr3:uid="{00000000-0010-0000-0400-000006000000}" name="5" totalsRowFunction="count" dataDxfId="574" totalsRowDxfId="573"/>
    <tableColumn id="7" xr3:uid="{00000000-0010-0000-0400-000007000000}" name="6" totalsRowFunction="count" dataDxfId="572" totalsRowDxfId="571"/>
    <tableColumn id="8" xr3:uid="{00000000-0010-0000-0400-000008000000}" name="7" totalsRowFunction="count" dataDxfId="570" totalsRowDxfId="569"/>
    <tableColumn id="9" xr3:uid="{00000000-0010-0000-0400-000009000000}" name="8" totalsRowFunction="count" dataDxfId="568" totalsRowDxfId="567"/>
    <tableColumn id="10" xr3:uid="{00000000-0010-0000-0400-00000A000000}" name="9" totalsRowFunction="count" dataDxfId="566" totalsRowDxfId="565"/>
    <tableColumn id="11" xr3:uid="{00000000-0010-0000-0400-00000B000000}" name="10" totalsRowFunction="count" dataDxfId="564" totalsRowDxfId="563"/>
    <tableColumn id="12" xr3:uid="{00000000-0010-0000-0400-00000C000000}" name="11" totalsRowFunction="count" dataDxfId="562" totalsRowDxfId="561"/>
    <tableColumn id="13" xr3:uid="{00000000-0010-0000-0400-00000D000000}" name="12" totalsRowFunction="count" dataDxfId="560" totalsRowDxfId="559"/>
    <tableColumn id="14" xr3:uid="{00000000-0010-0000-0400-00000E000000}" name="13" totalsRowFunction="count" dataDxfId="558" totalsRowDxfId="557"/>
    <tableColumn id="15" xr3:uid="{00000000-0010-0000-0400-00000F000000}" name="14" totalsRowFunction="count" dataDxfId="556" totalsRowDxfId="555"/>
    <tableColumn id="16" xr3:uid="{00000000-0010-0000-0400-000010000000}" name="15" totalsRowFunction="count" dataDxfId="554" totalsRowDxfId="553"/>
    <tableColumn id="17" xr3:uid="{00000000-0010-0000-0400-000011000000}" name="16" totalsRowFunction="count" dataDxfId="552" totalsRowDxfId="551"/>
    <tableColumn id="18" xr3:uid="{00000000-0010-0000-0400-000012000000}" name="17" totalsRowFunction="count" dataDxfId="550" totalsRowDxfId="549"/>
    <tableColumn id="19" xr3:uid="{00000000-0010-0000-0400-000013000000}" name="18" totalsRowFunction="count" dataDxfId="548" totalsRowDxfId="547"/>
    <tableColumn id="20" xr3:uid="{00000000-0010-0000-0400-000014000000}" name="19" totalsRowFunction="count" dataDxfId="546" totalsRowDxfId="545"/>
    <tableColumn id="21" xr3:uid="{00000000-0010-0000-0400-000015000000}" name="20" totalsRowFunction="count" dataDxfId="544" totalsRowDxfId="543"/>
    <tableColumn id="22" xr3:uid="{00000000-0010-0000-0400-000016000000}" name="21" totalsRowFunction="count" dataDxfId="542" totalsRowDxfId="541"/>
    <tableColumn id="23" xr3:uid="{00000000-0010-0000-0400-000017000000}" name="22" totalsRowFunction="count" dataDxfId="540" totalsRowDxfId="539"/>
    <tableColumn id="24" xr3:uid="{00000000-0010-0000-0400-000018000000}" name="23" totalsRowFunction="count" dataDxfId="538" totalsRowDxfId="537"/>
    <tableColumn id="25" xr3:uid="{00000000-0010-0000-0400-000019000000}" name="24" totalsRowFunction="count" dataDxfId="536" totalsRowDxfId="535"/>
    <tableColumn id="26" xr3:uid="{00000000-0010-0000-0400-00001A000000}" name="25" totalsRowFunction="count" dataDxfId="534" totalsRowDxfId="533"/>
    <tableColumn id="27" xr3:uid="{00000000-0010-0000-0400-00001B000000}" name="26" totalsRowFunction="count" dataDxfId="532" totalsRowDxfId="531"/>
    <tableColumn id="28" xr3:uid="{00000000-0010-0000-0400-00001C000000}" name="27" totalsRowFunction="count" dataDxfId="530" totalsRowDxfId="529"/>
    <tableColumn id="29" xr3:uid="{00000000-0010-0000-0400-00001D000000}" name="28" totalsRowFunction="count" dataDxfId="528" totalsRowDxfId="527"/>
    <tableColumn id="30" xr3:uid="{00000000-0010-0000-0400-00001E000000}" name="29" totalsRowFunction="count" dataDxfId="526" totalsRowDxfId="525"/>
    <tableColumn id="31" xr3:uid="{00000000-0010-0000-0400-00001F000000}" name="30" totalsRowFunction="count" dataDxfId="524" totalsRowDxfId="523"/>
    <tableColumn id="32" xr3:uid="{00000000-0010-0000-0400-000020000000}" name="31" totalsRowFunction="count" dataDxfId="522" totalsRowDxfId="521"/>
    <tableColumn id="33" xr3:uid="{00000000-0010-0000-0400-000021000000}" name="总天数" totalsRowFunction="sum" dataDxfId="520" totalsRowDxfId="519">
      <calculatedColumnFormula>COUNTA(五月[[#This Row],[1]:[31]])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六月" displayName="六月" ref="B6:AH12" totalsRowCount="1" headerRowDxfId="513" dataDxfId="512" totalsRowDxfId="511">
  <tableColumns count="33">
    <tableColumn id="1" xr3:uid="{00000000-0010-0000-0500-000001000000}" name="员工姓名" totalsRowFunction="custom" dataDxfId="510" totalsRowDxfId="509" dataCellStyle="员工">
      <totalsRowFormula>MonthName&amp;"汇总"</totalsRowFormula>
    </tableColumn>
    <tableColumn id="2" xr3:uid="{00000000-0010-0000-0500-000002000000}" name="1" totalsRowFunction="count" dataDxfId="508" totalsRowDxfId="507"/>
    <tableColumn id="3" xr3:uid="{00000000-0010-0000-0500-000003000000}" name="2" totalsRowFunction="count" dataDxfId="506" totalsRowDxfId="505"/>
    <tableColumn id="4" xr3:uid="{00000000-0010-0000-0500-000004000000}" name="3" totalsRowFunction="count" dataDxfId="504" totalsRowDxfId="503"/>
    <tableColumn id="5" xr3:uid="{00000000-0010-0000-0500-000005000000}" name="4" totalsRowFunction="count" dataDxfId="502" totalsRowDxfId="501"/>
    <tableColumn id="6" xr3:uid="{00000000-0010-0000-0500-000006000000}" name="5" totalsRowFunction="count" dataDxfId="500" totalsRowDxfId="499"/>
    <tableColumn id="7" xr3:uid="{00000000-0010-0000-0500-000007000000}" name="6" totalsRowFunction="count" dataDxfId="498" totalsRowDxfId="497"/>
    <tableColumn id="8" xr3:uid="{00000000-0010-0000-0500-000008000000}" name="7" totalsRowFunction="count" dataDxfId="496" totalsRowDxfId="495"/>
    <tableColumn id="9" xr3:uid="{00000000-0010-0000-0500-000009000000}" name="8" totalsRowFunction="count" dataDxfId="494" totalsRowDxfId="493"/>
    <tableColumn id="10" xr3:uid="{00000000-0010-0000-0500-00000A000000}" name="9" totalsRowFunction="count" dataDxfId="492" totalsRowDxfId="491"/>
    <tableColumn id="11" xr3:uid="{00000000-0010-0000-0500-00000B000000}" name="10" totalsRowFunction="count" dataDxfId="490" totalsRowDxfId="489"/>
    <tableColumn id="12" xr3:uid="{00000000-0010-0000-0500-00000C000000}" name="11" totalsRowFunction="count" dataDxfId="488" totalsRowDxfId="487"/>
    <tableColumn id="13" xr3:uid="{00000000-0010-0000-0500-00000D000000}" name="12" totalsRowFunction="count" dataDxfId="486" totalsRowDxfId="485"/>
    <tableColumn id="14" xr3:uid="{00000000-0010-0000-0500-00000E000000}" name="13" totalsRowFunction="count" dataDxfId="484" totalsRowDxfId="483"/>
    <tableColumn id="15" xr3:uid="{00000000-0010-0000-0500-00000F000000}" name="14" totalsRowFunction="count" dataDxfId="482" totalsRowDxfId="481"/>
    <tableColumn id="16" xr3:uid="{00000000-0010-0000-0500-000010000000}" name="15" totalsRowFunction="count" dataDxfId="480" totalsRowDxfId="479"/>
    <tableColumn id="17" xr3:uid="{00000000-0010-0000-0500-000011000000}" name="16" totalsRowFunction="count" dataDxfId="478" totalsRowDxfId="477"/>
    <tableColumn id="18" xr3:uid="{00000000-0010-0000-0500-000012000000}" name="17" totalsRowFunction="count" dataDxfId="476" totalsRowDxfId="475"/>
    <tableColumn id="19" xr3:uid="{00000000-0010-0000-0500-000013000000}" name="18" totalsRowFunction="count" dataDxfId="474" totalsRowDxfId="473"/>
    <tableColumn id="20" xr3:uid="{00000000-0010-0000-0500-000014000000}" name="19" totalsRowFunction="count" dataDxfId="472" totalsRowDxfId="471"/>
    <tableColumn id="21" xr3:uid="{00000000-0010-0000-0500-000015000000}" name="20" totalsRowFunction="count" dataDxfId="470" totalsRowDxfId="469"/>
    <tableColumn id="22" xr3:uid="{00000000-0010-0000-0500-000016000000}" name="21" totalsRowFunction="count" dataDxfId="468" totalsRowDxfId="467"/>
    <tableColumn id="23" xr3:uid="{00000000-0010-0000-0500-000017000000}" name="22" totalsRowFunction="count" dataDxfId="466" totalsRowDxfId="465"/>
    <tableColumn id="24" xr3:uid="{00000000-0010-0000-0500-000018000000}" name="23" totalsRowFunction="count" dataDxfId="464" totalsRowDxfId="463"/>
    <tableColumn id="25" xr3:uid="{00000000-0010-0000-0500-000019000000}" name="24" totalsRowFunction="count" dataDxfId="462" totalsRowDxfId="461"/>
    <tableColumn id="26" xr3:uid="{00000000-0010-0000-0500-00001A000000}" name="25" totalsRowFunction="count" dataDxfId="460" totalsRowDxfId="459"/>
    <tableColumn id="27" xr3:uid="{00000000-0010-0000-0500-00001B000000}" name="26" totalsRowFunction="count" dataDxfId="458" totalsRowDxfId="457"/>
    <tableColumn id="28" xr3:uid="{00000000-0010-0000-0500-00001C000000}" name="27" totalsRowFunction="count" dataDxfId="456" totalsRowDxfId="455"/>
    <tableColumn id="29" xr3:uid="{00000000-0010-0000-0500-00001D000000}" name="28" totalsRowFunction="count" dataDxfId="454" totalsRowDxfId="453"/>
    <tableColumn id="30" xr3:uid="{00000000-0010-0000-0500-00001E000000}" name="29" totalsRowFunction="count" dataDxfId="452" totalsRowDxfId="451"/>
    <tableColumn id="31" xr3:uid="{00000000-0010-0000-0500-00001F000000}" name="30" totalsRowFunction="count" dataDxfId="450" totalsRowDxfId="449"/>
    <tableColumn id="32" xr3:uid="{00000000-0010-0000-0500-000020000000}" name=" " totalsRowFunction="count" dataDxfId="448" totalsRowDxfId="447"/>
    <tableColumn id="33" xr3:uid="{00000000-0010-0000-0500-000021000000}" name="总天数" totalsRowFunction="sum" dataDxfId="446" totalsRowDxfId="445">
      <calculatedColumnFormula>COUNTA(六月[[#This Row],[1]:[30]])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七月" displayName="七月" ref="B6:AH12" totalsRowCount="1" headerRowDxfId="439" dataDxfId="438" totalsRowDxfId="437">
  <tableColumns count="33">
    <tableColumn id="1" xr3:uid="{00000000-0010-0000-0600-000001000000}" name="员工姓名" totalsRowFunction="custom" dataDxfId="436" totalsRowDxfId="435" dataCellStyle="员工">
      <totalsRowFormula>MonthName&amp;"汇总"</totalsRowFormula>
    </tableColumn>
    <tableColumn id="2" xr3:uid="{00000000-0010-0000-0600-000002000000}" name="1" totalsRowFunction="count" dataDxfId="434" totalsRowDxfId="433"/>
    <tableColumn id="3" xr3:uid="{00000000-0010-0000-0600-000003000000}" name="2" totalsRowFunction="count" dataDxfId="432" totalsRowDxfId="431"/>
    <tableColumn id="4" xr3:uid="{00000000-0010-0000-0600-000004000000}" name="3" totalsRowFunction="count" dataDxfId="430" totalsRowDxfId="429"/>
    <tableColumn id="5" xr3:uid="{00000000-0010-0000-0600-000005000000}" name="4" totalsRowFunction="count" dataDxfId="428" totalsRowDxfId="427"/>
    <tableColumn id="6" xr3:uid="{00000000-0010-0000-0600-000006000000}" name="5" totalsRowFunction="count" dataDxfId="426" totalsRowDxfId="425"/>
    <tableColumn id="7" xr3:uid="{00000000-0010-0000-0600-000007000000}" name="6" totalsRowFunction="count" dataDxfId="424" totalsRowDxfId="423"/>
    <tableColumn id="8" xr3:uid="{00000000-0010-0000-0600-000008000000}" name="7" totalsRowFunction="count" dataDxfId="422" totalsRowDxfId="421"/>
    <tableColumn id="9" xr3:uid="{00000000-0010-0000-0600-000009000000}" name="8" totalsRowFunction="count" dataDxfId="420" totalsRowDxfId="419"/>
    <tableColumn id="10" xr3:uid="{00000000-0010-0000-0600-00000A000000}" name="9" totalsRowFunction="count" dataDxfId="418" totalsRowDxfId="417"/>
    <tableColumn id="11" xr3:uid="{00000000-0010-0000-0600-00000B000000}" name="10" totalsRowFunction="count" dataDxfId="416" totalsRowDxfId="415"/>
    <tableColumn id="12" xr3:uid="{00000000-0010-0000-0600-00000C000000}" name="11" totalsRowFunction="count" dataDxfId="414" totalsRowDxfId="413"/>
    <tableColumn id="13" xr3:uid="{00000000-0010-0000-0600-00000D000000}" name="12" totalsRowFunction="count" dataDxfId="412" totalsRowDxfId="411"/>
    <tableColumn id="14" xr3:uid="{00000000-0010-0000-0600-00000E000000}" name="13" totalsRowFunction="count" dataDxfId="410" totalsRowDxfId="409"/>
    <tableColumn id="15" xr3:uid="{00000000-0010-0000-0600-00000F000000}" name="14" totalsRowFunction="count" dataDxfId="408" totalsRowDxfId="407"/>
    <tableColumn id="16" xr3:uid="{00000000-0010-0000-0600-000010000000}" name="15" totalsRowFunction="count" dataDxfId="406" totalsRowDxfId="405"/>
    <tableColumn id="17" xr3:uid="{00000000-0010-0000-0600-000011000000}" name="16" totalsRowFunction="count" dataDxfId="404" totalsRowDxfId="403"/>
    <tableColumn id="18" xr3:uid="{00000000-0010-0000-0600-000012000000}" name="17" totalsRowFunction="count" dataDxfId="402" totalsRowDxfId="401"/>
    <tableColumn id="19" xr3:uid="{00000000-0010-0000-0600-000013000000}" name="18" totalsRowFunction="count" dataDxfId="400" totalsRowDxfId="399"/>
    <tableColumn id="20" xr3:uid="{00000000-0010-0000-0600-000014000000}" name="19" totalsRowFunction="count" dataDxfId="398" totalsRowDxfId="397"/>
    <tableColumn id="21" xr3:uid="{00000000-0010-0000-0600-000015000000}" name="20" totalsRowFunction="count" dataDxfId="396" totalsRowDxfId="395"/>
    <tableColumn id="22" xr3:uid="{00000000-0010-0000-0600-000016000000}" name="21" totalsRowFunction="count" dataDxfId="394" totalsRowDxfId="393"/>
    <tableColumn id="23" xr3:uid="{00000000-0010-0000-0600-000017000000}" name="22" totalsRowFunction="count" dataDxfId="392" totalsRowDxfId="391"/>
    <tableColumn id="24" xr3:uid="{00000000-0010-0000-0600-000018000000}" name="23" totalsRowFunction="count" dataDxfId="390" totalsRowDxfId="389"/>
    <tableColumn id="25" xr3:uid="{00000000-0010-0000-0600-000019000000}" name="24" totalsRowFunction="count" dataDxfId="388" totalsRowDxfId="387"/>
    <tableColumn id="26" xr3:uid="{00000000-0010-0000-0600-00001A000000}" name="25" totalsRowFunction="count" dataDxfId="386" totalsRowDxfId="385"/>
    <tableColumn id="27" xr3:uid="{00000000-0010-0000-0600-00001B000000}" name="26" totalsRowFunction="count" dataDxfId="384" totalsRowDxfId="383"/>
    <tableColumn id="28" xr3:uid="{00000000-0010-0000-0600-00001C000000}" name="27" totalsRowFunction="count" dataDxfId="382" totalsRowDxfId="381"/>
    <tableColumn id="29" xr3:uid="{00000000-0010-0000-0600-00001D000000}" name="28" totalsRowFunction="count" dataDxfId="380" totalsRowDxfId="379"/>
    <tableColumn id="30" xr3:uid="{00000000-0010-0000-0600-00001E000000}" name="29" totalsRowFunction="count" dataDxfId="378" totalsRowDxfId="377"/>
    <tableColumn id="31" xr3:uid="{00000000-0010-0000-0600-00001F000000}" name="30" totalsRowFunction="count" dataDxfId="376" totalsRowDxfId="375"/>
    <tableColumn id="32" xr3:uid="{00000000-0010-0000-0600-000020000000}" name="31" totalsRowFunction="count" dataDxfId="374" totalsRowDxfId="373"/>
    <tableColumn id="33" xr3:uid="{00000000-0010-0000-0600-000021000000}" name="总天数" totalsRowFunction="sum" dataDxfId="372" totalsRowDxfId="371">
      <calculatedColumnFormula>COUNTA(七月[[#This Row],[1]:[31]])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八月" displayName="八月" ref="B6:AH12" totalsRowCount="1" headerRowDxfId="365" dataDxfId="364" totalsRowDxfId="363">
  <tableColumns count="33">
    <tableColumn id="1" xr3:uid="{00000000-0010-0000-0700-000001000000}" name="员工姓名" totalsRowFunction="custom" dataDxfId="362" totalsRowDxfId="361" dataCellStyle="员工">
      <totalsRowFormula>MonthName&amp;"汇总"</totalsRowFormula>
    </tableColumn>
    <tableColumn id="2" xr3:uid="{00000000-0010-0000-0700-000002000000}" name="1" totalsRowFunction="count" dataDxfId="360" totalsRowDxfId="359"/>
    <tableColumn id="3" xr3:uid="{00000000-0010-0000-0700-000003000000}" name="2" totalsRowFunction="count" dataDxfId="358" totalsRowDxfId="357"/>
    <tableColumn id="4" xr3:uid="{00000000-0010-0000-0700-000004000000}" name="3" totalsRowFunction="count" dataDxfId="356" totalsRowDxfId="355"/>
    <tableColumn id="5" xr3:uid="{00000000-0010-0000-0700-000005000000}" name="4" totalsRowFunction="count" dataDxfId="354" totalsRowDxfId="353"/>
    <tableColumn id="6" xr3:uid="{00000000-0010-0000-0700-000006000000}" name="5" totalsRowFunction="count" dataDxfId="352" totalsRowDxfId="351"/>
    <tableColumn id="7" xr3:uid="{00000000-0010-0000-0700-000007000000}" name="6" totalsRowFunction="count" dataDxfId="350" totalsRowDxfId="349"/>
    <tableColumn id="8" xr3:uid="{00000000-0010-0000-0700-000008000000}" name="7" totalsRowFunction="count" dataDxfId="348" totalsRowDxfId="347"/>
    <tableColumn id="9" xr3:uid="{00000000-0010-0000-0700-000009000000}" name="8" totalsRowFunction="count" dataDxfId="346" totalsRowDxfId="345"/>
    <tableColumn id="10" xr3:uid="{00000000-0010-0000-0700-00000A000000}" name="9" totalsRowFunction="count" dataDxfId="344" totalsRowDxfId="343"/>
    <tableColumn id="11" xr3:uid="{00000000-0010-0000-0700-00000B000000}" name="10" totalsRowFunction="count" dataDxfId="342" totalsRowDxfId="341"/>
    <tableColumn id="12" xr3:uid="{00000000-0010-0000-0700-00000C000000}" name="11" totalsRowFunction="count" dataDxfId="340" totalsRowDxfId="339"/>
    <tableColumn id="13" xr3:uid="{00000000-0010-0000-0700-00000D000000}" name="12" totalsRowFunction="count" dataDxfId="338" totalsRowDxfId="337"/>
    <tableColumn id="14" xr3:uid="{00000000-0010-0000-0700-00000E000000}" name="13" totalsRowFunction="count" dataDxfId="336" totalsRowDxfId="335"/>
    <tableColumn id="15" xr3:uid="{00000000-0010-0000-0700-00000F000000}" name="14" totalsRowFunction="count" dataDxfId="334" totalsRowDxfId="333"/>
    <tableColumn id="16" xr3:uid="{00000000-0010-0000-0700-000010000000}" name="15" totalsRowFunction="count" dataDxfId="332" totalsRowDxfId="331"/>
    <tableColumn id="17" xr3:uid="{00000000-0010-0000-0700-000011000000}" name="16" totalsRowFunction="count" dataDxfId="330" totalsRowDxfId="329"/>
    <tableColumn id="18" xr3:uid="{00000000-0010-0000-0700-000012000000}" name="17" totalsRowFunction="count" dataDxfId="328" totalsRowDxfId="327"/>
    <tableColumn id="19" xr3:uid="{00000000-0010-0000-0700-000013000000}" name="18" totalsRowFunction="count" dataDxfId="326" totalsRowDxfId="325"/>
    <tableColumn id="20" xr3:uid="{00000000-0010-0000-0700-000014000000}" name="19" totalsRowFunction="count" dataDxfId="324" totalsRowDxfId="323"/>
    <tableColumn id="21" xr3:uid="{00000000-0010-0000-0700-000015000000}" name="20" totalsRowFunction="count" dataDxfId="322" totalsRowDxfId="321"/>
    <tableColumn id="22" xr3:uid="{00000000-0010-0000-0700-000016000000}" name="21" totalsRowFunction="count" dataDxfId="320" totalsRowDxfId="319"/>
    <tableColumn id="23" xr3:uid="{00000000-0010-0000-0700-000017000000}" name="22" totalsRowFunction="count" dataDxfId="318" totalsRowDxfId="317"/>
    <tableColumn id="24" xr3:uid="{00000000-0010-0000-0700-000018000000}" name="23" totalsRowFunction="count" dataDxfId="316" totalsRowDxfId="315"/>
    <tableColumn id="25" xr3:uid="{00000000-0010-0000-0700-000019000000}" name="24" totalsRowFunction="count" dataDxfId="314" totalsRowDxfId="313"/>
    <tableColumn id="26" xr3:uid="{00000000-0010-0000-0700-00001A000000}" name="25" totalsRowFunction="count" dataDxfId="312" totalsRowDxfId="311"/>
    <tableColumn id="27" xr3:uid="{00000000-0010-0000-0700-00001B000000}" name="26" totalsRowFunction="count" dataDxfId="310" totalsRowDxfId="309"/>
    <tableColumn id="28" xr3:uid="{00000000-0010-0000-0700-00001C000000}" name="27" totalsRowFunction="count" dataDxfId="308" totalsRowDxfId="307"/>
    <tableColumn id="29" xr3:uid="{00000000-0010-0000-0700-00001D000000}" name="28" totalsRowFunction="count" dataDxfId="306" totalsRowDxfId="305"/>
    <tableColumn id="30" xr3:uid="{00000000-0010-0000-0700-00001E000000}" name="29" totalsRowFunction="count" dataDxfId="304" totalsRowDxfId="303"/>
    <tableColumn id="31" xr3:uid="{00000000-0010-0000-0700-00001F000000}" name="30" totalsRowFunction="count" dataDxfId="302" totalsRowDxfId="301"/>
    <tableColumn id="32" xr3:uid="{00000000-0010-0000-0700-000020000000}" name="31" totalsRowFunction="count" dataDxfId="300" totalsRowDxfId="299"/>
    <tableColumn id="33" xr3:uid="{00000000-0010-0000-0700-000021000000}" name="总天数" totalsRowFunction="sum" dataDxfId="298" totalsRowDxfId="297">
      <calculatedColumnFormula>COUNTA(八月[[#This Row],[1]:[31]])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九月" displayName="九月" ref="B6:AH12" totalsRowCount="1" headerRowDxfId="291" dataDxfId="290" totalsRowDxfId="289">
  <tableColumns count="33">
    <tableColumn id="1" xr3:uid="{00000000-0010-0000-0800-000001000000}" name="员工姓名" totalsRowFunction="custom" dataDxfId="288" totalsRowDxfId="287" dataCellStyle="员工">
      <totalsRowFormula>MonthName&amp;"汇总"</totalsRowFormula>
    </tableColumn>
    <tableColumn id="2" xr3:uid="{00000000-0010-0000-0800-000002000000}" name="1" totalsRowFunction="count" dataDxfId="286" totalsRowDxfId="285"/>
    <tableColumn id="3" xr3:uid="{00000000-0010-0000-0800-000003000000}" name="2" totalsRowFunction="count" dataDxfId="284" totalsRowDxfId="283"/>
    <tableColumn id="4" xr3:uid="{00000000-0010-0000-0800-000004000000}" name="3" totalsRowFunction="count" dataDxfId="282" totalsRowDxfId="281"/>
    <tableColumn id="5" xr3:uid="{00000000-0010-0000-0800-000005000000}" name="4" totalsRowFunction="count" dataDxfId="280" totalsRowDxfId="279"/>
    <tableColumn id="6" xr3:uid="{00000000-0010-0000-0800-000006000000}" name="5" totalsRowFunction="count" dataDxfId="278" totalsRowDxfId="277"/>
    <tableColumn id="7" xr3:uid="{00000000-0010-0000-0800-000007000000}" name="6" totalsRowFunction="count" dataDxfId="276" totalsRowDxfId="275"/>
    <tableColumn id="8" xr3:uid="{00000000-0010-0000-0800-000008000000}" name="7" totalsRowFunction="count" dataDxfId="274" totalsRowDxfId="273"/>
    <tableColumn id="9" xr3:uid="{00000000-0010-0000-0800-000009000000}" name="8" totalsRowFunction="count" dataDxfId="272" totalsRowDxfId="271"/>
    <tableColumn id="10" xr3:uid="{00000000-0010-0000-0800-00000A000000}" name="9" totalsRowFunction="count" dataDxfId="270" totalsRowDxfId="269"/>
    <tableColumn id="11" xr3:uid="{00000000-0010-0000-0800-00000B000000}" name="10" totalsRowFunction="count" dataDxfId="268" totalsRowDxfId="267"/>
    <tableColumn id="12" xr3:uid="{00000000-0010-0000-0800-00000C000000}" name="11" totalsRowFunction="count" dataDxfId="266" totalsRowDxfId="265"/>
    <tableColumn id="13" xr3:uid="{00000000-0010-0000-0800-00000D000000}" name="12" totalsRowFunction="count" dataDxfId="264" totalsRowDxfId="263"/>
    <tableColumn id="14" xr3:uid="{00000000-0010-0000-0800-00000E000000}" name="13" totalsRowFunction="count" dataDxfId="262" totalsRowDxfId="261"/>
    <tableColumn id="15" xr3:uid="{00000000-0010-0000-0800-00000F000000}" name="14" totalsRowFunction="count" dataDxfId="260" totalsRowDxfId="259"/>
    <tableColumn id="16" xr3:uid="{00000000-0010-0000-0800-000010000000}" name="15" totalsRowFunction="count" dataDxfId="258" totalsRowDxfId="257"/>
    <tableColumn id="17" xr3:uid="{00000000-0010-0000-0800-000011000000}" name="16" totalsRowFunction="count" dataDxfId="256" totalsRowDxfId="255"/>
    <tableColumn id="18" xr3:uid="{00000000-0010-0000-0800-000012000000}" name="17" totalsRowFunction="count" dataDxfId="254" totalsRowDxfId="253"/>
    <tableColumn id="19" xr3:uid="{00000000-0010-0000-0800-000013000000}" name="18" totalsRowFunction="count" dataDxfId="252" totalsRowDxfId="251"/>
    <tableColumn id="20" xr3:uid="{00000000-0010-0000-0800-000014000000}" name="19" totalsRowFunction="count" dataDxfId="250" totalsRowDxfId="249"/>
    <tableColumn id="21" xr3:uid="{00000000-0010-0000-0800-000015000000}" name="20" totalsRowFunction="count" dataDxfId="248" totalsRowDxfId="247"/>
    <tableColumn id="22" xr3:uid="{00000000-0010-0000-0800-000016000000}" name="21" totalsRowFunction="count" dataDxfId="246" totalsRowDxfId="245"/>
    <tableColumn id="23" xr3:uid="{00000000-0010-0000-0800-000017000000}" name="22" totalsRowFunction="count" dataDxfId="244" totalsRowDxfId="243"/>
    <tableColumn id="24" xr3:uid="{00000000-0010-0000-0800-000018000000}" name="23" totalsRowFunction="count" dataDxfId="242" totalsRowDxfId="241"/>
    <tableColumn id="25" xr3:uid="{00000000-0010-0000-0800-000019000000}" name="24" totalsRowFunction="count" dataDxfId="240" totalsRowDxfId="239"/>
    <tableColumn id="26" xr3:uid="{00000000-0010-0000-0800-00001A000000}" name="25" totalsRowFunction="count" dataDxfId="238" totalsRowDxfId="237"/>
    <tableColumn id="27" xr3:uid="{00000000-0010-0000-0800-00001B000000}" name="26" totalsRowFunction="count" dataDxfId="236" totalsRowDxfId="235"/>
    <tableColumn id="28" xr3:uid="{00000000-0010-0000-0800-00001C000000}" name="27" totalsRowFunction="count" dataDxfId="234" totalsRowDxfId="233"/>
    <tableColumn id="29" xr3:uid="{00000000-0010-0000-0800-00001D000000}" name="28" totalsRowFunction="count" dataDxfId="232" totalsRowDxfId="231"/>
    <tableColumn id="30" xr3:uid="{00000000-0010-0000-0800-00001E000000}" name="29" totalsRowFunction="count" dataDxfId="230" totalsRowDxfId="229"/>
    <tableColumn id="31" xr3:uid="{00000000-0010-0000-0800-00001F000000}" name="30" totalsRowFunction="count" dataDxfId="228" totalsRowDxfId="227"/>
    <tableColumn id="32" xr3:uid="{00000000-0010-0000-0800-000020000000}" name=" " totalsRowFunction="count" dataDxfId="226" totalsRowDxfId="225"/>
    <tableColumn id="33" xr3:uid="{00000000-0010-0000-0800-000021000000}" name="总天数" totalsRowFunction="sum" dataDxfId="224" totalsRowDxfId="223">
      <calculatedColumnFormula>COUNTA(九月[[#This Row],[1]:[30]])</calculatedColumnFormula>
    </tableColumn>
  </tableColumns>
  <tableStyleInfo name="员工考勤表" showFirstColumn="1" showLastColumn="1" showRowStripes="1" showColumnStripes="0"/>
  <extLst>
    <ext xmlns:x14="http://schemas.microsoft.com/office/spreadsheetml/2009/9/main" uri="{504A1905-F514-4f6f-8877-14C23A59335A}">
      <x14:table altTextSummary="提供缺勤员工的姓名和缺勤日期。在行 12 中根据键记录缺勤类型：V = 休假，S = 病假，P = 个人，以及用于自定义项的两个占位符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1:34" ht="50.1" customHeight="1" x14ac:dyDescent="0.3">
      <c r="A1" s="15"/>
      <c r="B1" s="11" t="s">
        <v>0</v>
      </c>
    </row>
    <row r="2" spans="1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1:34" ht="15" customHeight="1" x14ac:dyDescent="0.3">
      <c r="AH3" s="17" t="s">
        <v>49</v>
      </c>
    </row>
    <row r="4" spans="1:34" ht="30" customHeight="1" x14ac:dyDescent="0.3">
      <c r="B4" s="9" t="s">
        <v>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v>2019</v>
      </c>
    </row>
    <row r="5" spans="1:34" ht="15" customHeight="1" x14ac:dyDescent="0.3">
      <c r="B5" s="9"/>
      <c r="C5" s="2" t="str">
        <f>TEXT(WEEKDAY(DATE(CalendarYear,1,1),1),"aaa")</f>
        <v>二</v>
      </c>
      <c r="D5" s="2" t="str">
        <f>TEXT(WEEKDAY(DATE(CalendarYear,1,2),1),"aaa")</f>
        <v>三</v>
      </c>
      <c r="E5" s="2" t="str">
        <f>TEXT(WEEKDAY(DATE(CalendarYear,1,3),1),"aaa")</f>
        <v>四</v>
      </c>
      <c r="F5" s="2" t="str">
        <f>TEXT(WEEKDAY(DATE(CalendarYear,1,4),1),"aaa")</f>
        <v>五</v>
      </c>
      <c r="G5" s="2" t="str">
        <f>TEXT(WEEKDAY(DATE(CalendarYear,1,5),1),"aaa")</f>
        <v>六</v>
      </c>
      <c r="H5" s="2" t="str">
        <f>TEXT(WEEKDAY(DATE(CalendarYear,1,6),1),"aaa")</f>
        <v>日</v>
      </c>
      <c r="I5" s="2" t="str">
        <f>TEXT(WEEKDAY(DATE(CalendarYear,1,7),1),"aaa")</f>
        <v>一</v>
      </c>
      <c r="J5" s="2" t="str">
        <f>TEXT(WEEKDAY(DATE(CalendarYear,1,8),1),"aaa")</f>
        <v>二</v>
      </c>
      <c r="K5" s="2" t="str">
        <f>TEXT(WEEKDAY(DATE(CalendarYear,1,9),1),"aaa")</f>
        <v>三</v>
      </c>
      <c r="L5" s="2" t="str">
        <f>TEXT(WEEKDAY(DATE(CalendarYear,1,10),1),"aaa")</f>
        <v>四</v>
      </c>
      <c r="M5" s="2" t="str">
        <f>TEXT(WEEKDAY(DATE(CalendarYear,1,11),1),"aaa")</f>
        <v>五</v>
      </c>
      <c r="N5" s="2" t="str">
        <f>TEXT(WEEKDAY(DATE(CalendarYear,1,12),1),"aaa")</f>
        <v>六</v>
      </c>
      <c r="O5" s="2" t="str">
        <f>TEXT(WEEKDAY(DATE(CalendarYear,1,13),1),"aaa")</f>
        <v>日</v>
      </c>
      <c r="P5" s="2" t="str">
        <f>TEXT(WEEKDAY(DATE(CalendarYear,1,14),1),"aaa")</f>
        <v>一</v>
      </c>
      <c r="Q5" s="2" t="str">
        <f>TEXT(WEEKDAY(DATE(CalendarYear,1,15),1),"aaa")</f>
        <v>二</v>
      </c>
      <c r="R5" s="2" t="str">
        <f>TEXT(WEEKDAY(DATE(CalendarYear,1,16),1),"aaa")</f>
        <v>三</v>
      </c>
      <c r="S5" s="2" t="str">
        <f>TEXT(WEEKDAY(DATE(CalendarYear,1,17),1),"aaa")</f>
        <v>四</v>
      </c>
      <c r="T5" s="2" t="str">
        <f>TEXT(WEEKDAY(DATE(CalendarYear,1,18),1),"aaa")</f>
        <v>五</v>
      </c>
      <c r="U5" s="2" t="str">
        <f>TEXT(WEEKDAY(DATE(CalendarYear,1,19),1),"aaa")</f>
        <v>六</v>
      </c>
      <c r="V5" s="2" t="str">
        <f>TEXT(WEEKDAY(DATE(CalendarYear,1,20),1),"aaa")</f>
        <v>日</v>
      </c>
      <c r="W5" s="2" t="str">
        <f>TEXT(WEEKDAY(DATE(CalendarYear,1,21),1),"aaa")</f>
        <v>一</v>
      </c>
      <c r="X5" s="2" t="str">
        <f>TEXT(WEEKDAY(DATE(CalendarYear,1,22),1),"aaa")</f>
        <v>二</v>
      </c>
      <c r="Y5" s="2" t="str">
        <f>TEXT(WEEKDAY(DATE(CalendarYear,1,23),1),"aaa")</f>
        <v>三</v>
      </c>
      <c r="Z5" s="2" t="str">
        <f>TEXT(WEEKDAY(DATE(CalendarYear,1,24),1),"aaa")</f>
        <v>四</v>
      </c>
      <c r="AA5" s="2" t="str">
        <f>TEXT(WEEKDAY(DATE(CalendarYear,1,25),1),"aaa")</f>
        <v>五</v>
      </c>
      <c r="AB5" s="2" t="str">
        <f>TEXT(WEEKDAY(DATE(CalendarYear,1,26),1),"aaa")</f>
        <v>六</v>
      </c>
      <c r="AC5" s="2" t="str">
        <f>TEXT(WEEKDAY(DATE(CalendarYear,1,27),1),"aaa")</f>
        <v>日</v>
      </c>
      <c r="AD5" s="2" t="str">
        <f>TEXT(WEEKDAY(DATE(CalendarYear,1,28),1),"aaa")</f>
        <v>一</v>
      </c>
      <c r="AE5" s="2" t="str">
        <f>TEXT(WEEKDAY(DATE(CalendarYear,1,29),1),"aaa")</f>
        <v>二</v>
      </c>
      <c r="AF5" s="2" t="str">
        <f>TEXT(WEEKDAY(DATE(CalendarYear,1,30),1),"aaa")</f>
        <v>三</v>
      </c>
      <c r="AG5" s="2" t="str">
        <f>TEXT(WEEKDAY(DATE(CalendarYear,1,31),1),"aaa")</f>
        <v>四</v>
      </c>
      <c r="AH5" s="9"/>
    </row>
    <row r="6" spans="1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1:34" ht="30" customHeight="1" x14ac:dyDescent="0.3">
      <c r="B7" s="6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COUNTA('1 月'!$C7:$AG7)</f>
        <v>5</v>
      </c>
    </row>
    <row r="8" spans="1:34" ht="30" customHeight="1" x14ac:dyDescent="0.3">
      <c r="B8" s="6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7">
        <f>COUNTA('1 月'!$C8:$AG8)</f>
        <v>7</v>
      </c>
    </row>
    <row r="9" spans="1:34" ht="30" customHeight="1" x14ac:dyDescent="0.3">
      <c r="B9" s="6" t="s">
        <v>6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</v>
      </c>
      <c r="AF9" s="3"/>
      <c r="AG9" s="3"/>
      <c r="AH9" s="7">
        <f>COUNTA('1 月'!$C9:$AG9)</f>
        <v>3</v>
      </c>
    </row>
    <row r="10" spans="1:34" ht="30" customHeight="1" x14ac:dyDescent="0.3">
      <c r="B10" s="6" t="s">
        <v>7</v>
      </c>
      <c r="C10" s="3"/>
      <c r="D10" s="3"/>
      <c r="E10" s="3"/>
      <c r="F10" s="3"/>
      <c r="G10" s="3"/>
      <c r="H10" s="3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COUNTA('1 月'!$C10:$AG10)</f>
        <v>4</v>
      </c>
    </row>
    <row r="11" spans="1:34" ht="30" customHeight="1" x14ac:dyDescent="0.3">
      <c r="B11" s="6" t="s">
        <v>8</v>
      </c>
      <c r="C11" s="3"/>
      <c r="D11" s="3"/>
      <c r="E11" s="3"/>
      <c r="F11" s="3" t="s">
        <v>17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17</v>
      </c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 t="s">
        <v>9</v>
      </c>
      <c r="AH11" s="7">
        <f>COUNTA('1 月'!$C11:$AG11)</f>
        <v>6</v>
      </c>
    </row>
    <row r="12" spans="1:34" ht="30" customHeight="1" x14ac:dyDescent="0.3">
      <c r="B12" s="18" t="str">
        <f>MonthName&amp;"汇总"</f>
        <v>1 月汇总</v>
      </c>
      <c r="C12" s="10">
        <f>SUBTOTAL(103,'1 月'!$C$7:$C$11)</f>
        <v>0</v>
      </c>
      <c r="D12" s="10">
        <f>SUBTOTAL(103,'1 月'!$D$7:$D$11)</f>
        <v>0</v>
      </c>
      <c r="E12" s="10">
        <f>SUBTOTAL(103,'1 月'!$E$7:$E$11)</f>
        <v>2</v>
      </c>
      <c r="F12" s="10">
        <f>SUBTOTAL(103,'1 月'!$F$7:$F$11)</f>
        <v>2</v>
      </c>
      <c r="G12" s="10">
        <f>SUBTOTAL(103,'1 月'!$G$7:$G$11)</f>
        <v>3</v>
      </c>
      <c r="H12" s="10">
        <f>SUBTOTAL(103,'1 月'!$H$7:$H$11)</f>
        <v>3</v>
      </c>
      <c r="I12" s="10">
        <f>SUBTOTAL(103,'1 月'!$I$7:$I$11)</f>
        <v>1</v>
      </c>
      <c r="J12" s="10">
        <f>SUBTOTAL(103,'1 月'!$J$7:$J$11)</f>
        <v>0</v>
      </c>
      <c r="K12" s="10">
        <f>SUBTOTAL(103,'1 月'!$K$7:$K$11)</f>
        <v>0</v>
      </c>
      <c r="L12" s="10">
        <f>SUBTOTAL(103,'1 月'!$L$7:$L$11)</f>
        <v>0</v>
      </c>
      <c r="M12" s="10">
        <f>SUBTOTAL(103,'1 月'!$M$7:$M$11)</f>
        <v>1</v>
      </c>
      <c r="N12" s="10">
        <f>SUBTOTAL(103,'1 月'!$N$7:$N$11)</f>
        <v>0</v>
      </c>
      <c r="O12" s="10">
        <f>SUBTOTAL(103,'1 月'!$O$7:$O$11)</f>
        <v>1</v>
      </c>
      <c r="P12" s="10">
        <f>SUBTOTAL(103,'1 月'!$P$7:$P$11)</f>
        <v>1</v>
      </c>
      <c r="Q12" s="10">
        <f>SUBTOTAL(103,'1 月'!$Q$7:$Q$11)</f>
        <v>0</v>
      </c>
      <c r="R12" s="10">
        <f>SUBTOTAL(103,'1 月'!$R$7:$R$11)</f>
        <v>0</v>
      </c>
      <c r="S12" s="10">
        <f>SUBTOTAL(103,'1 月'!$S$7:$S$11)</f>
        <v>1</v>
      </c>
      <c r="T12" s="10">
        <f>SUBTOTAL(103,'1 月'!$T$7:$T$11)</f>
        <v>0</v>
      </c>
      <c r="U12" s="10">
        <f>SUBTOTAL(103,'1 月'!$U$7:$U$11)</f>
        <v>1</v>
      </c>
      <c r="V12" s="10">
        <f>SUBTOTAL(103,'1 月'!$V$7:$V$11)</f>
        <v>2</v>
      </c>
      <c r="W12" s="10">
        <f>SUBTOTAL(103,'1 月'!$W$7:$W$11)</f>
        <v>1</v>
      </c>
      <c r="X12" s="10">
        <f>SUBTOTAL(103,'1 月'!$X$7:$X$11)</f>
        <v>0</v>
      </c>
      <c r="Y12" s="10">
        <f>SUBTOTAL(103,'1 月'!$Y$7:$Y$11)</f>
        <v>0</v>
      </c>
      <c r="Z12" s="10">
        <f>SUBTOTAL(103,'1 月'!$Z$7:$Z$11)</f>
        <v>1</v>
      </c>
      <c r="AA12" s="10">
        <f>SUBTOTAL(103,'1 月'!$AA$7:$AA$11)</f>
        <v>1</v>
      </c>
      <c r="AB12" s="10">
        <f>SUBTOTAL(103,'1 月'!$AB$7:$AB$11)</f>
        <v>1</v>
      </c>
      <c r="AC12" s="10">
        <f>SUBTOTAL(103,'1 月'!$AC$7:$AC$11)</f>
        <v>1</v>
      </c>
      <c r="AD12" s="10">
        <f>SUBTOTAL(103,'1 月'!$AD$7:$AD$11)</f>
        <v>0</v>
      </c>
      <c r="AE12" s="10">
        <f>SUBTOTAL(103,'1 月'!$AE$7:$AE$11)</f>
        <v>1</v>
      </c>
      <c r="AF12" s="10">
        <f>SUBTOTAL(103,'1 月'!$AF$7:$AF$11)</f>
        <v>0</v>
      </c>
      <c r="AG12" s="10">
        <f>SUBTOTAL(103,'1 月'!$AG$7:$AG$11)</f>
        <v>1</v>
      </c>
      <c r="AH12" s="10">
        <f>SUBTOTAL(109,一月[总天数])</f>
        <v>25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  <cfRule type="expression" dxfId="889" priority="6" stopIfTrue="1">
      <formula>C7=KeyCustom2</formula>
    </cfRule>
    <cfRule type="expression" dxfId="888" priority="7" stopIfTrue="1">
      <formula>C7=KeyCustom1</formula>
    </cfRule>
    <cfRule type="expression" dxfId="887" priority="8" stopIfTrue="1">
      <formula>C7=KeySick</formula>
    </cfRule>
    <cfRule type="expression" dxfId="886" priority="9" stopIfTrue="1">
      <formula>C7=KeyPersonal</formula>
    </cfRule>
    <cfRule type="expression" dxfId="885" priority="10" stopIfTrue="1">
      <formula>C7=KeyVacation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在此单元格中输入年份" sqref="AH4" xr:uid="{00000000-0002-0000-0000-000000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000-000001000000}"/>
    <dataValidation allowBlank="1" showInputMessage="1" showErrorMessage="1" prompt="在此行中自动生成月份天数。在每列中输入员工在该月份每天的缺勤和缺勤类型。空白表示未缺勤" sqref="C6" xr:uid="{00000000-0002-0000-0000-000002000000}"/>
    <dataValidation allowBlank="1" showInputMessage="1" showErrorMessage="1" prompt="根据 AH4 中输入的年份，在此行中自动更新该月的工作日。该月份的每一天都有记录员工缺勤和缺勤类型的列" sqref="C5" xr:uid="{00000000-0002-0000-0000-000003000000}"/>
    <dataValidation allowBlank="1" showInputMessage="1" showErrorMessage="1" prompt="自动计算某位员工该月缺勤的总天数" sqref="AH6" xr:uid="{00000000-0002-0000-0000-000004000000}"/>
    <dataValidation allowBlank="1" showInputMessage="1" showErrorMessage="1" prompt="此工作表的标题位于此单元格中。更新标题，每个工作表都将自动继承更改" sqref="B1" xr:uid="{00000000-0002-0000-0000-000005000000}"/>
    <dataValidation allowBlank="1" showInputMessage="1" showErrorMessage="1" prompt="此考勤时间表的月份。在单元格 AH4 中更新年份。在表格的最后一个单元格中按月份跟踪总计。在表的列 B 中输入员工姓名" sqref="B4" xr:uid="{00000000-0002-0000-0000-000006000000}"/>
    <dataValidation allowBlank="1" showInputMessage="1" showErrorMessage="1" prompt="此行定义了表中使用的键：单元格 C2 是休假，F2 是个人，I2 是病假。单元格 L2 和 O2 均可自定义" sqref="B2" xr:uid="{00000000-0002-0000-0000-000007000000}"/>
    <dataValidation allowBlank="1" showInputMessage="1" showErrorMessage="1" prompt="字母“V”表示因休假缺勤" sqref="C2" xr:uid="{00000000-0002-0000-0000-000008000000}"/>
    <dataValidation allowBlank="1" showInputMessage="1" showErrorMessage="1" prompt="字母“P”表示因个人原因缺勤" sqref="F2" xr:uid="{00000000-0002-0000-0000-000009000000}"/>
    <dataValidation allowBlank="1" showInputMessage="1" showErrorMessage="1" prompt="字母“S”表示表示因病假缺勤" sqref="I2" xr:uid="{00000000-0002-0000-0000-00000A000000}"/>
    <dataValidation allowBlank="1" showInputMessage="1" showErrorMessage="1" prompt="在右侧输入字母并自定义标签以添加其他键项" sqref="L2 O2" xr:uid="{00000000-0002-0000-0000-00000B000000}"/>
    <dataValidation allowBlank="1" showInputMessage="1" showErrorMessage="1" prompt="在左侧输入标签以描述自定义键" sqref="M2 P2" xr:uid="{00000000-0002-0000-0000-00000C000000}"/>
    <dataValidation allowBlank="1" showInputMessage="1" showErrorMessage="1" prompt="员工考勤时间表跟踪员工每月的缺勤天数。共有 13 个工作表，其中 12 个为每月考勤，最后一个为员工姓名工作表。在此工作表中跟踪 1 月的缺勤情况" sqref="A1" xr:uid="{00000000-0002-0000-0000-00000D000000}"/>
    <dataValidation allowBlank="1" showInputMessage="1" showErrorMessage="1" prompt="在下面的单元格中输入年份" sqref="AH3" xr:uid="{00000000-0002-0000-0000-00000E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61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TEXT(WEEKDAY(DATE(CalendarYear,10,1),1),"aaa")</f>
        <v>二</v>
      </c>
      <c r="D5" s="2" t="str">
        <f>TEXT(WEEKDAY(DATE(CalendarYear,10,2),1),"aaa")</f>
        <v>三</v>
      </c>
      <c r="E5" s="2" t="str">
        <f>TEXT(WEEKDAY(DATE(CalendarYear,10,3),1),"aaa")</f>
        <v>四</v>
      </c>
      <c r="F5" s="2" t="str">
        <f>TEXT(WEEKDAY(DATE(CalendarYear,10,4),1),"aaa")</f>
        <v>五</v>
      </c>
      <c r="G5" s="2" t="str">
        <f>TEXT(WEEKDAY(DATE(CalendarYear,10,5),1),"aaa")</f>
        <v>六</v>
      </c>
      <c r="H5" s="2" t="str">
        <f>TEXT(WEEKDAY(DATE(CalendarYear,10,6),1),"aaa")</f>
        <v>日</v>
      </c>
      <c r="I5" s="2" t="str">
        <f>TEXT(WEEKDAY(DATE(CalendarYear,10,7),1),"aaa")</f>
        <v>一</v>
      </c>
      <c r="J5" s="2" t="str">
        <f>TEXT(WEEKDAY(DATE(CalendarYear,10,8),1),"aaa")</f>
        <v>二</v>
      </c>
      <c r="K5" s="2" t="str">
        <f>TEXT(WEEKDAY(DATE(CalendarYear,10,9),1),"aaa")</f>
        <v>三</v>
      </c>
      <c r="L5" s="2" t="str">
        <f>TEXT(WEEKDAY(DATE(CalendarYear,10,10),1),"aaa")</f>
        <v>四</v>
      </c>
      <c r="M5" s="2" t="str">
        <f>TEXT(WEEKDAY(DATE(CalendarYear,10,11),1),"aaa")</f>
        <v>五</v>
      </c>
      <c r="N5" s="2" t="str">
        <f>TEXT(WEEKDAY(DATE(CalendarYear,10,12),1),"aaa")</f>
        <v>六</v>
      </c>
      <c r="O5" s="2" t="str">
        <f>TEXT(WEEKDAY(DATE(CalendarYear,10,13),1),"aaa")</f>
        <v>日</v>
      </c>
      <c r="P5" s="2" t="str">
        <f>TEXT(WEEKDAY(DATE(CalendarYear,10,14),1),"aaa")</f>
        <v>一</v>
      </c>
      <c r="Q5" s="2" t="str">
        <f>TEXT(WEEKDAY(DATE(CalendarYear,10,15),1),"aaa")</f>
        <v>二</v>
      </c>
      <c r="R5" s="2" t="str">
        <f>TEXT(WEEKDAY(DATE(CalendarYear,10,16),1),"aaa")</f>
        <v>三</v>
      </c>
      <c r="S5" s="2" t="str">
        <f>TEXT(WEEKDAY(DATE(CalendarYear,10,17),1),"aaa")</f>
        <v>四</v>
      </c>
      <c r="T5" s="2" t="str">
        <f>TEXT(WEEKDAY(DATE(CalendarYear,10,18),1),"aaa")</f>
        <v>五</v>
      </c>
      <c r="U5" s="2" t="str">
        <f>TEXT(WEEKDAY(DATE(CalendarYear,10,19),1),"aaa")</f>
        <v>六</v>
      </c>
      <c r="V5" s="2" t="str">
        <f>TEXT(WEEKDAY(DATE(CalendarYear,10,20),1),"aaa")</f>
        <v>日</v>
      </c>
      <c r="W5" s="2" t="str">
        <f>TEXT(WEEKDAY(DATE(CalendarYear,10,21),1),"aaa")</f>
        <v>一</v>
      </c>
      <c r="X5" s="2" t="str">
        <f>TEXT(WEEKDAY(DATE(CalendarYear,10,22),1),"aaa")</f>
        <v>二</v>
      </c>
      <c r="Y5" s="2" t="str">
        <f>TEXT(WEEKDAY(DATE(CalendarYear,10,23),1),"aaa")</f>
        <v>三</v>
      </c>
      <c r="Z5" s="2" t="str">
        <f>TEXT(WEEKDAY(DATE(CalendarYear,10,24),1),"aaa")</f>
        <v>四</v>
      </c>
      <c r="AA5" s="2" t="str">
        <f>TEXT(WEEKDAY(DATE(CalendarYear,10,25),1),"aaa")</f>
        <v>五</v>
      </c>
      <c r="AB5" s="2" t="str">
        <f>TEXT(WEEKDAY(DATE(CalendarYear,10,26),1),"aaa")</f>
        <v>六</v>
      </c>
      <c r="AC5" s="2" t="str">
        <f>TEXT(WEEKDAY(DATE(CalendarYear,10,27),1),"aaa")</f>
        <v>日</v>
      </c>
      <c r="AD5" s="2" t="str">
        <f>TEXT(WEEKDAY(DATE(CalendarYear,10,28),1),"aaa")</f>
        <v>一</v>
      </c>
      <c r="AE5" s="2" t="str">
        <f>TEXT(WEEKDAY(DATE(CalendarYear,10,29),1),"aaa")</f>
        <v>二</v>
      </c>
      <c r="AF5" s="2" t="str">
        <f>TEXT(WEEKDAY(DATE(CalendarYear,10,30),1),"aaa")</f>
        <v>三</v>
      </c>
      <c r="AG5" s="2" t="str">
        <f>TEXT(WEEKDAY(DATE(CalendarYear,10,31),1),"aaa")</f>
        <v>四</v>
      </c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COUNTA(十月[[#This Row],[1]:[31]])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COUNTA(十月[[#This Row],[1]:[31]])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COUNTA(十月[[#This Row],[1]:[31]])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COUNTA(十月[[#This Row],[1]:[31]])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COUNTA(十月[[#This Row],[1]:[31]])</f>
        <v>0</v>
      </c>
    </row>
    <row r="12" spans="2:34" ht="30" customHeight="1" x14ac:dyDescent="0.3">
      <c r="B12" s="18" t="str">
        <f>MonthName&amp;"汇总"</f>
        <v>10 月汇总</v>
      </c>
      <c r="C12" s="10">
        <f>SUBTOTAL(103,十月[1])</f>
        <v>0</v>
      </c>
      <c r="D12" s="10">
        <f>SUBTOTAL(103,十月[2])</f>
        <v>0</v>
      </c>
      <c r="E12" s="10">
        <f>SUBTOTAL(103,十月[3])</f>
        <v>0</v>
      </c>
      <c r="F12" s="10">
        <f>SUBTOTAL(103,十月[4])</f>
        <v>0</v>
      </c>
      <c r="G12" s="10">
        <f>SUBTOTAL(103,十月[5])</f>
        <v>0</v>
      </c>
      <c r="H12" s="10">
        <f>SUBTOTAL(103,十月[6])</f>
        <v>0</v>
      </c>
      <c r="I12" s="10">
        <f>SUBTOTAL(103,十月[7])</f>
        <v>0</v>
      </c>
      <c r="J12" s="10">
        <f>SUBTOTAL(103,十月[8])</f>
        <v>0</v>
      </c>
      <c r="K12" s="10">
        <f>SUBTOTAL(103,十月[9])</f>
        <v>0</v>
      </c>
      <c r="L12" s="10">
        <f>SUBTOTAL(103,十月[10])</f>
        <v>0</v>
      </c>
      <c r="M12" s="10">
        <f>SUBTOTAL(103,十月[11])</f>
        <v>0</v>
      </c>
      <c r="N12" s="10">
        <f>SUBTOTAL(103,十月[12])</f>
        <v>0</v>
      </c>
      <c r="O12" s="10">
        <f>SUBTOTAL(103,十月[13])</f>
        <v>0</v>
      </c>
      <c r="P12" s="10">
        <f>SUBTOTAL(103,十月[14])</f>
        <v>0</v>
      </c>
      <c r="Q12" s="10">
        <f>SUBTOTAL(103,十月[15])</f>
        <v>0</v>
      </c>
      <c r="R12" s="10">
        <f>SUBTOTAL(103,十月[16])</f>
        <v>0</v>
      </c>
      <c r="S12" s="10">
        <f>SUBTOTAL(103,十月[17])</f>
        <v>0</v>
      </c>
      <c r="T12" s="10">
        <f>SUBTOTAL(103,十月[18])</f>
        <v>0</v>
      </c>
      <c r="U12" s="10">
        <f>SUBTOTAL(103,十月[19])</f>
        <v>0</v>
      </c>
      <c r="V12" s="10">
        <f>SUBTOTAL(103,十月[20])</f>
        <v>0</v>
      </c>
      <c r="W12" s="10">
        <f>SUBTOTAL(103,十月[21])</f>
        <v>0</v>
      </c>
      <c r="X12" s="10">
        <f>SUBTOTAL(103,十月[22])</f>
        <v>0</v>
      </c>
      <c r="Y12" s="10">
        <f>SUBTOTAL(103,十月[23])</f>
        <v>0</v>
      </c>
      <c r="Z12" s="10">
        <f>SUBTOTAL(103,十月[24])</f>
        <v>0</v>
      </c>
      <c r="AA12" s="10">
        <f>SUBTOTAL(103,十月[25])</f>
        <v>0</v>
      </c>
      <c r="AB12" s="10">
        <f>SUBTOTAL(103,十月[26])</f>
        <v>0</v>
      </c>
      <c r="AC12" s="10">
        <f>SUBTOTAL(103,十月[27])</f>
        <v>0</v>
      </c>
      <c r="AD12" s="10">
        <f>SUBTOTAL(103,十月[28])</f>
        <v>0</v>
      </c>
      <c r="AE12" s="10">
        <f>SUBTOTAL(103,十月[29])</f>
        <v>0</v>
      </c>
      <c r="AF12" s="10">
        <f>SUBTOTAL(103,十月[30])</f>
        <v>0</v>
      </c>
      <c r="AG12" s="10">
        <f>SUBTOTAL(103,十月[31])</f>
        <v>0</v>
      </c>
      <c r="AH12" s="10">
        <f>SUBTOTAL(109,十月[总天数])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222" priority="2" stopIfTrue="1">
      <formula>C7=KeyCustom2</formula>
    </cfRule>
    <cfRule type="expression" dxfId="221" priority="3" stopIfTrue="1">
      <formula>C7=KeyCustom1</formula>
    </cfRule>
    <cfRule type="expression" dxfId="220" priority="4" stopIfTrue="1">
      <formula>C7=KeySick</formula>
    </cfRule>
    <cfRule type="expression" dxfId="219" priority="5" stopIfTrue="1">
      <formula>C7=KeyPersonal</formula>
    </cfRule>
    <cfRule type="expression" dxfId="21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根据 AH4 中的年份，在此行中自动更新该月的工作日。在该月份的每一天都有记录员工缺勤和缺勤类型的列" sqref="C5" xr:uid="{00000000-0002-0000-0900-000000000000}"/>
    <dataValidation allowBlank="1" showInputMessage="1" showErrorMessage="1" prompt="根据“一月”工作表中输入的年份自动更新年份" sqref="AH4" xr:uid="{00000000-0002-0000-0900-000001000000}"/>
    <dataValidation allowBlank="1" showInputMessage="1" showErrorMessage="1" prompt="在此列中自动计算某位员工该月缺勤的总天数" sqref="AH6" xr:uid="{00000000-0002-0000-0900-000002000000}"/>
    <dataValidation allowBlank="1" showInputMessage="1" showErrorMessage="1" prompt="在此工作表中跟踪 10 月的缺勤情况" sqref="A1" xr:uid="{00000000-0002-0000-0900-000003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900-000004000000}"/>
    <dataValidation allowBlank="1" showInputMessage="1" showErrorMessage="1" prompt="自动更新的标题位于此单元格中。若要修改标题，请更新“一月”工作表上的 B1" sqref="B1" xr:uid="{00000000-0002-0000-0900-000005000000}"/>
    <dataValidation allowBlank="1" showInputMessage="1" showErrorMessage="1" prompt="字母“V”表示因休假缺勤" sqref="C2" xr:uid="{00000000-0002-0000-0900-000006000000}"/>
    <dataValidation allowBlank="1" showInputMessage="1" showErrorMessage="1" prompt="字母“P”表示因个人原因缺勤" sqref="F2" xr:uid="{00000000-0002-0000-0900-000007000000}"/>
    <dataValidation allowBlank="1" showInputMessage="1" showErrorMessage="1" prompt="字母“S”表示表示因病假缺勤" sqref="I2" xr:uid="{00000000-0002-0000-0900-000008000000}"/>
    <dataValidation allowBlank="1" showInputMessage="1" showErrorMessage="1" prompt="在右侧输入字母并自定义标签以添加其他键项" sqref="L2 O2" xr:uid="{00000000-0002-0000-0900-000009000000}"/>
    <dataValidation allowBlank="1" showInputMessage="1" showErrorMessage="1" prompt="在左侧输入标签以描述自定义键" sqref="M2 P2" xr:uid="{00000000-0002-0000-0900-00000A000000}"/>
    <dataValidation allowBlank="1" showInputMessage="1" showErrorMessage="1" prompt="此行定义了表中使用的键：单元格 C2 是休假，F2 是个人，I2 是病假。单元格 L2 和 O2 均可自定义" sqref="B2" xr:uid="{00000000-0002-0000-0900-00000B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900-00000C000000}"/>
    <dataValidation allowBlank="1" showInputMessage="1" showErrorMessage="1" prompt="在此行中自动生成月份天数。在每列中输入员工在该月份每天的缺勤和缺勤类型。空白表示未缺勤" sqref="C6" xr:uid="{00000000-0002-0000-09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62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TEXT(WEEKDAY(DATE(CalendarYear,11,1),1),"aaa")</f>
        <v>五</v>
      </c>
      <c r="D5" s="2" t="str">
        <f>TEXT(WEEKDAY(DATE(CalendarYear,11,2),1),"aaa")</f>
        <v>六</v>
      </c>
      <c r="E5" s="2" t="str">
        <f>TEXT(WEEKDAY(DATE(CalendarYear,11,3),1),"aaa")</f>
        <v>日</v>
      </c>
      <c r="F5" s="2" t="str">
        <f>TEXT(WEEKDAY(DATE(CalendarYear,11,4),1),"aaa")</f>
        <v>一</v>
      </c>
      <c r="G5" s="2" t="str">
        <f>TEXT(WEEKDAY(DATE(CalendarYear,11,5),1),"aaa")</f>
        <v>二</v>
      </c>
      <c r="H5" s="2" t="str">
        <f>TEXT(WEEKDAY(DATE(CalendarYear,11,6),1),"aaa")</f>
        <v>三</v>
      </c>
      <c r="I5" s="2" t="str">
        <f>TEXT(WEEKDAY(DATE(CalendarYear,11,7),1),"aaa")</f>
        <v>四</v>
      </c>
      <c r="J5" s="2" t="str">
        <f>TEXT(WEEKDAY(DATE(CalendarYear,11,8),1),"aaa")</f>
        <v>五</v>
      </c>
      <c r="K5" s="2" t="str">
        <f>TEXT(WEEKDAY(DATE(CalendarYear,11,9),1),"aaa")</f>
        <v>六</v>
      </c>
      <c r="L5" s="2" t="str">
        <f>TEXT(WEEKDAY(DATE(CalendarYear,11,10),1),"aaa")</f>
        <v>日</v>
      </c>
      <c r="M5" s="2" t="str">
        <f>TEXT(WEEKDAY(DATE(CalendarYear,11,11),1),"aaa")</f>
        <v>一</v>
      </c>
      <c r="N5" s="2" t="str">
        <f>TEXT(WEEKDAY(DATE(CalendarYear,11,12),1),"aaa")</f>
        <v>二</v>
      </c>
      <c r="O5" s="2" t="str">
        <f>TEXT(WEEKDAY(DATE(CalendarYear,11,13),1),"aaa")</f>
        <v>三</v>
      </c>
      <c r="P5" s="2" t="str">
        <f>TEXT(WEEKDAY(DATE(CalendarYear,11,14),1),"aaa")</f>
        <v>四</v>
      </c>
      <c r="Q5" s="2" t="str">
        <f>TEXT(WEEKDAY(DATE(CalendarYear,11,15),1),"aaa")</f>
        <v>五</v>
      </c>
      <c r="R5" s="2" t="str">
        <f>TEXT(WEEKDAY(DATE(CalendarYear,11,16),1),"aaa")</f>
        <v>六</v>
      </c>
      <c r="S5" s="2" t="str">
        <f>TEXT(WEEKDAY(DATE(CalendarYear,11,17),1),"aaa")</f>
        <v>日</v>
      </c>
      <c r="T5" s="2" t="str">
        <f>TEXT(WEEKDAY(DATE(CalendarYear,11,18),1),"aaa")</f>
        <v>一</v>
      </c>
      <c r="U5" s="2" t="str">
        <f>TEXT(WEEKDAY(DATE(CalendarYear,11,19),1),"aaa")</f>
        <v>二</v>
      </c>
      <c r="V5" s="2" t="str">
        <f>TEXT(WEEKDAY(DATE(CalendarYear,11,20),1),"aaa")</f>
        <v>三</v>
      </c>
      <c r="W5" s="2" t="str">
        <f>TEXT(WEEKDAY(DATE(CalendarYear,11,21),1),"aaa")</f>
        <v>四</v>
      </c>
      <c r="X5" s="2" t="str">
        <f>TEXT(WEEKDAY(DATE(CalendarYear,11,22),1),"aaa")</f>
        <v>五</v>
      </c>
      <c r="Y5" s="2" t="str">
        <f>TEXT(WEEKDAY(DATE(CalendarYear,11,23),1),"aaa")</f>
        <v>六</v>
      </c>
      <c r="Z5" s="2" t="str">
        <f>TEXT(WEEKDAY(DATE(CalendarYear,11,24),1),"aaa")</f>
        <v>日</v>
      </c>
      <c r="AA5" s="2" t="str">
        <f>TEXT(WEEKDAY(DATE(CalendarYear,11,25),1),"aaa")</f>
        <v>一</v>
      </c>
      <c r="AB5" s="2" t="str">
        <f>TEXT(WEEKDAY(DATE(CalendarYear,11,26),1),"aaa")</f>
        <v>二</v>
      </c>
      <c r="AC5" s="2" t="str">
        <f>TEXT(WEEKDAY(DATE(CalendarYear,11,27),1),"aaa")</f>
        <v>三</v>
      </c>
      <c r="AD5" s="2" t="str">
        <f>TEXT(WEEKDAY(DATE(CalendarYear,11,28),1),"aaa")</f>
        <v>四</v>
      </c>
      <c r="AE5" s="2" t="str">
        <f>TEXT(WEEKDAY(DATE(CalendarYear,11,29),1),"aaa")</f>
        <v>五</v>
      </c>
      <c r="AF5" s="2" t="str">
        <f>TEXT(WEEKDAY(DATE(CalendarYear,11,30),1),"aaa")</f>
        <v>六</v>
      </c>
      <c r="AG5" s="2"/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COUNTA(十一月[[#This Row],[1]:[30]])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COUNTA(十一月[[#This Row],[1]:[30]])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COUNTA(十一月[[#This Row],[1]:[30]])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COUNTA(十一月[[#This Row],[1]:[30]])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COUNTA(十一月[[#This Row],[1]:[30]])</f>
        <v>0</v>
      </c>
    </row>
    <row r="12" spans="2:34" ht="30" customHeight="1" x14ac:dyDescent="0.3">
      <c r="B12" s="18" t="str">
        <f>MonthName&amp;"汇总"</f>
        <v>11 月汇总</v>
      </c>
      <c r="C12" s="10">
        <f>SUBTOTAL(103,十一月[1])</f>
        <v>0</v>
      </c>
      <c r="D12" s="10">
        <f>SUBTOTAL(103,十一月[2])</f>
        <v>0</v>
      </c>
      <c r="E12" s="10">
        <f>SUBTOTAL(103,十一月[3])</f>
        <v>0</v>
      </c>
      <c r="F12" s="10">
        <f>SUBTOTAL(103,十一月[4])</f>
        <v>0</v>
      </c>
      <c r="G12" s="10">
        <f>SUBTOTAL(103,十一月[5])</f>
        <v>0</v>
      </c>
      <c r="H12" s="10">
        <f>SUBTOTAL(103,十一月[6])</f>
        <v>0</v>
      </c>
      <c r="I12" s="10">
        <f>SUBTOTAL(103,十一月[7])</f>
        <v>0</v>
      </c>
      <c r="J12" s="10">
        <f>SUBTOTAL(103,十一月[8])</f>
        <v>0</v>
      </c>
      <c r="K12" s="10">
        <f>SUBTOTAL(103,十一月[9])</f>
        <v>0</v>
      </c>
      <c r="L12" s="10">
        <f>SUBTOTAL(103,十一月[10])</f>
        <v>0</v>
      </c>
      <c r="M12" s="10">
        <f>SUBTOTAL(103,十一月[11])</f>
        <v>0</v>
      </c>
      <c r="N12" s="10">
        <f>SUBTOTAL(103,十一月[12])</f>
        <v>0</v>
      </c>
      <c r="O12" s="10">
        <f>SUBTOTAL(103,十一月[13])</f>
        <v>0</v>
      </c>
      <c r="P12" s="10">
        <f>SUBTOTAL(103,十一月[14])</f>
        <v>0</v>
      </c>
      <c r="Q12" s="10">
        <f>SUBTOTAL(103,十一月[15])</f>
        <v>0</v>
      </c>
      <c r="R12" s="10">
        <f>SUBTOTAL(103,十一月[16])</f>
        <v>0</v>
      </c>
      <c r="S12" s="10">
        <f>SUBTOTAL(103,十一月[17])</f>
        <v>0</v>
      </c>
      <c r="T12" s="10">
        <f>SUBTOTAL(103,十一月[18])</f>
        <v>0</v>
      </c>
      <c r="U12" s="10">
        <f>SUBTOTAL(103,十一月[19])</f>
        <v>0</v>
      </c>
      <c r="V12" s="10">
        <f>SUBTOTAL(103,十一月[20])</f>
        <v>0</v>
      </c>
      <c r="W12" s="10">
        <f>SUBTOTAL(103,十一月[21])</f>
        <v>0</v>
      </c>
      <c r="X12" s="10">
        <f>SUBTOTAL(103,十一月[22])</f>
        <v>0</v>
      </c>
      <c r="Y12" s="10">
        <f>SUBTOTAL(103,十一月[23])</f>
        <v>0</v>
      </c>
      <c r="Z12" s="10">
        <f>SUBTOTAL(103,十一月[24])</f>
        <v>0</v>
      </c>
      <c r="AA12" s="10">
        <f>SUBTOTAL(103,十一月[25])</f>
        <v>0</v>
      </c>
      <c r="AB12" s="10">
        <f>SUBTOTAL(103,十一月[26])</f>
        <v>0</v>
      </c>
      <c r="AC12" s="10">
        <f>SUBTOTAL(103,十一月[27])</f>
        <v>0</v>
      </c>
      <c r="AD12" s="10">
        <f>SUBTOTAL(103,十一月[28])</f>
        <v>0</v>
      </c>
      <c r="AE12" s="10">
        <f>SUBTOTAL(103,十一月[29])</f>
        <v>0</v>
      </c>
      <c r="AF12" s="10">
        <f>SUBTOTAL(103,十一月[30])</f>
        <v>0</v>
      </c>
      <c r="AG12" s="10">
        <f>SUBTOTAL(103,十一月[[ ]])</f>
        <v>0</v>
      </c>
      <c r="AH12" s="10">
        <f>SUBTOTAL(109,十一月[总天数])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148" priority="2" stopIfTrue="1">
      <formula>C7=KeyCustom2</formula>
    </cfRule>
    <cfRule type="expression" dxfId="147" priority="3" stopIfTrue="1">
      <formula>C7=KeyCustom1</formula>
    </cfRule>
    <cfRule type="expression" dxfId="146" priority="4" stopIfTrue="1">
      <formula>C7=KeySick</formula>
    </cfRule>
    <cfRule type="expression" dxfId="145" priority="5" stopIfTrue="1">
      <formula>C7=KeyPersonal</formula>
    </cfRule>
    <cfRule type="expression" dxfId="14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在此行中自动生成月份天数。在每列中输入员工在该月份每天的缺勤和缺勤类型。空白表示未缺勤" sqref="C6" xr:uid="{00000000-0002-0000-0A00-000000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A00-000001000000}"/>
    <dataValidation allowBlank="1" showInputMessage="1" showErrorMessage="1" prompt="此行定义了表中使用的键：单元格 C2 是休假，F2 是个人，I2 是病假。单元格 L2 和 O2 均可自定义" sqref="B2" xr:uid="{00000000-0002-0000-0A00-000002000000}"/>
    <dataValidation allowBlank="1" showInputMessage="1" showErrorMessage="1" prompt="在左侧输入标签以描述自定义键" sqref="M2 P2" xr:uid="{00000000-0002-0000-0A00-000003000000}"/>
    <dataValidation allowBlank="1" showInputMessage="1" showErrorMessage="1" prompt="在右侧输入字母并自定义标签以添加其他键项" sqref="L2 O2" xr:uid="{00000000-0002-0000-0A00-000004000000}"/>
    <dataValidation allowBlank="1" showInputMessage="1" showErrorMessage="1" prompt="字母“S”表示表示因病假缺勤" sqref="I2" xr:uid="{00000000-0002-0000-0A00-000005000000}"/>
    <dataValidation allowBlank="1" showInputMessage="1" showErrorMessage="1" prompt="字母“P”表示因个人原因缺勤" sqref="F2" xr:uid="{00000000-0002-0000-0A00-000006000000}"/>
    <dataValidation allowBlank="1" showInputMessage="1" showErrorMessage="1" prompt="字母“V”表示因休假缺勤" sqref="C2" xr:uid="{00000000-0002-0000-0A00-000007000000}"/>
    <dataValidation allowBlank="1" showInputMessage="1" showErrorMessage="1" prompt="自动更新的标题位于此单元格中。若要修改标题，请更新“一月”工作表上的 B1" sqref="B1" xr:uid="{00000000-0002-0000-0A00-000008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A00-000009000000}"/>
    <dataValidation allowBlank="1" showInputMessage="1" showErrorMessage="1" prompt="在此工作表中跟踪 11 月的缺勤情况" sqref="A1" xr:uid="{00000000-0002-0000-0A00-00000A000000}"/>
    <dataValidation allowBlank="1" showInputMessage="1" showErrorMessage="1" prompt="在此列中自动计算某位员工该月缺勤的总天数" sqref="AH6" xr:uid="{00000000-0002-0000-0A00-00000B000000}"/>
    <dataValidation allowBlank="1" showInputMessage="1" showErrorMessage="1" prompt="根据“一月”工作表中输入的年份自动更新年份" sqref="AH4" xr:uid="{00000000-0002-0000-0A00-00000C000000}"/>
    <dataValidation allowBlank="1" showInputMessage="1" showErrorMessage="1" prompt="根据 AH4 中的年份，在此行中自动更新该月的工作日。在该月份的每一天都有记录员工缺勤和缺勤类型的列" sqref="C5" xr:uid="{00000000-0002-0000-0A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63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TEXT(WEEKDAY(DATE(CalendarYear,12,1),1),"aaa")</f>
        <v>日</v>
      </c>
      <c r="D5" s="2" t="str">
        <f>TEXT(WEEKDAY(DATE(CalendarYear,12,2),1),"aaa")</f>
        <v>一</v>
      </c>
      <c r="E5" s="2" t="str">
        <f>TEXT(WEEKDAY(DATE(CalendarYear,12,3),1),"aaa")</f>
        <v>二</v>
      </c>
      <c r="F5" s="2" t="str">
        <f>TEXT(WEEKDAY(DATE(CalendarYear,12,4),1),"aaa")</f>
        <v>三</v>
      </c>
      <c r="G5" s="2" t="str">
        <f>TEXT(WEEKDAY(DATE(CalendarYear,12,5),1),"aaa")</f>
        <v>四</v>
      </c>
      <c r="H5" s="2" t="str">
        <f>TEXT(WEEKDAY(DATE(CalendarYear,12,6),1),"aaa")</f>
        <v>五</v>
      </c>
      <c r="I5" s="2" t="str">
        <f>TEXT(WEEKDAY(DATE(CalendarYear,12,7),1),"aaa")</f>
        <v>六</v>
      </c>
      <c r="J5" s="2" t="str">
        <f>TEXT(WEEKDAY(DATE(CalendarYear,12,8),1),"aaa")</f>
        <v>日</v>
      </c>
      <c r="K5" s="2" t="str">
        <f>TEXT(WEEKDAY(DATE(CalendarYear,12,9),1),"aaa")</f>
        <v>一</v>
      </c>
      <c r="L5" s="2" t="str">
        <f>TEXT(WEEKDAY(DATE(CalendarYear,12,10),1),"aaa")</f>
        <v>二</v>
      </c>
      <c r="M5" s="2" t="str">
        <f>TEXT(WEEKDAY(DATE(CalendarYear,12,11),1),"aaa")</f>
        <v>三</v>
      </c>
      <c r="N5" s="2" t="str">
        <f>TEXT(WEEKDAY(DATE(CalendarYear,12,12),1),"aaa")</f>
        <v>四</v>
      </c>
      <c r="O5" s="2" t="str">
        <f>TEXT(WEEKDAY(DATE(CalendarYear,12,13),1),"aaa")</f>
        <v>五</v>
      </c>
      <c r="P5" s="2" t="str">
        <f>TEXT(WEEKDAY(DATE(CalendarYear,12,14),1),"aaa")</f>
        <v>六</v>
      </c>
      <c r="Q5" s="2" t="str">
        <f>TEXT(WEEKDAY(DATE(CalendarYear,12,15),1),"aaa")</f>
        <v>日</v>
      </c>
      <c r="R5" s="2" t="str">
        <f>TEXT(WEEKDAY(DATE(CalendarYear,12,16),1),"aaa")</f>
        <v>一</v>
      </c>
      <c r="S5" s="2" t="str">
        <f>TEXT(WEEKDAY(DATE(CalendarYear,12,17),1),"aaa")</f>
        <v>二</v>
      </c>
      <c r="T5" s="2" t="str">
        <f>TEXT(WEEKDAY(DATE(CalendarYear,12,18),1),"aaa")</f>
        <v>三</v>
      </c>
      <c r="U5" s="2" t="str">
        <f>TEXT(WEEKDAY(DATE(CalendarYear,12,19),1),"aaa")</f>
        <v>四</v>
      </c>
      <c r="V5" s="2" t="str">
        <f>TEXT(WEEKDAY(DATE(CalendarYear,12,20),1),"aaa")</f>
        <v>五</v>
      </c>
      <c r="W5" s="2" t="str">
        <f>TEXT(WEEKDAY(DATE(CalendarYear,12,21),1),"aaa")</f>
        <v>六</v>
      </c>
      <c r="X5" s="2" t="str">
        <f>TEXT(WEEKDAY(DATE(CalendarYear,12,22),1),"aaa")</f>
        <v>日</v>
      </c>
      <c r="Y5" s="2" t="str">
        <f>TEXT(WEEKDAY(DATE(CalendarYear,12,23),1),"aaa")</f>
        <v>一</v>
      </c>
      <c r="Z5" s="2" t="str">
        <f>TEXT(WEEKDAY(DATE(CalendarYear,12,24),1),"aaa")</f>
        <v>二</v>
      </c>
      <c r="AA5" s="2" t="str">
        <f>TEXT(WEEKDAY(DATE(CalendarYear,12,25),1),"aaa")</f>
        <v>三</v>
      </c>
      <c r="AB5" s="2" t="str">
        <f>TEXT(WEEKDAY(DATE(CalendarYear,12,26),1),"aaa")</f>
        <v>四</v>
      </c>
      <c r="AC5" s="2" t="str">
        <f>TEXT(WEEKDAY(DATE(CalendarYear,12,27),1),"aaa")</f>
        <v>五</v>
      </c>
      <c r="AD5" s="2" t="str">
        <f>TEXT(WEEKDAY(DATE(CalendarYear,12,28),1),"aaa")</f>
        <v>六</v>
      </c>
      <c r="AE5" s="2" t="str">
        <f>TEXT(WEEKDAY(DATE(CalendarYear,12,29),1),"aaa")</f>
        <v>日</v>
      </c>
      <c r="AF5" s="2" t="str">
        <f>TEXT(WEEKDAY(DATE(CalendarYear,12,30),1),"aaa")</f>
        <v>一</v>
      </c>
      <c r="AG5" s="2" t="str">
        <f>TEXT(WEEKDAY(DATE(CalendarYear,12,31),1),"aaa")</f>
        <v>二</v>
      </c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COUNTA(十二月[[#This Row],[1]:[31]])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COUNTA(十二月[[#This Row],[1]:[31]])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COUNTA(十二月[[#This Row],[1]:[31]])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COUNTA(十二月[[#This Row],[1]:[31]])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COUNTA(十二月[[#This Row],[1]:[31]])</f>
        <v>0</v>
      </c>
    </row>
    <row r="12" spans="2:34" ht="30" customHeight="1" x14ac:dyDescent="0.3">
      <c r="B12" s="18" t="str">
        <f>MonthName&amp;"汇总"</f>
        <v>12 月汇总</v>
      </c>
      <c r="C12" s="10">
        <f>SUBTOTAL(103,十二月[1])</f>
        <v>0</v>
      </c>
      <c r="D12" s="10">
        <f>SUBTOTAL(103,十二月[2])</f>
        <v>0</v>
      </c>
      <c r="E12" s="10">
        <f>SUBTOTAL(103,十二月[3])</f>
        <v>0</v>
      </c>
      <c r="F12" s="10">
        <f>SUBTOTAL(103,十二月[4])</f>
        <v>0</v>
      </c>
      <c r="G12" s="10">
        <f>SUBTOTAL(103,十二月[5])</f>
        <v>0</v>
      </c>
      <c r="H12" s="10">
        <f>SUBTOTAL(103,十二月[6])</f>
        <v>0</v>
      </c>
      <c r="I12" s="10">
        <f>SUBTOTAL(103,十二月[7])</f>
        <v>0</v>
      </c>
      <c r="J12" s="10">
        <f>SUBTOTAL(103,十二月[8])</f>
        <v>0</v>
      </c>
      <c r="K12" s="10">
        <f>SUBTOTAL(103,十二月[9])</f>
        <v>0</v>
      </c>
      <c r="L12" s="10">
        <f>SUBTOTAL(103,十二月[10])</f>
        <v>0</v>
      </c>
      <c r="M12" s="10">
        <f>SUBTOTAL(103,十二月[11])</f>
        <v>0</v>
      </c>
      <c r="N12" s="10">
        <f>SUBTOTAL(103,十二月[12])</f>
        <v>0</v>
      </c>
      <c r="O12" s="10">
        <f>SUBTOTAL(103,十二月[13])</f>
        <v>0</v>
      </c>
      <c r="P12" s="10">
        <f>SUBTOTAL(103,十二月[14])</f>
        <v>0</v>
      </c>
      <c r="Q12" s="10">
        <f>SUBTOTAL(103,十二月[15])</f>
        <v>0</v>
      </c>
      <c r="R12" s="10">
        <f>SUBTOTAL(103,十二月[16])</f>
        <v>0</v>
      </c>
      <c r="S12" s="10">
        <f>SUBTOTAL(103,十二月[17])</f>
        <v>0</v>
      </c>
      <c r="T12" s="10">
        <f>SUBTOTAL(103,十二月[18])</f>
        <v>0</v>
      </c>
      <c r="U12" s="10">
        <f>SUBTOTAL(103,十二月[19])</f>
        <v>0</v>
      </c>
      <c r="V12" s="10">
        <f>SUBTOTAL(103,十二月[20])</f>
        <v>0</v>
      </c>
      <c r="W12" s="10">
        <f>SUBTOTAL(103,十二月[21])</f>
        <v>0</v>
      </c>
      <c r="X12" s="10">
        <f>SUBTOTAL(103,十二月[22])</f>
        <v>0</v>
      </c>
      <c r="Y12" s="10">
        <f>SUBTOTAL(103,十二月[23])</f>
        <v>0</v>
      </c>
      <c r="Z12" s="10">
        <f>SUBTOTAL(103,十二月[24])</f>
        <v>0</v>
      </c>
      <c r="AA12" s="10">
        <f>SUBTOTAL(103,十二月[25])</f>
        <v>0</v>
      </c>
      <c r="AB12" s="10">
        <f>SUBTOTAL(103,十二月[26])</f>
        <v>0</v>
      </c>
      <c r="AC12" s="10">
        <f>SUBTOTAL(103,十二月[27])</f>
        <v>0</v>
      </c>
      <c r="AD12" s="10">
        <f>SUBTOTAL(103,十二月[28])</f>
        <v>0</v>
      </c>
      <c r="AE12" s="10">
        <f>SUBTOTAL(103,十二月[29])</f>
        <v>0</v>
      </c>
      <c r="AF12" s="10">
        <f>SUBTOTAL(103,十二月[30])</f>
        <v>0</v>
      </c>
      <c r="AG12" s="10">
        <f>SUBTOTAL(103,十二月[31])</f>
        <v>0</v>
      </c>
      <c r="AH12" s="10">
        <f>SUBTOTAL(109,十二月[总天数])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74" priority="2" stopIfTrue="1">
      <formula>C7=KeyCustom2</formula>
    </cfRule>
    <cfRule type="expression" dxfId="73" priority="3" stopIfTrue="1">
      <formula>C7=KeyCustom1</formula>
    </cfRule>
    <cfRule type="expression" dxfId="72" priority="4" stopIfTrue="1">
      <formula>C7=KeySick</formula>
    </cfRule>
    <cfRule type="expression" dxfId="71" priority="5" stopIfTrue="1">
      <formula>C7=KeyPersonal</formula>
    </cfRule>
    <cfRule type="expression" dxfId="70" priority="6" stopIfTrue="1">
      <formula>C7=KeyVacation</formula>
    </cfRule>
  </conditionalFormatting>
  <conditionalFormatting sqref="AH7:AH11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根据“一月”工作表中输入的年份自动更新年份" sqref="AH4" xr:uid="{00000000-0002-0000-0B00-000000000000}"/>
    <dataValidation allowBlank="1" showInputMessage="1" showErrorMessage="1" prompt="在此列中自动计算某位员工该月缺勤的总天数" sqref="AH6" xr:uid="{00000000-0002-0000-0B00-000001000000}"/>
    <dataValidation allowBlank="1" showInputMessage="1" showErrorMessage="1" prompt="在此工作表中跟踪 12 月的缺勤情况" sqref="A1" xr:uid="{00000000-0002-0000-0B00-000002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B00-000003000000}"/>
    <dataValidation allowBlank="1" showInputMessage="1" showErrorMessage="1" prompt="自动更新的标题位于此单元格中。若要修改标题，请更新“一月”工作表上的 B1" sqref="B1" xr:uid="{00000000-0002-0000-0B00-000004000000}"/>
    <dataValidation allowBlank="1" showInputMessage="1" showErrorMessage="1" prompt="字母“V”表示因休假缺勤" sqref="C2" xr:uid="{00000000-0002-0000-0B00-000005000000}"/>
    <dataValidation allowBlank="1" showInputMessage="1" showErrorMessage="1" prompt="字母“P”表示因个人原因缺勤" sqref="F2" xr:uid="{00000000-0002-0000-0B00-000006000000}"/>
    <dataValidation allowBlank="1" showInputMessage="1" showErrorMessage="1" prompt="字母“S”表示表示因病假缺勤" sqref="I2" xr:uid="{00000000-0002-0000-0B00-000007000000}"/>
    <dataValidation allowBlank="1" showInputMessage="1" showErrorMessage="1" prompt="在右侧输入字母并自定义标签以添加其他键项" sqref="L2 O2" xr:uid="{00000000-0002-0000-0B00-000008000000}"/>
    <dataValidation allowBlank="1" showInputMessage="1" showErrorMessage="1" prompt="在左侧输入标签以描述自定义键" sqref="M2 P2" xr:uid="{00000000-0002-0000-0B00-000009000000}"/>
    <dataValidation allowBlank="1" showInputMessage="1" showErrorMessage="1" prompt="此行定义了表中使用的键：单元格 C2 是休假，F2 是个人，I2 是病假。单元格 L2 和 O2 均可自定义" sqref="B2" xr:uid="{00000000-0002-0000-0B00-00000A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B00-00000B000000}"/>
    <dataValidation allowBlank="1" showInputMessage="1" showErrorMessage="1" prompt="根据 AH4 中的年份，在此行中自动更新该月的工作日。在该月份的每一天都有记录员工缺勤和缺勤类型的列" sqref="C5" xr:uid="{00000000-0002-0000-0B00-00000C000000}"/>
    <dataValidation allowBlank="1" showInputMessage="1" showErrorMessage="1" prompt="在此行中自动生成月份天数。在每列中输入员工在该月份每天的缺勤和缺勤类型。空白表示未缺勤" sqref="C6" xr:uid="{00000000-0002-0000-0B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  <pageSetUpPr fitToPage="1"/>
  </sheetPr>
  <dimension ref="B1:B8"/>
  <sheetViews>
    <sheetView showGridLines="0" workbookViewId="0"/>
  </sheetViews>
  <sheetFormatPr defaultRowHeight="30" customHeight="1" x14ac:dyDescent="0.3"/>
  <cols>
    <col min="1" max="1" width="2.33203125" customWidth="1"/>
    <col min="2" max="2" width="30.77734375" customWidth="1"/>
    <col min="3" max="3" width="2.77734375" customWidth="1"/>
  </cols>
  <sheetData>
    <row r="1" spans="2:2" ht="50.1" customHeight="1" x14ac:dyDescent="0.3">
      <c r="B1" s="19" t="s">
        <v>3</v>
      </c>
    </row>
    <row r="2" spans="2:2" ht="15" customHeight="1" x14ac:dyDescent="0.3"/>
    <row r="3" spans="2:2" ht="30" customHeight="1" x14ac:dyDescent="0.3">
      <c r="B3" t="s">
        <v>3</v>
      </c>
    </row>
    <row r="4" spans="2:2" ht="30" customHeight="1" x14ac:dyDescent="0.3">
      <c r="B4" s="1" t="s">
        <v>4</v>
      </c>
    </row>
    <row r="5" spans="2:2" ht="30" customHeight="1" x14ac:dyDescent="0.3">
      <c r="B5" s="1" t="s">
        <v>5</v>
      </c>
    </row>
    <row r="6" spans="2:2" ht="30" customHeight="1" x14ac:dyDescent="0.3">
      <c r="B6" s="1" t="s">
        <v>6</v>
      </c>
    </row>
    <row r="7" spans="2:2" ht="30" customHeight="1" x14ac:dyDescent="0.3">
      <c r="B7" s="1" t="s">
        <v>7</v>
      </c>
    </row>
    <row r="8" spans="2:2" ht="30" customHeight="1" x14ac:dyDescent="0.3">
      <c r="B8" s="1" t="s">
        <v>8</v>
      </c>
    </row>
  </sheetData>
  <phoneticPr fontId="19" type="noConversion"/>
  <dataValidations count="3">
    <dataValidation allowBlank="1" showInputMessage="1" showErrorMessage="1" prompt="员工姓名标题" sqref="B1" xr:uid="{00000000-0002-0000-0C00-000000000000}"/>
    <dataValidation allowBlank="1" showInputMessage="1" showErrorMessage="1" prompt="在此工作表的员工姓名表中输入员工姓名。这些姓名用作每个月考勤表列 B 中的选项" sqref="A1" xr:uid="{00000000-0002-0000-0C00-000001000000}"/>
    <dataValidation allowBlank="1" showInputMessage="1" showErrorMessage="1" prompt="在此列中输入员工姓名" sqref="B3" xr:uid="{00000000-0002-0000-0C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21875"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/>
    </row>
    <row r="4" spans="2:34" ht="30" customHeight="1" x14ac:dyDescent="0.3">
      <c r="B4" s="9" t="s">
        <v>51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TEXT(WEEKDAY(DATE(CalendarYear,2,1),1),"aaa")</f>
        <v>五</v>
      </c>
      <c r="D5" s="2" t="str">
        <f>TEXT(WEEKDAY(DATE(CalendarYear,2,2),1),"aaa")</f>
        <v>六</v>
      </c>
      <c r="E5" s="2" t="str">
        <f>TEXT(WEEKDAY(DATE(CalendarYear,2,3),1),"aaa")</f>
        <v>日</v>
      </c>
      <c r="F5" s="2" t="str">
        <f>TEXT(WEEKDAY(DATE(CalendarYear,2,4),1),"aaa")</f>
        <v>一</v>
      </c>
      <c r="G5" s="2" t="str">
        <f>TEXT(WEEKDAY(DATE(CalendarYear,2,5),1),"aaa")</f>
        <v>二</v>
      </c>
      <c r="H5" s="2" t="str">
        <f>TEXT(WEEKDAY(DATE(CalendarYear,2,6),1),"aaa")</f>
        <v>三</v>
      </c>
      <c r="I5" s="2" t="str">
        <f>TEXT(WEEKDAY(DATE(CalendarYear,2,7),1),"aaa")</f>
        <v>四</v>
      </c>
      <c r="J5" s="2" t="str">
        <f>TEXT(WEEKDAY(DATE(CalendarYear,2,8),1),"aaa")</f>
        <v>五</v>
      </c>
      <c r="K5" s="2" t="str">
        <f>TEXT(WEEKDAY(DATE(CalendarYear,2,9),1),"aaa")</f>
        <v>六</v>
      </c>
      <c r="L5" s="2" t="str">
        <f>TEXT(WEEKDAY(DATE(CalendarYear,2,10),1),"aaa")</f>
        <v>日</v>
      </c>
      <c r="M5" s="2" t="str">
        <f>TEXT(WEEKDAY(DATE(CalendarYear,2,11),1),"aaa")</f>
        <v>一</v>
      </c>
      <c r="N5" s="2" t="str">
        <f>TEXT(WEEKDAY(DATE(CalendarYear,2,12),1),"aaa")</f>
        <v>二</v>
      </c>
      <c r="O5" s="2" t="str">
        <f>TEXT(WEEKDAY(DATE(CalendarYear,2,13),1),"aaa")</f>
        <v>三</v>
      </c>
      <c r="P5" s="2" t="str">
        <f>TEXT(WEEKDAY(DATE(CalendarYear,2,14),1),"aaa")</f>
        <v>四</v>
      </c>
      <c r="Q5" s="2" t="str">
        <f>TEXT(WEEKDAY(DATE(CalendarYear,2,15),1),"aaa")</f>
        <v>五</v>
      </c>
      <c r="R5" s="2" t="str">
        <f>TEXT(WEEKDAY(DATE(CalendarYear,2,16),1),"aaa")</f>
        <v>六</v>
      </c>
      <c r="S5" s="2" t="str">
        <f>TEXT(WEEKDAY(DATE(CalendarYear,2,17),1),"aaa")</f>
        <v>日</v>
      </c>
      <c r="T5" s="2" t="str">
        <f>TEXT(WEEKDAY(DATE(CalendarYear,2,18),1),"aaa")</f>
        <v>一</v>
      </c>
      <c r="U5" s="2" t="str">
        <f>TEXT(WEEKDAY(DATE(CalendarYear,2,19),1),"aaa")</f>
        <v>二</v>
      </c>
      <c r="V5" s="2" t="str">
        <f>TEXT(WEEKDAY(DATE(CalendarYear,2,20),1),"aaa")</f>
        <v>三</v>
      </c>
      <c r="W5" s="2" t="str">
        <f>TEXT(WEEKDAY(DATE(CalendarYear,2,21),1),"aaa")</f>
        <v>四</v>
      </c>
      <c r="X5" s="2" t="str">
        <f>TEXT(WEEKDAY(DATE(CalendarYear,2,22),1),"aaa")</f>
        <v>五</v>
      </c>
      <c r="Y5" s="2" t="str">
        <f>TEXT(WEEKDAY(DATE(CalendarYear,2,23),1),"aaa")</f>
        <v>六</v>
      </c>
      <c r="Z5" s="2" t="str">
        <f>TEXT(WEEKDAY(DATE(CalendarYear,2,24),1),"aaa")</f>
        <v>日</v>
      </c>
      <c r="AA5" s="2" t="str">
        <f>TEXT(WEEKDAY(DATE(CalendarYear,2,25),1),"aaa")</f>
        <v>一</v>
      </c>
      <c r="AB5" s="2" t="str">
        <f>TEXT(WEEKDAY(DATE(CalendarYear,2,26),1),"aaa")</f>
        <v>二</v>
      </c>
      <c r="AC5" s="2" t="str">
        <f>TEXT(WEEKDAY(DATE(CalendarYear,2,27),1),"aaa")</f>
        <v>三</v>
      </c>
      <c r="AD5" s="2" t="str">
        <f>TEXT(WEEKDAY(DATE(CalendarYear,2,28),1),"aaa")</f>
        <v>四</v>
      </c>
      <c r="AE5" s="2" t="str">
        <f>TEXT(WEEKDAY(DATE(CalendarYear,2,29),1),"aaa")</f>
        <v>五</v>
      </c>
      <c r="AF5" s="2"/>
      <c r="AG5" s="2"/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52</v>
      </c>
      <c r="AG6" s="3" t="s">
        <v>53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COUNTA(二月[[#This Row],[1]:[29]])</f>
        <v>5</v>
      </c>
    </row>
    <row r="8" spans="2:34" ht="30" customHeight="1" x14ac:dyDescent="0.3">
      <c r="B8" s="14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7">
        <f>COUNTA(二月[[#This Row],[1]:[29]])</f>
        <v>7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COUNTA(二月[[#This Row],[1]:[29]])</f>
        <v>0</v>
      </c>
    </row>
    <row r="10" spans="2:34" ht="30" customHeight="1" x14ac:dyDescent="0.3">
      <c r="B10" s="14" t="s">
        <v>7</v>
      </c>
      <c r="C10" s="3"/>
      <c r="D10" s="3"/>
      <c r="E10" s="3" t="s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17</v>
      </c>
      <c r="Q10" s="3"/>
      <c r="R10" s="3"/>
      <c r="S10" s="3"/>
      <c r="T10" s="3" t="s">
        <v>15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17</v>
      </c>
      <c r="AE10" s="3"/>
      <c r="AF10" s="3"/>
      <c r="AG10" s="3"/>
      <c r="AH10" s="7">
        <f>COUNTA(二月[[#This Row],[1]:[29]])</f>
        <v>4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/>
      <c r="AH11" s="7">
        <f>COUNTA(二月[[#This Row],[1]:[29]])</f>
        <v>5</v>
      </c>
    </row>
    <row r="12" spans="2:34" ht="30" customHeight="1" x14ac:dyDescent="0.3">
      <c r="B12" s="18" t="str">
        <f>MonthName&amp;"汇总"</f>
        <v>2 月汇总</v>
      </c>
      <c r="C12" s="10">
        <f>SUBTOTAL(103,二月[1])</f>
        <v>0</v>
      </c>
      <c r="D12" s="10">
        <f>SUBTOTAL(103,二月[2])</f>
        <v>0</v>
      </c>
      <c r="E12" s="10">
        <f>SUBTOTAL(103,二月[3])</f>
        <v>2</v>
      </c>
      <c r="F12" s="10">
        <f>SUBTOTAL(103,二月[4])</f>
        <v>1</v>
      </c>
      <c r="G12" s="10">
        <f>SUBTOTAL(103,二月[5])</f>
        <v>2</v>
      </c>
      <c r="H12" s="10">
        <f>SUBTOTAL(103,二月[6])</f>
        <v>2</v>
      </c>
      <c r="I12" s="10">
        <f>SUBTOTAL(103,二月[7])</f>
        <v>0</v>
      </c>
      <c r="J12" s="10">
        <f>SUBTOTAL(103,二月[8])</f>
        <v>1</v>
      </c>
      <c r="K12" s="10">
        <f>SUBTOTAL(103,二月[9])</f>
        <v>1</v>
      </c>
      <c r="L12" s="10">
        <f>SUBTOTAL(103,二月[10])</f>
        <v>1</v>
      </c>
      <c r="M12" s="10">
        <f>SUBTOTAL(103,二月[11])</f>
        <v>2</v>
      </c>
      <c r="N12" s="10">
        <f>SUBTOTAL(103,二月[12])</f>
        <v>0</v>
      </c>
      <c r="O12" s="10">
        <f>SUBTOTAL(103,二月[13])</f>
        <v>1</v>
      </c>
      <c r="P12" s="10">
        <f>SUBTOTAL(103,二月[14])</f>
        <v>1</v>
      </c>
      <c r="Q12" s="10">
        <f>SUBTOTAL(103,二月[15])</f>
        <v>0</v>
      </c>
      <c r="R12" s="10">
        <f>SUBTOTAL(103,二月[16])</f>
        <v>0</v>
      </c>
      <c r="S12" s="10">
        <f>SUBTOTAL(103,二月[17])</f>
        <v>0</v>
      </c>
      <c r="T12" s="10">
        <f>SUBTOTAL(103,二月[18])</f>
        <v>1</v>
      </c>
      <c r="U12" s="10">
        <f>SUBTOTAL(103,二月[19])</f>
        <v>0</v>
      </c>
      <c r="V12" s="10">
        <f>SUBTOTAL(103,二月[20])</f>
        <v>1</v>
      </c>
      <c r="W12" s="10">
        <f>SUBTOTAL(103,二月[21])</f>
        <v>0</v>
      </c>
      <c r="X12" s="10">
        <f>SUBTOTAL(103,二月[22])</f>
        <v>0</v>
      </c>
      <c r="Y12" s="10">
        <f>SUBTOTAL(103,二月[23])</f>
        <v>0</v>
      </c>
      <c r="Z12" s="10">
        <f>SUBTOTAL(103,二月[24])</f>
        <v>1</v>
      </c>
      <c r="AA12" s="10">
        <f>SUBTOTAL(103,二月[25])</f>
        <v>1</v>
      </c>
      <c r="AB12" s="10">
        <f>SUBTOTAL(103,二月[26])</f>
        <v>1</v>
      </c>
      <c r="AC12" s="10">
        <f>SUBTOTAL(103,二月[27])</f>
        <v>1</v>
      </c>
      <c r="AD12" s="10">
        <f>SUBTOTAL(103,二月[28])</f>
        <v>1</v>
      </c>
      <c r="AE12" s="10">
        <f>SUBTOTAL(103,二月[29])</f>
        <v>0</v>
      </c>
      <c r="AF12" s="10"/>
      <c r="AG12" s="10"/>
      <c r="AH12" s="10">
        <f>SUBTOTAL(109,二月[总天数])</f>
        <v>21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AE6">
    <cfRule type="expression" dxfId="816" priority="16">
      <formula>MONTH(DATE(CalendarYear,2,29))&lt;&gt;2</formula>
    </cfRule>
  </conditionalFormatting>
  <conditionalFormatting sqref="AE5">
    <cfRule type="expression" dxfId="815" priority="15">
      <formula>MONTH(DATE(CalendarYear,2,29))&lt;&gt;2</formula>
    </cfRule>
  </conditionalFormatting>
  <conditionalFormatting sqref="C7:AG11">
    <cfRule type="expression" priority="2" stopIfTrue="1">
      <formula>C7=""</formula>
    </cfRule>
    <cfRule type="expression" dxfId="814" priority="3" stopIfTrue="1">
      <formula>C7=KeyCustom2</formula>
    </cfRule>
  </conditionalFormatting>
  <conditionalFormatting sqref="C7:AG11">
    <cfRule type="expression" dxfId="813" priority="5" stopIfTrue="1">
      <formula>C7=KeyCustom1</formula>
    </cfRule>
    <cfRule type="expression" dxfId="812" priority="6" stopIfTrue="1">
      <formula>C7=KeySick</formula>
    </cfRule>
    <cfRule type="expression" dxfId="811" priority="7" stopIfTrue="1">
      <formula>C7=KeyPersonal</formula>
    </cfRule>
    <cfRule type="expression" dxfId="810" priority="8" stopIfTrue="1">
      <formula>C7=KeyVacation</formula>
    </cfRule>
  </conditionalFormatting>
  <conditionalFormatting sqref="AH7:AH11">
    <cfRule type="dataBar" priority="15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根据“一月”工作表中输入的年份自动更新年份" sqref="AH4" xr:uid="{00000000-0002-0000-0100-000000000000}"/>
    <dataValidation allowBlank="1" showInputMessage="1" showErrorMessage="1" prompt="在此工作表中跟踪 2 月的缺勤情况" sqref="A1" xr:uid="{00000000-0002-0000-0100-000001000000}"/>
    <dataValidation allowBlank="1" showInputMessage="1" showErrorMessage="1" prompt="在此列中自动计算某位员工该月缺勤的总天数" sqref="AH6" xr:uid="{00000000-0002-0000-0100-000002000000}"/>
    <dataValidation allowBlank="1" showInputMessage="1" showErrorMessage="1" prompt="自动更新的标题位于此单元格中。若要修改标题，请更新“一月”工作表上的 B1" sqref="B1" xr:uid="{00000000-0002-0000-0100-000003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100-000004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100-000005000000}"/>
    <dataValidation allowBlank="1" showInputMessage="1" showErrorMessage="1" prompt="此行定义了表中使用的键：单元格 C2 是休假，F2 是个人，I2 是病假。单元格 L2 和 O2 均可自定义" sqref="B2" xr:uid="{00000000-0002-0000-0100-000006000000}"/>
    <dataValidation allowBlank="1" showInputMessage="1" showErrorMessage="1" prompt="在左侧输入标签以描述自定义键" sqref="M2 P2" xr:uid="{00000000-0002-0000-0100-000007000000}"/>
    <dataValidation allowBlank="1" showInputMessage="1" showErrorMessage="1" prompt="在右侧输入字母并自定义标签以添加其他键项" sqref="L2 O2" xr:uid="{00000000-0002-0000-0100-000008000000}"/>
    <dataValidation allowBlank="1" showInputMessage="1" showErrorMessage="1" prompt="字母“S”表示表示因病假缺勤" sqref="I2" xr:uid="{00000000-0002-0000-0100-000009000000}"/>
    <dataValidation allowBlank="1" showInputMessage="1" showErrorMessage="1" prompt="字母“P”表示因个人原因缺勤" sqref="F2" xr:uid="{00000000-0002-0000-0100-00000A000000}"/>
    <dataValidation allowBlank="1" showInputMessage="1" showErrorMessage="1" prompt="字母“V”表示因休假缺勤" sqref="C2" xr:uid="{00000000-0002-0000-0100-00000B000000}"/>
    <dataValidation allowBlank="1" showInputMessage="1" showErrorMessage="1" prompt="根据 AH4 中的年份，在此行中自动更新该月的工作日。在该月份的每一天都有记录员工缺勤和缺勤类型的列" sqref="C5" xr:uid="{00000000-0002-0000-0100-00000C000000}"/>
    <dataValidation allowBlank="1" showInputMessage="1" showErrorMessage="1" prompt="在此行中自动生成月份天数。在每列中输入员工在该月份每天的缺勤和缺勤类型。空白表示未缺勤" sqref="C6" xr:uid="{00000000-0002-0000-01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54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TEXT(WEEKDAY(DATE(CalendarYear,3,1),1),"aaa")</f>
        <v>五</v>
      </c>
      <c r="D5" s="2" t="str">
        <f>TEXT(WEEKDAY(DATE(CalendarYear,3,2),1),"aaa")</f>
        <v>六</v>
      </c>
      <c r="E5" s="2" t="str">
        <f>TEXT(WEEKDAY(DATE(CalendarYear,3,3),1),"aaa")</f>
        <v>日</v>
      </c>
      <c r="F5" s="2" t="str">
        <f>TEXT(WEEKDAY(DATE(CalendarYear,3,4),1),"aaa")</f>
        <v>一</v>
      </c>
      <c r="G5" s="2" t="str">
        <f>TEXT(WEEKDAY(DATE(CalendarYear,3,5),1),"aaa")</f>
        <v>二</v>
      </c>
      <c r="H5" s="2" t="str">
        <f>TEXT(WEEKDAY(DATE(CalendarYear,3,6),1),"aaa")</f>
        <v>三</v>
      </c>
      <c r="I5" s="2" t="str">
        <f>TEXT(WEEKDAY(DATE(CalendarYear,3,7),1),"aaa")</f>
        <v>四</v>
      </c>
      <c r="J5" s="2" t="str">
        <f>TEXT(WEEKDAY(DATE(CalendarYear,3,8),1),"aaa")</f>
        <v>五</v>
      </c>
      <c r="K5" s="2" t="str">
        <f>TEXT(WEEKDAY(DATE(CalendarYear,3,9),1),"aaa")</f>
        <v>六</v>
      </c>
      <c r="L5" s="2" t="str">
        <f>TEXT(WEEKDAY(DATE(CalendarYear,3,10),1),"aaa")</f>
        <v>日</v>
      </c>
      <c r="M5" s="2" t="str">
        <f>TEXT(WEEKDAY(DATE(CalendarYear,3,11),1),"aaa")</f>
        <v>一</v>
      </c>
      <c r="N5" s="2" t="str">
        <f>TEXT(WEEKDAY(DATE(CalendarYear,3,12),1),"aaa")</f>
        <v>二</v>
      </c>
      <c r="O5" s="2" t="str">
        <f>TEXT(WEEKDAY(DATE(CalendarYear,3,13),1),"aaa")</f>
        <v>三</v>
      </c>
      <c r="P5" s="2" t="str">
        <f>TEXT(WEEKDAY(DATE(CalendarYear,3,14),1),"aaa")</f>
        <v>四</v>
      </c>
      <c r="Q5" s="2" t="str">
        <f>TEXT(WEEKDAY(DATE(CalendarYear,3,15),1),"aaa")</f>
        <v>五</v>
      </c>
      <c r="R5" s="2" t="str">
        <f>TEXT(WEEKDAY(DATE(CalendarYear,3,16),1),"aaa")</f>
        <v>六</v>
      </c>
      <c r="S5" s="2" t="str">
        <f>TEXT(WEEKDAY(DATE(CalendarYear,3,17),1),"aaa")</f>
        <v>日</v>
      </c>
      <c r="T5" s="2" t="str">
        <f>TEXT(WEEKDAY(DATE(CalendarYear,3,18),1),"aaa")</f>
        <v>一</v>
      </c>
      <c r="U5" s="2" t="str">
        <f>TEXT(WEEKDAY(DATE(CalendarYear,3,19),1),"aaa")</f>
        <v>二</v>
      </c>
      <c r="V5" s="2" t="str">
        <f>TEXT(WEEKDAY(DATE(CalendarYear,3,20),1),"aaa")</f>
        <v>三</v>
      </c>
      <c r="W5" s="2" t="str">
        <f>TEXT(WEEKDAY(DATE(CalendarYear,3,21),1),"aaa")</f>
        <v>四</v>
      </c>
      <c r="X5" s="2" t="str">
        <f>TEXT(WEEKDAY(DATE(CalendarYear,3,22),1),"aaa")</f>
        <v>五</v>
      </c>
      <c r="Y5" s="2" t="str">
        <f>TEXT(WEEKDAY(DATE(CalendarYear,3,23),1),"aaa")</f>
        <v>六</v>
      </c>
      <c r="Z5" s="2" t="str">
        <f>TEXT(WEEKDAY(DATE(CalendarYear,3,24),1),"aaa")</f>
        <v>日</v>
      </c>
      <c r="AA5" s="2" t="str">
        <f>TEXT(WEEKDAY(DATE(CalendarYear,3,25),1),"aaa")</f>
        <v>一</v>
      </c>
      <c r="AB5" s="2" t="str">
        <f>TEXT(WEEKDAY(DATE(CalendarYear,3,26),1),"aaa")</f>
        <v>二</v>
      </c>
      <c r="AC5" s="2" t="str">
        <f>TEXT(WEEKDAY(DATE(CalendarYear,3,27),1),"aaa")</f>
        <v>三</v>
      </c>
      <c r="AD5" s="2" t="str">
        <f>TEXT(WEEKDAY(DATE(CalendarYear,3,28),1),"aaa")</f>
        <v>四</v>
      </c>
      <c r="AE5" s="2" t="str">
        <f>TEXT(WEEKDAY(DATE(CalendarYear,3,29),1),"aaa")</f>
        <v>五</v>
      </c>
      <c r="AF5" s="2" t="str">
        <f>TEXT(WEEKDAY(DATE(CalendarYear,3,30),1),"aaa")</f>
        <v>六</v>
      </c>
      <c r="AG5" s="2" t="str">
        <f>TEXT(WEEKDAY(DATE(CalendarYear,3,31),1),"aaa")</f>
        <v>日</v>
      </c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COUNTA(三月[[#This Row],[1]:[31]])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COUNTA(三月[[#This Row],[1]:[31]])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COUNTA(三月[[#This Row],[1]:[31]])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COUNTA(三月[[#This Row],[1]:[31]])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COUNTA(三月[[#This Row],[1]:[31]])</f>
        <v>0</v>
      </c>
    </row>
    <row r="12" spans="2:34" ht="30" customHeight="1" x14ac:dyDescent="0.3">
      <c r="B12" s="18" t="str">
        <f>MonthName&amp;"汇总"</f>
        <v>3 月汇总</v>
      </c>
      <c r="C12" s="10">
        <f>SUBTOTAL(103,三月[1])</f>
        <v>0</v>
      </c>
      <c r="D12" s="10">
        <f>SUBTOTAL(103,三月[2])</f>
        <v>0</v>
      </c>
      <c r="E12" s="10">
        <f>SUBTOTAL(103,三月[3])</f>
        <v>0</v>
      </c>
      <c r="F12" s="10">
        <f>SUBTOTAL(103,三月[4])</f>
        <v>0</v>
      </c>
      <c r="G12" s="10">
        <f>SUBTOTAL(103,三月[5])</f>
        <v>0</v>
      </c>
      <c r="H12" s="10">
        <f>SUBTOTAL(103,三月[6])</f>
        <v>0</v>
      </c>
      <c r="I12" s="10">
        <f>SUBTOTAL(103,三月[7])</f>
        <v>0</v>
      </c>
      <c r="J12" s="10">
        <f>SUBTOTAL(103,三月[8])</f>
        <v>0</v>
      </c>
      <c r="K12" s="10">
        <f>SUBTOTAL(103,三月[9])</f>
        <v>0</v>
      </c>
      <c r="L12" s="10">
        <f>SUBTOTAL(103,三月[10])</f>
        <v>0</v>
      </c>
      <c r="M12" s="10">
        <f>SUBTOTAL(103,三月[11])</f>
        <v>0</v>
      </c>
      <c r="N12" s="10">
        <f>SUBTOTAL(103,三月[12])</f>
        <v>0</v>
      </c>
      <c r="O12" s="10">
        <f>SUBTOTAL(103,三月[13])</f>
        <v>0</v>
      </c>
      <c r="P12" s="10">
        <f>SUBTOTAL(103,三月[14])</f>
        <v>0</v>
      </c>
      <c r="Q12" s="10">
        <f>SUBTOTAL(103,三月[15])</f>
        <v>0</v>
      </c>
      <c r="R12" s="10">
        <f>SUBTOTAL(103,三月[16])</f>
        <v>0</v>
      </c>
      <c r="S12" s="10">
        <f>SUBTOTAL(103,三月[17])</f>
        <v>0</v>
      </c>
      <c r="T12" s="10">
        <f>SUBTOTAL(103,三月[18])</f>
        <v>0</v>
      </c>
      <c r="U12" s="10">
        <f>SUBTOTAL(103,三月[19])</f>
        <v>0</v>
      </c>
      <c r="V12" s="10">
        <f>SUBTOTAL(103,三月[20])</f>
        <v>0</v>
      </c>
      <c r="W12" s="10">
        <f>SUBTOTAL(103,三月[21])</f>
        <v>0</v>
      </c>
      <c r="X12" s="10">
        <f>SUBTOTAL(103,三月[22])</f>
        <v>0</v>
      </c>
      <c r="Y12" s="10">
        <f>SUBTOTAL(103,三月[23])</f>
        <v>0</v>
      </c>
      <c r="Z12" s="10">
        <f>SUBTOTAL(103,三月[24])</f>
        <v>0</v>
      </c>
      <c r="AA12" s="10">
        <f>SUBTOTAL(103,三月[25])</f>
        <v>0</v>
      </c>
      <c r="AB12" s="10">
        <f>SUBTOTAL(103,三月[26])</f>
        <v>0</v>
      </c>
      <c r="AC12" s="10">
        <f>SUBTOTAL(103,三月[27])</f>
        <v>0</v>
      </c>
      <c r="AD12" s="10">
        <f>SUBTOTAL(103,三月[28])</f>
        <v>0</v>
      </c>
      <c r="AE12" s="10">
        <f>SUBTOTAL(103,三月[29])</f>
        <v>0</v>
      </c>
      <c r="AF12" s="10">
        <f>SUBTOTAL(103,三月[30])</f>
        <v>0</v>
      </c>
      <c r="AG12" s="10">
        <f>SUBTOTAL(103,三月[31])</f>
        <v>0</v>
      </c>
      <c r="AH12" s="10">
        <f>SUBTOTAL(109,三月[总天数])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740" priority="2" stopIfTrue="1">
      <formula>C7=KeyCustom2</formula>
    </cfRule>
    <cfRule type="expression" dxfId="739" priority="3" stopIfTrue="1">
      <formula>C7=KeyCustom1</formula>
    </cfRule>
    <cfRule type="expression" dxfId="738" priority="4" stopIfTrue="1">
      <formula>C7=KeySick</formula>
    </cfRule>
    <cfRule type="expression" dxfId="737" priority="5" stopIfTrue="1">
      <formula>C7=KeyPersonal</formula>
    </cfRule>
    <cfRule type="expression" dxfId="736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在此行中自动生成月份天数。在每列中输入员工在该月份每天的缺勤和缺勤类型。空白表示未缺勤" sqref="C6" xr:uid="{00000000-0002-0000-0200-000000000000}"/>
    <dataValidation allowBlank="1" showInputMessage="1" showErrorMessage="1" prompt="根据 AH4 中的年份，在此行中自动更新该月的工作日。在该月份的每一天都有记录员工缺勤和缺勤类型的列" sqref="C5" xr:uid="{00000000-0002-0000-0200-000001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200-000002000000}"/>
    <dataValidation allowBlank="1" showInputMessage="1" showErrorMessage="1" prompt="此行定义了表中使用的键：单元格 C2 是休假，F2 是个人，I2 是病假。单元格 L2 和 O2 均可自定义" sqref="B2" xr:uid="{00000000-0002-0000-0200-000003000000}"/>
    <dataValidation allowBlank="1" showInputMessage="1" showErrorMessage="1" prompt="在左侧输入标签以描述自定义键" sqref="M2 P2" xr:uid="{00000000-0002-0000-0200-000004000000}"/>
    <dataValidation allowBlank="1" showInputMessage="1" showErrorMessage="1" prompt="在右侧输入字母并自定义标签以添加其他键项" sqref="L2 O2" xr:uid="{00000000-0002-0000-0200-000005000000}"/>
    <dataValidation allowBlank="1" showInputMessage="1" showErrorMessage="1" prompt="字母“S”表示表示因病假缺勤" sqref="I2" xr:uid="{00000000-0002-0000-0200-000006000000}"/>
    <dataValidation allowBlank="1" showInputMessage="1" showErrorMessage="1" prompt="字母“P”表示因个人原因缺勤" sqref="F2" xr:uid="{00000000-0002-0000-0200-000007000000}"/>
    <dataValidation allowBlank="1" showInputMessage="1" showErrorMessage="1" prompt="字母“V”表示因休假缺勤" sqref="C2" xr:uid="{00000000-0002-0000-0200-000008000000}"/>
    <dataValidation allowBlank="1" showInputMessage="1" showErrorMessage="1" prompt="自动更新的标题位于此单元格中。若要修改标题，请更新“一月”工作表上的 B1" sqref="B1" xr:uid="{00000000-0002-0000-0200-000009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200-00000A000000}"/>
    <dataValidation allowBlank="1" showInputMessage="1" showErrorMessage="1" prompt="在此工作表中跟踪 3 月的缺勤情况" sqref="A1" xr:uid="{00000000-0002-0000-0200-00000B000000}"/>
    <dataValidation allowBlank="1" showInputMessage="1" showErrorMessage="1" prompt="在此列中自动计算某位员工该月缺勤的总天数" sqref="AH6" xr:uid="{00000000-0002-0000-0200-00000C000000}"/>
    <dataValidation allowBlank="1" showInputMessage="1" showErrorMessage="1" prompt="根据“一月”工作表中输入的年份自动更新年份" sqref="AH4" xr:uid="{00000000-0002-0000-02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55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TEXT(WEEKDAY(DATE(CalendarYear,4,1),1),"aaa")</f>
        <v>一</v>
      </c>
      <c r="D5" s="2" t="str">
        <f>TEXT(WEEKDAY(DATE(CalendarYear,4,2),1),"aaa")</f>
        <v>二</v>
      </c>
      <c r="E5" s="2" t="str">
        <f>TEXT(WEEKDAY(DATE(CalendarYear,4,3),1),"aaa")</f>
        <v>三</v>
      </c>
      <c r="F5" s="2" t="str">
        <f>TEXT(WEEKDAY(DATE(CalendarYear,4,4),1),"aaa")</f>
        <v>四</v>
      </c>
      <c r="G5" s="2" t="str">
        <f>TEXT(WEEKDAY(DATE(CalendarYear,4,5),1),"aaa")</f>
        <v>五</v>
      </c>
      <c r="H5" s="2" t="str">
        <f>TEXT(WEEKDAY(DATE(CalendarYear,4,6),1),"aaa")</f>
        <v>六</v>
      </c>
      <c r="I5" s="2" t="str">
        <f>TEXT(WEEKDAY(DATE(CalendarYear,4,7),1),"aaa")</f>
        <v>日</v>
      </c>
      <c r="J5" s="2" t="str">
        <f>TEXT(WEEKDAY(DATE(CalendarYear,4,8),1),"aaa")</f>
        <v>一</v>
      </c>
      <c r="K5" s="2" t="str">
        <f>TEXT(WEEKDAY(DATE(CalendarYear,4,9),1),"aaa")</f>
        <v>二</v>
      </c>
      <c r="L5" s="2" t="str">
        <f>TEXT(WEEKDAY(DATE(CalendarYear,4,10),1),"aaa")</f>
        <v>三</v>
      </c>
      <c r="M5" s="2" t="str">
        <f>TEXT(WEEKDAY(DATE(CalendarYear,4,11),1),"aaa")</f>
        <v>四</v>
      </c>
      <c r="N5" s="2" t="str">
        <f>TEXT(WEEKDAY(DATE(CalendarYear,4,12),1),"aaa")</f>
        <v>五</v>
      </c>
      <c r="O5" s="2" t="str">
        <f>TEXT(WEEKDAY(DATE(CalendarYear,4,13),1),"aaa")</f>
        <v>六</v>
      </c>
      <c r="P5" s="2" t="str">
        <f>TEXT(WEEKDAY(DATE(CalendarYear,4,14),1),"aaa")</f>
        <v>日</v>
      </c>
      <c r="Q5" s="2" t="str">
        <f>TEXT(WEEKDAY(DATE(CalendarYear,4,15),1),"aaa")</f>
        <v>一</v>
      </c>
      <c r="R5" s="2" t="str">
        <f>TEXT(WEEKDAY(DATE(CalendarYear,4,16),1),"aaa")</f>
        <v>二</v>
      </c>
      <c r="S5" s="2" t="str">
        <f>TEXT(WEEKDAY(DATE(CalendarYear,4,17),1),"aaa")</f>
        <v>三</v>
      </c>
      <c r="T5" s="2" t="str">
        <f>TEXT(WEEKDAY(DATE(CalendarYear,4,18),1),"aaa")</f>
        <v>四</v>
      </c>
      <c r="U5" s="2" t="str">
        <f>TEXT(WEEKDAY(DATE(CalendarYear,4,19),1),"aaa")</f>
        <v>五</v>
      </c>
      <c r="V5" s="2" t="str">
        <f>TEXT(WEEKDAY(DATE(CalendarYear,4,20),1),"aaa")</f>
        <v>六</v>
      </c>
      <c r="W5" s="2" t="str">
        <f>TEXT(WEEKDAY(DATE(CalendarYear,4,21),1),"aaa")</f>
        <v>日</v>
      </c>
      <c r="X5" s="2" t="str">
        <f>TEXT(WEEKDAY(DATE(CalendarYear,4,22),1),"aaa")</f>
        <v>一</v>
      </c>
      <c r="Y5" s="2" t="str">
        <f>TEXT(WEEKDAY(DATE(CalendarYear,4,23),1),"aaa")</f>
        <v>二</v>
      </c>
      <c r="Z5" s="2" t="str">
        <f>TEXT(WEEKDAY(DATE(CalendarYear,4,24),1),"aaa")</f>
        <v>三</v>
      </c>
      <c r="AA5" s="2" t="str">
        <f>TEXT(WEEKDAY(DATE(CalendarYear,4,25),1),"aaa")</f>
        <v>四</v>
      </c>
      <c r="AB5" s="2" t="str">
        <f>TEXT(WEEKDAY(DATE(CalendarYear,4,26),1),"aaa")</f>
        <v>五</v>
      </c>
      <c r="AC5" s="2" t="str">
        <f>TEXT(WEEKDAY(DATE(CalendarYear,4,27),1),"aaa")</f>
        <v>六</v>
      </c>
      <c r="AD5" s="2" t="str">
        <f>TEXT(WEEKDAY(DATE(CalendarYear,4,28),1),"aaa")</f>
        <v>日</v>
      </c>
      <c r="AE5" s="2" t="str">
        <f>TEXT(WEEKDAY(DATE(CalendarYear,4,29),1),"aaa")</f>
        <v>一</v>
      </c>
      <c r="AF5" s="2" t="str">
        <f>TEXT(WEEKDAY(DATE(CalendarYear,4,30),1),"aaa")</f>
        <v>二</v>
      </c>
      <c r="AG5" s="2"/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23" t="s">
        <v>52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COUNTA(四月[[#This Row],[1]:[30]])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COUNTA(四月[[#This Row],[1]:[30]])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COUNTA(四月[[#This Row],[1]:[30]])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COUNTA(四月[[#This Row],[1]:[30]])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COUNTA(四月[[#This Row],[1]:[30]])</f>
        <v>0</v>
      </c>
    </row>
    <row r="12" spans="2:34" ht="30" customHeight="1" x14ac:dyDescent="0.3">
      <c r="B12" s="18" t="str">
        <f>MonthName&amp;"汇总"</f>
        <v>4 月汇总</v>
      </c>
      <c r="C12" s="10">
        <f>SUBTOTAL(103,四月[1])</f>
        <v>0</v>
      </c>
      <c r="D12" s="10">
        <f>SUBTOTAL(103,四月[2])</f>
        <v>0</v>
      </c>
      <c r="E12" s="10">
        <f>SUBTOTAL(103,四月[3])</f>
        <v>0</v>
      </c>
      <c r="F12" s="10">
        <f>SUBTOTAL(103,四月[4])</f>
        <v>0</v>
      </c>
      <c r="G12" s="10">
        <f>SUBTOTAL(103,四月[5])</f>
        <v>0</v>
      </c>
      <c r="H12" s="10">
        <f>SUBTOTAL(103,四月[6])</f>
        <v>0</v>
      </c>
      <c r="I12" s="10">
        <f>SUBTOTAL(103,四月[7])</f>
        <v>0</v>
      </c>
      <c r="J12" s="10">
        <f>SUBTOTAL(103,四月[8])</f>
        <v>0</v>
      </c>
      <c r="K12" s="10">
        <f>SUBTOTAL(103,四月[9])</f>
        <v>0</v>
      </c>
      <c r="L12" s="10">
        <f>SUBTOTAL(103,四月[10])</f>
        <v>0</v>
      </c>
      <c r="M12" s="10">
        <f>SUBTOTAL(103,四月[11])</f>
        <v>0</v>
      </c>
      <c r="N12" s="10">
        <f>SUBTOTAL(103,四月[12])</f>
        <v>0</v>
      </c>
      <c r="O12" s="10">
        <f>SUBTOTAL(103,四月[13])</f>
        <v>0</v>
      </c>
      <c r="P12" s="10">
        <f>SUBTOTAL(103,四月[14])</f>
        <v>0</v>
      </c>
      <c r="Q12" s="10">
        <f>SUBTOTAL(103,四月[15])</f>
        <v>0</v>
      </c>
      <c r="R12" s="10">
        <f>SUBTOTAL(103,四月[16])</f>
        <v>0</v>
      </c>
      <c r="S12" s="10">
        <f>SUBTOTAL(103,四月[17])</f>
        <v>0</v>
      </c>
      <c r="T12" s="10">
        <f>SUBTOTAL(103,四月[18])</f>
        <v>0</v>
      </c>
      <c r="U12" s="10">
        <f>SUBTOTAL(103,四月[19])</f>
        <v>0</v>
      </c>
      <c r="V12" s="10">
        <f>SUBTOTAL(103,四月[20])</f>
        <v>0</v>
      </c>
      <c r="W12" s="10">
        <f>SUBTOTAL(103,四月[21])</f>
        <v>0</v>
      </c>
      <c r="X12" s="10">
        <f>SUBTOTAL(103,四月[22])</f>
        <v>0</v>
      </c>
      <c r="Y12" s="10">
        <f>SUBTOTAL(103,四月[23])</f>
        <v>0</v>
      </c>
      <c r="Z12" s="10">
        <f>SUBTOTAL(103,四月[24])</f>
        <v>0</v>
      </c>
      <c r="AA12" s="10">
        <f>SUBTOTAL(103,四月[25])</f>
        <v>0</v>
      </c>
      <c r="AB12" s="10">
        <f>SUBTOTAL(103,四月[26])</f>
        <v>0</v>
      </c>
      <c r="AC12" s="10">
        <f>SUBTOTAL(103,四月[27])</f>
        <v>0</v>
      </c>
      <c r="AD12" s="10">
        <f>SUBTOTAL(103,四月[28])</f>
        <v>0</v>
      </c>
      <c r="AE12" s="10">
        <f>SUBTOTAL(103,四月[29])</f>
        <v>0</v>
      </c>
      <c r="AF12" s="10">
        <f>SUBTOTAL(103,四月[30])</f>
        <v>0</v>
      </c>
      <c r="AG12" s="10">
        <f>SUBTOTAL(103,四月[30])</f>
        <v>0</v>
      </c>
      <c r="AH12" s="10">
        <f>SUBTOTAL(109,四月[总天数])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666" priority="2" stopIfTrue="1">
      <formula>C7=KeyCustom2</formula>
    </cfRule>
    <cfRule type="expression" dxfId="665" priority="3" stopIfTrue="1">
      <formula>C7=KeyCustom1</formula>
    </cfRule>
    <cfRule type="expression" dxfId="664" priority="4" stopIfTrue="1">
      <formula>C7=KeySick</formula>
    </cfRule>
    <cfRule type="expression" dxfId="663" priority="5" stopIfTrue="1">
      <formula>C7=KeyPersonal</formula>
    </cfRule>
    <cfRule type="expression" dxfId="662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根据“一月”工作表中输入的年份自动更新年份" sqref="AH4" xr:uid="{00000000-0002-0000-0300-000000000000}"/>
    <dataValidation allowBlank="1" showInputMessage="1" showErrorMessage="1" prompt="在此列中自动计算某位员工该月缺勤的总天数" sqref="AH6" xr:uid="{00000000-0002-0000-0300-000001000000}"/>
    <dataValidation allowBlank="1" showInputMessage="1" showErrorMessage="1" prompt="在此工作表中跟踪 4 月的缺勤情况" sqref="A1" xr:uid="{00000000-0002-0000-0300-000002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300-000003000000}"/>
    <dataValidation allowBlank="1" showInputMessage="1" showErrorMessage="1" prompt="自动更新的标题位于此单元格中。若要修改标题，请更新“一月”工作表上的 B1" sqref="B1" xr:uid="{00000000-0002-0000-0300-000004000000}"/>
    <dataValidation allowBlank="1" showInputMessage="1" showErrorMessage="1" prompt="字母“V”表示因休假缺勤" sqref="C2" xr:uid="{00000000-0002-0000-0300-000005000000}"/>
    <dataValidation allowBlank="1" showInputMessage="1" showErrorMessage="1" prompt="字母“P”表示因个人原因缺勤" sqref="F2" xr:uid="{00000000-0002-0000-0300-000006000000}"/>
    <dataValidation allowBlank="1" showInputMessage="1" showErrorMessage="1" prompt="字母“S”表示表示因病假缺勤" sqref="I2" xr:uid="{00000000-0002-0000-0300-000007000000}"/>
    <dataValidation allowBlank="1" showInputMessage="1" showErrorMessage="1" prompt="在右侧输入字母并自定义标签以添加其他键项" sqref="L2 O2" xr:uid="{00000000-0002-0000-0300-000008000000}"/>
    <dataValidation allowBlank="1" showInputMessage="1" showErrorMessage="1" prompt="在左侧输入标签以描述自定义键" sqref="M2 P2" xr:uid="{00000000-0002-0000-0300-000009000000}"/>
    <dataValidation allowBlank="1" showInputMessage="1" showErrorMessage="1" prompt="此行定义了表中使用的键：单元格 C2 是休假，F2 是个人，I2 是病假。单元格 L2 和 O2 均可自定义" sqref="B2" xr:uid="{00000000-0002-0000-0300-00000A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300-00000B000000}"/>
    <dataValidation allowBlank="1" showInputMessage="1" showErrorMessage="1" prompt="在此行中自动生成月份天数。在每列中输入员工在该月份每天的缺勤和缺勤类型。空白表示未缺勤" sqref="C6" xr:uid="{00000000-0002-0000-0300-00000C000000}"/>
    <dataValidation allowBlank="1" showInputMessage="1" showErrorMessage="1" prompt="根据 AH4 中的年份，在此行中自动更新该月的工作日。在该月份的每一天都有记录员工缺勤和缺勤类型的列" sqref="C5" xr:uid="{00000000-0002-0000-03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56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TEXT(WEEKDAY(DATE(CalendarYear,5,1),1),"aaa")</f>
        <v>三</v>
      </c>
      <c r="D5" s="2" t="str">
        <f>TEXT(WEEKDAY(DATE(CalendarYear,5,2),1),"aaa")</f>
        <v>四</v>
      </c>
      <c r="E5" s="2" t="str">
        <f>TEXT(WEEKDAY(DATE(CalendarYear,5,3),1),"aaa")</f>
        <v>五</v>
      </c>
      <c r="F5" s="2" t="str">
        <f>TEXT(WEEKDAY(DATE(CalendarYear,5,4),1),"aaa")</f>
        <v>六</v>
      </c>
      <c r="G5" s="2" t="str">
        <f>TEXT(WEEKDAY(DATE(CalendarYear,5,5),1),"aaa")</f>
        <v>日</v>
      </c>
      <c r="H5" s="2" t="str">
        <f>TEXT(WEEKDAY(DATE(CalendarYear,5,6),1),"aaa")</f>
        <v>一</v>
      </c>
      <c r="I5" s="2" t="str">
        <f>TEXT(WEEKDAY(DATE(CalendarYear,5,7),1),"aaa")</f>
        <v>二</v>
      </c>
      <c r="J5" s="2" t="str">
        <f>TEXT(WEEKDAY(DATE(CalendarYear,5,8),1),"aaa")</f>
        <v>三</v>
      </c>
      <c r="K5" s="2" t="str">
        <f>TEXT(WEEKDAY(DATE(CalendarYear,5,9),1),"aaa")</f>
        <v>四</v>
      </c>
      <c r="L5" s="2" t="str">
        <f>TEXT(WEEKDAY(DATE(CalendarYear,5,10),1),"aaa")</f>
        <v>五</v>
      </c>
      <c r="M5" s="2" t="str">
        <f>TEXT(WEEKDAY(DATE(CalendarYear,5,11),1),"aaa")</f>
        <v>六</v>
      </c>
      <c r="N5" s="2" t="str">
        <f>TEXT(WEEKDAY(DATE(CalendarYear,5,12),1),"aaa")</f>
        <v>日</v>
      </c>
      <c r="O5" s="2" t="str">
        <f>TEXT(WEEKDAY(DATE(CalendarYear,5,13),1),"aaa")</f>
        <v>一</v>
      </c>
      <c r="P5" s="2" t="str">
        <f>TEXT(WEEKDAY(DATE(CalendarYear,5,14),1),"aaa")</f>
        <v>二</v>
      </c>
      <c r="Q5" s="2" t="str">
        <f>TEXT(WEEKDAY(DATE(CalendarYear,5,15),1),"aaa")</f>
        <v>三</v>
      </c>
      <c r="R5" s="2" t="str">
        <f>TEXT(WEEKDAY(DATE(CalendarYear,5,16),1),"aaa")</f>
        <v>四</v>
      </c>
      <c r="S5" s="2" t="str">
        <f>TEXT(WEEKDAY(DATE(CalendarYear,5,17),1),"aaa")</f>
        <v>五</v>
      </c>
      <c r="T5" s="2" t="str">
        <f>TEXT(WEEKDAY(DATE(CalendarYear,5,18),1),"aaa")</f>
        <v>六</v>
      </c>
      <c r="U5" s="2" t="str">
        <f>TEXT(WEEKDAY(DATE(CalendarYear,5,19),1),"aaa")</f>
        <v>日</v>
      </c>
      <c r="V5" s="2" t="str">
        <f>TEXT(WEEKDAY(DATE(CalendarYear,5,20),1),"aaa")</f>
        <v>一</v>
      </c>
      <c r="W5" s="2" t="str">
        <f>TEXT(WEEKDAY(DATE(CalendarYear,5,21),1),"aaa")</f>
        <v>二</v>
      </c>
      <c r="X5" s="2" t="str">
        <f>TEXT(WEEKDAY(DATE(CalendarYear,5,22),1),"aaa")</f>
        <v>三</v>
      </c>
      <c r="Y5" s="2" t="str">
        <f>TEXT(WEEKDAY(DATE(CalendarYear,5,23),1),"aaa")</f>
        <v>四</v>
      </c>
      <c r="Z5" s="2" t="str">
        <f>TEXT(WEEKDAY(DATE(CalendarYear,5,24),1),"aaa")</f>
        <v>五</v>
      </c>
      <c r="AA5" s="2" t="str">
        <f>TEXT(WEEKDAY(DATE(CalendarYear,5,25),1),"aaa")</f>
        <v>六</v>
      </c>
      <c r="AB5" s="2" t="str">
        <f>TEXT(WEEKDAY(DATE(CalendarYear,5,26),1),"aaa")</f>
        <v>日</v>
      </c>
      <c r="AC5" s="2" t="str">
        <f>TEXT(WEEKDAY(DATE(CalendarYear,5,27),1),"aaa")</f>
        <v>一</v>
      </c>
      <c r="AD5" s="2" t="str">
        <f>TEXT(WEEKDAY(DATE(CalendarYear,5,28),1),"aaa")</f>
        <v>二</v>
      </c>
      <c r="AE5" s="2" t="str">
        <f>TEXT(WEEKDAY(DATE(CalendarYear,5,29),1),"aaa")</f>
        <v>三</v>
      </c>
      <c r="AF5" s="2" t="str">
        <f>TEXT(WEEKDAY(DATE(CalendarYear,5,30),1),"aaa")</f>
        <v>四</v>
      </c>
      <c r="AG5" s="2" t="str">
        <f>TEXT(WEEKDAY(DATE(CalendarYear,5,31),1),"aaa")</f>
        <v>五</v>
      </c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COUNTA(五月[[#This Row],[1]:[31]])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COUNTA(五月[[#This Row],[1]:[31]])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COUNTA(五月[[#This Row],[1]:[31]])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COUNTA(五月[[#This Row],[1]:[31]])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COUNTA(五月[[#This Row],[1]:[31]])</f>
        <v>0</v>
      </c>
    </row>
    <row r="12" spans="2:34" ht="30" customHeight="1" x14ac:dyDescent="0.3">
      <c r="B12" s="18" t="str">
        <f>MonthName&amp;"汇总"</f>
        <v>5 月汇总</v>
      </c>
      <c r="C12" s="10">
        <f>SUBTOTAL(103,五月[1])</f>
        <v>0</v>
      </c>
      <c r="D12" s="10">
        <f>SUBTOTAL(103,五月[2])</f>
        <v>0</v>
      </c>
      <c r="E12" s="10">
        <f>SUBTOTAL(103,五月[3])</f>
        <v>0</v>
      </c>
      <c r="F12" s="10">
        <f>SUBTOTAL(103,五月[4])</f>
        <v>0</v>
      </c>
      <c r="G12" s="10">
        <f>SUBTOTAL(103,五月[5])</f>
        <v>0</v>
      </c>
      <c r="H12" s="10">
        <f>SUBTOTAL(103,五月[6])</f>
        <v>0</v>
      </c>
      <c r="I12" s="10">
        <f>SUBTOTAL(103,五月[7])</f>
        <v>0</v>
      </c>
      <c r="J12" s="10">
        <f>SUBTOTAL(103,五月[8])</f>
        <v>0</v>
      </c>
      <c r="K12" s="10">
        <f>SUBTOTAL(103,五月[9])</f>
        <v>0</v>
      </c>
      <c r="L12" s="10">
        <f>SUBTOTAL(103,五月[10])</f>
        <v>0</v>
      </c>
      <c r="M12" s="10">
        <f>SUBTOTAL(103,五月[11])</f>
        <v>0</v>
      </c>
      <c r="N12" s="10">
        <f>SUBTOTAL(103,五月[12])</f>
        <v>0</v>
      </c>
      <c r="O12" s="10">
        <f>SUBTOTAL(103,五月[13])</f>
        <v>0</v>
      </c>
      <c r="P12" s="10">
        <f>SUBTOTAL(103,五月[14])</f>
        <v>0</v>
      </c>
      <c r="Q12" s="10">
        <f>SUBTOTAL(103,五月[15])</f>
        <v>0</v>
      </c>
      <c r="R12" s="10">
        <f>SUBTOTAL(103,五月[16])</f>
        <v>0</v>
      </c>
      <c r="S12" s="10">
        <f>SUBTOTAL(103,五月[17])</f>
        <v>0</v>
      </c>
      <c r="T12" s="10">
        <f>SUBTOTAL(103,五月[18])</f>
        <v>0</v>
      </c>
      <c r="U12" s="10">
        <f>SUBTOTAL(103,五月[19])</f>
        <v>0</v>
      </c>
      <c r="V12" s="10">
        <f>SUBTOTAL(103,五月[20])</f>
        <v>0</v>
      </c>
      <c r="W12" s="10">
        <f>SUBTOTAL(103,五月[21])</f>
        <v>0</v>
      </c>
      <c r="X12" s="10">
        <f>SUBTOTAL(103,五月[22])</f>
        <v>0</v>
      </c>
      <c r="Y12" s="10">
        <f>SUBTOTAL(103,五月[23])</f>
        <v>0</v>
      </c>
      <c r="Z12" s="10">
        <f>SUBTOTAL(103,五月[24])</f>
        <v>0</v>
      </c>
      <c r="AA12" s="10">
        <f>SUBTOTAL(103,五月[25])</f>
        <v>0</v>
      </c>
      <c r="AB12" s="10">
        <f>SUBTOTAL(103,五月[26])</f>
        <v>0</v>
      </c>
      <c r="AC12" s="10">
        <f>SUBTOTAL(103,五月[27])</f>
        <v>0</v>
      </c>
      <c r="AD12" s="10">
        <f>SUBTOTAL(103,五月[28])</f>
        <v>0</v>
      </c>
      <c r="AE12" s="10">
        <f>SUBTOTAL(103,五月[29])</f>
        <v>0</v>
      </c>
      <c r="AF12" s="10">
        <f>SUBTOTAL(103,五月[30])</f>
        <v>0</v>
      </c>
      <c r="AG12" s="10">
        <f>SUBTOTAL(103,五月[31])</f>
        <v>0</v>
      </c>
      <c r="AH12" s="10">
        <f>SUBTOTAL(109,五月[总天数])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592" priority="2" stopIfTrue="1">
      <formula>C7=KeyCustom2</formula>
    </cfRule>
    <cfRule type="expression" dxfId="591" priority="3" stopIfTrue="1">
      <formula>C7=KeyCustom1</formula>
    </cfRule>
    <cfRule type="expression" dxfId="590" priority="4" stopIfTrue="1">
      <formula>C7=KeySick</formula>
    </cfRule>
    <cfRule type="expression" dxfId="589" priority="5" stopIfTrue="1">
      <formula>C7=KeyPersonal</formula>
    </cfRule>
    <cfRule type="expression" dxfId="58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在此行中自动生成月份天数。在每列中输入员工在该月份每天的缺勤和缺勤类型。空白表示未缺勤" sqref="C6" xr:uid="{00000000-0002-0000-0400-000000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400-000001000000}"/>
    <dataValidation allowBlank="1" showInputMessage="1" showErrorMessage="1" prompt="此行定义了表中使用的键：单元格 C2 是休假，F2 是个人，I2 是病假。单元格 L2 和 O2 均可自定义" sqref="B2" xr:uid="{00000000-0002-0000-0400-000002000000}"/>
    <dataValidation allowBlank="1" showInputMessage="1" showErrorMessage="1" prompt="在左侧输入标签以描述自定义键" sqref="M2 P2" xr:uid="{00000000-0002-0000-0400-000003000000}"/>
    <dataValidation allowBlank="1" showInputMessage="1" showErrorMessage="1" prompt="在右侧输入字母并自定义标签以添加其他键项" sqref="L2 O2" xr:uid="{00000000-0002-0000-0400-000004000000}"/>
    <dataValidation allowBlank="1" showInputMessage="1" showErrorMessage="1" prompt="字母“S”表示表示因病假缺勤" sqref="I2" xr:uid="{00000000-0002-0000-0400-000005000000}"/>
    <dataValidation allowBlank="1" showInputMessage="1" showErrorMessage="1" prompt="字母“P”表示因个人原因缺勤" sqref="F2" xr:uid="{00000000-0002-0000-0400-000006000000}"/>
    <dataValidation allowBlank="1" showInputMessage="1" showErrorMessage="1" prompt="字母“V”表示因休假缺勤" sqref="C2" xr:uid="{00000000-0002-0000-0400-000007000000}"/>
    <dataValidation allowBlank="1" showInputMessage="1" showErrorMessage="1" prompt="自动更新的标题位于此单元格中。若要修改标题，请更新“一月”工作表上的 B1" sqref="B1" xr:uid="{00000000-0002-0000-0400-000008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400-000009000000}"/>
    <dataValidation allowBlank="1" showInputMessage="1" showErrorMessage="1" prompt="在此工作表中跟踪 5 月的缺勤情况" sqref="A1" xr:uid="{00000000-0002-0000-0400-00000A000000}"/>
    <dataValidation allowBlank="1" showInputMessage="1" showErrorMessage="1" prompt="在此列中自动计算某位员工该月缺勤的总天数" sqref="AH6" xr:uid="{00000000-0002-0000-0400-00000B000000}"/>
    <dataValidation allowBlank="1" showInputMessage="1" showErrorMessage="1" prompt="根据“一月”工作表中输入的年份自动更新年份" sqref="AH4" xr:uid="{00000000-0002-0000-0400-00000C000000}"/>
    <dataValidation allowBlank="1" showInputMessage="1" showErrorMessage="1" prompt="根据 AH4 中的年份，在此行中自动更新该月的工作日。在该月份的每一天都有记录员工缺勤和缺勤类型的列" sqref="C5" xr:uid="{00000000-0002-0000-04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57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TEXT(WEEKDAY(DATE(CalendarYear,6,1),1),"aaa")</f>
        <v>六</v>
      </c>
      <c r="D5" s="2" t="str">
        <f>TEXT(WEEKDAY(DATE(CalendarYear,6,2),1),"aaa")</f>
        <v>日</v>
      </c>
      <c r="E5" s="2" t="str">
        <f>TEXT(WEEKDAY(DATE(CalendarYear,6,3),1),"aaa")</f>
        <v>一</v>
      </c>
      <c r="F5" s="2" t="str">
        <f>TEXT(WEEKDAY(DATE(CalendarYear,6,4),1),"aaa")</f>
        <v>二</v>
      </c>
      <c r="G5" s="2" t="str">
        <f>TEXT(WEEKDAY(DATE(CalendarYear,6,5),1),"aaa")</f>
        <v>三</v>
      </c>
      <c r="H5" s="2" t="str">
        <f>TEXT(WEEKDAY(DATE(CalendarYear,6,6),1),"aaa")</f>
        <v>四</v>
      </c>
      <c r="I5" s="2" t="str">
        <f>TEXT(WEEKDAY(DATE(CalendarYear,6,7),1),"aaa")</f>
        <v>五</v>
      </c>
      <c r="J5" s="2" t="str">
        <f>TEXT(WEEKDAY(DATE(CalendarYear,6,8),1),"aaa")</f>
        <v>六</v>
      </c>
      <c r="K5" s="2" t="str">
        <f>TEXT(WEEKDAY(DATE(CalendarYear,6,9),1),"aaa")</f>
        <v>日</v>
      </c>
      <c r="L5" s="2" t="str">
        <f>TEXT(WEEKDAY(DATE(CalendarYear,6,10),1),"aaa")</f>
        <v>一</v>
      </c>
      <c r="M5" s="2" t="str">
        <f>TEXT(WEEKDAY(DATE(CalendarYear,6,11),1),"aaa")</f>
        <v>二</v>
      </c>
      <c r="N5" s="2" t="str">
        <f>TEXT(WEEKDAY(DATE(CalendarYear,6,12),1),"aaa")</f>
        <v>三</v>
      </c>
      <c r="O5" s="2" t="str">
        <f>TEXT(WEEKDAY(DATE(CalendarYear,6,13),1),"aaa")</f>
        <v>四</v>
      </c>
      <c r="P5" s="2" t="str">
        <f>TEXT(WEEKDAY(DATE(CalendarYear,6,14),1),"aaa")</f>
        <v>五</v>
      </c>
      <c r="Q5" s="2" t="str">
        <f>TEXT(WEEKDAY(DATE(CalendarYear,6,15),1),"aaa")</f>
        <v>六</v>
      </c>
      <c r="R5" s="2" t="str">
        <f>TEXT(WEEKDAY(DATE(CalendarYear,6,16),1),"aaa")</f>
        <v>日</v>
      </c>
      <c r="S5" s="2" t="str">
        <f>TEXT(WEEKDAY(DATE(CalendarYear,6,17),1),"aaa")</f>
        <v>一</v>
      </c>
      <c r="T5" s="2" t="str">
        <f>TEXT(WEEKDAY(DATE(CalendarYear,6,18),1),"aaa")</f>
        <v>二</v>
      </c>
      <c r="U5" s="2" t="str">
        <f>TEXT(WEEKDAY(DATE(CalendarYear,6,19),1),"aaa")</f>
        <v>三</v>
      </c>
      <c r="V5" s="2" t="str">
        <f>TEXT(WEEKDAY(DATE(CalendarYear,6,20),1),"aaa")</f>
        <v>四</v>
      </c>
      <c r="W5" s="2" t="str">
        <f>TEXT(WEEKDAY(DATE(CalendarYear,6,21),1),"aaa")</f>
        <v>五</v>
      </c>
      <c r="X5" s="2" t="str">
        <f>TEXT(WEEKDAY(DATE(CalendarYear,6,22),1),"aaa")</f>
        <v>六</v>
      </c>
      <c r="Y5" s="2" t="str">
        <f>TEXT(WEEKDAY(DATE(CalendarYear,6,23),1),"aaa")</f>
        <v>日</v>
      </c>
      <c r="Z5" s="2" t="str">
        <f>TEXT(WEEKDAY(DATE(CalendarYear,6,24),1),"aaa")</f>
        <v>一</v>
      </c>
      <c r="AA5" s="2" t="str">
        <f>TEXT(WEEKDAY(DATE(CalendarYear,6,25),1),"aaa")</f>
        <v>二</v>
      </c>
      <c r="AB5" s="2" t="str">
        <f>TEXT(WEEKDAY(DATE(CalendarYear,6,26),1),"aaa")</f>
        <v>三</v>
      </c>
      <c r="AC5" s="2" t="str">
        <f>TEXT(WEEKDAY(DATE(CalendarYear,6,27),1),"aaa")</f>
        <v>四</v>
      </c>
      <c r="AD5" s="2" t="str">
        <f>TEXT(WEEKDAY(DATE(CalendarYear,6,28),1),"aaa")</f>
        <v>五</v>
      </c>
      <c r="AE5" s="2" t="str">
        <f>TEXT(WEEKDAY(DATE(CalendarYear,6,29),1),"aaa")</f>
        <v>六</v>
      </c>
      <c r="AF5" s="2" t="str">
        <f>TEXT(WEEKDAY(DATE(CalendarYear,6,30),1),"aaa")</f>
        <v>日</v>
      </c>
      <c r="AG5" s="2"/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COUNTA(六月[[#This Row],[1]:[30]])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COUNTA(六月[[#This Row],[1]:[30]])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COUNTA(六月[[#This Row],[1]:[30]])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COUNTA(六月[[#This Row],[1]:[30]])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COUNTA(六月[[#This Row],[1]:[30]])</f>
        <v>0</v>
      </c>
    </row>
    <row r="12" spans="2:34" ht="30" customHeight="1" x14ac:dyDescent="0.3">
      <c r="B12" s="18" t="str">
        <f>MonthName&amp;"汇总"</f>
        <v>6 月汇总</v>
      </c>
      <c r="C12" s="10">
        <f>SUBTOTAL(103,六月[1])</f>
        <v>0</v>
      </c>
      <c r="D12" s="10">
        <f>SUBTOTAL(103,六月[2])</f>
        <v>0</v>
      </c>
      <c r="E12" s="10">
        <f>SUBTOTAL(103,六月[3])</f>
        <v>0</v>
      </c>
      <c r="F12" s="10">
        <f>SUBTOTAL(103,六月[4])</f>
        <v>0</v>
      </c>
      <c r="G12" s="10">
        <f>SUBTOTAL(103,六月[5])</f>
        <v>0</v>
      </c>
      <c r="H12" s="10">
        <f>SUBTOTAL(103,六月[6])</f>
        <v>0</v>
      </c>
      <c r="I12" s="10">
        <f>SUBTOTAL(103,六月[7])</f>
        <v>0</v>
      </c>
      <c r="J12" s="10">
        <f>SUBTOTAL(103,六月[8])</f>
        <v>0</v>
      </c>
      <c r="K12" s="10">
        <f>SUBTOTAL(103,六月[9])</f>
        <v>0</v>
      </c>
      <c r="L12" s="10">
        <f>SUBTOTAL(103,六月[10])</f>
        <v>0</v>
      </c>
      <c r="M12" s="10">
        <f>SUBTOTAL(103,六月[11])</f>
        <v>0</v>
      </c>
      <c r="N12" s="10">
        <f>SUBTOTAL(103,六月[12])</f>
        <v>0</v>
      </c>
      <c r="O12" s="10">
        <f>SUBTOTAL(103,六月[13])</f>
        <v>0</v>
      </c>
      <c r="P12" s="10">
        <f>SUBTOTAL(103,六月[14])</f>
        <v>0</v>
      </c>
      <c r="Q12" s="10">
        <f>SUBTOTAL(103,六月[15])</f>
        <v>0</v>
      </c>
      <c r="R12" s="10">
        <f>SUBTOTAL(103,六月[16])</f>
        <v>0</v>
      </c>
      <c r="S12" s="10">
        <f>SUBTOTAL(103,六月[17])</f>
        <v>0</v>
      </c>
      <c r="T12" s="10">
        <f>SUBTOTAL(103,六月[18])</f>
        <v>0</v>
      </c>
      <c r="U12" s="10">
        <f>SUBTOTAL(103,六月[19])</f>
        <v>0</v>
      </c>
      <c r="V12" s="10">
        <f>SUBTOTAL(103,六月[20])</f>
        <v>0</v>
      </c>
      <c r="W12" s="10">
        <f>SUBTOTAL(103,六月[21])</f>
        <v>0</v>
      </c>
      <c r="X12" s="10">
        <f>SUBTOTAL(103,六月[22])</f>
        <v>0</v>
      </c>
      <c r="Y12" s="10">
        <f>SUBTOTAL(103,六月[23])</f>
        <v>0</v>
      </c>
      <c r="Z12" s="10">
        <f>SUBTOTAL(103,六月[24])</f>
        <v>0</v>
      </c>
      <c r="AA12" s="10">
        <f>SUBTOTAL(103,六月[25])</f>
        <v>0</v>
      </c>
      <c r="AB12" s="10">
        <f>SUBTOTAL(103,六月[26])</f>
        <v>0</v>
      </c>
      <c r="AC12" s="10">
        <f>SUBTOTAL(103,六月[27])</f>
        <v>0</v>
      </c>
      <c r="AD12" s="10">
        <f>SUBTOTAL(103,六月[28])</f>
        <v>0</v>
      </c>
      <c r="AE12" s="10">
        <f>SUBTOTAL(103,六月[29])</f>
        <v>0</v>
      </c>
      <c r="AF12" s="10">
        <f>SUBTOTAL(103,六月[30])</f>
        <v>0</v>
      </c>
      <c r="AG12" s="10">
        <f>SUBTOTAL(103,六月[[ ]])</f>
        <v>0</v>
      </c>
      <c r="AH12" s="10">
        <f>SUBTOTAL(109,六月[总天数])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518" priority="2" stopIfTrue="1">
      <formula>C7=KeyCustom2</formula>
    </cfRule>
    <cfRule type="expression" dxfId="517" priority="3" stopIfTrue="1">
      <formula>C7=KeyCustom1</formula>
    </cfRule>
    <cfRule type="expression" dxfId="516" priority="4" stopIfTrue="1">
      <formula>C7=KeySick</formula>
    </cfRule>
    <cfRule type="expression" dxfId="515" priority="5" stopIfTrue="1">
      <formula>C7=KeyPersonal</formula>
    </cfRule>
    <cfRule type="expression" dxfId="51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根据 AH4 中的年份，在此行中自动更新该月的工作日。在该月份的每一天都有记录员工缺勤和缺勤类型的列" sqref="C5" xr:uid="{00000000-0002-0000-0500-000000000000}"/>
    <dataValidation allowBlank="1" showInputMessage="1" showErrorMessage="1" prompt="根据“一月”工作表中输入的年份自动更新年份" sqref="AH4" xr:uid="{00000000-0002-0000-0500-000001000000}"/>
    <dataValidation allowBlank="1" showInputMessage="1" showErrorMessage="1" prompt="在此列中自动计算某位员工该月缺勤的总天数" sqref="AH6" xr:uid="{00000000-0002-0000-0500-000002000000}"/>
    <dataValidation allowBlank="1" showInputMessage="1" showErrorMessage="1" prompt="在此工作表中跟踪 6 月的缺勤情况" sqref="A1" xr:uid="{00000000-0002-0000-0500-000003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500-000004000000}"/>
    <dataValidation allowBlank="1" showInputMessage="1" showErrorMessage="1" prompt="自动更新的标题位于此单元格中。若要修改标题，请更新“一月”工作表上的 B1" sqref="B1" xr:uid="{00000000-0002-0000-0500-000005000000}"/>
    <dataValidation allowBlank="1" showInputMessage="1" showErrorMessage="1" prompt="字母“V”表示因休假缺勤" sqref="C2" xr:uid="{00000000-0002-0000-0500-000006000000}"/>
    <dataValidation allowBlank="1" showInputMessage="1" showErrorMessage="1" prompt="字母“P”表示因个人原因缺勤" sqref="F2" xr:uid="{00000000-0002-0000-0500-000007000000}"/>
    <dataValidation allowBlank="1" showInputMessage="1" showErrorMessage="1" prompt="字母“S”表示表示因病假缺勤" sqref="I2" xr:uid="{00000000-0002-0000-0500-000008000000}"/>
    <dataValidation allowBlank="1" showInputMessage="1" showErrorMessage="1" prompt="在右侧输入字母并自定义标签以添加其他键项" sqref="L2 O2" xr:uid="{00000000-0002-0000-0500-000009000000}"/>
    <dataValidation allowBlank="1" showInputMessage="1" showErrorMessage="1" prompt="在左侧输入标签以描述自定义键" sqref="M2 P2" xr:uid="{00000000-0002-0000-0500-00000A000000}"/>
    <dataValidation allowBlank="1" showInputMessage="1" showErrorMessage="1" prompt="此行定义了表中使用的键：单元格 C2 是休假，F2 是个人，I2 是病假。单元格 L2 和 O2 均可自定义" sqref="B2" xr:uid="{00000000-0002-0000-0500-00000B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500-00000C000000}"/>
    <dataValidation allowBlank="1" showInputMessage="1" showErrorMessage="1" prompt="在此行中自动生成月份天数。在每列中输入员工在该月份每天的缺勤和缺勤类型。空白表示未缺勤" sqref="C6" xr:uid="{00000000-0002-0000-05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58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TEXT(WEEKDAY(DATE(CalendarYear,7,1),1),"aaa")</f>
        <v>一</v>
      </c>
      <c r="D5" s="2" t="str">
        <f>TEXT(WEEKDAY(DATE(CalendarYear,7,2),1),"aaa")</f>
        <v>二</v>
      </c>
      <c r="E5" s="2" t="str">
        <f>TEXT(WEEKDAY(DATE(CalendarYear,7,3),1),"aaa")</f>
        <v>三</v>
      </c>
      <c r="F5" s="2" t="str">
        <f>TEXT(WEEKDAY(DATE(CalendarYear,7,4),1),"aaa")</f>
        <v>四</v>
      </c>
      <c r="G5" s="2" t="str">
        <f>TEXT(WEEKDAY(DATE(CalendarYear,7,5),1),"aaa")</f>
        <v>五</v>
      </c>
      <c r="H5" s="2" t="str">
        <f>TEXT(WEEKDAY(DATE(CalendarYear,7,6),1),"aaa")</f>
        <v>六</v>
      </c>
      <c r="I5" s="2" t="str">
        <f>TEXT(WEEKDAY(DATE(CalendarYear,7,7),1),"aaa")</f>
        <v>日</v>
      </c>
      <c r="J5" s="2" t="str">
        <f>TEXT(WEEKDAY(DATE(CalendarYear,7,8),1),"aaa")</f>
        <v>一</v>
      </c>
      <c r="K5" s="2" t="str">
        <f>TEXT(WEEKDAY(DATE(CalendarYear,7,9),1),"aaa")</f>
        <v>二</v>
      </c>
      <c r="L5" s="2" t="str">
        <f>TEXT(WEEKDAY(DATE(CalendarYear,7,10),1),"aaa")</f>
        <v>三</v>
      </c>
      <c r="M5" s="2" t="str">
        <f>TEXT(WEEKDAY(DATE(CalendarYear,7,11),1),"aaa")</f>
        <v>四</v>
      </c>
      <c r="N5" s="2" t="str">
        <f>TEXT(WEEKDAY(DATE(CalendarYear,7,12),1),"aaa")</f>
        <v>五</v>
      </c>
      <c r="O5" s="2" t="str">
        <f>TEXT(WEEKDAY(DATE(CalendarYear,7,13),1),"aaa")</f>
        <v>六</v>
      </c>
      <c r="P5" s="2" t="str">
        <f>TEXT(WEEKDAY(DATE(CalendarYear,7,14),1),"aaa")</f>
        <v>日</v>
      </c>
      <c r="Q5" s="2" t="str">
        <f>TEXT(WEEKDAY(DATE(CalendarYear,7,15),1),"aaa")</f>
        <v>一</v>
      </c>
      <c r="R5" s="2" t="str">
        <f>TEXT(WEEKDAY(DATE(CalendarYear,7,16),1),"aaa")</f>
        <v>二</v>
      </c>
      <c r="S5" s="2" t="str">
        <f>TEXT(WEEKDAY(DATE(CalendarYear,7,17),1),"aaa")</f>
        <v>三</v>
      </c>
      <c r="T5" s="2" t="str">
        <f>TEXT(WEEKDAY(DATE(CalendarYear,7,18),1),"aaa")</f>
        <v>四</v>
      </c>
      <c r="U5" s="2" t="str">
        <f>TEXT(WEEKDAY(DATE(CalendarYear,7,19),1),"aaa")</f>
        <v>五</v>
      </c>
      <c r="V5" s="2" t="str">
        <f>TEXT(WEEKDAY(DATE(CalendarYear,7,20),1),"aaa")</f>
        <v>六</v>
      </c>
      <c r="W5" s="2" t="str">
        <f>TEXT(WEEKDAY(DATE(CalendarYear,7,21),1),"aaa")</f>
        <v>日</v>
      </c>
      <c r="X5" s="2" t="str">
        <f>TEXT(WEEKDAY(DATE(CalendarYear,7,22),1),"aaa")</f>
        <v>一</v>
      </c>
      <c r="Y5" s="2" t="str">
        <f>TEXT(WEEKDAY(DATE(CalendarYear,7,23),1),"aaa")</f>
        <v>二</v>
      </c>
      <c r="Z5" s="2" t="str">
        <f>TEXT(WEEKDAY(DATE(CalendarYear,7,24),1),"aaa")</f>
        <v>三</v>
      </c>
      <c r="AA5" s="2" t="str">
        <f>TEXT(WEEKDAY(DATE(CalendarYear,7,25),1),"aaa")</f>
        <v>四</v>
      </c>
      <c r="AB5" s="2" t="str">
        <f>TEXT(WEEKDAY(DATE(CalendarYear,7,26),1),"aaa")</f>
        <v>五</v>
      </c>
      <c r="AC5" s="2" t="str">
        <f>TEXT(WEEKDAY(DATE(CalendarYear,7,27),1),"aaa")</f>
        <v>六</v>
      </c>
      <c r="AD5" s="2" t="str">
        <f>TEXT(WEEKDAY(DATE(CalendarYear,7,28),1),"aaa")</f>
        <v>日</v>
      </c>
      <c r="AE5" s="2" t="str">
        <f>TEXT(WEEKDAY(DATE(CalendarYear,7,29),1),"aaa")</f>
        <v>一</v>
      </c>
      <c r="AF5" s="2" t="str">
        <f>TEXT(WEEKDAY(DATE(CalendarYear,7,30),1),"aaa")</f>
        <v>二</v>
      </c>
      <c r="AG5" s="2" t="str">
        <f>TEXT(WEEKDAY(DATE(CalendarYear,7,31),1),"aaa")</f>
        <v>三</v>
      </c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COUNTA(七月[[#This Row],[1]:[31]])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COUNTA(七月[[#This Row],[1]:[31]])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COUNTA(七月[[#This Row],[1]:[31]])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COUNTA(七月[[#This Row],[1]:[31]])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COUNTA(七月[[#This Row],[1]:[31]])</f>
        <v>0</v>
      </c>
    </row>
    <row r="12" spans="2:34" ht="30" customHeight="1" x14ac:dyDescent="0.3">
      <c r="B12" s="18" t="str">
        <f>MonthName&amp;"汇总"</f>
        <v>7 月汇总</v>
      </c>
      <c r="C12" s="10">
        <f>SUBTOTAL(103,七月[1])</f>
        <v>0</v>
      </c>
      <c r="D12" s="10">
        <f>SUBTOTAL(103,七月[2])</f>
        <v>0</v>
      </c>
      <c r="E12" s="10">
        <f>SUBTOTAL(103,七月[3])</f>
        <v>0</v>
      </c>
      <c r="F12" s="10">
        <f>SUBTOTAL(103,七月[4])</f>
        <v>0</v>
      </c>
      <c r="G12" s="10">
        <f>SUBTOTAL(103,七月[5])</f>
        <v>0</v>
      </c>
      <c r="H12" s="10">
        <f>SUBTOTAL(103,七月[6])</f>
        <v>0</v>
      </c>
      <c r="I12" s="10">
        <f>SUBTOTAL(103,七月[7])</f>
        <v>0</v>
      </c>
      <c r="J12" s="10">
        <f>SUBTOTAL(103,七月[8])</f>
        <v>0</v>
      </c>
      <c r="K12" s="10">
        <f>SUBTOTAL(103,七月[9])</f>
        <v>0</v>
      </c>
      <c r="L12" s="10">
        <f>SUBTOTAL(103,七月[10])</f>
        <v>0</v>
      </c>
      <c r="M12" s="10">
        <f>SUBTOTAL(103,七月[11])</f>
        <v>0</v>
      </c>
      <c r="N12" s="10">
        <f>SUBTOTAL(103,七月[12])</f>
        <v>0</v>
      </c>
      <c r="O12" s="10">
        <f>SUBTOTAL(103,七月[13])</f>
        <v>0</v>
      </c>
      <c r="P12" s="10">
        <f>SUBTOTAL(103,七月[14])</f>
        <v>0</v>
      </c>
      <c r="Q12" s="10">
        <f>SUBTOTAL(103,七月[15])</f>
        <v>0</v>
      </c>
      <c r="R12" s="10">
        <f>SUBTOTAL(103,七月[16])</f>
        <v>0</v>
      </c>
      <c r="S12" s="10">
        <f>SUBTOTAL(103,七月[17])</f>
        <v>0</v>
      </c>
      <c r="T12" s="10">
        <f>SUBTOTAL(103,七月[18])</f>
        <v>0</v>
      </c>
      <c r="U12" s="10">
        <f>SUBTOTAL(103,七月[19])</f>
        <v>0</v>
      </c>
      <c r="V12" s="10">
        <f>SUBTOTAL(103,七月[20])</f>
        <v>0</v>
      </c>
      <c r="W12" s="10">
        <f>SUBTOTAL(103,七月[21])</f>
        <v>0</v>
      </c>
      <c r="X12" s="10">
        <f>SUBTOTAL(103,七月[22])</f>
        <v>0</v>
      </c>
      <c r="Y12" s="10">
        <f>SUBTOTAL(103,七月[23])</f>
        <v>0</v>
      </c>
      <c r="Z12" s="10">
        <f>SUBTOTAL(103,七月[24])</f>
        <v>0</v>
      </c>
      <c r="AA12" s="10">
        <f>SUBTOTAL(103,七月[25])</f>
        <v>0</v>
      </c>
      <c r="AB12" s="10">
        <f>SUBTOTAL(103,七月[26])</f>
        <v>0</v>
      </c>
      <c r="AC12" s="10">
        <f>SUBTOTAL(103,七月[27])</f>
        <v>0</v>
      </c>
      <c r="AD12" s="10">
        <f>SUBTOTAL(103,七月[28])</f>
        <v>0</v>
      </c>
      <c r="AE12" s="10">
        <f>SUBTOTAL(103,七月[29])</f>
        <v>0</v>
      </c>
      <c r="AF12" s="10">
        <f>SUBTOTAL(103,七月[30])</f>
        <v>0</v>
      </c>
      <c r="AG12" s="10">
        <f>SUBTOTAL(103,七月[31])</f>
        <v>0</v>
      </c>
      <c r="AH12" s="10">
        <f>SUBTOTAL(109,七月[总天数])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444" priority="2" stopIfTrue="1">
      <formula>C7=KeyCustom2</formula>
    </cfRule>
    <cfRule type="expression" dxfId="443" priority="3" stopIfTrue="1">
      <formula>C7=KeyCustom1</formula>
    </cfRule>
    <cfRule type="expression" dxfId="442" priority="4" stopIfTrue="1">
      <formula>C7=KeySick</formula>
    </cfRule>
    <cfRule type="expression" dxfId="441" priority="5" stopIfTrue="1">
      <formula>C7=KeyPersonal</formula>
    </cfRule>
    <cfRule type="expression" dxfId="440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在此行中自动生成月份天数。在每列中输入员工在该月份每天的缺勤和缺勤类型。空白表示未缺勤" sqref="C6" xr:uid="{00000000-0002-0000-0600-000000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600-000001000000}"/>
    <dataValidation allowBlank="1" showInputMessage="1" showErrorMessage="1" prompt="此行定义了表中使用的键：单元格 C2 是休假，F2 是个人，I2 是病假。单元格 L2 和 O2 均可自定义" sqref="B2" xr:uid="{00000000-0002-0000-0600-000002000000}"/>
    <dataValidation allowBlank="1" showInputMessage="1" showErrorMessage="1" prompt="在左侧输入标签以描述自定义键" sqref="M2 P2" xr:uid="{00000000-0002-0000-0600-000003000000}"/>
    <dataValidation allowBlank="1" showInputMessage="1" showErrorMessage="1" prompt="在右侧输入字母并自定义标签以添加其他键项" sqref="L2 O2" xr:uid="{00000000-0002-0000-0600-000004000000}"/>
    <dataValidation allowBlank="1" showInputMessage="1" showErrorMessage="1" prompt="字母“S”表示表示因病假缺勤" sqref="I2" xr:uid="{00000000-0002-0000-0600-000005000000}"/>
    <dataValidation allowBlank="1" showInputMessage="1" showErrorMessage="1" prompt="字母“P”表示因个人原因缺勤" sqref="F2" xr:uid="{00000000-0002-0000-0600-000006000000}"/>
    <dataValidation allowBlank="1" showInputMessage="1" showErrorMessage="1" prompt="字母“V”表示因休假缺勤" sqref="C2" xr:uid="{00000000-0002-0000-0600-000007000000}"/>
    <dataValidation allowBlank="1" showInputMessage="1" showErrorMessage="1" prompt="自动更新的标题位于此单元格中。若要修改标题，请更新“一月”工作表上的 B1" sqref="B1" xr:uid="{00000000-0002-0000-0600-000008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600-000009000000}"/>
    <dataValidation allowBlank="1" showInputMessage="1" showErrorMessage="1" prompt="在此工作表中跟踪 7 月的缺勤情况" sqref="A1" xr:uid="{00000000-0002-0000-0600-00000A000000}"/>
    <dataValidation allowBlank="1" showInputMessage="1" showErrorMessage="1" prompt="在此列中自动计算某位员工该月缺勤的总天数" sqref="AH6" xr:uid="{00000000-0002-0000-0600-00000B000000}"/>
    <dataValidation allowBlank="1" showInputMessage="1" showErrorMessage="1" prompt="根据“一月”工作表中输入的年份自动更新年份" sqref="AH4" xr:uid="{00000000-0002-0000-0600-00000C000000}"/>
    <dataValidation allowBlank="1" showInputMessage="1" showErrorMessage="1" prompt="根据 AH4 中的年份，在此行中自动更新该月的工作日。在该月份的每一天都有记录员工缺勤和缺勤类型的列" sqref="C5" xr:uid="{00000000-0002-0000-06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59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TEXT(WEEKDAY(DATE(CalendarYear,8,1),1),"aaa")</f>
        <v>四</v>
      </c>
      <c r="D5" s="2" t="str">
        <f>TEXT(WEEKDAY(DATE(CalendarYear,8,2),1),"aaa")</f>
        <v>五</v>
      </c>
      <c r="E5" s="2" t="str">
        <f>TEXT(WEEKDAY(DATE(CalendarYear,8,3),1),"aaa")</f>
        <v>六</v>
      </c>
      <c r="F5" s="2" t="str">
        <f>TEXT(WEEKDAY(DATE(CalendarYear,8,4),1),"aaa")</f>
        <v>日</v>
      </c>
      <c r="G5" s="2" t="str">
        <f>TEXT(WEEKDAY(DATE(CalendarYear,8,5),1),"aaa")</f>
        <v>一</v>
      </c>
      <c r="H5" s="2" t="str">
        <f>TEXT(WEEKDAY(DATE(CalendarYear,8,6),1),"aaa")</f>
        <v>二</v>
      </c>
      <c r="I5" s="2" t="str">
        <f>TEXT(WEEKDAY(DATE(CalendarYear,8,7),1),"aaa")</f>
        <v>三</v>
      </c>
      <c r="J5" s="2" t="str">
        <f>TEXT(WEEKDAY(DATE(CalendarYear,8,8),1),"aaa")</f>
        <v>四</v>
      </c>
      <c r="K5" s="2" t="str">
        <f>TEXT(WEEKDAY(DATE(CalendarYear,8,9),1),"aaa")</f>
        <v>五</v>
      </c>
      <c r="L5" s="2" t="str">
        <f>TEXT(WEEKDAY(DATE(CalendarYear,8,10),1),"aaa")</f>
        <v>六</v>
      </c>
      <c r="M5" s="2" t="str">
        <f>TEXT(WEEKDAY(DATE(CalendarYear,8,11),1),"aaa")</f>
        <v>日</v>
      </c>
      <c r="N5" s="2" t="str">
        <f>TEXT(WEEKDAY(DATE(CalendarYear,8,12),1),"aaa")</f>
        <v>一</v>
      </c>
      <c r="O5" s="2" t="str">
        <f>TEXT(WEEKDAY(DATE(CalendarYear,8,13),1),"aaa")</f>
        <v>二</v>
      </c>
      <c r="P5" s="2" t="str">
        <f>TEXT(WEEKDAY(DATE(CalendarYear,8,14),1),"aaa")</f>
        <v>三</v>
      </c>
      <c r="Q5" s="2" t="str">
        <f>TEXT(WEEKDAY(DATE(CalendarYear,8,15),1),"aaa")</f>
        <v>四</v>
      </c>
      <c r="R5" s="2" t="str">
        <f>TEXT(WEEKDAY(DATE(CalendarYear,8,16),1),"aaa")</f>
        <v>五</v>
      </c>
      <c r="S5" s="2" t="str">
        <f>TEXT(WEEKDAY(DATE(CalendarYear,8,17),1),"aaa")</f>
        <v>六</v>
      </c>
      <c r="T5" s="2" t="str">
        <f>TEXT(WEEKDAY(DATE(CalendarYear,8,18),1),"aaa")</f>
        <v>日</v>
      </c>
      <c r="U5" s="2" t="str">
        <f>TEXT(WEEKDAY(DATE(CalendarYear,8,19),1),"aaa")</f>
        <v>一</v>
      </c>
      <c r="V5" s="2" t="str">
        <f>TEXT(WEEKDAY(DATE(CalendarYear,8,20),1),"aaa")</f>
        <v>二</v>
      </c>
      <c r="W5" s="2" t="str">
        <f>TEXT(WEEKDAY(DATE(CalendarYear,8,21),1),"aaa")</f>
        <v>三</v>
      </c>
      <c r="X5" s="2" t="str">
        <f>TEXT(WEEKDAY(DATE(CalendarYear,8,22),1),"aaa")</f>
        <v>四</v>
      </c>
      <c r="Y5" s="2" t="str">
        <f>TEXT(WEEKDAY(DATE(CalendarYear,8,23),1),"aaa")</f>
        <v>五</v>
      </c>
      <c r="Z5" s="2" t="str">
        <f>TEXT(WEEKDAY(DATE(CalendarYear,8,24),1),"aaa")</f>
        <v>六</v>
      </c>
      <c r="AA5" s="2" t="str">
        <f>TEXT(WEEKDAY(DATE(CalendarYear,8,25),1),"aaa")</f>
        <v>日</v>
      </c>
      <c r="AB5" s="2" t="str">
        <f>TEXT(WEEKDAY(DATE(CalendarYear,8,26),1),"aaa")</f>
        <v>一</v>
      </c>
      <c r="AC5" s="2" t="str">
        <f>TEXT(WEEKDAY(DATE(CalendarYear,8,27),1),"aaa")</f>
        <v>二</v>
      </c>
      <c r="AD5" s="2" t="str">
        <f>TEXT(WEEKDAY(DATE(CalendarYear,8,28),1),"aaa")</f>
        <v>三</v>
      </c>
      <c r="AE5" s="2" t="str">
        <f>TEXT(WEEKDAY(DATE(CalendarYear,8,29),1),"aaa")</f>
        <v>四</v>
      </c>
      <c r="AF5" s="2" t="str">
        <f>TEXT(WEEKDAY(DATE(CalendarYear,8,30),1),"aaa")</f>
        <v>五</v>
      </c>
      <c r="AG5" s="2" t="str">
        <f>TEXT(WEEKDAY(DATE(CalendarYear,8,31),1),"aaa")</f>
        <v>六</v>
      </c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COUNTA(八月[[#This Row],[1]:[31]])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COUNTA(八月[[#This Row],[1]:[31]])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COUNTA(八月[[#This Row],[1]:[31]])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COUNTA(八月[[#This Row],[1]:[31]])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COUNTA(八月[[#This Row],[1]:[31]])</f>
        <v>0</v>
      </c>
    </row>
    <row r="12" spans="2:34" ht="30" customHeight="1" x14ac:dyDescent="0.3">
      <c r="B12" s="18" t="str">
        <f>MonthName&amp;"汇总"</f>
        <v>8 月汇总</v>
      </c>
      <c r="C12" s="10">
        <f>SUBTOTAL(103,八月[1])</f>
        <v>0</v>
      </c>
      <c r="D12" s="10">
        <f>SUBTOTAL(103,八月[2])</f>
        <v>0</v>
      </c>
      <c r="E12" s="10">
        <f>SUBTOTAL(103,八月[3])</f>
        <v>0</v>
      </c>
      <c r="F12" s="10">
        <f>SUBTOTAL(103,八月[4])</f>
        <v>0</v>
      </c>
      <c r="G12" s="10">
        <f>SUBTOTAL(103,八月[5])</f>
        <v>0</v>
      </c>
      <c r="H12" s="10">
        <f>SUBTOTAL(103,八月[6])</f>
        <v>0</v>
      </c>
      <c r="I12" s="10">
        <f>SUBTOTAL(103,八月[7])</f>
        <v>0</v>
      </c>
      <c r="J12" s="10">
        <f>SUBTOTAL(103,八月[8])</f>
        <v>0</v>
      </c>
      <c r="K12" s="10">
        <f>SUBTOTAL(103,八月[9])</f>
        <v>0</v>
      </c>
      <c r="L12" s="10">
        <f>SUBTOTAL(103,八月[10])</f>
        <v>0</v>
      </c>
      <c r="M12" s="10">
        <f>SUBTOTAL(103,八月[11])</f>
        <v>0</v>
      </c>
      <c r="N12" s="10">
        <f>SUBTOTAL(103,八月[12])</f>
        <v>0</v>
      </c>
      <c r="O12" s="10">
        <f>SUBTOTAL(103,八月[13])</f>
        <v>0</v>
      </c>
      <c r="P12" s="10">
        <f>SUBTOTAL(103,八月[14])</f>
        <v>0</v>
      </c>
      <c r="Q12" s="10">
        <f>SUBTOTAL(103,八月[15])</f>
        <v>0</v>
      </c>
      <c r="R12" s="10">
        <f>SUBTOTAL(103,八月[16])</f>
        <v>0</v>
      </c>
      <c r="S12" s="10">
        <f>SUBTOTAL(103,八月[17])</f>
        <v>0</v>
      </c>
      <c r="T12" s="10">
        <f>SUBTOTAL(103,八月[18])</f>
        <v>0</v>
      </c>
      <c r="U12" s="10">
        <f>SUBTOTAL(103,八月[19])</f>
        <v>0</v>
      </c>
      <c r="V12" s="10">
        <f>SUBTOTAL(103,八月[20])</f>
        <v>0</v>
      </c>
      <c r="W12" s="10">
        <f>SUBTOTAL(103,八月[21])</f>
        <v>0</v>
      </c>
      <c r="X12" s="10">
        <f>SUBTOTAL(103,八月[22])</f>
        <v>0</v>
      </c>
      <c r="Y12" s="10">
        <f>SUBTOTAL(103,八月[23])</f>
        <v>0</v>
      </c>
      <c r="Z12" s="10">
        <f>SUBTOTAL(103,八月[24])</f>
        <v>0</v>
      </c>
      <c r="AA12" s="10">
        <f>SUBTOTAL(103,八月[25])</f>
        <v>0</v>
      </c>
      <c r="AB12" s="10">
        <f>SUBTOTAL(103,八月[26])</f>
        <v>0</v>
      </c>
      <c r="AC12" s="10">
        <f>SUBTOTAL(103,八月[27])</f>
        <v>0</v>
      </c>
      <c r="AD12" s="10">
        <f>SUBTOTAL(103,八月[28])</f>
        <v>0</v>
      </c>
      <c r="AE12" s="10">
        <f>SUBTOTAL(103,八月[29])</f>
        <v>0</v>
      </c>
      <c r="AF12" s="10">
        <f>SUBTOTAL(103,八月[30])</f>
        <v>0</v>
      </c>
      <c r="AG12" s="10">
        <f>SUBTOTAL(103,八月[31])</f>
        <v>0</v>
      </c>
      <c r="AH12" s="10">
        <f>SUBTOTAL(109,八月[总天数])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370" priority="2" stopIfTrue="1">
      <formula>C7=KeyCustom2</formula>
    </cfRule>
    <cfRule type="expression" dxfId="369" priority="3" stopIfTrue="1">
      <formula>C7=KeyCustom1</formula>
    </cfRule>
    <cfRule type="expression" dxfId="368" priority="4" stopIfTrue="1">
      <formula>C7=KeySick</formula>
    </cfRule>
    <cfRule type="expression" dxfId="367" priority="5" stopIfTrue="1">
      <formula>C7=KeyPersonal</formula>
    </cfRule>
    <cfRule type="expression" dxfId="366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根据 AH4 中的年份，在此行中自动更新该月的工作日。在该月份的每一天都有记录员工缺勤和缺勤类型的列" sqref="C5" xr:uid="{00000000-0002-0000-0700-000000000000}"/>
    <dataValidation allowBlank="1" showInputMessage="1" showErrorMessage="1" prompt="根据“一月”工作表中输入的年份自动更新年份" sqref="AH4" xr:uid="{00000000-0002-0000-0700-000001000000}"/>
    <dataValidation allowBlank="1" showInputMessage="1" showErrorMessage="1" prompt="在此列中自动计算某位员工该月缺勤的总天数" sqref="AH6" xr:uid="{00000000-0002-0000-0700-000002000000}"/>
    <dataValidation allowBlank="1" showInputMessage="1" showErrorMessage="1" prompt="在此工作表中跟踪 8 月的缺勤情况" sqref="A1" xr:uid="{00000000-0002-0000-0700-000003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700-000004000000}"/>
    <dataValidation allowBlank="1" showInputMessage="1" showErrorMessage="1" prompt="自动更新的标题位于此单元格中。若要修改标题，请更新“一月”工作表上的 B1" sqref="B1" xr:uid="{00000000-0002-0000-0700-000005000000}"/>
    <dataValidation allowBlank="1" showInputMessage="1" showErrorMessage="1" prompt="字母“V”表示因休假缺勤" sqref="C2" xr:uid="{00000000-0002-0000-0700-000006000000}"/>
    <dataValidation allowBlank="1" showInputMessage="1" showErrorMessage="1" prompt="字母“P”表示因个人原因缺勤" sqref="F2" xr:uid="{00000000-0002-0000-0700-000007000000}"/>
    <dataValidation allowBlank="1" showInputMessage="1" showErrorMessage="1" prompt="字母“S”表示表示因病假缺勤" sqref="I2" xr:uid="{00000000-0002-0000-0700-000008000000}"/>
    <dataValidation allowBlank="1" showInputMessage="1" showErrorMessage="1" prompt="在右侧输入字母并自定义标签以添加其他键项" sqref="L2 O2" xr:uid="{00000000-0002-0000-0700-000009000000}"/>
    <dataValidation allowBlank="1" showInputMessage="1" showErrorMessage="1" prompt="在左侧输入标签以描述自定义键" sqref="M2 P2" xr:uid="{00000000-0002-0000-0700-00000A000000}"/>
    <dataValidation allowBlank="1" showInputMessage="1" showErrorMessage="1" prompt="此行定义了表中使用的键：单元格 C2 是休假，F2 是个人，I2 是病假。单元格 L2 和 O2 均可自定义" sqref="B2" xr:uid="{00000000-0002-0000-0700-00000B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700-00000C000000}"/>
    <dataValidation allowBlank="1" showInputMessage="1" showErrorMessage="1" prompt="在此行中自动生成月份天数。在每列中输入员工在该月份每天的缺勤和缺勤类型。空白表示未缺勤" sqref="C6" xr:uid="{00000000-0002-0000-07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员工姓名!$B$4:$B$8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3"/>
  <cols>
    <col min="1" max="1" width="2.77734375" style="8" customWidth="1"/>
    <col min="2" max="2" width="25.77734375" style="8" customWidth="1"/>
    <col min="3" max="33" width="4.77734375" style="8" customWidth="1"/>
    <col min="34" max="34" width="13.6640625" style="8" customWidth="1"/>
    <col min="35" max="35" width="2.77734375" customWidth="1"/>
  </cols>
  <sheetData>
    <row r="1" spans="2:34" ht="50.1" customHeight="1" x14ac:dyDescent="0.3">
      <c r="B1" s="11" t="str">
        <f>Employee_Absence_Title</f>
        <v>员工考勤时间表</v>
      </c>
    </row>
    <row r="2" spans="2:34" ht="15" customHeight="1" x14ac:dyDescent="0.3">
      <c r="B2" s="16" t="s">
        <v>1</v>
      </c>
      <c r="C2" s="4" t="s">
        <v>9</v>
      </c>
      <c r="D2" s="25" t="s">
        <v>12</v>
      </c>
      <c r="E2" s="25"/>
      <c r="F2" s="5" t="s">
        <v>15</v>
      </c>
      <c r="G2" s="25" t="s">
        <v>19</v>
      </c>
      <c r="H2" s="25"/>
      <c r="I2" s="20" t="s">
        <v>17</v>
      </c>
      <c r="J2" s="25" t="s">
        <v>24</v>
      </c>
      <c r="K2" s="25"/>
      <c r="L2" s="21"/>
      <c r="M2" s="25" t="s">
        <v>28</v>
      </c>
      <c r="N2" s="25"/>
      <c r="O2" s="22"/>
      <c r="P2" s="25" t="s">
        <v>33</v>
      </c>
      <c r="Q2" s="25"/>
    </row>
    <row r="3" spans="2:34" ht="15" customHeight="1" x14ac:dyDescent="0.3">
      <c r="B3" s="11"/>
    </row>
    <row r="4" spans="2:34" ht="30" customHeight="1" x14ac:dyDescent="0.3">
      <c r="B4" s="9" t="s">
        <v>60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9">
        <f>CalendarYear</f>
        <v>2019</v>
      </c>
    </row>
    <row r="5" spans="2:34" ht="15" customHeight="1" x14ac:dyDescent="0.3">
      <c r="B5" s="9"/>
      <c r="C5" s="2" t="str">
        <f>TEXT(WEEKDAY(DATE(CalendarYear,9,1),1),"aaa")</f>
        <v>日</v>
      </c>
      <c r="D5" s="2" t="str">
        <f>TEXT(WEEKDAY(DATE(CalendarYear,9,2),1),"aaa")</f>
        <v>一</v>
      </c>
      <c r="E5" s="2" t="str">
        <f>TEXT(WEEKDAY(DATE(CalendarYear,9,3),1),"aaa")</f>
        <v>二</v>
      </c>
      <c r="F5" s="2" t="str">
        <f>TEXT(WEEKDAY(DATE(CalendarYear,9,4),1),"aaa")</f>
        <v>三</v>
      </c>
      <c r="G5" s="2" t="str">
        <f>TEXT(WEEKDAY(DATE(CalendarYear,9,5),1),"aaa")</f>
        <v>四</v>
      </c>
      <c r="H5" s="2" t="str">
        <f>TEXT(WEEKDAY(DATE(CalendarYear,9,6),1),"aaa")</f>
        <v>五</v>
      </c>
      <c r="I5" s="2" t="str">
        <f>TEXT(WEEKDAY(DATE(CalendarYear,9,7),1),"aaa")</f>
        <v>六</v>
      </c>
      <c r="J5" s="2" t="str">
        <f>TEXT(WEEKDAY(DATE(CalendarYear,9,8),1),"aaa")</f>
        <v>日</v>
      </c>
      <c r="K5" s="2" t="str">
        <f>TEXT(WEEKDAY(DATE(CalendarYear,9,9),1),"aaa")</f>
        <v>一</v>
      </c>
      <c r="L5" s="2" t="str">
        <f>TEXT(WEEKDAY(DATE(CalendarYear,9,10),1),"aaa")</f>
        <v>二</v>
      </c>
      <c r="M5" s="2" t="str">
        <f>TEXT(WEEKDAY(DATE(CalendarYear,9,11),1),"aaa")</f>
        <v>三</v>
      </c>
      <c r="N5" s="2" t="str">
        <f>TEXT(WEEKDAY(DATE(CalendarYear,9,12),1),"aaa")</f>
        <v>四</v>
      </c>
      <c r="O5" s="2" t="str">
        <f>TEXT(WEEKDAY(DATE(CalendarYear,9,13),1),"aaa")</f>
        <v>五</v>
      </c>
      <c r="P5" s="2" t="str">
        <f>TEXT(WEEKDAY(DATE(CalendarYear,9,14),1),"aaa")</f>
        <v>六</v>
      </c>
      <c r="Q5" s="2" t="str">
        <f>TEXT(WEEKDAY(DATE(CalendarYear,9,15),1),"aaa")</f>
        <v>日</v>
      </c>
      <c r="R5" s="2" t="str">
        <f>TEXT(WEEKDAY(DATE(CalendarYear,9,16),1),"aaa")</f>
        <v>一</v>
      </c>
      <c r="S5" s="2" t="str">
        <f>TEXT(WEEKDAY(DATE(CalendarYear,9,17),1),"aaa")</f>
        <v>二</v>
      </c>
      <c r="T5" s="2" t="str">
        <f>TEXT(WEEKDAY(DATE(CalendarYear,9,18),1),"aaa")</f>
        <v>三</v>
      </c>
      <c r="U5" s="2" t="str">
        <f>TEXT(WEEKDAY(DATE(CalendarYear,9,19),1),"aaa")</f>
        <v>四</v>
      </c>
      <c r="V5" s="2" t="str">
        <f>TEXT(WEEKDAY(DATE(CalendarYear,9,20),1),"aaa")</f>
        <v>五</v>
      </c>
      <c r="W5" s="2" t="str">
        <f>TEXT(WEEKDAY(DATE(CalendarYear,9,21),1),"aaa")</f>
        <v>六</v>
      </c>
      <c r="X5" s="2" t="str">
        <f>TEXT(WEEKDAY(DATE(CalendarYear,9,22),1),"aaa")</f>
        <v>日</v>
      </c>
      <c r="Y5" s="2" t="str">
        <f>TEXT(WEEKDAY(DATE(CalendarYear,9,23),1),"aaa")</f>
        <v>一</v>
      </c>
      <c r="Z5" s="2" t="str">
        <f>TEXT(WEEKDAY(DATE(CalendarYear,9,24),1),"aaa")</f>
        <v>二</v>
      </c>
      <c r="AA5" s="2" t="str">
        <f>TEXT(WEEKDAY(DATE(CalendarYear,9,25),1),"aaa")</f>
        <v>三</v>
      </c>
      <c r="AB5" s="2" t="str">
        <f>TEXT(WEEKDAY(DATE(CalendarYear,9,26),1),"aaa")</f>
        <v>四</v>
      </c>
      <c r="AC5" s="2" t="str">
        <f>TEXT(WEEKDAY(DATE(CalendarYear,9,27),1),"aaa")</f>
        <v>五</v>
      </c>
      <c r="AD5" s="2" t="str">
        <f>TEXT(WEEKDAY(DATE(CalendarYear,9,28),1),"aaa")</f>
        <v>六</v>
      </c>
      <c r="AE5" s="2" t="str">
        <f>TEXT(WEEKDAY(DATE(CalendarYear,9,29),1),"aaa")</f>
        <v>日</v>
      </c>
      <c r="AF5" s="2" t="str">
        <f>TEXT(WEEKDAY(DATE(CalendarYear,9,30),1),"aaa")</f>
        <v>一</v>
      </c>
      <c r="AG5" s="2"/>
      <c r="AH5" s="9"/>
    </row>
    <row r="6" spans="2:34" ht="15" customHeight="1" x14ac:dyDescent="0.3">
      <c r="B6" s="12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3" t="s">
        <v>50</v>
      </c>
    </row>
    <row r="7" spans="2:34" ht="30" customHeight="1" x14ac:dyDescent="0.3">
      <c r="B7" s="14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COUNTA(九月[[#This Row],[1]:[30]])</f>
        <v>0</v>
      </c>
    </row>
    <row r="8" spans="2:34" ht="30" customHeight="1" x14ac:dyDescent="0.3">
      <c r="B8" s="1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COUNTA(九月[[#This Row],[1]:[30]])</f>
        <v>0</v>
      </c>
    </row>
    <row r="9" spans="2:34" ht="30" customHeight="1" x14ac:dyDescent="0.3">
      <c r="B9" s="1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COUNTA(九月[[#This Row],[1]:[30]])</f>
        <v>0</v>
      </c>
    </row>
    <row r="10" spans="2:34" ht="30" customHeight="1" x14ac:dyDescent="0.3">
      <c r="B10" s="1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COUNTA(九月[[#This Row],[1]:[30]])</f>
        <v>0</v>
      </c>
    </row>
    <row r="11" spans="2:34" ht="30" customHeight="1" x14ac:dyDescent="0.3">
      <c r="B11" s="1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COUNTA(九月[[#This Row],[1]:[30]])</f>
        <v>0</v>
      </c>
    </row>
    <row r="12" spans="2:34" ht="30" customHeight="1" x14ac:dyDescent="0.3">
      <c r="B12" s="18" t="str">
        <f>MonthName&amp;"汇总"</f>
        <v>9 月汇总</v>
      </c>
      <c r="C12" s="10">
        <f>SUBTOTAL(103,九月[1])</f>
        <v>0</v>
      </c>
      <c r="D12" s="10">
        <f>SUBTOTAL(103,九月[2])</f>
        <v>0</v>
      </c>
      <c r="E12" s="10">
        <f>SUBTOTAL(103,九月[3])</f>
        <v>0</v>
      </c>
      <c r="F12" s="10">
        <f>SUBTOTAL(103,九月[4])</f>
        <v>0</v>
      </c>
      <c r="G12" s="10">
        <f>SUBTOTAL(103,九月[5])</f>
        <v>0</v>
      </c>
      <c r="H12" s="10">
        <f>SUBTOTAL(103,九月[6])</f>
        <v>0</v>
      </c>
      <c r="I12" s="10">
        <f>SUBTOTAL(103,九月[7])</f>
        <v>0</v>
      </c>
      <c r="J12" s="10">
        <f>SUBTOTAL(103,九月[8])</f>
        <v>0</v>
      </c>
      <c r="K12" s="10">
        <f>SUBTOTAL(103,九月[9])</f>
        <v>0</v>
      </c>
      <c r="L12" s="10">
        <f>SUBTOTAL(103,九月[10])</f>
        <v>0</v>
      </c>
      <c r="M12" s="10">
        <f>SUBTOTAL(103,九月[11])</f>
        <v>0</v>
      </c>
      <c r="N12" s="10">
        <f>SUBTOTAL(103,九月[12])</f>
        <v>0</v>
      </c>
      <c r="O12" s="10">
        <f>SUBTOTAL(103,九月[13])</f>
        <v>0</v>
      </c>
      <c r="P12" s="10">
        <f>SUBTOTAL(103,九月[14])</f>
        <v>0</v>
      </c>
      <c r="Q12" s="10">
        <f>SUBTOTAL(103,九月[15])</f>
        <v>0</v>
      </c>
      <c r="R12" s="10">
        <f>SUBTOTAL(103,九月[16])</f>
        <v>0</v>
      </c>
      <c r="S12" s="10">
        <f>SUBTOTAL(103,九月[17])</f>
        <v>0</v>
      </c>
      <c r="T12" s="10">
        <f>SUBTOTAL(103,九月[18])</f>
        <v>0</v>
      </c>
      <c r="U12" s="10">
        <f>SUBTOTAL(103,九月[19])</f>
        <v>0</v>
      </c>
      <c r="V12" s="10">
        <f>SUBTOTAL(103,九月[20])</f>
        <v>0</v>
      </c>
      <c r="W12" s="10">
        <f>SUBTOTAL(103,九月[21])</f>
        <v>0</v>
      </c>
      <c r="X12" s="10">
        <f>SUBTOTAL(103,九月[22])</f>
        <v>0</v>
      </c>
      <c r="Y12" s="10">
        <f>SUBTOTAL(103,九月[23])</f>
        <v>0</v>
      </c>
      <c r="Z12" s="10">
        <f>SUBTOTAL(103,九月[24])</f>
        <v>0</v>
      </c>
      <c r="AA12" s="10">
        <f>SUBTOTAL(103,九月[25])</f>
        <v>0</v>
      </c>
      <c r="AB12" s="10">
        <f>SUBTOTAL(103,九月[26])</f>
        <v>0</v>
      </c>
      <c r="AC12" s="10">
        <f>SUBTOTAL(103,九月[27])</f>
        <v>0</v>
      </c>
      <c r="AD12" s="10">
        <f>SUBTOTAL(103,九月[28])</f>
        <v>0</v>
      </c>
      <c r="AE12" s="10">
        <f>SUBTOTAL(103,九月[29])</f>
        <v>0</v>
      </c>
      <c r="AF12" s="10">
        <f>SUBTOTAL(103,九月[30])</f>
        <v>0</v>
      </c>
      <c r="AG12" s="10">
        <f>SUBTOTAL(103,九月[[ ]])</f>
        <v>0</v>
      </c>
      <c r="AH12" s="10">
        <f>SUBTOTAL(109,九月[总天数])</f>
        <v>0</v>
      </c>
    </row>
  </sheetData>
  <mergeCells count="6">
    <mergeCell ref="C4:AG4"/>
    <mergeCell ref="D2:E2"/>
    <mergeCell ref="G2:H2"/>
    <mergeCell ref="J2:K2"/>
    <mergeCell ref="M2:N2"/>
    <mergeCell ref="P2:Q2"/>
  </mergeCells>
  <phoneticPr fontId="19" type="noConversion"/>
  <conditionalFormatting sqref="C7:AG11">
    <cfRule type="expression" priority="1" stopIfTrue="1">
      <formula>C7=""</formula>
    </cfRule>
  </conditionalFormatting>
  <conditionalFormatting sqref="C7:AG11">
    <cfRule type="expression" dxfId="296" priority="2" stopIfTrue="1">
      <formula>C7=KeyCustom2</formula>
    </cfRule>
    <cfRule type="expression" dxfId="295" priority="3" stopIfTrue="1">
      <formula>C7=KeyCustom1</formula>
    </cfRule>
    <cfRule type="expression" dxfId="294" priority="4" stopIfTrue="1">
      <formula>C7=KeySick</formula>
    </cfRule>
    <cfRule type="expression" dxfId="293" priority="5" stopIfTrue="1">
      <formula>C7=KeyPersonal</formula>
    </cfRule>
    <cfRule type="expression" dxfId="292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在此行中自动生成月份天数。在每列中输入员工在该月份每天的缺勤和缺勤类型。空白表示未缺勤" sqref="C6" xr:uid="{00000000-0002-0000-0800-000000000000}"/>
    <dataValidation allowBlank="1" showInputMessage="1" showErrorMessage="1" prompt="此考勤时间表的月份名称位于此单元格中。此月份的缺勤总数位于表的最后一个单元格内。在表的列 B 中选择员工姓名" sqref="B4" xr:uid="{00000000-0002-0000-0800-000001000000}"/>
    <dataValidation allowBlank="1" showInputMessage="1" showErrorMessage="1" prompt="此行定义了表中使用的键：单元格 C2 是休假，F2 是个人，I2 是病假。单元格 L2 和 O2 均可自定义" sqref="B2" xr:uid="{00000000-0002-0000-0800-000002000000}"/>
    <dataValidation allowBlank="1" showInputMessage="1" showErrorMessage="1" prompt="在左侧输入标签以描述自定义键" sqref="M2 P2" xr:uid="{00000000-0002-0000-0800-000003000000}"/>
    <dataValidation allowBlank="1" showInputMessage="1" showErrorMessage="1" prompt="在右侧输入字母并自定义标签以添加其他键项" sqref="L2 O2" xr:uid="{00000000-0002-0000-0800-000004000000}"/>
    <dataValidation allowBlank="1" showInputMessage="1" showErrorMessage="1" prompt="字母“S”表示表示因病假缺勤" sqref="I2" xr:uid="{00000000-0002-0000-0800-000005000000}"/>
    <dataValidation allowBlank="1" showInputMessage="1" showErrorMessage="1" prompt="字母“P”表示因个人原因缺勤" sqref="F2" xr:uid="{00000000-0002-0000-0800-000006000000}"/>
    <dataValidation allowBlank="1" showInputMessage="1" showErrorMessage="1" prompt="字母“V”表示因休假缺勤" sqref="C2" xr:uid="{00000000-0002-0000-0800-000007000000}"/>
    <dataValidation allowBlank="1" showInputMessage="1" showErrorMessage="1" prompt="自动更新的标题位于此单元格中。若要修改标题，请更新“一月”工作表上的 B1" sqref="B1" xr:uid="{00000000-0002-0000-0800-000008000000}"/>
    <dataValidation errorStyle="warning"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xr:uid="{00000000-0002-0000-0800-000009000000}"/>
    <dataValidation allowBlank="1" showInputMessage="1" showErrorMessage="1" prompt="在此工作表中跟踪 9 月的缺勤情况" sqref="A1" xr:uid="{00000000-0002-0000-0800-00000A000000}"/>
    <dataValidation allowBlank="1" showInputMessage="1" showErrorMessage="1" prompt="在此列中自动计算某位员工该月缺勤的总天数" sqref="AH6" xr:uid="{00000000-0002-0000-0800-00000B000000}"/>
    <dataValidation allowBlank="1" showInputMessage="1" showErrorMessage="1" prompt="根据“一月”工作表中输入的年份自动更新年份" sqref="AH4" xr:uid="{00000000-0002-0000-0800-00000C000000}"/>
    <dataValidation allowBlank="1" showInputMessage="1" showErrorMessage="1" prompt="根据 AH4 中的年份，在此行中自动更新该月的工作日。在该月份的每一天都有记录员工缺勤和缺勤类型的列" sqref="C5" xr:uid="{00000000-0002-0000-0800-00000D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员工姓名!$B$4:$B$8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50</vt:i4>
      </vt:variant>
    </vt:vector>
  </HeadingPairs>
  <TitlesOfParts>
    <vt:vector size="63" baseType="lpstr"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员工姓名</vt:lpstr>
      <vt:lpstr>CalendarYear</vt:lpstr>
      <vt:lpstr>ColumnTitle13</vt:lpstr>
      <vt:lpstr>Employee_Absence_Title</vt:lpstr>
      <vt:lpstr>Key_name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'1 月'!MonthName</vt:lpstr>
      <vt:lpstr>'10 月'!MonthName</vt:lpstr>
      <vt:lpstr>'11 月'!MonthName</vt:lpstr>
      <vt:lpstr>'12 月'!MonthName</vt:lpstr>
      <vt:lpstr>'2 月'!MonthName</vt:lpstr>
      <vt:lpstr>'3 月'!MonthName</vt:lpstr>
      <vt:lpstr>'4 月'!MonthName</vt:lpstr>
      <vt:lpstr>'5 月'!MonthName</vt:lpstr>
      <vt:lpstr>'6 月'!MonthName</vt:lpstr>
      <vt:lpstr>'7 月'!MonthName</vt:lpstr>
      <vt:lpstr>'8 月'!MonthName</vt:lpstr>
      <vt:lpstr>'9 月'!MonthName</vt:lpstr>
      <vt:lpstr>'1 月'!Print_Titles</vt:lpstr>
      <vt:lpstr>'10 月'!Print_Titles</vt:lpstr>
      <vt:lpstr>'11 月'!Print_Titles</vt:lpstr>
      <vt:lpstr>'12 月'!Print_Titles</vt:lpstr>
      <vt:lpstr>'2 月'!Print_Titles</vt:lpstr>
      <vt:lpstr>'3 月'!Print_Titles</vt:lpstr>
      <vt:lpstr>'4 月'!Print_Titles</vt:lpstr>
      <vt:lpstr>'5 月'!Print_Titles</vt:lpstr>
      <vt:lpstr>'6 月'!Print_Titles</vt:lpstr>
      <vt:lpstr>'7 月'!Print_Titles</vt:lpstr>
      <vt:lpstr>'8 月'!Print_Titles</vt:lpstr>
      <vt:lpstr>'9 月'!Print_Titles</vt:lpstr>
      <vt:lpstr>标题1</vt:lpstr>
      <vt:lpstr>标题10</vt:lpstr>
      <vt:lpstr>标题11</vt:lpstr>
      <vt:lpstr>标题12</vt:lpstr>
      <vt:lpstr>标题2</vt:lpstr>
      <vt:lpstr>标题3</vt:lpstr>
      <vt:lpstr>标题4</vt:lpstr>
      <vt:lpstr>标题5</vt:lpstr>
      <vt:lpstr>标题6</vt:lpstr>
      <vt:lpstr>标题7</vt:lpstr>
      <vt:lpstr>标题8</vt:lpstr>
      <vt:lpstr>标题9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2016-12-06T04:52:27Z</dcterms:created>
  <dcterms:modified xsi:type="dcterms:W3CDTF">2019-09-02T06:12:15Z</dcterms:modified>
</cp:coreProperties>
</file>