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2570" tabRatio="350"/>
  </bookViews>
  <sheets>
    <sheet name="18 个时段预算" sheetId="2" r:id="rId1"/>
  </sheets>
  <definedNames>
    <definedName name="DayInterval">'18 个时段预算'!$K$2</definedName>
    <definedName name="EndDate">'18 个时段预算'!$M$2</definedName>
    <definedName name="_xlnm.Print_Titles" localSheetId="0">'18 个时段预算'!$5:$5</definedName>
    <definedName name="StartDate">'18 个时段预算'!$H$2</definedName>
  </definedNames>
  <calcPr calcId="152511"/>
</workbook>
</file>

<file path=xl/calcChain.xml><?xml version="1.0" encoding="utf-8"?>
<calcChain xmlns="http://schemas.openxmlformats.org/spreadsheetml/2006/main">
  <c r="M2" i="2" l="1"/>
  <c r="T5" i="2"/>
  <c r="R5" i="2"/>
  <c r="S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C4" i="2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O26" i="2" l="1"/>
  <c r="P26" i="2"/>
  <c r="Q26" i="2"/>
  <c r="R26" i="2"/>
  <c r="S26" i="2"/>
  <c r="T26" i="2"/>
  <c r="U9" i="2" l="1"/>
  <c r="U21" i="2"/>
  <c r="D26" i="2"/>
  <c r="S12" i="2"/>
  <c r="S6" i="2" s="1"/>
  <c r="T12" i="2"/>
  <c r="U15" i="2"/>
  <c r="U16" i="2"/>
  <c r="U17" i="2"/>
  <c r="U18" i="2"/>
  <c r="U19" i="2"/>
  <c r="U20" i="2"/>
  <c r="U22" i="2"/>
  <c r="U23" i="2"/>
  <c r="U24" i="2"/>
  <c r="U25" i="2"/>
  <c r="U10" i="2"/>
  <c r="U11" i="2"/>
  <c r="C26" i="2"/>
  <c r="E26" i="2"/>
  <c r="F26" i="2"/>
  <c r="G26" i="2"/>
  <c r="H26" i="2"/>
  <c r="I26" i="2"/>
  <c r="J26" i="2"/>
  <c r="K26" i="2"/>
  <c r="L26" i="2"/>
  <c r="M26" i="2"/>
  <c r="N26" i="2"/>
  <c r="C12" i="2"/>
  <c r="C6" i="2" s="1"/>
  <c r="D12" i="2"/>
  <c r="E12" i="2"/>
  <c r="E6" i="2" s="1"/>
  <c r="F12" i="2"/>
  <c r="G12" i="2"/>
  <c r="H12" i="2"/>
  <c r="I12" i="2"/>
  <c r="J12" i="2"/>
  <c r="K12" i="2"/>
  <c r="L12" i="2"/>
  <c r="M12" i="2"/>
  <c r="N12" i="2"/>
  <c r="O12" i="2"/>
  <c r="O6" i="2" s="1"/>
  <c r="P12" i="2"/>
  <c r="P6" i="2" s="1"/>
  <c r="Q12" i="2"/>
  <c r="Q6" i="2" s="1"/>
  <c r="R12" i="2"/>
  <c r="R6" i="2" s="1"/>
  <c r="G6" i="2" l="1"/>
  <c r="M6" i="2"/>
  <c r="K6" i="2"/>
  <c r="I6" i="2"/>
  <c r="N6" i="2"/>
  <c r="L6" i="2"/>
  <c r="J6" i="2"/>
  <c r="H6" i="2"/>
  <c r="F6" i="2"/>
  <c r="D6" i="2"/>
  <c r="U26" i="2"/>
  <c r="U12" i="2"/>
  <c r="T6" i="2"/>
  <c r="U6" i="2" l="1"/>
</calcChain>
</file>

<file path=xl/sharedStrings.xml><?xml version="1.0" encoding="utf-8"?>
<sst xmlns="http://schemas.openxmlformats.org/spreadsheetml/2006/main" count="25" uniqueCount="25">
  <si>
    <t>公司预算</t>
  </si>
  <si>
    <t>净收入</t>
  </si>
  <si>
    <t>收入项目 1</t>
  </si>
  <si>
    <t>收入项目 2</t>
  </si>
  <si>
    <t>收入项目 3</t>
  </si>
  <si>
    <t>总收入</t>
  </si>
  <si>
    <t>收入</t>
  </si>
  <si>
    <t>支出</t>
  </si>
  <si>
    <t>工资</t>
  </si>
  <si>
    <t>租金</t>
  </si>
  <si>
    <t>电费</t>
  </si>
  <si>
    <t>电话费</t>
  </si>
  <si>
    <t>网费</t>
  </si>
  <si>
    <t>水费</t>
  </si>
  <si>
    <t>煤气费</t>
  </si>
  <si>
    <t>垃圾清理费</t>
  </si>
  <si>
    <t>有线电视</t>
  </si>
  <si>
    <t>办公用品费</t>
  </si>
  <si>
    <t>保险费</t>
  </si>
  <si>
    <t>总支出</t>
  </si>
  <si>
    <t>开始日期</t>
  </si>
  <si>
    <t>时段长度（天）</t>
  </si>
  <si>
    <t>结束日期</t>
  </si>
  <si>
    <t xml:space="preserve">总计 </t>
  </si>
  <si>
    <t>趋势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</si>
</sst>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!!!(#,##0!!!);_(* &quot;-&quot;_);_(@_)"/>
    <numFmt numFmtId="177" formatCode="_(&quot;$&quot;* #,##0.00_);_(&quot;$&quot;* !!!(#,##0.00!!!);_(&quot;$&quot;* &quot;-&quot;??_);_(@_)"/>
    <numFmt numFmtId="178" formatCode="[$-409]d!!!-mmm;@"/>
    <numFmt numFmtId="179" formatCode="@_)"/>
    <numFmt numFmtId="180" formatCode="yyyy/mm/dd;@"/>
    <numFmt numFmtId="181" formatCode="_ [$¥-804]* #,##0.00_ ;_ [$¥-804]* !!!-#,##0.00_ ;_ [$¥-804]* &quot;-&quot;??_ ;_ @_ "/>
    <numFmt numFmtId="182" formatCode="_ [$¥-804]* #,##0_ ;_ [$¥-804]* !!!-#,##0_ ;_ [$¥-804]* &quot;-&quot;??_ ;_ @_ "/>
    <numFmt numFmtId="183" formatCode="_(* #,##0_);_(* !!!(#,##0!!!);_(* &quot;-&quot;??_);_(@_)"/>
  </numFmts>
  <fonts count="13">
    <font>
      <sz val="10"/>
      <color theme="4" tint="0.79998168889431442"/>
      <name val="Calibri"/>
      <family val="2"/>
      <scheme val="minor"/>
    </font>
    <font>
      <sz val="10"/>
      <name val="Arial"/>
      <family val="2"/>
    </font>
    <font>
      <b/>
      <i/>
      <sz val="32"/>
      <color theme="4" tint="0.79995117038483843"/>
      <name val="Georgia"/>
      <family val="2"/>
      <scheme val="major"/>
    </font>
    <font>
      <sz val="10"/>
      <name val="Microsoft YaHei"/>
      <family val="2"/>
    </font>
    <font>
      <b/>
      <i/>
      <sz val="32"/>
      <color theme="4" tint="0.79995117038483843"/>
      <name val="Microsoft YaHei"/>
      <family val="2"/>
    </font>
    <font>
      <sz val="10"/>
      <color theme="4" tint="0.79998168889431442"/>
      <name val="Microsoft YaHei"/>
      <family val="2"/>
    </font>
    <font>
      <b/>
      <sz val="11"/>
      <color theme="3"/>
      <name val="Microsoft YaHei"/>
      <family val="2"/>
    </font>
    <font>
      <b/>
      <sz val="11"/>
      <color theme="4" tint="0.79998168889431442"/>
      <name val="Microsoft YaHei"/>
      <family val="2"/>
    </font>
    <font>
      <b/>
      <sz val="14"/>
      <color theme="4" tint="-0.499984740745262"/>
      <name val="Microsoft YaHei"/>
      <family val="2"/>
    </font>
    <font>
      <sz val="11"/>
      <color theme="4" tint="-0.499984740745262"/>
      <name val="Microsoft YaHei"/>
      <family val="2"/>
    </font>
    <font>
      <b/>
      <i/>
      <sz val="16"/>
      <color theme="4" tint="0.79998168889431442"/>
      <name val="Microsoft YaHei"/>
      <family val="2"/>
    </font>
    <font>
      <sz val="9"/>
      <name val="宋体"/>
      <family val="3"/>
      <charset val="134"/>
      <scheme val="minor"/>
    </font>
    <font>
      <b/>
      <sz val="11"/>
      <color theme="4" tint="-0.499984740745262"/>
      <name val="Microsoft YaHe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2" borderId="0"/>
    <xf numFmtId="177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1">
    <xf numFmtId="0" fontId="0" fillId="2" borderId="0" xfId="0"/>
    <xf numFmtId="0" fontId="3" fillId="2" borderId="0" xfId="0" applyFont="1" applyFill="1"/>
    <xf numFmtId="0" fontId="4" fillId="2" borderId="0" xfId="2" applyFont="1" applyFill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8" fontId="7" fillId="2" borderId="0" xfId="0" applyNumberFormat="1" applyFont="1" applyFill="1" applyAlignment="1">
      <alignment horizontal="right" vertical="center"/>
    </xf>
    <xf numFmtId="178" fontId="7" fillId="2" borderId="0" xfId="0" applyNumberFormat="1" applyFont="1" applyFill="1" applyBorder="1" applyAlignment="1">
      <alignment horizontal="right" vertical="center"/>
    </xf>
    <xf numFmtId="179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/>
    <xf numFmtId="0" fontId="8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indent="2"/>
    </xf>
    <xf numFmtId="0" fontId="5" fillId="2" borderId="0" xfId="0" applyFont="1" applyFill="1" applyBorder="1"/>
    <xf numFmtId="182" fontId="9" fillId="3" borderId="0" xfId="0" applyNumberFormat="1" applyFont="1" applyFill="1" applyBorder="1" applyAlignment="1">
      <alignment vertical="center"/>
    </xf>
    <xf numFmtId="182" fontId="5" fillId="2" borderId="0" xfId="0" applyNumberFormat="1" applyFont="1" applyFill="1" applyBorder="1"/>
    <xf numFmtId="182" fontId="5" fillId="2" borderId="0" xfId="0" applyNumberFormat="1" applyFont="1" applyFill="1"/>
    <xf numFmtId="181" fontId="5" fillId="2" borderId="0" xfId="0" applyNumberFormat="1" applyFont="1" applyFill="1" applyBorder="1"/>
    <xf numFmtId="178" fontId="12" fillId="2" borderId="0" xfId="0" applyNumberFormat="1" applyFont="1" applyFill="1" applyAlignment="1">
      <alignment horizontal="right" vertical="center"/>
    </xf>
    <xf numFmtId="178" fontId="12" fillId="2" borderId="0" xfId="0" applyNumberFormat="1" applyFont="1" applyFill="1" applyBorder="1" applyAlignment="1">
      <alignment horizontal="right" vertical="center"/>
    </xf>
    <xf numFmtId="182" fontId="5" fillId="2" borderId="4" xfId="0" applyNumberFormat="1" applyFont="1" applyFill="1" applyBorder="1"/>
    <xf numFmtId="182" fontId="5" fillId="2" borderId="4" xfId="1" applyNumberFormat="1" applyFont="1" applyFill="1" applyBorder="1"/>
    <xf numFmtId="0" fontId="5" fillId="2" borderId="4" xfId="0" applyFont="1" applyFill="1" applyBorder="1"/>
    <xf numFmtId="182" fontId="5" fillId="2" borderId="5" xfId="0" applyNumberFormat="1" applyFont="1" applyFill="1" applyBorder="1"/>
    <xf numFmtId="183" fontId="5" fillId="2" borderId="5" xfId="1" applyNumberFormat="1" applyFont="1" applyFill="1" applyBorder="1"/>
    <xf numFmtId="182" fontId="5" fillId="2" borderId="5" xfId="1" applyNumberFormat="1" applyFont="1" applyFill="1" applyBorder="1"/>
    <xf numFmtId="0" fontId="5" fillId="2" borderId="5" xfId="0" applyFont="1" applyFill="1" applyBorder="1"/>
    <xf numFmtId="176" fontId="5" fillId="2" borderId="4" xfId="1" applyNumberFormat="1" applyFont="1" applyFill="1" applyBorder="1"/>
    <xf numFmtId="176" fontId="5" fillId="2" borderId="5" xfId="1" applyNumberFormat="1" applyFont="1" applyFill="1" applyBorder="1"/>
    <xf numFmtId="176" fontId="5" fillId="2" borderId="5" xfId="0" applyNumberFormat="1" applyFont="1" applyFill="1" applyBorder="1"/>
    <xf numFmtId="182" fontId="3" fillId="2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2" applyFont="1" applyFill="1" applyAlignment="1"/>
    <xf numFmtId="0" fontId="3" fillId="2" borderId="0" xfId="0" applyFont="1" applyFill="1" applyAlignment="1">
      <alignment horizontal="center"/>
    </xf>
  </cellXfs>
  <cellStyles count="3">
    <cellStyle name="标题" xfId="2" builtinId="15" customBuiltin="1"/>
    <cellStyle name="常规" xfId="0" builtinId="0" customBuiltin="1"/>
    <cellStyle name="货币" xfId="1" builtinId="4"/>
  </cellStyles>
  <dxfs count="1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1" formatCode="_ [$¥-804]* #,##0.00_ ;_ [$¥-804]* !!!-#,##0.0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76" formatCode="_(* #,##0_);_(* !!!(#,##0!!!);_(* &quot;-&quot;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76" formatCode="_(* #,##0_);_(* !!!(#,##0!!!);_(* &quot;-&quot;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76" formatCode="_(* #,##0_);_(* !!!(#,##0!!!);_(* &quot;-&quot;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76" formatCode="_(* #,##0_);_(* !!!(#,##0!!!);_(* &quot;-&quot;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76" formatCode="_(* #,##0_);_(* !!!(#,##0!!!);_(* &quot;-&quot;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76" formatCode="_(* #,##0_);_(* !!!(#,##0!!!);_(* &quot;-&quot;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76" formatCode="_(* #,##0_);_(* !!!(#,##0!!!);_(* &quot;-&quot;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3" formatCode="_(* #,##0_);_(* !!!(#,##0!!!);_(* &quot;-&quot;??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3" formatCode="_(* #,##0_);_(* !!!(#,##0!!!);_(* &quot;-&quot;??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3" formatCode="_(* #,##0_);_(* !!!(#,##0!!!);_(* &quot;-&quot;??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3" formatCode="_(* #,##0_);_(* !!!(#,##0!!!);_(* &quot;-&quot;??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3" formatCode="_(* #,##0_);_(* !!!(#,##0!!!);_(* &quot;-&quot;??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3" formatCode="_(* #,##0_);_(* !!!(#,##0!!!);_(* &quot;-&quot;??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7" formatCode="_(&quot;$&quot;* #,##0.00_);_(&quot;$&quot;* !!!(#,##0.00!!!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3" formatCode="_(* #,##0_);_(* !!!(#,##0!!!);_(* &quot;-&quot;??_);_(@_)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Microsoft YaHei"/>
        <scheme val="none"/>
      </font>
      <numFmt numFmtId="182" formatCode="_ [$¥-804]* #,##0_ ;_ [$¥-804]* !!!-#,##0_ ;_ [$¥-804]* &quot;-&quot;??_ ;_ @_ "/>
      <fill>
        <patternFill patternType="solid">
          <fgColor indexed="64"/>
          <bgColor theme="4" tint="-0.499984740745262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82" formatCode="_ [$¥-804]* #,##0_ ;_ [$¥-804]* !!!-#,##0_ ;_ [$¥-804]* &quot;-&quot;??_ ;_ @_ "/>
    </dxf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</dxf>
  </dxfs>
  <tableStyles count="1" defaultTableStyle="Company Budget" defaultPivotStyle="PivotStyleLight16">
    <tableStyle name="Company Budget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标题边框" descr="&quot;&quot;" title="边框"/>
        <xdr:cNvGrpSpPr/>
      </xdr:nvGrpSpPr>
      <xdr:grpSpPr>
        <a:xfrm>
          <a:off x="0" y="825500"/>
          <a:ext cx="20267083" cy="59267"/>
          <a:chOff x="0" y="825500"/>
          <a:chExt cx="22129750" cy="59267"/>
        </a:xfrm>
      </xdr:grpSpPr>
      <xdr:cxnSp macro="">
        <xdr:nvCxnSpPr>
          <xdr:cNvPr id="5" name="细线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粗线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IncomeTable" displayName="IncomeTable" ref="B9:V12" headerRowCount="0" totalsRowCount="1" headerRowDxfId="130" dataDxfId="129" totalsRowDxfId="128">
  <tableColumns count="21">
    <tableColumn id="1" name="Income" totalsRowLabel="总收入" dataDxfId="127" totalsRowDxfId="126"/>
    <tableColumn id="6" name="Week 1" totalsRowFunction="sum" headerRowDxfId="125" dataDxfId="124" totalsRowDxfId="123"/>
    <tableColumn id="7" name="Week 2" totalsRowFunction="sum" headerRowDxfId="122" dataDxfId="121" totalsRowDxfId="120"/>
    <tableColumn id="8" name="Week 3" totalsRowFunction="sum" headerRowDxfId="119" dataDxfId="118" totalsRowDxfId="117"/>
    <tableColumn id="9" name="Week 4" totalsRowFunction="sum" headerRowDxfId="116" dataDxfId="115" totalsRowDxfId="114"/>
    <tableColumn id="10" name="Week 5" totalsRowFunction="sum" headerRowDxfId="113" dataDxfId="112" totalsRowDxfId="111"/>
    <tableColumn id="11" name="Week 6" totalsRowFunction="sum" headerRowDxfId="110" dataDxfId="109" totalsRowDxfId="108"/>
    <tableColumn id="12" name="Week 7" totalsRowFunction="sum" headerRowDxfId="107" dataDxfId="106" totalsRowDxfId="105"/>
    <tableColumn id="13" name="Week 8" totalsRowFunction="sum" headerRowDxfId="104" dataDxfId="103" totalsRowDxfId="102"/>
    <tableColumn id="14" name="Week 9" totalsRowFunction="sum" headerRowDxfId="101" dataDxfId="100" totalsRowDxfId="99"/>
    <tableColumn id="15" name="Week 10" totalsRowFunction="sum" headerRowDxfId="98" dataDxfId="97" totalsRowDxfId="96"/>
    <tableColumn id="16" name="Week 11" totalsRowFunction="sum" headerRowDxfId="95" dataDxfId="94" totalsRowDxfId="93"/>
    <tableColumn id="17" name="Week 12" totalsRowFunction="sum" headerRowDxfId="92" dataDxfId="91" totalsRowDxfId="90"/>
    <tableColumn id="18" name="Week 13" totalsRowFunction="sum" headerRowDxfId="89" dataDxfId="88" totalsRowDxfId="87"/>
    <tableColumn id="19" name="Week 14" totalsRowFunction="sum" headerRowDxfId="86" dataDxfId="85" totalsRowDxfId="84"/>
    <tableColumn id="20" name="Week 15" totalsRowFunction="sum" headerRowDxfId="83" dataDxfId="82" totalsRowDxfId="81"/>
    <tableColumn id="21" name="Week 16" totalsRowFunction="sum" headerRowDxfId="80" dataDxfId="79" totalsRowDxfId="78"/>
    <tableColumn id="22" name="Week 17" totalsRowFunction="sum" headerRowDxfId="77" dataDxfId="76" totalsRowDxfId="75"/>
    <tableColumn id="23" name="Week 18" totalsRowFunction="sum" headerRowDxfId="74" dataDxfId="73" totalsRowDxfId="72"/>
    <tableColumn id="24" name="Total" totalsRowFunction="sum" headerRowDxfId="71" dataDxfId="70" totalsRowDxfId="69">
      <calculatedColumnFormula>SUM(IncomeTable[[#This Row],[Week 1]:[Week 18]])</calculatedColumnFormula>
    </tableColumn>
    <tableColumn id="25" name="Column1" headerRowDxfId="68" dataDxfId="67" totalsRowDxfId="66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收入表" altTextSummary="18 个时段（例如，每 14 天）的收入摘要。"/>
    </ext>
  </extLst>
</table>
</file>

<file path=xl/tables/table2.xml><?xml version="1.0" encoding="utf-8"?>
<table xmlns="http://schemas.openxmlformats.org/spreadsheetml/2006/main" id="3" name="ExpensesTable" displayName="ExpensesTable" ref="B15:V26" headerRowCount="0" totalsRowCount="1" headerRowDxfId="65" dataDxfId="64" totalsRowDxfId="63">
  <tableColumns count="21">
    <tableColumn id="1" name="Expense" totalsRowLabel="总支出" headerRowDxfId="62" dataDxfId="61" totalsRowDxfId="60"/>
    <tableColumn id="4" name="Week 1" totalsRowFunction="sum" headerRowDxfId="59" dataDxfId="58" totalsRowDxfId="57"/>
    <tableColumn id="5" name="Week 2" totalsRowFunction="sum" headerRowDxfId="56" dataDxfId="55" totalsRowDxfId="54"/>
    <tableColumn id="6" name="Week 3" totalsRowFunction="sum" headerRowDxfId="53" dataDxfId="52" totalsRowDxfId="51"/>
    <tableColumn id="7" name="Week 4" totalsRowFunction="sum" headerRowDxfId="50" dataDxfId="49" totalsRowDxfId="48"/>
    <tableColumn id="8" name="Week 5" totalsRowFunction="sum" headerRowDxfId="47" dataDxfId="46" totalsRowDxfId="45"/>
    <tableColumn id="9" name="Week 6" totalsRowFunction="sum" headerRowDxfId="44" dataDxfId="43" totalsRowDxfId="42"/>
    <tableColumn id="10" name="Week 7" totalsRowFunction="sum" headerRowDxfId="41" dataDxfId="40" totalsRowDxfId="39"/>
    <tableColumn id="11" name="Week 8" totalsRowFunction="sum" headerRowDxfId="38" dataDxfId="37" totalsRowDxfId="36"/>
    <tableColumn id="12" name="Week 9" totalsRowFunction="sum" headerRowDxfId="35" dataDxfId="34" totalsRowDxfId="33"/>
    <tableColumn id="13" name="Week 10" totalsRowFunction="sum" headerRowDxfId="32" dataDxfId="31" totalsRowDxfId="30"/>
    <tableColumn id="14" name="Week 11" totalsRowFunction="sum" headerRowDxfId="29" dataDxfId="28" totalsRowDxfId="27"/>
    <tableColumn id="15" name="Week 12" totalsRowFunction="sum" headerRowDxfId="26" dataDxfId="25" totalsRowDxfId="24"/>
    <tableColumn id="16" name="Week 13" totalsRowFunction="sum" headerRowDxfId="23" dataDxfId="22" totalsRowDxfId="21"/>
    <tableColumn id="17" name="Week 14" totalsRowFunction="sum" headerRowDxfId="20" dataDxfId="19" totalsRowDxfId="18"/>
    <tableColumn id="18" name="Week 15" totalsRowFunction="sum" headerRowDxfId="17" dataDxfId="16" totalsRowDxfId="15"/>
    <tableColumn id="19" name="Week 16" totalsRowFunction="sum" headerRowDxfId="14" dataDxfId="13" totalsRowDxfId="12"/>
    <tableColumn id="20" name="Week 17" totalsRowFunction="sum" headerRowDxfId="11" dataDxfId="10" totalsRowDxfId="9"/>
    <tableColumn id="21" name="Week 18" totalsRowFunction="sum" headerRowDxfId="8" dataDxfId="7" totalsRowDxfId="6"/>
    <tableColumn id="22" name="Total" totalsRowFunction="sum" headerRowDxfId="5" dataDxfId="4" totalsRowDxfId="3">
      <calculatedColumnFormula>SUM(ExpensesTable[[#This Row],[Week 1]:[Week 18]])</calculatedColumnFormula>
    </tableColumn>
    <tableColumn id="23" name="Column1" headerRowDxfId="2" data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支出表" altTextSummary="18 个时段（例如，每 14 天）的支出摘要。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7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P16" sqref="P16"/>
    </sheetView>
  </sheetViews>
  <sheetFormatPr defaultRowHeight="15.75" customHeight="1"/>
  <cols>
    <col min="1" max="1" width="3.28515625" style="1" customWidth="1"/>
    <col min="2" max="2" width="23.42578125" style="1" customWidth="1"/>
    <col min="3" max="3" width="13.28515625" style="1" customWidth="1"/>
    <col min="4" max="5" width="13.28515625" style="15" customWidth="1"/>
    <col min="6" max="20" width="13.28515625" style="1" customWidth="1"/>
    <col min="21" max="21" width="15.5703125" style="1" customWidth="1"/>
    <col min="22" max="22" width="22.28515625" style="1" customWidth="1"/>
    <col min="23" max="23" width="3.28515625" style="3" customWidth="1"/>
    <col min="24" max="16384" width="9.140625" style="1"/>
  </cols>
  <sheetData>
    <row r="1" spans="1:23" ht="28.5" customHeight="1">
      <c r="B1" s="39" t="s">
        <v>0</v>
      </c>
      <c r="C1" s="39"/>
      <c r="D1" s="39"/>
      <c r="E1" s="39"/>
      <c r="F1" s="2"/>
      <c r="G1" s="2"/>
    </row>
    <row r="2" spans="1:23" s="3" customFormat="1" ht="18" customHeight="1">
      <c r="B2" s="39"/>
      <c r="C2" s="39"/>
      <c r="D2" s="39"/>
      <c r="E2" s="39"/>
      <c r="G2" s="4" t="s">
        <v>20</v>
      </c>
      <c r="H2" s="5">
        <v>40544</v>
      </c>
      <c r="I2" s="37" t="s">
        <v>21</v>
      </c>
      <c r="J2" s="38"/>
      <c r="K2" s="6">
        <v>14</v>
      </c>
      <c r="L2" s="4" t="s">
        <v>22</v>
      </c>
      <c r="M2" s="7" t="str">
        <f>TEXT(T4,"yyyy/mm/dd")</f>
        <v>2012/08/26</v>
      </c>
    </row>
    <row r="3" spans="1:23" s="8" customFormat="1" ht="21.75" customHeight="1">
      <c r="W3" s="9"/>
    </row>
    <row r="4" spans="1:23" ht="15.75" customHeight="1">
      <c r="C4" s="24" t="str">
        <f>UPPER(TEXT(H2,"dd-mmm"))</f>
        <v>01-JAN</v>
      </c>
      <c r="D4" s="25" t="str">
        <f t="shared" ref="D4" si="0">UPPER(TEXT(C4+DayInterval,"dd-mmm"))</f>
        <v>15-JAN</v>
      </c>
      <c r="E4" s="25" t="str">
        <f t="shared" ref="E4" si="1">UPPER(TEXT(D4+DayInterval,"dd-mmm"))</f>
        <v>29-JAN</v>
      </c>
      <c r="F4" s="24" t="str">
        <f t="shared" ref="F4" si="2">UPPER(TEXT(E4+DayInterval,"dd-mmm"))</f>
        <v>12-FEB</v>
      </c>
      <c r="G4" s="24" t="str">
        <f t="shared" ref="G4" si="3">UPPER(TEXT(F4+DayInterval,"dd-mmm"))</f>
        <v>26-FEB</v>
      </c>
      <c r="H4" s="24" t="str">
        <f t="shared" ref="H4" si="4">UPPER(TEXT(G4+DayInterval,"dd-mmm"))</f>
        <v>11-MAR</v>
      </c>
      <c r="I4" s="24" t="str">
        <f t="shared" ref="I4" si="5">UPPER(TEXT(H4+DayInterval,"dd-mmm"))</f>
        <v>25-MAR</v>
      </c>
      <c r="J4" s="24" t="str">
        <f t="shared" ref="J4" si="6">UPPER(TEXT(I4+DayInterval,"dd-mmm"))</f>
        <v>08-APR</v>
      </c>
      <c r="K4" s="24" t="str">
        <f t="shared" ref="K4" si="7">UPPER(TEXT(J4+DayInterval,"dd-mmm"))</f>
        <v>22-APR</v>
      </c>
      <c r="L4" s="24" t="str">
        <f t="shared" ref="L4" si="8">UPPER(TEXT(K4+DayInterval,"dd-mmm"))</f>
        <v>06-MAY</v>
      </c>
      <c r="M4" s="24" t="str">
        <f t="shared" ref="M4" si="9">UPPER(TEXT(L4+DayInterval,"dd-mmm"))</f>
        <v>20-MAY</v>
      </c>
      <c r="N4" s="24" t="str">
        <f t="shared" ref="N4" si="10">UPPER(TEXT(M4+DayInterval,"dd-mmm"))</f>
        <v>03-JUN</v>
      </c>
      <c r="O4" s="24" t="str">
        <f t="shared" ref="O4" si="11">UPPER(TEXT(N4+DayInterval,"dd-mmm"))</f>
        <v>17-JUN</v>
      </c>
      <c r="P4" s="24" t="str">
        <f t="shared" ref="P4" si="12">UPPER(TEXT(O4+DayInterval,"dd-mmm"))</f>
        <v>01-JUL</v>
      </c>
      <c r="Q4" s="24" t="str">
        <f t="shared" ref="Q4" si="13">UPPER(TEXT(P4+DayInterval,"dd-mmm"))</f>
        <v>15-JUL</v>
      </c>
      <c r="R4" s="24" t="str">
        <f t="shared" ref="R4" si="14">UPPER(TEXT(Q4+DayInterval,"dd-mmm"))</f>
        <v>29-JUL</v>
      </c>
      <c r="S4" s="24" t="str">
        <f t="shared" ref="S4" si="15">UPPER(TEXT(R4+DayInterval,"dd-mmm"))</f>
        <v>12-AUG</v>
      </c>
      <c r="T4" s="24" t="str">
        <f t="shared" ref="T4" si="16">UPPER(TEXT(S4+DayInterval,"dd-mmm"))</f>
        <v>26-AUG</v>
      </c>
    </row>
    <row r="5" spans="1:23" s="10" customFormat="1" ht="20.25" customHeight="1">
      <c r="C5" s="11" t="str">
        <f>UPPER(TEXT(H2,"[$-C04]mmm-dd"))</f>
        <v>一月-01</v>
      </c>
      <c r="D5" s="12" t="str">
        <f t="shared" ref="D5:T5" si="17">UPPER(TEXT(C4+DayInterval,"[$-C04]mmm-dd"))</f>
        <v>一月-15</v>
      </c>
      <c r="E5" s="12" t="str">
        <f t="shared" si="17"/>
        <v>一月-29</v>
      </c>
      <c r="F5" s="11" t="str">
        <f t="shared" si="17"/>
        <v>二月-12</v>
      </c>
      <c r="G5" s="11" t="str">
        <f t="shared" si="17"/>
        <v>二月-26</v>
      </c>
      <c r="H5" s="11" t="str">
        <f t="shared" si="17"/>
        <v>三月-11</v>
      </c>
      <c r="I5" s="11" t="str">
        <f t="shared" si="17"/>
        <v>三月-25</v>
      </c>
      <c r="J5" s="11" t="str">
        <f t="shared" si="17"/>
        <v>四月-08</v>
      </c>
      <c r="K5" s="11" t="str">
        <f t="shared" si="17"/>
        <v>四月-22</v>
      </c>
      <c r="L5" s="11" t="str">
        <f t="shared" si="17"/>
        <v>五月-06</v>
      </c>
      <c r="M5" s="11" t="str">
        <f t="shared" si="17"/>
        <v>五月-20</v>
      </c>
      <c r="N5" s="11" t="str">
        <f t="shared" si="17"/>
        <v>六月-03</v>
      </c>
      <c r="O5" s="11" t="str">
        <f t="shared" si="17"/>
        <v>六月-17</v>
      </c>
      <c r="P5" s="11" t="str">
        <f t="shared" si="17"/>
        <v>七月-01</v>
      </c>
      <c r="Q5" s="11" t="str">
        <f t="shared" si="17"/>
        <v>七月-15</v>
      </c>
      <c r="R5" s="11" t="str">
        <f t="shared" si="17"/>
        <v>七月-29</v>
      </c>
      <c r="S5" s="11" t="str">
        <f t="shared" si="17"/>
        <v>八月-12</v>
      </c>
      <c r="T5" s="11" t="str">
        <f t="shared" si="17"/>
        <v>八月-26</v>
      </c>
      <c r="U5" s="13" t="s">
        <v>23</v>
      </c>
      <c r="V5" s="14" t="s">
        <v>24</v>
      </c>
      <c r="W5" s="3"/>
    </row>
    <row r="6" spans="1:23" s="15" customFormat="1" ht="21.75" customHeight="1">
      <c r="B6" s="16" t="s">
        <v>1</v>
      </c>
      <c r="C6" s="20">
        <f>IncomeTable[[#Totals],[Week 1]]-ExpensesTable[[#Totals],[Week 1]]</f>
        <v>17500</v>
      </c>
      <c r="D6" s="20">
        <f>IncomeTable[[#Totals],[Week 2]]-ExpensesTable[[#Totals],[Week 2]]</f>
        <v>22360</v>
      </c>
      <c r="E6" s="20">
        <f>IncomeTable[[#Totals],[Week 3]]-ExpensesTable[[#Totals],[Week 3]]</f>
        <v>14420</v>
      </c>
      <c r="F6" s="20">
        <f>IncomeTable[[#Totals],[Week 4]]-ExpensesTable[[#Totals],[Week 4]]</f>
        <v>22530</v>
      </c>
      <c r="G6" s="20">
        <f>IncomeTable[[#Totals],[Week 5]]-ExpensesTable[[#Totals],[Week 5]]</f>
        <v>15330</v>
      </c>
      <c r="H6" s="20">
        <f>IncomeTable[[#Totals],[Week 6]]-ExpensesTable[[#Totals],[Week 6]]</f>
        <v>10860</v>
      </c>
      <c r="I6" s="20">
        <f>IncomeTable[[#Totals],[Week 7]]-ExpensesTable[[#Totals],[Week 7]]</f>
        <v>15940</v>
      </c>
      <c r="J6" s="20">
        <f>IncomeTable[[#Totals],[Week 8]]-ExpensesTable[[#Totals],[Week 8]]</f>
        <v>0</v>
      </c>
      <c r="K6" s="20">
        <f>IncomeTable[[#Totals],[Week 9]]-ExpensesTable[[#Totals],[Week 9]]</f>
        <v>0</v>
      </c>
      <c r="L6" s="20">
        <f>IncomeTable[[#Totals],[Week 10]]-ExpensesTable[[#Totals],[Week 10]]</f>
        <v>0</v>
      </c>
      <c r="M6" s="20">
        <f>IncomeTable[[#Totals],[Week 11]]-ExpensesTable[[#Totals],[Week 11]]</f>
        <v>0</v>
      </c>
      <c r="N6" s="20">
        <f>IncomeTable[[#Totals],[Week 12]]-ExpensesTable[[#Totals],[Week 12]]</f>
        <v>0</v>
      </c>
      <c r="O6" s="20">
        <f>IncomeTable[[#Totals],[Week 13]]-ExpensesTable[[#Totals],[Week 13]]</f>
        <v>0</v>
      </c>
      <c r="P6" s="20">
        <f>IncomeTable[[#Totals],[Week 14]]-ExpensesTable[[#Totals],[Week 14]]</f>
        <v>0</v>
      </c>
      <c r="Q6" s="20">
        <f>IncomeTable[[#Totals],[Week 15]]-ExpensesTable[[#Totals],[Week 15]]</f>
        <v>0</v>
      </c>
      <c r="R6" s="20">
        <f>IncomeTable[[#Totals],[Week 16]]-ExpensesTable[[#Totals],[Week 16]]</f>
        <v>0</v>
      </c>
      <c r="S6" s="20">
        <f>IncomeTable[[#Totals],[Week 17]]-ExpensesTable[[#Totals],[Week 17]]</f>
        <v>0</v>
      </c>
      <c r="T6" s="20">
        <f>IncomeTable[[#Totals],[Week 18]]-ExpensesTable[[#Totals],[Week 18]]</f>
        <v>0</v>
      </c>
      <c r="U6" s="20">
        <f>IncomeTable[[#Totals],[Total]]-ExpensesTable[[#Totals],[Total]]</f>
        <v>118940</v>
      </c>
      <c r="V6" s="17"/>
      <c r="W6" s="3"/>
    </row>
    <row r="8" spans="1:23" ht="22.5">
      <c r="A8" s="18" t="s">
        <v>6</v>
      </c>
      <c r="D8" s="1"/>
      <c r="E8" s="1"/>
    </row>
    <row r="9" spans="1:23" ht="18" customHeight="1">
      <c r="B9" s="26" t="s">
        <v>2</v>
      </c>
      <c r="C9" s="27">
        <v>30000</v>
      </c>
      <c r="D9" s="27">
        <v>35000</v>
      </c>
      <c r="E9" s="27">
        <v>29780</v>
      </c>
      <c r="F9" s="27">
        <v>33840</v>
      </c>
      <c r="G9" s="27">
        <v>28580</v>
      </c>
      <c r="H9" s="27">
        <v>28090</v>
      </c>
      <c r="I9" s="27">
        <v>32200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>
        <f>SUM(IncomeTable[[#This Row],[Week 1]:[Week 18]])</f>
        <v>217490</v>
      </c>
      <c r="V9" s="28"/>
    </row>
    <row r="10" spans="1:23" ht="18" customHeight="1">
      <c r="B10" s="29" t="s">
        <v>3</v>
      </c>
      <c r="C10" s="30">
        <v>11500</v>
      </c>
      <c r="D10" s="30">
        <v>12000</v>
      </c>
      <c r="E10" s="30">
        <v>11440</v>
      </c>
      <c r="F10" s="30">
        <v>14000</v>
      </c>
      <c r="G10" s="30">
        <v>13580</v>
      </c>
      <c r="H10" s="30">
        <v>11540</v>
      </c>
      <c r="I10" s="30">
        <v>12450</v>
      </c>
      <c r="J10" s="31"/>
      <c r="K10" s="31"/>
      <c r="L10" s="31"/>
      <c r="M10" s="31"/>
      <c r="N10" s="31"/>
      <c r="O10" s="31"/>
      <c r="P10" s="31"/>
      <c r="Q10" s="31"/>
      <c r="R10" s="31"/>
      <c r="S10" s="29"/>
      <c r="T10" s="29"/>
      <c r="U10" s="29">
        <f>SUM(IncomeTable[[#This Row],[Week 1]:[Week 18]])</f>
        <v>86510</v>
      </c>
      <c r="V10" s="32"/>
    </row>
    <row r="11" spans="1:23" ht="18" customHeight="1">
      <c r="B11" s="29" t="s">
        <v>4</v>
      </c>
      <c r="C11" s="30">
        <v>3000</v>
      </c>
      <c r="D11" s="30">
        <v>3500</v>
      </c>
      <c r="E11" s="30">
        <v>3920</v>
      </c>
      <c r="F11" s="30">
        <v>3260</v>
      </c>
      <c r="G11" s="30">
        <v>3810</v>
      </c>
      <c r="H11" s="30">
        <v>3640</v>
      </c>
      <c r="I11" s="30">
        <v>3150</v>
      </c>
      <c r="J11" s="31"/>
      <c r="K11" s="31"/>
      <c r="L11" s="31"/>
      <c r="M11" s="31"/>
      <c r="N11" s="31"/>
      <c r="O11" s="31"/>
      <c r="P11" s="31"/>
      <c r="Q11" s="31"/>
      <c r="R11" s="31"/>
      <c r="S11" s="29"/>
      <c r="T11" s="29"/>
      <c r="U11" s="29">
        <f>SUM(IncomeTable[[#This Row],[Week 1]:[Week 18]])</f>
        <v>24280</v>
      </c>
      <c r="V11" s="32"/>
    </row>
    <row r="12" spans="1:23" ht="18.75" customHeight="1">
      <c r="B12" s="21" t="s">
        <v>5</v>
      </c>
      <c r="C12" s="21">
        <f>SUBTOTAL(109,IncomeTable[Week 1])</f>
        <v>44500</v>
      </c>
      <c r="D12" s="21">
        <f>SUBTOTAL(109,IncomeTable[Week 2])</f>
        <v>50500</v>
      </c>
      <c r="E12" s="21">
        <f>SUBTOTAL(109,IncomeTable[Week 3])</f>
        <v>45140</v>
      </c>
      <c r="F12" s="21">
        <f>SUBTOTAL(109,IncomeTable[Week 4])</f>
        <v>51100</v>
      </c>
      <c r="G12" s="21">
        <f>SUBTOTAL(109,IncomeTable[Week 5])</f>
        <v>45970</v>
      </c>
      <c r="H12" s="21">
        <f>SUBTOTAL(109,IncomeTable[Week 6])</f>
        <v>43270</v>
      </c>
      <c r="I12" s="21">
        <f>SUBTOTAL(109,IncomeTable[Week 7])</f>
        <v>47800</v>
      </c>
      <c r="J12" s="21">
        <f>SUBTOTAL(109,IncomeTable[Week 8])</f>
        <v>0</v>
      </c>
      <c r="K12" s="21">
        <f>SUBTOTAL(109,IncomeTable[Week 9])</f>
        <v>0</v>
      </c>
      <c r="L12" s="21">
        <f>SUBTOTAL(109,IncomeTable[Week 10])</f>
        <v>0</v>
      </c>
      <c r="M12" s="21">
        <f>SUBTOTAL(109,IncomeTable[Week 11])</f>
        <v>0</v>
      </c>
      <c r="N12" s="21">
        <f>SUBTOTAL(109,IncomeTable[Week 12])</f>
        <v>0</v>
      </c>
      <c r="O12" s="21">
        <f>SUBTOTAL(109,IncomeTable[Week 13])</f>
        <v>0</v>
      </c>
      <c r="P12" s="21">
        <f>SUBTOTAL(109,IncomeTable[Week 14])</f>
        <v>0</v>
      </c>
      <c r="Q12" s="21">
        <f>SUBTOTAL(109,IncomeTable[Week 15])</f>
        <v>0</v>
      </c>
      <c r="R12" s="21">
        <f>SUBTOTAL(109,IncomeTable[Week 16])</f>
        <v>0</v>
      </c>
      <c r="S12" s="21">
        <f>SUBTOTAL(109,IncomeTable[Week 17])</f>
        <v>0</v>
      </c>
      <c r="T12" s="21">
        <f>SUBTOTAL(109,IncomeTable[Week 18])</f>
        <v>0</v>
      </c>
      <c r="U12" s="21">
        <f>SUBTOTAL(109,IncomeTable[Total])</f>
        <v>328280</v>
      </c>
      <c r="V12" s="19"/>
    </row>
    <row r="13" spans="1:23" ht="18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3" s="3" customFormat="1" ht="18" customHeight="1">
      <c r="A14" s="18" t="s"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3" ht="18" customHeight="1">
      <c r="B15" s="26" t="s">
        <v>8</v>
      </c>
      <c r="C15" s="27">
        <v>15000</v>
      </c>
      <c r="D15" s="27">
        <v>15770</v>
      </c>
      <c r="E15" s="27">
        <v>18230</v>
      </c>
      <c r="F15" s="27">
        <v>15290</v>
      </c>
      <c r="G15" s="27">
        <v>17590</v>
      </c>
      <c r="H15" s="27">
        <v>19470</v>
      </c>
      <c r="I15" s="27">
        <v>18750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6">
        <f>SUM(ExpensesTable[[#This Row],[Week 1]:[Week 18]])</f>
        <v>120100</v>
      </c>
      <c r="V15" s="28"/>
    </row>
    <row r="16" spans="1:23" ht="18" customHeight="1">
      <c r="B16" s="26" t="s">
        <v>9</v>
      </c>
      <c r="C16" s="33">
        <v>10000</v>
      </c>
      <c r="D16" s="33">
        <v>10000</v>
      </c>
      <c r="E16" s="33">
        <v>10000</v>
      </c>
      <c r="F16" s="33">
        <v>10000</v>
      </c>
      <c r="G16" s="33">
        <v>10000</v>
      </c>
      <c r="H16" s="33">
        <v>10000</v>
      </c>
      <c r="I16" s="33">
        <v>10000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>SUM(ExpensesTable[[#This Row],[Week 1]:[Week 18]])</f>
        <v>70000</v>
      </c>
      <c r="V16" s="28"/>
    </row>
    <row r="17" spans="2:22" ht="18" customHeight="1">
      <c r="B17" s="29" t="s">
        <v>10</v>
      </c>
      <c r="C17" s="34">
        <v>400</v>
      </c>
      <c r="D17" s="34">
        <v>430</v>
      </c>
      <c r="E17" s="34">
        <v>400</v>
      </c>
      <c r="F17" s="34">
        <v>420</v>
      </c>
      <c r="G17" s="34">
        <v>450</v>
      </c>
      <c r="H17" s="34">
        <v>400</v>
      </c>
      <c r="I17" s="34">
        <v>420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29">
        <f>SUM(ExpensesTable[[#This Row],[Week 1]:[Week 18]])</f>
        <v>2920</v>
      </c>
      <c r="V17" s="32"/>
    </row>
    <row r="18" spans="2:22" ht="18" customHeight="1">
      <c r="B18" s="29" t="s">
        <v>11</v>
      </c>
      <c r="C18" s="34">
        <v>120</v>
      </c>
      <c r="D18" s="34">
        <v>110</v>
      </c>
      <c r="E18" s="34">
        <v>130</v>
      </c>
      <c r="F18" s="34">
        <v>140</v>
      </c>
      <c r="G18" s="34">
        <v>110</v>
      </c>
      <c r="H18" s="34">
        <v>150</v>
      </c>
      <c r="I18" s="34">
        <v>150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29">
        <f>SUM(ExpensesTable[[#This Row],[Week 1]:[Week 18]])</f>
        <v>910</v>
      </c>
      <c r="V18" s="32"/>
    </row>
    <row r="19" spans="2:22" ht="18" customHeight="1">
      <c r="B19" s="29" t="s">
        <v>12</v>
      </c>
      <c r="C19" s="34">
        <v>150</v>
      </c>
      <c r="D19" s="34">
        <v>150</v>
      </c>
      <c r="E19" s="34">
        <v>150</v>
      </c>
      <c r="F19" s="34">
        <v>150</v>
      </c>
      <c r="G19" s="34">
        <v>150</v>
      </c>
      <c r="H19" s="34">
        <v>150</v>
      </c>
      <c r="I19" s="34">
        <v>150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29">
        <f>SUM(ExpensesTable[[#This Row],[Week 1]:[Week 18]])</f>
        <v>1050</v>
      </c>
      <c r="V19" s="32"/>
    </row>
    <row r="20" spans="2:22" ht="18" customHeight="1">
      <c r="B20" s="29" t="s">
        <v>13</v>
      </c>
      <c r="C20" s="34">
        <v>110</v>
      </c>
      <c r="D20" s="34">
        <v>100</v>
      </c>
      <c r="E20" s="34">
        <v>130</v>
      </c>
      <c r="F20" s="34">
        <v>100</v>
      </c>
      <c r="G20" s="34">
        <v>130</v>
      </c>
      <c r="H20" s="34">
        <v>100</v>
      </c>
      <c r="I20" s="34">
        <v>120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29">
        <f>SUM(ExpensesTable[[#This Row],[Week 1]:[Week 18]])</f>
        <v>790</v>
      </c>
      <c r="V20" s="32"/>
    </row>
    <row r="21" spans="2:22" ht="18" customHeight="1">
      <c r="B21" s="29" t="s">
        <v>14</v>
      </c>
      <c r="C21" s="34">
        <v>230</v>
      </c>
      <c r="D21" s="34">
        <v>270</v>
      </c>
      <c r="E21" s="34">
        <v>260</v>
      </c>
      <c r="F21" s="34">
        <v>270</v>
      </c>
      <c r="G21" s="34">
        <v>220</v>
      </c>
      <c r="H21" s="34">
        <v>290</v>
      </c>
      <c r="I21" s="34">
        <v>210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29">
        <f>SUM(ExpensesTable[[#This Row],[Week 1]:[Week 18]])</f>
        <v>1750</v>
      </c>
      <c r="V21" s="32"/>
    </row>
    <row r="22" spans="2:22" ht="18" customHeight="1">
      <c r="B22" s="29" t="s">
        <v>15</v>
      </c>
      <c r="C22" s="34">
        <v>40</v>
      </c>
      <c r="D22" s="34">
        <v>40</v>
      </c>
      <c r="E22" s="34">
        <v>40</v>
      </c>
      <c r="F22" s="34">
        <v>40</v>
      </c>
      <c r="G22" s="34">
        <v>40</v>
      </c>
      <c r="H22" s="34">
        <v>40</v>
      </c>
      <c r="I22" s="34">
        <v>40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29">
        <f>SUM(ExpensesTable[[#This Row],[Week 1]:[Week 18]])</f>
        <v>280</v>
      </c>
      <c r="V22" s="32"/>
    </row>
    <row r="23" spans="2:22" ht="18" customHeight="1">
      <c r="B23" s="29" t="s">
        <v>16</v>
      </c>
      <c r="C23" s="35">
        <v>100</v>
      </c>
      <c r="D23" s="35">
        <v>100</v>
      </c>
      <c r="E23" s="35">
        <v>100</v>
      </c>
      <c r="F23" s="35">
        <v>100</v>
      </c>
      <c r="G23" s="35">
        <v>100</v>
      </c>
      <c r="H23" s="35">
        <v>100</v>
      </c>
      <c r="I23" s="35">
        <v>100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>
        <f>SUM(ExpensesTable[[#This Row],[Week 1]:[Week 18]])</f>
        <v>700</v>
      </c>
      <c r="V23" s="32"/>
    </row>
    <row r="24" spans="2:22" ht="18" customHeight="1">
      <c r="B24" s="29" t="s">
        <v>17</v>
      </c>
      <c r="C24" s="34">
        <v>250</v>
      </c>
      <c r="D24" s="34">
        <v>570</v>
      </c>
      <c r="E24" s="34">
        <v>680</v>
      </c>
      <c r="F24" s="34">
        <v>1460</v>
      </c>
      <c r="G24" s="34">
        <v>1250</v>
      </c>
      <c r="H24" s="34">
        <v>1110</v>
      </c>
      <c r="I24" s="34">
        <v>1320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29">
        <f>SUM(ExpensesTable[[#This Row],[Week 1]:[Week 18]])</f>
        <v>6640</v>
      </c>
      <c r="V24" s="32"/>
    </row>
    <row r="25" spans="2:22" ht="18" customHeight="1">
      <c r="B25" s="26" t="s">
        <v>18</v>
      </c>
      <c r="C25" s="33">
        <v>600</v>
      </c>
      <c r="D25" s="33">
        <v>600</v>
      </c>
      <c r="E25" s="33">
        <v>600</v>
      </c>
      <c r="F25" s="33">
        <v>600</v>
      </c>
      <c r="G25" s="33">
        <v>600</v>
      </c>
      <c r="H25" s="33">
        <v>600</v>
      </c>
      <c r="I25" s="33">
        <v>600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6">
        <f>SUM(ExpensesTable[[#This Row],[Week 1]:[Week 18]])</f>
        <v>4200</v>
      </c>
      <c r="V25" s="28"/>
    </row>
    <row r="26" spans="2:22" ht="18" customHeight="1">
      <c r="B26" s="19" t="s">
        <v>19</v>
      </c>
      <c r="C26" s="23">
        <f>SUBTOTAL(109,ExpensesTable[Week 1])</f>
        <v>27000</v>
      </c>
      <c r="D26" s="23">
        <f>SUBTOTAL(109,ExpensesTable[Week 2])</f>
        <v>28140</v>
      </c>
      <c r="E26" s="23">
        <f>SUBTOTAL(109,ExpensesTable[Week 3])</f>
        <v>30720</v>
      </c>
      <c r="F26" s="23">
        <f>SUBTOTAL(109,ExpensesTable[Week 4])</f>
        <v>28570</v>
      </c>
      <c r="G26" s="23">
        <f>SUBTOTAL(109,ExpensesTable[Week 5])</f>
        <v>30640</v>
      </c>
      <c r="H26" s="23">
        <f>SUBTOTAL(109,ExpensesTable[Week 6])</f>
        <v>32410</v>
      </c>
      <c r="I26" s="23">
        <f>SUBTOTAL(109,ExpensesTable[Week 7])</f>
        <v>31860</v>
      </c>
      <c r="J26" s="23">
        <f>SUBTOTAL(109,ExpensesTable[Week 8])</f>
        <v>0</v>
      </c>
      <c r="K26" s="23">
        <f>SUBTOTAL(109,ExpensesTable[Week 9])</f>
        <v>0</v>
      </c>
      <c r="L26" s="23">
        <f>SUBTOTAL(109,ExpensesTable[Week 10])</f>
        <v>0</v>
      </c>
      <c r="M26" s="23">
        <f>SUBTOTAL(109,ExpensesTable[Week 11])</f>
        <v>0</v>
      </c>
      <c r="N26" s="23">
        <f>SUBTOTAL(109,ExpensesTable[Week 12])</f>
        <v>0</v>
      </c>
      <c r="O26" s="23">
        <f>SUBTOTAL(109,ExpensesTable[Week 13])</f>
        <v>0</v>
      </c>
      <c r="P26" s="23">
        <f>SUBTOTAL(109,ExpensesTable[Week 14])</f>
        <v>0</v>
      </c>
      <c r="Q26" s="23">
        <f>SUBTOTAL(109,ExpensesTable[Week 15])</f>
        <v>0</v>
      </c>
      <c r="R26" s="23">
        <f>SUBTOTAL(109,ExpensesTable[Week 16])</f>
        <v>0</v>
      </c>
      <c r="S26" s="23">
        <f>SUBTOTAL(109,ExpensesTable[Week 17])</f>
        <v>0</v>
      </c>
      <c r="T26" s="23">
        <f>SUBTOTAL(109,ExpensesTable[Week 18])</f>
        <v>0</v>
      </c>
      <c r="U26" s="23">
        <f>SUBTOTAL(109,ExpensesTable[Total])</f>
        <v>209340</v>
      </c>
      <c r="V26" s="19"/>
    </row>
    <row r="27" spans="2:22" ht="15.75" customHeight="1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</sheetData>
  <mergeCells count="4">
    <mergeCell ref="B13:U13"/>
    <mergeCell ref="I2:J2"/>
    <mergeCell ref="B1:E2"/>
    <mergeCell ref="B27:V27"/>
  </mergeCells>
  <phoneticPr fontId="11" type="noConversion"/>
  <printOptions horizontalCentered="1"/>
  <pageMargins left="0.25" right="0.25" top="0.5" bottom="0.75" header="0.3" footer="0.3"/>
  <pageSetup paperSize="5" scale="62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'18 个时段预算'!C15:T15</xm:f>
              <xm:sqref>V15</xm:sqref>
            </x14:sparkline>
            <x14:sparkline>
              <xm:f>'18 个时段预算'!C9:T9</xm:f>
              <xm:sqref>V9</xm:sqref>
            </x14:sparkline>
            <x14:sparkline>
              <xm:f>'18 个时段预算'!C10:T10</xm:f>
              <xm:sqref>V10</xm:sqref>
            </x14:sparkline>
            <x14:sparkline>
              <xm:f>'18 个时段预算'!C11:T11</xm:f>
              <xm:sqref>V11</xm:sqref>
            </x14:sparkline>
            <x14:sparkline>
              <xm:f>'18 个时段预算'!C16:T16</xm:f>
              <xm:sqref>V16</xm:sqref>
            </x14:sparkline>
            <x14:sparkline>
              <xm:f>'18 个时段预算'!C17:T17</xm:f>
              <xm:sqref>V17</xm:sqref>
            </x14:sparkline>
            <x14:sparkline>
              <xm:f>'18 个时段预算'!C18:T18</xm:f>
              <xm:sqref>V18</xm:sqref>
            </x14:sparkline>
            <x14:sparkline>
              <xm:f>'18 个时段预算'!C19:T19</xm:f>
              <xm:sqref>V19</xm:sqref>
            </x14:sparkline>
            <x14:sparkline>
              <xm:f>'18 个时段预算'!C20:T20</xm:f>
              <xm:sqref>V20</xm:sqref>
            </x14:sparkline>
            <x14:sparkline>
              <xm:f>'18 个时段预算'!C21:T21</xm:f>
              <xm:sqref>V21</xm:sqref>
            </x14:sparkline>
            <x14:sparkline>
              <xm:f>'18 个时段预算'!C22:T22</xm:f>
              <xm:sqref>V22</xm:sqref>
            </x14:sparkline>
            <x14:sparkline>
              <xm:f>'18 个时段预算'!C23:T23</xm:f>
              <xm:sqref>V23</xm:sqref>
            </x14:sparkline>
            <x14:sparkline>
              <xm:f>'18 个时段预算'!C24:T24</xm:f>
              <xm:sqref>V24</xm:sqref>
            </x14:sparkline>
            <x14:sparkline>
              <xm:f>'18 个时段预算'!C25:T25</xm:f>
              <xm:sqref>V25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'18 个时段预算'!C6:T6</xm:f>
              <xm:sqref>V6</xm:sqref>
            </x14:sparkline>
          </x14:sparklines>
        </x14:sparklineGroup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'18 个时段预算'!C26:T26</xm:f>
              <xm:sqref>V26</xm:sqref>
            </x14:sparkline>
            <x14:sparkline>
              <xm:f>'18 个时段预算'!C12:T12</xm:f>
              <xm:sqref>V12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845895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2012-06-28T22:29:46+00:00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477948</Value>
    </PublishStatusLookup>
    <APAuthor xmlns="905c3888-6285-45d0-bd76-60a9ac2d738c">
      <UserInfo>
        <DisplayName/>
        <AccountId>2566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 xsi:nil="true"/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false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TP102929989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Props1.xml><?xml version="1.0" encoding="utf-8"?>
<ds:datastoreItem xmlns:ds="http://schemas.openxmlformats.org/officeDocument/2006/customXml" ds:itemID="{3510402F-FCDA-4872-BCD9-A94E1715E192}"/>
</file>

<file path=customXml/itemProps2.xml><?xml version="1.0" encoding="utf-8"?>
<ds:datastoreItem xmlns:ds="http://schemas.openxmlformats.org/officeDocument/2006/customXml" ds:itemID="{74E4B3A2-82A0-42FB-A840-A603677FC3BB}"/>
</file>

<file path=customXml/itemProps3.xml><?xml version="1.0" encoding="utf-8"?>
<ds:datastoreItem xmlns:ds="http://schemas.openxmlformats.org/officeDocument/2006/customXml" ds:itemID="{83900137-7195-4650-9481-D4D8CF5AC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18 个时段预算</vt:lpstr>
      <vt:lpstr>DayInterval</vt:lpstr>
      <vt:lpstr>EndDate</vt:lpstr>
      <vt:lpstr>'18 个时段预算'!Print_Titles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2012-10-09T10:41:59Z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