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118"/>
  <workbookPr codeName="ThisWorkbook"/>
  <mc:AlternateContent xmlns:mc="http://schemas.openxmlformats.org/markup-compatibility/2006">
    <mc:Choice Requires="x15">
      <x15ac:absPath xmlns:x15ac="http://schemas.microsoft.com/office/spreadsheetml/2010/11/ac" url="C:\Users\NattawutL\Desktop\Re_LSO_CHS\"/>
    </mc:Choice>
  </mc:AlternateContent>
  <bookViews>
    <workbookView xWindow="0" yWindow="0" windowWidth="28800" windowHeight="12435" tabRatio="833" activeTab="14"/>
  </bookViews>
  <sheets>
    <sheet name="如何使用此模板" sheetId="9" r:id="rId1"/>
    <sheet name="学生列表" sheetId="5" r:id="rId2"/>
    <sheet name="八月" sheetId="4" r:id="rId3"/>
    <sheet name="九月" sheetId="14" r:id="rId4"/>
    <sheet name="十月" sheetId="15" r:id="rId5"/>
    <sheet name="十一月" sheetId="16" r:id="rId6"/>
    <sheet name="十二月" sheetId="17" r:id="rId7"/>
    <sheet name="一月" sheetId="18" r:id="rId8"/>
    <sheet name="二月" sheetId="8" r:id="rId9"/>
    <sheet name="三月" sheetId="19" r:id="rId10"/>
    <sheet name="四月" sheetId="20" r:id="rId11"/>
    <sheet name="五月" sheetId="21" r:id="rId12"/>
    <sheet name="六月" sheetId="22" r:id="rId13"/>
    <sheet name="七月" sheetId="23" r:id="rId14"/>
    <sheet name="学生出勤报告" sheetId="6" r:id="rId15"/>
  </sheets>
  <definedNames>
    <definedName name="CalendarYear">八月!$AM$1</definedName>
    <definedName name="Code1">八月!$D$3</definedName>
    <definedName name="Code1Text">八月!$E$3</definedName>
    <definedName name="Code2">八月!$H$3</definedName>
    <definedName name="Code2Text">八月!$I$3</definedName>
    <definedName name="Code3">八月!$L$3</definedName>
    <definedName name="Code3Text">八月!$M$3</definedName>
    <definedName name="Code4">八月!$P$3</definedName>
    <definedName name="Code4Text">八月!$Q$3</definedName>
    <definedName name="Code5">八月!$T$3</definedName>
    <definedName name="Code5Text">八月!$U$3</definedName>
    <definedName name="ColorKeyText">八月!$C$3</definedName>
    <definedName name="_xlnm.Print_Titles" localSheetId="1">学生列表!$A:$C,学生列表!$3:$3</definedName>
    <definedName name="StudentID">StudentList[学生 ID]</definedName>
    <definedName name="StudentLookup">学生出勤报告!$B$4</definedName>
    <definedName name="StudentName">StudentList[学生全名]</definedName>
  </definedNames>
  <calcPr calcId="152511"/>
</workbook>
</file>

<file path=xl/calcChain.xml><?xml version="1.0" encoding="utf-8"?>
<calcChain xmlns="http://schemas.openxmlformats.org/spreadsheetml/2006/main">
  <c r="AH5" i="23" l="1"/>
  <c r="AG5" i="23"/>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AG5"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AF5" i="8"/>
  <c r="AE5" i="8"/>
  <c r="AD5" i="8"/>
  <c r="AC5" i="8"/>
  <c r="AB5" i="8"/>
  <c r="AA5" i="8"/>
  <c r="Z5" i="8"/>
  <c r="Y5" i="8"/>
  <c r="X5" i="8"/>
  <c r="W5" i="8"/>
  <c r="V5" i="8"/>
  <c r="U5" i="8"/>
  <c r="T5" i="8"/>
  <c r="S5" i="8"/>
  <c r="R5" i="8"/>
  <c r="Q5" i="8"/>
  <c r="P5" i="8"/>
  <c r="O5" i="8"/>
  <c r="N5" i="8"/>
  <c r="M5" i="8"/>
  <c r="L5" i="8"/>
  <c r="K5" i="8"/>
  <c r="J5" i="8"/>
  <c r="I5" i="8"/>
  <c r="H5" i="8"/>
  <c r="G5" i="8"/>
  <c r="F5" i="8"/>
  <c r="E5" i="8"/>
  <c r="D5" i="8"/>
  <c r="AH5" i="18"/>
  <c r="AG5" i="18"/>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AH5" i="17"/>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AG5" i="16"/>
  <c r="AF5" i="16"/>
  <c r="AE5" i="16"/>
  <c r="AD5" i="16"/>
  <c r="AC5" i="16"/>
  <c r="AB5" i="16"/>
  <c r="AA5" i="16"/>
  <c r="Z5" i="16"/>
  <c r="Y5" i="16"/>
  <c r="X5" i="16"/>
  <c r="W5" i="16"/>
  <c r="V5" i="16"/>
  <c r="U5" i="16"/>
  <c r="T5" i="16"/>
  <c r="S5" i="16"/>
  <c r="R5" i="16"/>
  <c r="Q5" i="16"/>
  <c r="P5" i="16"/>
  <c r="O5" i="16"/>
  <c r="N5" i="16"/>
  <c r="M5" i="16"/>
  <c r="L5" i="16"/>
  <c r="K5" i="16"/>
  <c r="J5" i="16"/>
  <c r="I5" i="16"/>
  <c r="H5" i="16"/>
  <c r="G5" i="16"/>
  <c r="F5" i="16"/>
  <c r="E5" i="16"/>
  <c r="D5" i="16"/>
  <c r="AH5"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E5" i="14"/>
  <c r="D5" i="14"/>
  <c r="AH5" i="4"/>
  <c r="AG5" i="4"/>
  <c r="AF5" i="4"/>
  <c r="AE5" i="4"/>
  <c r="AD5" i="4"/>
  <c r="AC5" i="4"/>
  <c r="AB5" i="4"/>
  <c r="AA5" i="4"/>
  <c r="Z5" i="4"/>
  <c r="Y5" i="4"/>
  <c r="X5" i="4"/>
  <c r="W5" i="4"/>
  <c r="V5" i="4"/>
  <c r="U5" i="4"/>
  <c r="T5" i="4"/>
  <c r="S5" i="4"/>
  <c r="R5" i="4"/>
  <c r="Q5" i="4"/>
  <c r="P5" i="4"/>
  <c r="O5" i="4"/>
  <c r="N5" i="4"/>
  <c r="M5" i="4"/>
  <c r="F5" i="4"/>
  <c r="E5" i="4"/>
  <c r="D5" i="4"/>
  <c r="L5" i="4"/>
  <c r="K5" i="4"/>
  <c r="J5" i="4"/>
  <c r="I5" i="4"/>
  <c r="H5" i="4"/>
  <c r="G5" i="4"/>
  <c r="S4" i="5" l="1"/>
  <c r="S5" i="5"/>
  <c r="S6" i="5"/>
  <c r="S7" i="5"/>
  <c r="S8" i="5"/>
  <c r="A1" i="6" l="1"/>
  <c r="AM1" i="16"/>
  <c r="C3" i="16"/>
  <c r="D3" i="16"/>
  <c r="E3" i="16"/>
  <c r="H3" i="16"/>
  <c r="I3" i="16"/>
  <c r="L3" i="16"/>
  <c r="M3" i="16"/>
  <c r="P3" i="16"/>
  <c r="Q3" i="16"/>
  <c r="T3" i="16"/>
  <c r="U3" i="16"/>
  <c r="B5" i="16"/>
  <c r="C7" i="16"/>
  <c r="AI7" i="16"/>
  <c r="AJ7" i="16"/>
  <c r="AK7" i="16"/>
  <c r="AL7" i="16"/>
  <c r="C8" i="16"/>
  <c r="AI8" i="16"/>
  <c r="AJ8" i="16"/>
  <c r="AK8" i="16"/>
  <c r="AL8" i="16"/>
  <c r="C9" i="16"/>
  <c r="AI9" i="16"/>
  <c r="AJ9" i="16"/>
  <c r="AK9" i="16"/>
  <c r="AL9" i="16"/>
  <c r="C10" i="16"/>
  <c r="AI10" i="16"/>
  <c r="AJ10" i="16"/>
  <c r="AK10" i="16"/>
  <c r="AL10" i="16"/>
  <c r="C11" i="16"/>
  <c r="AI11" i="16"/>
  <c r="AJ11" i="16"/>
  <c r="AK11" i="16"/>
  <c r="AL11" i="16"/>
  <c r="D12"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M10" i="16" l="1"/>
  <c r="AM8" i="16"/>
  <c r="AI12" i="16"/>
  <c r="AM7" i="16"/>
  <c r="AK12" i="16"/>
  <c r="AM9" i="16"/>
  <c r="AJ12" i="16"/>
  <c r="AL12" i="16"/>
  <c r="AM11" i="16"/>
  <c r="AM12" i="16" s="1"/>
  <c r="C7" i="23"/>
  <c r="C8" i="23"/>
  <c r="C9" i="23"/>
  <c r="C10" i="23"/>
  <c r="C11" i="23"/>
  <c r="C7" i="22"/>
  <c r="C8" i="22"/>
  <c r="C9" i="22"/>
  <c r="C10" i="22"/>
  <c r="C11" i="22"/>
  <c r="C7" i="21"/>
  <c r="C8" i="21"/>
  <c r="C9" i="21"/>
  <c r="C10" i="21"/>
  <c r="C11" i="21"/>
  <c r="C7" i="20"/>
  <c r="C8" i="20"/>
  <c r="C9" i="20"/>
  <c r="C10" i="20"/>
  <c r="C11" i="20"/>
  <c r="C7" i="19"/>
  <c r="C8" i="19"/>
  <c r="C9" i="19"/>
  <c r="C10" i="19"/>
  <c r="C11" i="19"/>
  <c r="C7" i="8"/>
  <c r="C8" i="8"/>
  <c r="C9" i="8"/>
  <c r="C10" i="8"/>
  <c r="C11" i="8"/>
  <c r="C7" i="18"/>
  <c r="C8" i="18"/>
  <c r="C9" i="18"/>
  <c r="C10" i="18"/>
  <c r="C11" i="18"/>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D23" i="6"/>
  <c r="C23"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B5" i="23"/>
  <c r="B5" i="22"/>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AL11" i="23"/>
  <c r="AK11" i="23"/>
  <c r="AJ11" i="23"/>
  <c r="AI11" i="23"/>
  <c r="AL10" i="23"/>
  <c r="AK10" i="23"/>
  <c r="AJ10" i="23"/>
  <c r="AI10" i="23"/>
  <c r="AL9" i="23"/>
  <c r="AK9" i="23"/>
  <c r="AJ9" i="23"/>
  <c r="AI9" i="23"/>
  <c r="AL8" i="23"/>
  <c r="AK8" i="23"/>
  <c r="AJ8" i="23"/>
  <c r="AI8" i="23"/>
  <c r="AL7" i="23"/>
  <c r="AK7" i="23"/>
  <c r="AJ7" i="23"/>
  <c r="AI7" i="23"/>
  <c r="U3" i="23"/>
  <c r="T3" i="23"/>
  <c r="Q3" i="23"/>
  <c r="P3" i="23"/>
  <c r="M3" i="23"/>
  <c r="L3" i="23"/>
  <c r="I3" i="23"/>
  <c r="H3" i="23"/>
  <c r="E3" i="23"/>
  <c r="D3" i="23"/>
  <c r="C3" i="23"/>
  <c r="AM1" i="23"/>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AL11" i="22"/>
  <c r="AK11" i="22"/>
  <c r="AJ11" i="22"/>
  <c r="AI11" i="22"/>
  <c r="AL10" i="22"/>
  <c r="AK10" i="22"/>
  <c r="AJ10" i="22"/>
  <c r="AI10" i="22"/>
  <c r="AL9" i="22"/>
  <c r="AK9" i="22"/>
  <c r="AJ9" i="22"/>
  <c r="AI9" i="22"/>
  <c r="AL8" i="22"/>
  <c r="AK8" i="22"/>
  <c r="AJ8" i="22"/>
  <c r="AI8" i="22"/>
  <c r="AL7" i="22"/>
  <c r="AK7" i="22"/>
  <c r="AJ7" i="22"/>
  <c r="AI7" i="22"/>
  <c r="U3" i="22"/>
  <c r="T3" i="22"/>
  <c r="Q3" i="22"/>
  <c r="P3" i="22"/>
  <c r="M3" i="22"/>
  <c r="L3" i="22"/>
  <c r="I3" i="22"/>
  <c r="H3" i="22"/>
  <c r="E3" i="22"/>
  <c r="D3" i="22"/>
  <c r="C3" i="22"/>
  <c r="AM1" i="22"/>
  <c r="B5" i="21"/>
  <c r="B5" i="20"/>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AL11" i="21"/>
  <c r="AK11" i="21"/>
  <c r="AJ11" i="21"/>
  <c r="AI11" i="21"/>
  <c r="AL10" i="21"/>
  <c r="AK10" i="21"/>
  <c r="AJ10" i="21"/>
  <c r="AI10" i="21"/>
  <c r="AL9" i="21"/>
  <c r="AK9" i="21"/>
  <c r="AJ9" i="21"/>
  <c r="AI9" i="21"/>
  <c r="AL8" i="21"/>
  <c r="AK8" i="21"/>
  <c r="AJ8" i="21"/>
  <c r="AI8" i="21"/>
  <c r="AL7" i="21"/>
  <c r="AK7" i="21"/>
  <c r="AJ7" i="21"/>
  <c r="AI7" i="21"/>
  <c r="U3" i="21"/>
  <c r="T3" i="21"/>
  <c r="Q3" i="21"/>
  <c r="P3" i="21"/>
  <c r="M3" i="21"/>
  <c r="L3" i="21"/>
  <c r="I3" i="21"/>
  <c r="H3" i="21"/>
  <c r="E3" i="21"/>
  <c r="D3" i="21"/>
  <c r="C3" i="21"/>
  <c r="AM1" i="21"/>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AL11" i="20"/>
  <c r="AK11" i="20"/>
  <c r="AJ11" i="20"/>
  <c r="AI11" i="20"/>
  <c r="AL10" i="20"/>
  <c r="AK10" i="20"/>
  <c r="AJ10" i="20"/>
  <c r="AI10" i="20"/>
  <c r="AL9" i="20"/>
  <c r="AK9" i="20"/>
  <c r="AJ9" i="20"/>
  <c r="AI9" i="20"/>
  <c r="AL8" i="20"/>
  <c r="AK8" i="20"/>
  <c r="AJ8" i="20"/>
  <c r="AI8" i="20"/>
  <c r="AL7" i="20"/>
  <c r="AK7" i="20"/>
  <c r="AJ7" i="20"/>
  <c r="AI7" i="20"/>
  <c r="U3" i="20"/>
  <c r="T3" i="20"/>
  <c r="Q3" i="20"/>
  <c r="P3" i="20"/>
  <c r="M3" i="20"/>
  <c r="L3" i="20"/>
  <c r="I3" i="20"/>
  <c r="H3" i="20"/>
  <c r="E3" i="20"/>
  <c r="D3" i="20"/>
  <c r="C3" i="20"/>
  <c r="AM1" i="20"/>
  <c r="B5"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AL11" i="19"/>
  <c r="AK11" i="19"/>
  <c r="AJ11" i="19"/>
  <c r="AI11" i="19"/>
  <c r="AL10" i="19"/>
  <c r="AK10" i="19"/>
  <c r="AJ10" i="19"/>
  <c r="AI10" i="19"/>
  <c r="AL9" i="19"/>
  <c r="AK9" i="19"/>
  <c r="AJ9" i="19"/>
  <c r="AI9" i="19"/>
  <c r="AL8" i="19"/>
  <c r="AK8" i="19"/>
  <c r="AJ8" i="19"/>
  <c r="AI8" i="19"/>
  <c r="AL7" i="19"/>
  <c r="AK7" i="19"/>
  <c r="AJ7" i="19"/>
  <c r="AI7" i="19"/>
  <c r="U3" i="19"/>
  <c r="T3" i="19"/>
  <c r="Q3" i="19"/>
  <c r="P3" i="19"/>
  <c r="M3" i="19"/>
  <c r="L3" i="19"/>
  <c r="I3" i="19"/>
  <c r="H3" i="19"/>
  <c r="E3" i="19"/>
  <c r="D3" i="19"/>
  <c r="C3" i="19"/>
  <c r="AM1" i="19"/>
  <c r="B5" i="17"/>
  <c r="B5" i="15"/>
  <c r="B5"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AL11" i="18"/>
  <c r="AK11" i="18"/>
  <c r="AJ11" i="18"/>
  <c r="AI11" i="18"/>
  <c r="AL10" i="18"/>
  <c r="AK10" i="18"/>
  <c r="AJ10" i="18"/>
  <c r="AI10" i="18"/>
  <c r="AL9" i="18"/>
  <c r="AK9" i="18"/>
  <c r="AJ9" i="18"/>
  <c r="AI9" i="18"/>
  <c r="AL8" i="18"/>
  <c r="AK8" i="18"/>
  <c r="AJ8" i="18"/>
  <c r="AI8" i="18"/>
  <c r="AL7" i="18"/>
  <c r="AK7" i="18"/>
  <c r="AJ7" i="18"/>
  <c r="AI7" i="18"/>
  <c r="U3" i="18"/>
  <c r="T3" i="18"/>
  <c r="Q3" i="18"/>
  <c r="P3" i="18"/>
  <c r="M3" i="18"/>
  <c r="L3" i="18"/>
  <c r="I3" i="18"/>
  <c r="H3" i="18"/>
  <c r="E3" i="18"/>
  <c r="D3" i="18"/>
  <c r="C3" i="18"/>
  <c r="AM1" i="18"/>
  <c r="AH12"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AL11" i="17"/>
  <c r="AK11" i="17"/>
  <c r="AJ11" i="17"/>
  <c r="AI11" i="17"/>
  <c r="C11" i="17"/>
  <c r="AL10" i="17"/>
  <c r="AK10" i="17"/>
  <c r="AJ10" i="17"/>
  <c r="AI10" i="17"/>
  <c r="C10" i="17"/>
  <c r="AL9" i="17"/>
  <c r="AK9" i="17"/>
  <c r="AJ9" i="17"/>
  <c r="AI9" i="17"/>
  <c r="C9" i="17"/>
  <c r="AL8" i="17"/>
  <c r="AK8" i="17"/>
  <c r="AJ8" i="17"/>
  <c r="AI8" i="17"/>
  <c r="C8" i="17"/>
  <c r="AL7" i="17"/>
  <c r="AK7" i="17"/>
  <c r="AJ7" i="17"/>
  <c r="AI7" i="17"/>
  <c r="C7" i="17"/>
  <c r="U3" i="17"/>
  <c r="T3" i="17"/>
  <c r="Q3" i="17"/>
  <c r="P3" i="17"/>
  <c r="M3" i="17"/>
  <c r="L3" i="17"/>
  <c r="I3" i="17"/>
  <c r="H3" i="17"/>
  <c r="E3" i="17"/>
  <c r="D3" i="17"/>
  <c r="C3" i="17"/>
  <c r="AM1" i="17"/>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AL11" i="15"/>
  <c r="AK11" i="15"/>
  <c r="AJ11" i="15"/>
  <c r="AI11" i="15"/>
  <c r="C11" i="15"/>
  <c r="AL10" i="15"/>
  <c r="AK10" i="15"/>
  <c r="AJ10" i="15"/>
  <c r="AI10" i="15"/>
  <c r="C10" i="15"/>
  <c r="AL9" i="15"/>
  <c r="AK9" i="15"/>
  <c r="AJ9" i="15"/>
  <c r="AI9" i="15"/>
  <c r="C9" i="15"/>
  <c r="AL8" i="15"/>
  <c r="AK8" i="15"/>
  <c r="AJ8" i="15"/>
  <c r="AI8" i="15"/>
  <c r="C8" i="15"/>
  <c r="AL7" i="15"/>
  <c r="AK7" i="15"/>
  <c r="AJ7" i="15"/>
  <c r="AI7" i="15"/>
  <c r="C7" i="15"/>
  <c r="U3" i="15"/>
  <c r="T3" i="15"/>
  <c r="Q3" i="15"/>
  <c r="P3" i="15"/>
  <c r="M3" i="15"/>
  <c r="L3" i="15"/>
  <c r="I3" i="15"/>
  <c r="H3" i="15"/>
  <c r="E3" i="15"/>
  <c r="D3" i="15"/>
  <c r="C3" i="15"/>
  <c r="AM1" i="15"/>
  <c r="AJ12" i="21" l="1"/>
  <c r="AJ12" i="20"/>
  <c r="AI12" i="23"/>
  <c r="AI12" i="22"/>
  <c r="AL12" i="19"/>
  <c r="AL12" i="22"/>
  <c r="AK12" i="23"/>
  <c r="AI12" i="18"/>
  <c r="AL12" i="20"/>
  <c r="AK12" i="22"/>
  <c r="AK12" i="18"/>
  <c r="AI12" i="21"/>
  <c r="AJ12" i="19"/>
  <c r="AH36" i="6"/>
  <c r="AL12" i="21"/>
  <c r="AJ12" i="22"/>
  <c r="AM11" i="22"/>
  <c r="AH38" i="6"/>
  <c r="AM9" i="18"/>
  <c r="AM11" i="18"/>
  <c r="AM8" i="19"/>
  <c r="AM10" i="19"/>
  <c r="AM8" i="21"/>
  <c r="AM10" i="21"/>
  <c r="AM9" i="22"/>
  <c r="AM10" i="22"/>
  <c r="AM8" i="20"/>
  <c r="AM10" i="20"/>
  <c r="AM8" i="23"/>
  <c r="AM9" i="23"/>
  <c r="AM10" i="23"/>
  <c r="AM11" i="23"/>
  <c r="AK38" i="6"/>
  <c r="AI38" i="6"/>
  <c r="AK36" i="6"/>
  <c r="AI36" i="6"/>
  <c r="AJ38" i="6"/>
  <c r="AJ36" i="6"/>
  <c r="AK12" i="21"/>
  <c r="AL12" i="23"/>
  <c r="AM7" i="23"/>
  <c r="AJ12" i="23"/>
  <c r="AM9" i="21"/>
  <c r="AM11" i="21"/>
  <c r="AM8" i="22"/>
  <c r="AM7" i="22"/>
  <c r="AI12" i="20"/>
  <c r="AK12" i="20"/>
  <c r="AM9" i="20"/>
  <c r="AM11" i="20"/>
  <c r="AM7" i="21"/>
  <c r="AI12" i="19"/>
  <c r="AK12" i="19"/>
  <c r="AM9" i="19"/>
  <c r="AM11" i="19"/>
  <c r="AM7" i="20"/>
  <c r="AM10" i="15"/>
  <c r="AM7" i="17"/>
  <c r="AL12" i="17"/>
  <c r="AM9" i="17"/>
  <c r="AM11" i="17"/>
  <c r="AJ12" i="18"/>
  <c r="AL12" i="18"/>
  <c r="AM8" i="18"/>
  <c r="AM10" i="18"/>
  <c r="AM7" i="19"/>
  <c r="AM7" i="18"/>
  <c r="AM7" i="15"/>
  <c r="AL12" i="15"/>
  <c r="AI12" i="17"/>
  <c r="AK12" i="17"/>
  <c r="AM8" i="17"/>
  <c r="AM10" i="17"/>
  <c r="AJ12" i="17"/>
  <c r="AI12" i="15"/>
  <c r="AK12" i="15"/>
  <c r="AM8" i="15"/>
  <c r="AM9" i="15"/>
  <c r="AM11" i="15"/>
  <c r="AJ12" i="15"/>
  <c r="C7" i="14"/>
  <c r="C8" i="14"/>
  <c r="C9" i="14"/>
  <c r="C10" i="14"/>
  <c r="C11" i="14"/>
  <c r="AM12" i="21" l="1"/>
  <c r="AM12" i="23"/>
  <c r="AM12" i="20"/>
  <c r="AM12" i="18"/>
  <c r="AM12" i="22"/>
  <c r="AM12" i="19"/>
  <c r="AM12" i="17"/>
  <c r="AM12" i="15"/>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U3" i="14"/>
  <c r="T3" i="14"/>
  <c r="Q3" i="14"/>
  <c r="P3" i="14"/>
  <c r="M3" i="14"/>
  <c r="L3" i="14"/>
  <c r="I3" i="14"/>
  <c r="H3" i="14"/>
  <c r="E3" i="14"/>
  <c r="D3" i="14"/>
  <c r="C3" i="14"/>
  <c r="AM1" i="14"/>
  <c r="AH12" i="14"/>
  <c r="B5"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D12" i="14"/>
  <c r="AL11" i="14"/>
  <c r="AK11" i="14"/>
  <c r="AJ11" i="14"/>
  <c r="AI11" i="14"/>
  <c r="AL10" i="14"/>
  <c r="AK10" i="14"/>
  <c r="AJ10" i="14"/>
  <c r="AI10" i="14"/>
  <c r="AL9" i="14"/>
  <c r="AK9" i="14"/>
  <c r="AJ9" i="14"/>
  <c r="AI9" i="14"/>
  <c r="AL8" i="14"/>
  <c r="AK8" i="14"/>
  <c r="AJ8" i="14"/>
  <c r="AI8" i="14"/>
  <c r="AL7" i="14"/>
  <c r="AK7" i="14"/>
  <c r="AJ7" i="14"/>
  <c r="AI7" i="14"/>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I12" i="14" l="1"/>
  <c r="AK12" i="14"/>
  <c r="AM7" i="14"/>
  <c r="AL12" i="14"/>
  <c r="AM8" i="14"/>
  <c r="AM10" i="14"/>
  <c r="AM9" i="14"/>
  <c r="AM11" i="14"/>
  <c r="AJ12" i="14"/>
  <c r="U3" i="8"/>
  <c r="T3" i="8"/>
  <c r="Q3" i="8"/>
  <c r="P3" i="8"/>
  <c r="M3" i="8"/>
  <c r="L3" i="8"/>
  <c r="I3" i="8"/>
  <c r="H3" i="8"/>
  <c r="E3" i="8"/>
  <c r="D3" i="8"/>
  <c r="C3" i="8"/>
  <c r="AM12" i="14" l="1"/>
  <c r="AM1"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AL11" i="8"/>
  <c r="AK11" i="8"/>
  <c r="AJ11" i="8"/>
  <c r="AI11" i="8"/>
  <c r="AL10" i="8"/>
  <c r="AK10" i="8"/>
  <c r="AJ10" i="8"/>
  <c r="AI10" i="8"/>
  <c r="AL9" i="8"/>
  <c r="AK9" i="8"/>
  <c r="AJ9" i="8"/>
  <c r="AI9" i="8"/>
  <c r="AL8" i="8"/>
  <c r="AK8" i="8"/>
  <c r="AJ8" i="8"/>
  <c r="AI8" i="8"/>
  <c r="AL7" i="8"/>
  <c r="AK7" i="8"/>
  <c r="AJ7" i="8"/>
  <c r="AI7" i="8"/>
  <c r="B5" i="8"/>
  <c r="AI12" i="8" l="1"/>
  <c r="AK12" i="8"/>
  <c r="AM9" i="8"/>
  <c r="AM11" i="8"/>
  <c r="AM7" i="8"/>
  <c r="AL12" i="8"/>
  <c r="AM8" i="8"/>
  <c r="AM10" i="8"/>
  <c r="AJ12" i="8"/>
  <c r="AI11" i="4"/>
  <c r="AJ11" i="4"/>
  <c r="AK11" i="4"/>
  <c r="AL11" i="4"/>
  <c r="AL7" i="4"/>
  <c r="AL8" i="4"/>
  <c r="AL9" i="4"/>
  <c r="AL10" i="4"/>
  <c r="AK7" i="4"/>
  <c r="AK8" i="4"/>
  <c r="AK9" i="4"/>
  <c r="AK10" i="4"/>
  <c r="AJ7" i="4"/>
  <c r="AJ8" i="4"/>
  <c r="AJ9" i="4"/>
  <c r="AJ10" i="4"/>
  <c r="B12" i="6"/>
  <c r="C12" i="6"/>
  <c r="D12" i="6"/>
  <c r="G12" i="6"/>
  <c r="H12" i="6"/>
  <c r="K12" i="6"/>
  <c r="L12" i="6"/>
  <c r="P12" i="6"/>
  <c r="Q12" i="6"/>
  <c r="T12" i="6"/>
  <c r="U12" i="6"/>
  <c r="AM12" i="8" l="1"/>
  <c r="AM11" i="4"/>
  <c r="AI7" i="4"/>
  <c r="AI8" i="4"/>
  <c r="AI9" i="4"/>
  <c r="AI10" i="4"/>
  <c r="E12" i="4" l="1"/>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D12" i="4"/>
  <c r="AK16" i="6" l="1"/>
  <c r="AJ16" i="6"/>
  <c r="AI16" i="6"/>
  <c r="AH16" i="6"/>
  <c r="K6" i="6"/>
  <c r="B6" i="6"/>
  <c r="B10" i="6"/>
  <c r="AE10" i="6"/>
  <c r="W10" i="6"/>
  <c r="K10" i="6"/>
  <c r="AE8" i="6"/>
  <c r="W8" i="6"/>
  <c r="K8" i="6"/>
  <c r="B8" i="6"/>
  <c r="C9" i="4" l="1"/>
  <c r="AK28" i="6"/>
  <c r="AJ28" i="6"/>
  <c r="AI28" i="6"/>
  <c r="AH28" i="6"/>
  <c r="AI22" i="6" l="1"/>
  <c r="AK22" i="6"/>
  <c r="AJ22" i="6"/>
  <c r="AK24" i="6"/>
  <c r="AJ24" i="6"/>
  <c r="AI24" i="6"/>
  <c r="AJ30" i="6"/>
  <c r="AI30" i="6"/>
  <c r="AK30" i="6"/>
  <c r="AK18" i="6"/>
  <c r="AJ18" i="6"/>
  <c r="AI18" i="6"/>
  <c r="AK20" i="6"/>
  <c r="AJ20" i="6"/>
  <c r="AI20" i="6"/>
  <c r="AK26" i="6"/>
  <c r="AJ26" i="6"/>
  <c r="AI26" i="6"/>
  <c r="AK32" i="6"/>
  <c r="AJ32" i="6"/>
  <c r="AI32" i="6"/>
  <c r="AK34" i="6"/>
  <c r="AJ34" i="6"/>
  <c r="AI34" i="6"/>
  <c r="AH18" i="6"/>
  <c r="AH22" i="6"/>
  <c r="AH24" i="6"/>
  <c r="AH30" i="6"/>
  <c r="AH20" i="6"/>
  <c r="AH26" i="6"/>
  <c r="AH32" i="6"/>
  <c r="AH34" i="6"/>
  <c r="B5" i="4" l="1"/>
  <c r="AE6" i="6"/>
  <c r="W6" i="6"/>
  <c r="S4" i="6"/>
  <c r="P4" i="6"/>
  <c r="AH40" i="6" l="1"/>
  <c r="AI40" i="6"/>
  <c r="AJ40" i="6"/>
  <c r="AK40" i="6"/>
  <c r="AM7" i="4" l="1"/>
  <c r="AM10" i="4"/>
  <c r="C7" i="4" l="1"/>
  <c r="C11" i="4"/>
  <c r="C10" i="4"/>
  <c r="C8" i="4"/>
  <c r="D4" i="6"/>
  <c r="C1" i="6" s="1"/>
  <c r="AM9" i="4"/>
  <c r="AM8" i="4"/>
  <c r="AI12" i="4"/>
  <c r="AK12" i="4"/>
  <c r="AL12" i="4"/>
  <c r="AJ12" i="4"/>
  <c r="AM12" i="4" l="1"/>
</calcChain>
</file>

<file path=xl/sharedStrings.xml><?xml version="1.0" encoding="utf-8"?>
<sst xmlns="http://schemas.openxmlformats.org/spreadsheetml/2006/main" count="784" uniqueCount="139">
  <si>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</si>
  <si>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</si>
  <si>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</si>
  <si>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</si>
  <si>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</si>
  <si>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</si>
  <si>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</si>
  <si>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</si>
  <si>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</si>
  <si>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</si>
  <si>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</si>
  <si>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</si>
  <si>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</si>
  <si>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</si>
  <si>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</si>
  <si>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</si>
  <si>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</si>
  <si>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</si>
  <si>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</si>
  <si>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</si>
  <si>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</si>
  <si>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</si>
  <si>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</si>
  <si>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</si>
  <si>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</si>
  <si>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</si>
  <si>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</si>
  <si>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</si>
  <si>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</si>
  <si>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</si>
  <si>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</si>
  <si>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t>
  </si>
  <si>
    <t>T</t>
  </si>
  <si>
    <t>U</t>
  </si>
  <si>
    <t>E</t>
  </si>
  <si>
    <t>Emergency Contact</t>
  </si>
  <si>
    <t>N</t>
  </si>
  <si>
    <t>S001</t>
  </si>
  <si>
    <t>S002</t>
  </si>
  <si>
    <t>S003</t>
  </si>
  <si>
    <t>S004</t>
  </si>
  <si>
    <t>S005</t>
  </si>
  <si>
    <t xml:space="preserve">● </t>
  </si>
  <si>
    <t>1.</t>
  </si>
  <si>
    <t>2.</t>
  </si>
  <si>
    <t>3.</t>
  </si>
  <si>
    <t xml:space="preserve"> </t>
  </si>
  <si>
    <t>在哪里开始？</t>
  </si>
  <si>
    <t>在可以跟踪学生出勤情况之前，您需要执行一些步骤：</t>
    <phoneticPr fontId="9" type="noConversion"/>
  </si>
  <si>
    <r>
      <rPr>
        <b/>
        <sz val="10"/>
        <color theme="4" tint="-0.499984740745262"/>
        <rFont val="微软雅黑"/>
        <family val="2"/>
        <charset val="134"/>
      </rPr>
      <t>添加您的学生：</t>
    </r>
    <r>
      <rPr>
        <sz val="10"/>
        <rFont val="微软雅黑"/>
        <family val="2"/>
        <charset val="134"/>
      </rPr>
      <t>在“</t>
    </r>
    <r>
      <rPr>
        <b/>
        <sz val="10"/>
        <rFont val="微软雅黑"/>
        <family val="2"/>
        <charset val="134"/>
      </rPr>
      <t>学生列表</t>
    </r>
    <r>
      <rPr>
        <sz val="10"/>
        <rFont val="微软雅黑"/>
        <family val="2"/>
        <charset val="134"/>
      </rPr>
      <t>”工作表上，输入每个学生的信息（例如，监护人姓名和联系数据）。 “学生 ID”是一个重要条目，因为它提供每个学生的唯一标识符，在整个工作簿中用于各种学生 ID 下拉列表，便于输入数据。 在“学生列表”上输入的信息也可在其他工作表（例如，“学生出勤报告”和月出勤记录）上使用。</t>
    </r>
    <phoneticPr fontId="9" type="noConversion"/>
  </si>
  <si>
    <r>
      <rPr>
        <b/>
        <sz val="10"/>
        <color theme="4" tint="-0.499984740745262"/>
        <rFont val="微软雅黑"/>
        <family val="2"/>
        <charset val="134"/>
      </rPr>
      <t>更改学校日历年：</t>
    </r>
    <r>
      <rPr>
        <sz val="10"/>
        <rFont val="微软雅黑"/>
        <family val="2"/>
        <charset val="134"/>
      </rPr>
      <t>在“</t>
    </r>
    <r>
      <rPr>
        <b/>
        <sz val="10"/>
        <rFont val="微软雅黑"/>
        <family val="2"/>
        <charset val="134"/>
      </rPr>
      <t>八月</t>
    </r>
    <r>
      <rPr>
        <sz val="10"/>
        <rFont val="微软雅黑"/>
        <family val="2"/>
        <charset val="134"/>
      </rPr>
      <t>”工作表的出勤记录上，单击标题右上边缘处的微调控件，以更新学校日历年。 此更改将更新本工作簿中所有月出勤记录上的标题。 （请注意，微调按钮不会打印。）</t>
    </r>
    <phoneticPr fontId="9" type="noConversion"/>
  </si>
  <si>
    <r>
      <rPr>
        <b/>
        <i/>
        <sz val="10"/>
        <color theme="4" tint="-0.499984740745262"/>
        <rFont val="微软雅黑"/>
        <family val="2"/>
        <charset val="134"/>
      </rPr>
      <t>（可选）</t>
    </r>
    <r>
      <rPr>
        <b/>
        <sz val="10"/>
        <color theme="4" tint="-0.499984740745262"/>
        <rFont val="微软雅黑"/>
        <family val="2"/>
        <charset val="134"/>
      </rPr>
      <t>修改整个工作簿的颜色：</t>
    </r>
    <r>
      <rPr>
        <sz val="10"/>
        <rFont val="微软雅黑"/>
        <family val="2"/>
        <charset val="134"/>
      </rPr>
      <t>首先导航到最后一个工作表“学生出勤报告”，在“审阅”选项卡上的“更改”组中，单击“撤消工作表保护”。 然后在“页面布局”选项卡上的“主题”组中，单击“颜色”，并从颜色库中选择其他主题颜色集。 在进行颜色更改和任何其他主题更改之后，请返回到“学生出勤报告”工作表，并在“审阅”选项卡上的“更改”组中，单击“保护工作表”，然后单击“确定”。</t>
    </r>
    <phoneticPr fontId="9" type="noConversion"/>
  </si>
  <si>
    <r>
      <rPr>
        <b/>
        <sz val="10"/>
        <color theme="1"/>
        <rFont val="微软雅黑"/>
        <family val="2"/>
        <charset val="134"/>
      </rPr>
      <t>提示：</t>
    </r>
    <r>
      <rPr>
        <sz val="10"/>
        <color theme="1"/>
        <rFont val="微软雅黑"/>
        <family val="2"/>
        <charset val="134"/>
      </rPr>
      <t>可根据您的学校颜色创建匹配的自定义主题颜色！ 为此，在“</t>
    </r>
    <r>
      <rPr>
        <b/>
        <sz val="10"/>
        <color theme="1"/>
        <rFont val="微软雅黑"/>
        <family val="2"/>
        <charset val="134"/>
      </rPr>
      <t>页面布局</t>
    </r>
    <r>
      <rPr>
        <sz val="10"/>
        <color theme="1"/>
        <rFont val="微软雅黑"/>
        <family val="2"/>
        <charset val="134"/>
      </rPr>
      <t>”选项卡上的“</t>
    </r>
    <r>
      <rPr>
        <b/>
        <sz val="10"/>
        <color theme="1"/>
        <rFont val="微软雅黑"/>
        <family val="2"/>
        <charset val="134"/>
      </rPr>
      <t>主题</t>
    </r>
    <r>
      <rPr>
        <sz val="10"/>
        <color theme="1"/>
        <rFont val="微软雅黑"/>
        <family val="2"/>
        <charset val="134"/>
      </rPr>
      <t>”组中，单击“</t>
    </r>
    <r>
      <rPr>
        <b/>
        <sz val="10"/>
        <color theme="1"/>
        <rFont val="微软雅黑"/>
        <family val="2"/>
        <charset val="134"/>
      </rPr>
      <t>颜色</t>
    </r>
    <r>
      <rPr>
        <sz val="10"/>
        <color theme="1"/>
        <rFont val="微软雅黑"/>
        <family val="2"/>
        <charset val="134"/>
      </rPr>
      <t>”，然后在颜色库的底部附近，单击“</t>
    </r>
    <r>
      <rPr>
        <b/>
        <sz val="10"/>
        <color theme="1"/>
        <rFont val="微软雅黑"/>
        <family val="2"/>
        <charset val="134"/>
      </rPr>
      <t>新建主题颜色</t>
    </r>
    <r>
      <rPr>
        <sz val="10"/>
        <color theme="1"/>
        <rFont val="微软雅黑"/>
        <family val="2"/>
        <charset val="134"/>
      </rPr>
      <t>”。 有关如何创建自定义颜色集的详细信息，请查看下面的帮助主题：</t>
    </r>
    <phoneticPr fontId="9" type="noConversion"/>
  </si>
  <si>
    <t>我已经添加了我的学生，接下来做什么？</t>
  </si>
  <si>
    <t>在“学生列表”工作表上输入学生之后，您可以按照下列步骤开始跟踪学生们的学年出勤情况：</t>
    <phoneticPr fontId="9" type="noConversion"/>
  </si>
  <si>
    <r>
      <t>要向出勤记录添加学生，请单击“</t>
    </r>
    <r>
      <rPr>
        <b/>
        <sz val="10"/>
        <color theme="1"/>
        <rFont val="微软雅黑"/>
        <family val="2"/>
        <charset val="134"/>
      </rPr>
      <t>学生 ID</t>
    </r>
    <r>
      <rPr>
        <sz val="10"/>
        <color theme="1"/>
        <rFont val="微软雅黑"/>
        <family val="2"/>
        <charset val="134"/>
      </rPr>
      <t>”列下面的某个单元格，并从列表中选择 ID。 在选择 ID 之后，学生的姓名将自动显示。</t>
    </r>
    <phoneticPr fontId="9" type="noConversion"/>
  </si>
  <si>
    <r>
      <rPr>
        <b/>
        <sz val="10"/>
        <color theme="1"/>
        <rFont val="微软雅黑"/>
        <family val="2"/>
        <charset val="134"/>
      </rPr>
      <t>提示：</t>
    </r>
    <r>
      <rPr>
        <sz val="10"/>
        <color theme="1"/>
        <rFont val="微软雅黑"/>
        <family val="2"/>
        <charset val="134"/>
      </rPr>
      <t>节省数据输入步骤！ 在为一个月份添加学生之后，选择输入的学生 ID，复制并粘贴到剩余月份的“</t>
    </r>
    <r>
      <rPr>
        <b/>
        <sz val="10"/>
        <color theme="1"/>
        <rFont val="微软雅黑"/>
        <family val="2"/>
        <charset val="134"/>
      </rPr>
      <t>学生 ID</t>
    </r>
    <r>
      <rPr>
        <sz val="10"/>
        <color theme="1"/>
        <rFont val="微软雅黑"/>
        <family val="2"/>
        <charset val="134"/>
      </rPr>
      <t>”列中。</t>
    </r>
    <phoneticPr fontId="9" type="noConversion"/>
  </si>
  <si>
    <t>然后使用颜色键中提供的出勤类型为月份的每一天输入出勤记录。 “总计”列中将按照各个学生的出勤类型自动计算学生出勤情况。 将在表格底部的“总计”行中自动计算每一天的整体出勤情况。</t>
    <phoneticPr fontId="9" type="noConversion"/>
  </si>
  <si>
    <t>如何向月出勤记录添加更多学生？</t>
  </si>
  <si>
    <t>月出勤记录工作表和学生列表都是 Excel 表格。 要向任何 Excel 表格添加新行，请执行下列操作之一：</t>
    <phoneticPr fontId="9" type="noConversion"/>
  </si>
  <si>
    <t>如果表格没有“总计”行，请在表格下方开始键入，当您按 Enter 或 Tab 键时，表格将自动扩展。</t>
    <phoneticPr fontId="9" type="noConversion"/>
  </si>
  <si>
    <t>将单元格指针放在“总计”行上方的最后一个单元格（例如，最后一个学生的“缺席天数”单元格）中，然后按 Tab 键。</t>
    <phoneticPr fontId="9" type="noConversion"/>
  </si>
  <si>
    <r>
      <t>右键单击表格，在弹出菜单上指向“</t>
    </r>
    <r>
      <rPr>
        <b/>
        <sz val="10"/>
        <color theme="1"/>
        <rFont val="微软雅黑"/>
        <family val="2"/>
        <charset val="134"/>
      </rPr>
      <t>插入</t>
    </r>
    <r>
      <rPr>
        <sz val="10"/>
        <color theme="1"/>
        <rFont val="微软雅黑"/>
        <family val="2"/>
        <charset val="134"/>
      </rPr>
      <t>”，然后单击“</t>
    </r>
    <r>
      <rPr>
        <b/>
        <sz val="10"/>
        <color theme="1"/>
        <rFont val="微软雅黑"/>
        <family val="2"/>
        <charset val="134"/>
      </rPr>
      <t>在上方插入表行</t>
    </r>
    <r>
      <rPr>
        <sz val="10"/>
        <color theme="1"/>
        <rFont val="微软雅黑"/>
        <family val="2"/>
        <charset val="134"/>
      </rPr>
      <t>”或“</t>
    </r>
    <r>
      <rPr>
        <b/>
        <sz val="10"/>
        <color theme="1"/>
        <rFont val="微软雅黑"/>
        <family val="2"/>
        <charset val="134"/>
      </rPr>
      <t>在下方插入表行</t>
    </r>
    <r>
      <rPr>
        <sz val="10"/>
        <color theme="1"/>
        <rFont val="微软雅黑"/>
        <family val="2"/>
        <charset val="134"/>
      </rPr>
      <t>”。</t>
    </r>
    <phoneticPr fontId="9" type="noConversion"/>
  </si>
  <si>
    <t>在表格右下角，将鼠标放在表格尺寸控点上，向下拖动以增加可用表格行数。</t>
    <phoneticPr fontId="9" type="noConversion"/>
  </si>
  <si>
    <t>我是否可以查看某个学生整个学年的出勤情况？</t>
  </si>
  <si>
    <r>
      <t>此工作簿中的最后一个工作表“学生出勤报告”跟踪年初至今的出勤情况。 要查看特定学生的报告，请单击“</t>
    </r>
    <r>
      <rPr>
        <b/>
        <sz val="10"/>
        <color theme="1"/>
        <rFont val="微软雅黑"/>
        <family val="2"/>
        <charset val="134"/>
      </rPr>
      <t>学生 ID</t>
    </r>
    <r>
      <rPr>
        <sz val="10"/>
        <color theme="1"/>
        <rFont val="微软雅黑"/>
        <family val="2"/>
        <charset val="134"/>
      </rPr>
      <t>”下方的单元格，并从下拉列表中选择 ID。 您之前针对选定的学生在“学生列表”工作表上输入的信息将自动显示。 请注意，首次使用“学生出勤报告”时，您需要输入学校、年级、教师和教室。 如果选择其他学生，这些信息不会改变。</t>
    </r>
    <phoneticPr fontId="9" type="noConversion"/>
  </si>
  <si>
    <t>学生列表</t>
    <phoneticPr fontId="9" type="noConversion"/>
  </si>
  <si>
    <t>学生 ID</t>
  </si>
  <si>
    <t>学生名字</t>
  </si>
  <si>
    <t>卫国</t>
  </si>
  <si>
    <t>学生</t>
  </si>
  <si>
    <t>学生姓氏</t>
  </si>
  <si>
    <t>贾</t>
  </si>
  <si>
    <t>性别</t>
  </si>
  <si>
    <t>男</t>
  </si>
  <si>
    <t>出生日期</t>
  </si>
  <si>
    <t>父母或监护人 1</t>
  </si>
  <si>
    <t>父母或监护人 1 关系</t>
  </si>
  <si>
    <t>父母或监护人 2 关系</t>
    <phoneticPr fontId="9" type="noConversion"/>
  </si>
  <si>
    <t>父母或监护人 1 家庭电话</t>
  </si>
  <si>
    <t>父母或监护人 2</t>
  </si>
  <si>
    <t>贾志军</t>
  </si>
  <si>
    <t>父亲</t>
  </si>
  <si>
    <t>紧急联系人关系</t>
  </si>
  <si>
    <t>贾城</t>
  </si>
  <si>
    <t>祖父</t>
  </si>
  <si>
    <t>紧急联系人工作电话</t>
  </si>
  <si>
    <t>紧急联系人家庭电话</t>
  </si>
  <si>
    <t>学生全名</t>
  </si>
  <si>
    <t>学生出勤记录</t>
  </si>
  <si>
    <t>父母或监护人 1 工作电话</t>
    <phoneticPr fontId="9" type="noConversion"/>
  </si>
  <si>
    <t>父母或监护人 2 工作电话</t>
    <phoneticPr fontId="9" type="noConversion"/>
  </si>
  <si>
    <t>父母或监护人 2 家庭电话</t>
    <phoneticPr fontId="9" type="noConversion"/>
  </si>
  <si>
    <t>颜色键</t>
  </si>
  <si>
    <t>学生姓名</t>
  </si>
  <si>
    <t>出勤总计</t>
    <phoneticPr fontId="9" type="noConversion"/>
  </si>
  <si>
    <t>总计</t>
  </si>
  <si>
    <t>缺席天数</t>
  </si>
  <si>
    <t>总缺席天数</t>
  </si>
  <si>
    <t>总缺席天数</t>
    <phoneticPr fontId="9" type="noConversion"/>
  </si>
  <si>
    <t>迟到</t>
  </si>
  <si>
    <t>请假</t>
  </si>
  <si>
    <t>无故缺席</t>
  </si>
  <si>
    <t>到场</t>
  </si>
  <si>
    <t>停课</t>
  </si>
  <si>
    <t>学年开始：</t>
    <phoneticPr fontId="9" type="noConversion"/>
  </si>
  <si>
    <t>学生姓名</t>
    <phoneticPr fontId="9" type="noConversion"/>
  </si>
  <si>
    <t>性别</t>
    <phoneticPr fontId="9" type="noConversion"/>
  </si>
  <si>
    <t>出生日期</t>
    <phoneticPr fontId="9" type="noConversion"/>
  </si>
  <si>
    <t>学校</t>
    <phoneticPr fontId="9" type="noConversion"/>
  </si>
  <si>
    <t>年级</t>
    <phoneticPr fontId="9" type="noConversion"/>
  </si>
  <si>
    <t>教师</t>
    <phoneticPr fontId="9" type="noConversion"/>
  </si>
  <si>
    <t>教室</t>
    <phoneticPr fontId="9" type="noConversion"/>
  </si>
  <si>
    <t>未来艺术学校</t>
    <phoneticPr fontId="9" type="noConversion"/>
  </si>
  <si>
    <t>谢兰</t>
    <phoneticPr fontId="9" type="noConversion"/>
  </si>
  <si>
    <t>父母或监护人 1 姓名</t>
    <phoneticPr fontId="9" type="noConversion"/>
  </si>
  <si>
    <t>父母或监护人 2 姓名</t>
    <phoneticPr fontId="9" type="noConversion"/>
  </si>
  <si>
    <t>关系</t>
    <phoneticPr fontId="9" type="noConversion"/>
  </si>
  <si>
    <t>工作电话</t>
    <phoneticPr fontId="9" type="noConversion"/>
  </si>
  <si>
    <t>家庭电话</t>
    <phoneticPr fontId="9" type="noConversion"/>
  </si>
  <si>
    <t>紧急联系人</t>
    <phoneticPr fontId="9" type="noConversion"/>
  </si>
  <si>
    <t>出勤</t>
    <phoneticPr fontId="9" type="noConversion"/>
  </si>
  <si>
    <t>八月</t>
    <phoneticPr fontId="9" type="noConversion"/>
  </si>
  <si>
    <t>九月</t>
    <phoneticPr fontId="9" type="noConversion"/>
  </si>
  <si>
    <t>十月</t>
    <phoneticPr fontId="9" type="noConversion"/>
  </si>
  <si>
    <t>十一月</t>
    <phoneticPr fontId="9" type="noConversion"/>
  </si>
  <si>
    <t>十二月</t>
    <phoneticPr fontId="9" type="noConversion"/>
  </si>
  <si>
    <t>一月</t>
    <phoneticPr fontId="9" type="noConversion"/>
  </si>
  <si>
    <t>二月</t>
    <phoneticPr fontId="9" type="noConversion"/>
  </si>
  <si>
    <t>三月</t>
    <phoneticPr fontId="9" type="noConversion"/>
  </si>
  <si>
    <t>四月</t>
    <phoneticPr fontId="9" type="noConversion"/>
  </si>
  <si>
    <t>五月</t>
    <phoneticPr fontId="9" type="noConversion"/>
  </si>
  <si>
    <t>六月</t>
    <phoneticPr fontId="9" type="noConversion"/>
  </si>
  <si>
    <t>七月</t>
    <phoneticPr fontId="9" type="noConversion"/>
  </si>
  <si>
    <t>如何使用此模板</t>
    <phoneticPr fontId="9" type="noConversion"/>
  </si>
  <si>
    <r>
      <rPr>
        <u/>
        <sz val="10"/>
        <color theme="10"/>
        <rFont val="微软雅黑"/>
        <family val="2"/>
      </rPr>
      <t>自定义文档主题。</t>
    </r>
    <phoneticPr fontId="9" type="noConversion"/>
  </si>
  <si>
    <t>黎圆圆</t>
    <phoneticPr fontId="9" type="noConversion"/>
  </si>
  <si>
    <t>母亲</t>
    <phoneticPr fontId="9" type="noConversion"/>
  </si>
  <si>
    <t>S001</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</si>
</sst>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mm/dd/yy;@"/>
    <numFmt numFmtId="166" formatCode="[&lt;=9999999]###\-####;\(###\)\ ###\-####"/>
    <numFmt numFmtId="167" formatCode="0;0;;@"/>
    <numFmt numFmtId="168" formatCode="_)@"/>
    <numFmt numFmtId="169" formatCode="[$-C04]yy\-mmm"/>
  </numFmts>
  <fonts count="41">
    <font>
      <sz val="10"/>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sz val="12"/>
      <color theme="3"/>
      <name val="Century Gothic"/>
      <family val="2"/>
      <scheme val="minor"/>
    </font>
    <font>
      <u/>
      <sz val="10"/>
      <color theme="10"/>
      <name val="Arial"/>
      <family val="2"/>
    </font>
    <font>
      <sz val="9"/>
      <name val="Century Gothic"/>
      <family val="3"/>
      <charset val="134"/>
      <scheme val="minor"/>
    </font>
    <font>
      <b/>
      <sz val="22"/>
      <color theme="0"/>
      <name val="微软雅黑"/>
      <family val="2"/>
      <charset val="134"/>
    </font>
    <font>
      <sz val="10"/>
      <color theme="1"/>
      <name val="微软雅黑"/>
      <family val="2"/>
      <charset val="134"/>
    </font>
    <font>
      <sz val="12"/>
      <color theme="3"/>
      <name val="微软雅黑"/>
      <family val="2"/>
      <charset val="134"/>
    </font>
    <font>
      <b/>
      <sz val="10"/>
      <color theme="4" tint="-0.499984740745262"/>
      <name val="微软雅黑"/>
      <family val="2"/>
      <charset val="134"/>
    </font>
    <font>
      <b/>
      <sz val="10"/>
      <color theme="1"/>
      <name val="微软雅黑"/>
      <family val="2"/>
      <charset val="134"/>
    </font>
    <font>
      <b/>
      <i/>
      <sz val="10"/>
      <color theme="4" tint="-0.499984740745262"/>
      <name val="微软雅黑"/>
      <family val="2"/>
      <charset val="134"/>
    </font>
    <font>
      <sz val="10"/>
      <name val="微软雅黑"/>
      <family val="2"/>
      <charset val="134"/>
    </font>
    <font>
      <b/>
      <sz val="10"/>
      <name val="微软雅黑"/>
      <family val="2"/>
      <charset val="134"/>
    </font>
    <font>
      <b/>
      <sz val="12"/>
      <name val="微软雅黑"/>
      <family val="2"/>
      <charset val="134"/>
    </font>
    <font>
      <b/>
      <sz val="18"/>
      <color theme="0"/>
      <name val="微软雅黑"/>
      <family val="2"/>
      <charset val="134"/>
    </font>
    <font>
      <sz val="9"/>
      <name val="微软雅黑"/>
      <family val="2"/>
      <charset val="134"/>
    </font>
    <font>
      <sz val="9"/>
      <color theme="1"/>
      <name val="微软雅黑"/>
      <family val="2"/>
      <charset val="134"/>
    </font>
    <font>
      <b/>
      <sz val="11"/>
      <color indexed="9"/>
      <name val="微软雅黑"/>
      <family val="2"/>
      <charset val="134"/>
    </font>
    <font>
      <sz val="9"/>
      <color theme="0"/>
      <name val="微软雅黑"/>
      <family val="2"/>
      <charset val="134"/>
    </font>
    <font>
      <b/>
      <sz val="9"/>
      <color theme="0"/>
      <name val="微软雅黑"/>
      <family val="2"/>
      <charset val="134"/>
    </font>
    <font>
      <sz val="11"/>
      <color theme="1"/>
      <name val="微软雅黑"/>
      <family val="2"/>
      <charset val="134"/>
    </font>
    <font>
      <b/>
      <i/>
      <sz val="14"/>
      <color theme="0"/>
      <name val="微软雅黑"/>
      <family val="2"/>
      <charset val="134"/>
    </font>
    <font>
      <b/>
      <sz val="16"/>
      <color theme="0"/>
      <name val="微软雅黑"/>
      <family val="2"/>
      <charset val="134"/>
    </font>
    <font>
      <b/>
      <sz val="20"/>
      <name val="微软雅黑"/>
      <family val="2"/>
      <charset val="134"/>
    </font>
    <font>
      <sz val="16"/>
      <name val="微软雅黑"/>
      <family val="2"/>
      <charset val="134"/>
    </font>
    <font>
      <b/>
      <sz val="9"/>
      <color theme="4" tint="-0.499984740745262"/>
      <name val="微软雅黑"/>
      <family val="2"/>
      <charset val="134"/>
    </font>
    <font>
      <sz val="8"/>
      <name val="微软雅黑"/>
      <family val="2"/>
      <charset val="134"/>
    </font>
    <font>
      <sz val="8"/>
      <color theme="1"/>
      <name val="微软雅黑"/>
      <family val="2"/>
      <charset val="134"/>
    </font>
    <font>
      <b/>
      <sz val="8"/>
      <color theme="0"/>
      <name val="微软雅黑"/>
      <family val="2"/>
      <charset val="134"/>
    </font>
    <font>
      <b/>
      <sz val="8"/>
      <name val="微软雅黑"/>
      <family val="2"/>
      <charset val="134"/>
    </font>
    <font>
      <b/>
      <sz val="9"/>
      <color theme="1" tint="0.14996795556505021"/>
      <name val="微软雅黑"/>
      <family val="2"/>
      <charset val="134"/>
    </font>
    <font>
      <sz val="9"/>
      <color theme="3" tint="-0.249977111117893"/>
      <name val="微软雅黑"/>
      <family val="2"/>
      <charset val="134"/>
    </font>
    <font>
      <b/>
      <sz val="9"/>
      <color theme="3" tint="-0.249977111117893"/>
      <name val="微软雅黑"/>
      <family val="2"/>
      <charset val="134"/>
    </font>
    <font>
      <b/>
      <sz val="10"/>
      <color indexed="9"/>
      <name val="微软雅黑"/>
      <family val="2"/>
      <charset val="134"/>
    </font>
    <font>
      <u/>
      <sz val="10"/>
      <color theme="10"/>
      <name val="微软雅黑"/>
      <family val="2"/>
      <charset val="134"/>
    </font>
    <font>
      <u/>
      <sz val="10"/>
      <color theme="10"/>
      <name val="微软雅黑"/>
      <family val="2"/>
    </font>
  </fonts>
  <fills count="13">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tint="0.79998168889431442"/>
        <bgColor indexed="64"/>
      </patternFill>
    </fill>
    <fill>
      <patternFill patternType="solid">
        <fgColor theme="7"/>
        <bgColor indexed="64"/>
      </patternFill>
    </fill>
    <fill>
      <patternFill patternType="solid">
        <fgColor theme="8" tint="0.59999389629810485"/>
        <bgColor indexed="64"/>
      </patternFill>
    </fill>
  </fills>
  <borders count="16">
    <border>
      <left/>
      <right/>
      <top/>
      <bottom/>
      <diagonal/>
    </border>
    <border>
      <left style="thin">
        <color theme="3"/>
      </left>
      <right style="thin">
        <color theme="3"/>
      </right>
      <top style="thin">
        <color theme="3"/>
      </top>
      <bottom style="thin">
        <color theme="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4"/>
      </right>
      <top style="thin">
        <color theme="3"/>
      </top>
      <bottom style="thin">
        <color theme="3"/>
      </bottom>
      <diagonal/>
    </border>
    <border>
      <left/>
      <right style="thin">
        <color theme="3"/>
      </right>
      <top style="thin">
        <color theme="3"/>
      </top>
      <bottom style="thin">
        <color theme="3"/>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bottom style="medium">
        <color theme="4" tint="-0.499984740745262"/>
      </bottom>
      <diagonal/>
    </border>
    <border>
      <left style="thin">
        <color theme="3" tint="0.59996337778862885"/>
      </left>
      <right style="thin">
        <color theme="3" tint="0.59996337778862885"/>
      </right>
      <top/>
      <bottom style="thin">
        <color theme="3" tint="0.59996337778862885"/>
      </bottom>
      <diagonal/>
    </border>
    <border>
      <left/>
      <right style="thin">
        <color theme="0" tint="-0.34998626667073579"/>
      </right>
      <top/>
      <bottom style="medium">
        <color theme="4" tint="-0.499984740745262"/>
      </bottom>
      <diagonal/>
    </border>
    <border>
      <left style="thin">
        <color theme="0" tint="-0.34998626667073579"/>
      </left>
      <right style="thin">
        <color theme="0" tint="-0.34998626667073579"/>
      </right>
      <top/>
      <bottom style="medium">
        <color theme="4" tint="-0.499984740745262"/>
      </bottom>
      <diagonal/>
    </border>
    <border>
      <left style="thin">
        <color theme="3" tint="0.59996337778862885"/>
      </left>
      <right style="thin">
        <color theme="3" tint="0.59996337778862885"/>
      </right>
      <top style="thin">
        <color theme="3" tint="0.59996337778862885"/>
      </top>
      <bottom/>
      <diagonal/>
    </border>
  </borders>
  <cellStyleXfs count="13">
    <xf numFmtId="0" fontId="0" fillId="0" borderId="0"/>
    <xf numFmtId="0" fontId="5" fillId="0" borderId="0" applyNumberFormat="0" applyFill="0" applyBorder="0" applyAlignment="0" applyProtection="0"/>
    <xf numFmtId="0" fontId="1" fillId="3" borderId="2">
      <alignment vertical="center"/>
    </xf>
    <xf numFmtId="0" fontId="2" fillId="0" borderId="2">
      <alignment horizontal="left" vertical="center" wrapText="1"/>
      <protection locked="0"/>
    </xf>
    <xf numFmtId="165" fontId="2" fillId="0" borderId="2">
      <alignment horizontal="left" vertical="center" wrapText="1"/>
      <protection locked="0"/>
    </xf>
    <xf numFmtId="166" fontId="2" fillId="0" borderId="2">
      <alignment horizontal="left" vertical="center" wrapText="1"/>
      <protection locked="0"/>
    </xf>
    <xf numFmtId="0" fontId="3" fillId="4" borderId="3" applyBorder="0">
      <alignment horizontal="center" vertical="center"/>
    </xf>
    <xf numFmtId="1" fontId="3" fillId="4" borderId="2">
      <alignment horizontal="center" vertical="center"/>
    </xf>
    <xf numFmtId="0" fontId="4" fillId="5" borderId="2">
      <alignment horizontal="center" vertical="center"/>
      <protection locked="0"/>
    </xf>
    <xf numFmtId="0" fontId="4" fillId="6" borderId="2">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41">
    <xf numFmtId="0" fontId="0" fillId="0" borderId="0" xfId="0"/>
    <xf numFmtId="0" fontId="10" fillId="7" borderId="0" xfId="1" applyFont="1" applyFill="1" applyAlignment="1">
      <alignment horizontal="left" vertical="center" indent="1"/>
    </xf>
    <xf numFmtId="0" fontId="11" fillId="7" borderId="0" xfId="0" applyFont="1" applyFill="1"/>
    <xf numFmtId="0" fontId="11" fillId="0" borderId="0" xfId="0" applyFont="1" applyFill="1"/>
    <xf numFmtId="0" fontId="11" fillId="0" borderId="0" xfId="0" applyFont="1"/>
    <xf numFmtId="0" fontId="12" fillId="0" borderId="0" xfId="11" applyFont="1"/>
    <xf numFmtId="0" fontId="11" fillId="0" borderId="0" xfId="0" quotePrefix="1" applyFont="1" applyAlignment="1">
      <alignment vertical="top"/>
    </xf>
    <xf numFmtId="0" fontId="11" fillId="0" borderId="0" xfId="0" applyFont="1" applyAlignment="1">
      <alignment wrapText="1"/>
    </xf>
    <xf numFmtId="0" fontId="11" fillId="0" borderId="0" xfId="0" applyFont="1" applyAlignment="1">
      <alignment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vertical="center" wrapText="1"/>
    </xf>
    <xf numFmtId="0" fontId="12" fillId="0" borderId="0" xfId="11" applyFont="1" applyAlignment="1">
      <alignment vertical="top"/>
    </xf>
    <xf numFmtId="0" fontId="10" fillId="7" borderId="0" xfId="1" applyNumberFormat="1" applyFont="1" applyFill="1" applyBorder="1" applyAlignment="1">
      <alignment vertical="center"/>
    </xf>
    <xf numFmtId="0" fontId="16" fillId="7" borderId="0" xfId="0" applyFont="1" applyFill="1" applyAlignment="1">
      <alignment vertical="center"/>
    </xf>
    <xf numFmtId="0" fontId="11" fillId="7" borderId="0" xfId="0" applyFont="1" applyFill="1" applyBorder="1" applyAlignment="1">
      <alignment vertical="center"/>
    </xf>
    <xf numFmtId="0" fontId="18" fillId="7" borderId="0" xfId="0" applyFont="1" applyFill="1" applyBorder="1" applyAlignment="1">
      <alignment vertical="center"/>
    </xf>
    <xf numFmtId="0" fontId="16" fillId="7" borderId="0" xfId="0" applyFont="1" applyFill="1" applyAlignment="1">
      <alignment horizontal="center" vertical="center"/>
    </xf>
    <xf numFmtId="0" fontId="19" fillId="7" borderId="0" xfId="0" applyFont="1" applyFill="1" applyBorder="1" applyAlignment="1">
      <alignment horizontal="right" vertical="center"/>
    </xf>
    <xf numFmtId="0" fontId="19" fillId="7" borderId="0" xfId="0" applyFont="1" applyFill="1" applyBorder="1" applyAlignment="1">
      <alignment horizontal="center" vertical="center"/>
    </xf>
    <xf numFmtId="0" fontId="16" fillId="0" borderId="0" xfId="0" applyFont="1" applyFill="1" applyAlignment="1">
      <alignment vertical="center"/>
    </xf>
    <xf numFmtId="0" fontId="20" fillId="0" borderId="0" xfId="0" applyFont="1" applyFill="1" applyAlignment="1">
      <alignment horizontal="right" vertical="center"/>
    </xf>
    <xf numFmtId="0" fontId="21" fillId="11" borderId="0" xfId="0" applyFont="1" applyFill="1" applyBorder="1" applyAlignment="1">
      <alignment horizontal="center" vertical="center"/>
    </xf>
    <xf numFmtId="0" fontId="21" fillId="0" borderId="0" xfId="0" applyFont="1" applyAlignment="1">
      <alignment horizontal="left" vertical="center"/>
    </xf>
    <xf numFmtId="0" fontId="21" fillId="0" borderId="0" xfId="0" applyFont="1" applyAlignment="1">
      <alignment vertical="center"/>
    </xf>
    <xf numFmtId="0" fontId="21" fillId="9" borderId="0" xfId="0" applyFont="1" applyFill="1" applyBorder="1" applyAlignment="1">
      <alignment horizontal="center" vertical="center"/>
    </xf>
    <xf numFmtId="0" fontId="21" fillId="0" borderId="0" xfId="0" applyFont="1" applyBorder="1" applyAlignment="1">
      <alignment vertical="center"/>
    </xf>
    <xf numFmtId="0" fontId="21" fillId="8" borderId="0" xfId="0" applyFont="1" applyFill="1" applyBorder="1" applyAlignment="1">
      <alignment horizontal="center" vertical="center"/>
    </xf>
    <xf numFmtId="0" fontId="21" fillId="10" borderId="0" xfId="0" applyFont="1" applyFill="1" applyBorder="1" applyAlignment="1">
      <alignment horizontal="center" vertical="center"/>
    </xf>
    <xf numFmtId="0" fontId="21" fillId="12" borderId="0" xfId="0" applyFont="1" applyFill="1" applyBorder="1" applyAlignment="1">
      <alignment horizontal="center" vertical="center"/>
    </xf>
    <xf numFmtId="0" fontId="11"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right" vertical="center"/>
    </xf>
    <xf numFmtId="0" fontId="16" fillId="0" borderId="0" xfId="0" applyFont="1" applyFill="1" applyAlignment="1">
      <alignment horizontal="center" vertical="center"/>
    </xf>
    <xf numFmtId="0" fontId="20" fillId="0" borderId="0" xfId="0" applyFont="1"/>
    <xf numFmtId="0" fontId="20" fillId="7" borderId="7" xfId="0" applyFont="1" applyFill="1" applyBorder="1"/>
    <xf numFmtId="0" fontId="23" fillId="7" borderId="1" xfId="0" applyFont="1" applyFill="1" applyBorder="1" applyAlignment="1">
      <alignment horizontal="center"/>
    </xf>
    <xf numFmtId="0" fontId="20" fillId="0" borderId="0" xfId="0" applyFont="1" applyAlignment="1">
      <alignment vertical="center"/>
    </xf>
    <xf numFmtId="0" fontId="11" fillId="0" borderId="0" xfId="0" applyFont="1" applyFill="1" applyBorder="1" applyAlignment="1">
      <alignment vertical="center"/>
    </xf>
    <xf numFmtId="49" fontId="11" fillId="0" borderId="0" xfId="0" applyNumberFormat="1" applyFont="1" applyFill="1" applyBorder="1" applyAlignment="1">
      <alignment horizontal="left" vertical="center"/>
    </xf>
    <xf numFmtId="0" fontId="11" fillId="0" borderId="0" xfId="0" applyFont="1" applyFill="1" applyBorder="1" applyAlignment="1">
      <alignment horizontal="center" vertical="center"/>
    </xf>
    <xf numFmtId="49" fontId="11" fillId="11" borderId="0" xfId="0" applyNumberFormat="1" applyFont="1" applyFill="1" applyBorder="1" applyAlignment="1">
      <alignment horizontal="center"/>
    </xf>
    <xf numFmtId="0" fontId="11" fillId="8" borderId="0" xfId="0" applyFont="1" applyFill="1" applyBorder="1" applyAlignment="1">
      <alignment horizontal="center"/>
    </xf>
    <xf numFmtId="0" fontId="11" fillId="9" borderId="0" xfId="0" applyFont="1" applyFill="1" applyBorder="1" applyAlignment="1">
      <alignment horizontal="center"/>
    </xf>
    <xf numFmtId="0" fontId="11" fillId="10" borderId="0" xfId="0" applyFont="1" applyFill="1" applyBorder="1" applyAlignment="1">
      <alignment horizontal="center"/>
    </xf>
    <xf numFmtId="0" fontId="11" fillId="0" borderId="0" xfId="0" applyFont="1" applyFill="1" applyBorder="1" applyAlignment="1">
      <alignment horizontal="left" vertical="center"/>
    </xf>
    <xf numFmtId="0" fontId="20" fillId="0" borderId="0" xfId="0" applyFont="1" applyAlignment="1">
      <alignment horizontal="center" vertical="center"/>
    </xf>
    <xf numFmtId="0" fontId="11" fillId="0" borderId="0" xfId="0" applyFont="1" applyFill="1" applyBorder="1" applyProtection="1">
      <protection locked="0"/>
    </xf>
    <xf numFmtId="164" fontId="11" fillId="0" borderId="0" xfId="0" applyNumberFormat="1" applyFont="1" applyFill="1" applyBorder="1" applyAlignment="1" applyProtection="1">
      <alignment horizontal="center" vertical="center"/>
      <protection locked="0"/>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xf numFmtId="0" fontId="16" fillId="0" borderId="0" xfId="0" applyFont="1" applyAlignment="1">
      <alignment horizontal="center"/>
    </xf>
    <xf numFmtId="49" fontId="16" fillId="0" borderId="0" xfId="0" applyNumberFormat="1" applyFont="1"/>
    <xf numFmtId="0" fontId="16" fillId="0" borderId="0" xfId="0" applyFont="1" applyAlignment="1">
      <alignment horizontal="right" indent="2"/>
    </xf>
    <xf numFmtId="0" fontId="25" fillId="7" borderId="0" xfId="0" applyFont="1" applyFill="1"/>
    <xf numFmtId="0" fontId="11" fillId="0" borderId="0" xfId="0" applyFont="1" applyAlignment="1">
      <alignment horizont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xf>
    <xf numFmtId="0" fontId="11" fillId="0" borderId="0" xfId="0" applyFont="1" applyAlignment="1">
      <alignment horizontal="center"/>
    </xf>
    <xf numFmtId="14" fontId="11" fillId="0" borderId="0" xfId="0" applyNumberFormat="1" applyFont="1" applyAlignment="1">
      <alignment horizontal="center"/>
    </xf>
    <xf numFmtId="166" fontId="11" fillId="0" borderId="0" xfId="0" applyNumberFormat="1" applyFont="1" applyAlignment="1">
      <alignment horizontal="center"/>
    </xf>
    <xf numFmtId="166" fontId="11" fillId="0" borderId="0" xfId="0" applyNumberFormat="1" applyFont="1" applyAlignment="1">
      <alignment horizontal="left"/>
    </xf>
    <xf numFmtId="0" fontId="11" fillId="0" borderId="0" xfId="0" applyNumberFormat="1" applyFont="1"/>
    <xf numFmtId="49" fontId="10" fillId="7" borderId="0" xfId="1" applyNumberFormat="1" applyFont="1" applyFill="1" applyBorder="1" applyAlignment="1">
      <alignment vertical="center"/>
    </xf>
    <xf numFmtId="164" fontId="11" fillId="0" borderId="0" xfId="0" applyNumberFormat="1" applyFont="1" applyFill="1" applyBorder="1"/>
    <xf numFmtId="167"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164" fontId="11" fillId="0" borderId="0" xfId="0" applyNumberFormat="1" applyFont="1" applyFill="1" applyBorder="1" applyAlignment="1">
      <alignment vertical="center" wrapText="1"/>
    </xf>
    <xf numFmtId="0" fontId="16" fillId="11" borderId="0" xfId="0" applyFont="1" applyFill="1" applyBorder="1" applyAlignment="1">
      <alignment horizontal="center"/>
    </xf>
    <xf numFmtId="0" fontId="16" fillId="8" borderId="0" xfId="0" applyFont="1" applyFill="1" applyBorder="1" applyAlignment="1">
      <alignment horizontal="center"/>
    </xf>
    <xf numFmtId="0" fontId="16" fillId="9" borderId="0" xfId="0" applyFont="1" applyFill="1" applyBorder="1" applyAlignment="1">
      <alignment horizontal="center"/>
    </xf>
    <xf numFmtId="0" fontId="16" fillId="10" borderId="0" xfId="0" applyFont="1" applyFill="1" applyBorder="1" applyAlignment="1">
      <alignment horizontal="center"/>
    </xf>
    <xf numFmtId="0" fontId="11" fillId="0" borderId="0" xfId="0" applyFont="1" applyProtection="1">
      <protection locked="0"/>
    </xf>
    <xf numFmtId="167" fontId="11" fillId="0" borderId="0" xfId="0" applyNumberFormat="1" applyFont="1"/>
    <xf numFmtId="164" fontId="11" fillId="0" borderId="0" xfId="0" applyNumberFormat="1" applyFont="1" applyAlignment="1">
      <alignment horizontal="center"/>
    </xf>
    <xf numFmtId="167" fontId="11" fillId="0" borderId="0" xfId="0" applyNumberFormat="1" applyFont="1" applyFill="1" applyBorder="1" applyAlignment="1">
      <alignment vertical="center" wrapText="1"/>
    </xf>
    <xf numFmtId="0" fontId="26" fillId="7" borderId="0" xfId="1" applyFont="1" applyFill="1" applyBorder="1" applyAlignment="1" applyProtection="1">
      <alignment horizontal="left" vertical="center" indent="1"/>
    </xf>
    <xf numFmtId="0" fontId="11" fillId="7" borderId="0" xfId="0" applyFont="1" applyFill="1" applyProtection="1"/>
    <xf numFmtId="0" fontId="10" fillId="7" borderId="0" xfId="1" applyFont="1" applyFill="1" applyBorder="1" applyAlignment="1" applyProtection="1">
      <alignment vertical="center"/>
    </xf>
    <xf numFmtId="167" fontId="27" fillId="7" borderId="0" xfId="1" applyNumberFormat="1" applyFont="1" applyFill="1" applyBorder="1" applyAlignment="1" applyProtection="1">
      <alignment vertical="center"/>
    </xf>
    <xf numFmtId="0" fontId="28" fillId="7" borderId="0" xfId="0" applyFont="1" applyFill="1" applyBorder="1" applyAlignment="1" applyProtection="1">
      <alignment vertical="center"/>
    </xf>
    <xf numFmtId="0" fontId="29" fillId="7" borderId="0" xfId="0" applyFont="1" applyFill="1" applyBorder="1" applyAlignment="1" applyProtection="1">
      <alignment horizontal="right" vertical="center"/>
    </xf>
    <xf numFmtId="0" fontId="11" fillId="0" borderId="0" xfId="0" applyFont="1" applyProtection="1"/>
    <xf numFmtId="168" fontId="30" fillId="2" borderId="9" xfId="2" applyNumberFormat="1" applyFont="1" applyFill="1" applyBorder="1" applyAlignment="1" applyProtection="1">
      <alignment vertical="center"/>
    </xf>
    <xf numFmtId="168" fontId="30" fillId="2" borderId="10" xfId="2" applyNumberFormat="1" applyFont="1" applyFill="1" applyBorder="1" applyAlignment="1" applyProtection="1">
      <alignment vertical="center"/>
    </xf>
    <xf numFmtId="0" fontId="30" fillId="2" borderId="8" xfId="2" applyNumberFormat="1" applyFont="1" applyFill="1" applyBorder="1" applyAlignment="1" applyProtection="1">
      <alignment vertical="center"/>
    </xf>
    <xf numFmtId="0" fontId="20" fillId="0" borderId="8" xfId="3" applyFont="1" applyBorder="1" applyAlignment="1" applyProtection="1">
      <alignment horizontal="center" vertical="center" wrapText="1"/>
      <protection locked="0"/>
    </xf>
    <xf numFmtId="167" fontId="31" fillId="0" borderId="0" xfId="3" applyNumberFormat="1" applyFont="1" applyBorder="1" applyAlignment="1" applyProtection="1">
      <alignment horizontal="left" vertical="center" wrapText="1" indent="1"/>
    </xf>
    <xf numFmtId="166" fontId="31" fillId="0" borderId="0" xfId="5" applyFont="1" applyBorder="1" applyAlignment="1" applyProtection="1">
      <alignment horizontal="left" vertical="center" wrapText="1" indent="1"/>
    </xf>
    <xf numFmtId="0" fontId="32" fillId="0" borderId="0" xfId="0" applyFont="1"/>
    <xf numFmtId="0" fontId="32" fillId="11" borderId="0" xfId="0" applyFont="1" applyFill="1" applyAlignment="1">
      <alignment horizontal="center"/>
    </xf>
    <xf numFmtId="0" fontId="32" fillId="9" borderId="0" xfId="0" applyFont="1" applyFill="1" applyAlignment="1">
      <alignment horizontal="center"/>
    </xf>
    <xf numFmtId="0" fontId="32" fillId="8" borderId="0" xfId="0" applyFont="1" applyFill="1" applyAlignment="1">
      <alignment horizontal="center"/>
    </xf>
    <xf numFmtId="0" fontId="32" fillId="0" borderId="0" xfId="0" applyFont="1" applyProtection="1"/>
    <xf numFmtId="0" fontId="32" fillId="10" borderId="0" xfId="0" applyFont="1" applyFill="1" applyAlignment="1">
      <alignment horizontal="center"/>
    </xf>
    <xf numFmtId="0" fontId="32" fillId="12" borderId="0" xfId="0" applyFont="1" applyFill="1" applyAlignment="1">
      <alignment horizontal="center"/>
    </xf>
    <xf numFmtId="167" fontId="31" fillId="0" borderId="0" xfId="3" applyNumberFormat="1" applyFont="1" applyBorder="1" applyAlignment="1" applyProtection="1">
      <alignment horizontal="left"/>
    </xf>
    <xf numFmtId="0" fontId="34" fillId="11" borderId="13" xfId="0" applyFont="1" applyFill="1" applyBorder="1" applyAlignment="1" applyProtection="1">
      <alignment horizontal="center" vertical="center"/>
    </xf>
    <xf numFmtId="0" fontId="34" fillId="9" borderId="14" xfId="0" applyFont="1" applyFill="1" applyBorder="1" applyAlignment="1" applyProtection="1">
      <alignment horizontal="center" vertical="center"/>
    </xf>
    <xf numFmtId="0" fontId="34" fillId="8" borderId="14" xfId="0" applyFont="1" applyFill="1" applyBorder="1" applyAlignment="1" applyProtection="1">
      <alignment horizontal="center" vertical="center"/>
    </xf>
    <xf numFmtId="0" fontId="34" fillId="10" borderId="14" xfId="0" applyFont="1" applyFill="1" applyBorder="1" applyAlignment="1" applyProtection="1">
      <alignment horizontal="center" vertical="center"/>
    </xf>
    <xf numFmtId="0" fontId="36" fillId="2" borderId="12" xfId="0" applyFont="1" applyFill="1" applyBorder="1" applyAlignment="1" applyProtection="1">
      <alignment horizontal="center" vertical="center"/>
    </xf>
    <xf numFmtId="164" fontId="36" fillId="0" borderId="8" xfId="8" applyNumberFormat="1" applyFont="1" applyFill="1" applyBorder="1" applyProtection="1">
      <alignment horizontal="center" vertical="center"/>
    </xf>
    <xf numFmtId="164" fontId="36" fillId="2" borderId="8" xfId="0" applyNumberFormat="1" applyFont="1" applyFill="1" applyBorder="1" applyAlignment="1" applyProtection="1">
      <alignment horizontal="center" vertical="center"/>
    </xf>
    <xf numFmtId="0" fontId="21" fillId="0" borderId="0" xfId="0" applyFont="1" applyProtection="1"/>
    <xf numFmtId="0" fontId="20" fillId="0" borderId="0" xfId="0" applyFont="1" applyFill="1" applyBorder="1" applyProtection="1"/>
    <xf numFmtId="164" fontId="37" fillId="0" borderId="8" xfId="7" applyNumberFormat="1" applyFont="1" applyFill="1" applyBorder="1" applyProtection="1">
      <alignment horizontal="center" vertical="center"/>
    </xf>
    <xf numFmtId="169" fontId="22" fillId="7" borderId="4" xfId="0" applyNumberFormat="1" applyFont="1" applyFill="1" applyBorder="1" applyAlignment="1">
      <alignment horizontal="left" vertical="center"/>
    </xf>
    <xf numFmtId="169" fontId="38" fillId="7" borderId="4" xfId="0" applyNumberFormat="1" applyFont="1" applyFill="1" applyBorder="1" applyAlignment="1">
      <alignment horizontal="left" vertical="center"/>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wrapText="1"/>
    </xf>
    <xf numFmtId="0" fontId="39" fillId="0" borderId="0" xfId="12" quotePrefix="1" applyFont="1" applyAlignment="1">
      <alignment vertical="top" wrapText="1"/>
    </xf>
    <xf numFmtId="0" fontId="40" fillId="0" borderId="0" xfId="12" quotePrefix="1" applyFont="1" applyAlignment="1">
      <alignment vertical="top" wrapText="1"/>
    </xf>
    <xf numFmtId="0" fontId="24" fillId="7" borderId="4" xfId="0" applyFont="1" applyFill="1" applyBorder="1" applyAlignment="1">
      <alignment horizontal="center"/>
    </xf>
    <xf numFmtId="0" fontId="24" fillId="7" borderId="5" xfId="0" applyFont="1" applyFill="1" applyBorder="1" applyAlignment="1">
      <alignment horizontal="center"/>
    </xf>
    <xf numFmtId="0" fontId="24" fillId="7" borderId="6" xfId="0" applyFont="1" applyFill="1" applyBorder="1" applyAlignment="1">
      <alignment horizontal="center"/>
    </xf>
    <xf numFmtId="0" fontId="24" fillId="7" borderId="1" xfId="0" applyFont="1" applyFill="1" applyBorder="1" applyAlignment="1">
      <alignment horizontal="center"/>
    </xf>
    <xf numFmtId="164" fontId="37" fillId="0" borderId="15" xfId="7" applyNumberFormat="1" applyFont="1" applyFill="1" applyBorder="1" applyProtection="1">
      <alignment horizontal="center" vertical="center"/>
    </xf>
    <xf numFmtId="164" fontId="37" fillId="0" borderId="12" xfId="7" applyNumberFormat="1" applyFont="1" applyFill="1" applyBorder="1" applyProtection="1">
      <alignment horizontal="center" vertical="center"/>
    </xf>
    <xf numFmtId="0" fontId="35" fillId="0" borderId="0" xfId="0" applyFont="1" applyFill="1" applyBorder="1" applyAlignment="1" applyProtection="1">
      <alignment horizontal="right" vertical="center"/>
    </xf>
    <xf numFmtId="0" fontId="35" fillId="2" borderId="8" xfId="6" applyFont="1" applyFill="1" applyBorder="1" applyProtection="1">
      <alignment horizontal="center" vertical="center"/>
    </xf>
    <xf numFmtId="164" fontId="37" fillId="0" borderId="8" xfId="7" applyNumberFormat="1" applyFont="1" applyFill="1" applyBorder="1" applyProtection="1">
      <alignment horizontal="center" vertical="center"/>
    </xf>
    <xf numFmtId="0" fontId="35" fillId="2" borderId="15" xfId="6" applyFont="1" applyFill="1" applyBorder="1" applyProtection="1">
      <alignment horizontal="center" vertical="center"/>
    </xf>
    <xf numFmtId="0" fontId="35" fillId="2" borderId="12" xfId="6" applyFont="1" applyFill="1" applyBorder="1" applyProtection="1">
      <alignment horizontal="center" vertical="center"/>
    </xf>
    <xf numFmtId="0" fontId="33" fillId="7" borderId="0" xfId="0" applyFont="1" applyFill="1" applyBorder="1" applyAlignment="1" applyProtection="1">
      <alignment horizontal="center" vertical="center"/>
    </xf>
    <xf numFmtId="0" fontId="20" fillId="0" borderId="8" xfId="3" applyFont="1" applyBorder="1" applyAlignment="1" applyProtection="1">
      <alignment horizontal="left" vertical="center" wrapText="1" indent="1"/>
      <protection locked="0"/>
    </xf>
    <xf numFmtId="167" fontId="20" fillId="0" borderId="8" xfId="3" applyNumberFormat="1" applyFont="1" applyBorder="1" applyAlignment="1" applyProtection="1">
      <alignment horizontal="left" vertical="center" wrapText="1" indent="1"/>
    </xf>
    <xf numFmtId="168" fontId="30" fillId="2" borderId="8" xfId="2" applyNumberFormat="1" applyFont="1" applyFill="1" applyBorder="1" applyAlignment="1" applyProtection="1">
      <alignment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30" fillId="2" borderId="8" xfId="2" applyNumberFormat="1" applyFont="1" applyFill="1" applyBorder="1" applyProtection="1">
      <alignment vertical="center"/>
    </xf>
    <xf numFmtId="0" fontId="20" fillId="0" borderId="8" xfId="3" applyFont="1" applyBorder="1" applyAlignment="1" applyProtection="1">
      <alignment horizontal="center" vertical="center" wrapText="1"/>
      <protection locked="0"/>
    </xf>
    <xf numFmtId="168" fontId="30" fillId="2" borderId="8" xfId="2" applyNumberFormat="1" applyFont="1" applyFill="1" applyBorder="1" applyProtection="1">
      <alignment vertical="center"/>
    </xf>
    <xf numFmtId="166" fontId="20" fillId="0" borderId="8" xfId="5" applyFont="1" applyBorder="1" applyAlignment="1" applyProtection="1">
      <alignment horizontal="left" vertical="center" wrapText="1" indent="1"/>
    </xf>
    <xf numFmtId="167" fontId="20" fillId="0" borderId="8" xfId="3" applyNumberFormat="1" applyFont="1" applyBorder="1" applyAlignment="1" applyProtection="1">
      <alignment horizontal="center" vertical="center" wrapText="1"/>
    </xf>
    <xf numFmtId="14" fontId="20" fillId="0" borderId="8" xfId="4" applyNumberFormat="1" applyFont="1" applyBorder="1" applyAlignment="1" applyProtection="1">
      <alignment horizontal="center" vertical="center" wrapText="1"/>
    </xf>
  </cellXfs>
  <cellStyles count="13">
    <cellStyle name="Attendance Totals" xfId="7"/>
    <cellStyle name="Birthdate" xfId="4"/>
    <cellStyle name="Heading 1" xfId="10" builtinId="16" customBuiltin="1"/>
    <cellStyle name="Heading 2" xfId="11" builtinId="17" customBuiltin="1"/>
    <cellStyle name="Hyperlink" xfId="12" builtinId="8"/>
    <cellStyle name="Month" xfId="6"/>
    <cellStyle name="Normal" xfId="0" builtinId="0" customBuiltin="1"/>
    <cellStyle name="Phone Number" xfId="5"/>
    <cellStyle name="Student Information" xfId="2"/>
    <cellStyle name="Student Information - user entered" xfId="3"/>
    <cellStyle name="Title" xfId="1" builtinId="15" customBuiltin="1"/>
    <cellStyle name="Weekday" xfId="8"/>
    <cellStyle name="Weekend" xfId="9"/>
  </cellStyles>
  <dxfs count="1066">
    <dxf>
      <font>
        <color theme="4" tint="0.79998168889431442"/>
      </font>
    </dxf>
    <dxf>
      <fill>
        <patternFill>
          <bgColor theme="8" tint="0.59996337778862885"/>
        </patternFill>
      </fill>
    </dxf>
    <dxf>
      <fill>
        <patternFill>
          <bgColor theme="8" tint="0.79998168889431442"/>
        </patternFill>
      </fill>
    </dxf>
    <dxf>
      <fill>
        <patternFill>
          <bgColor theme="6"/>
        </patternFill>
      </fill>
    </dxf>
    <dxf>
      <fill>
        <patternFill>
          <bgColor theme="5"/>
        </patternFill>
      </fill>
    </dxf>
    <dxf>
      <fill>
        <patternFill>
          <bgColor theme="7"/>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protection locked="0" hidden="0"/>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protection locked="0" hidden="0"/>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protection locked="0" hidden="0"/>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protection locked="0" hidden="0"/>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protection locked="0" hidden="0"/>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protection locked="0" hidden="0"/>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ont>
        <color theme="4" tint="0.79998168889431442"/>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color theme="4"/>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7"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protection locked="0" hidden="0"/>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微软雅黑"/>
        <scheme val="none"/>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alignment horizontal="center" textRotation="0" wrapText="0" indent="0" justifyLastLine="0" shrinkToFit="0" readingOrder="0"/>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b val="0"/>
        <i val="0"/>
        <strike val="0"/>
        <condense val="0"/>
        <extend val="0"/>
        <outline val="0"/>
        <shadow val="0"/>
        <u val="none"/>
        <vertAlign val="baseline"/>
        <sz val="10"/>
        <color theme="1"/>
        <name val="微软雅黑"/>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ont>
        <strike val="0"/>
        <outline val="0"/>
        <shadow val="0"/>
        <u val="none"/>
        <vertAlign val="baseline"/>
        <name val="微软雅黑"/>
        <scheme val="none"/>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strike val="0"/>
        <outline val="0"/>
        <shadow val="0"/>
        <u val="none"/>
        <vertAlign val="baseline"/>
        <name val="微软雅黑"/>
        <scheme val="none"/>
      </font>
      <numFmt numFmtId="0" formatCode="General"/>
      <alignment horizontal="left" vertical="bottom" textRotation="0" wrapText="0" indent="0" justifyLastLine="0" shrinkToFit="0" readingOrder="0"/>
    </dxf>
    <dxf>
      <font>
        <strike val="0"/>
        <outline val="0"/>
        <shadow val="0"/>
        <u val="none"/>
        <vertAlign val="baseline"/>
        <name val="微软雅黑"/>
        <scheme val="none"/>
      </font>
      <numFmt numFmtId="166" formatCode="[&lt;=9999999]###\-####;\(###\)\ ###\-####"/>
      <alignment horizontal="center" vertical="bottom" textRotation="0" wrapText="0" indent="0" justifyLastLine="0" shrinkToFit="0" readingOrder="0"/>
    </dxf>
    <dxf>
      <font>
        <strike val="0"/>
        <outline val="0"/>
        <shadow val="0"/>
        <u val="none"/>
        <vertAlign val="baseline"/>
        <name val="微软雅黑"/>
        <scheme val="none"/>
      </font>
      <numFmt numFmtId="166" formatCode="[&lt;=9999999]###\-####;\(###\)\ ###\-####"/>
      <alignment horizontal="center" vertical="bottom" textRotation="0" wrapText="0" indent="0" justifyLastLine="0" shrinkToFit="0" readingOrder="0"/>
    </dxf>
    <dxf>
      <font>
        <strike val="0"/>
        <outline val="0"/>
        <shadow val="0"/>
        <u val="none"/>
        <vertAlign val="baseline"/>
        <name val="微软雅黑"/>
        <scheme val="none"/>
      </font>
      <alignment horizontal="left" vertical="bottom" textRotation="0" wrapText="0" indent="0" justifyLastLine="0" shrinkToFit="0" readingOrder="0"/>
    </dxf>
    <dxf>
      <font>
        <strike val="0"/>
        <outline val="0"/>
        <shadow val="0"/>
        <u val="none"/>
        <vertAlign val="baseline"/>
        <name val="微软雅黑"/>
        <scheme val="none"/>
      </font>
      <alignment horizontal="left" vertical="bottom" textRotation="0" wrapText="0" indent="0" justifyLastLine="0" shrinkToFit="0" readingOrder="0"/>
    </dxf>
    <dxf>
      <font>
        <strike val="0"/>
        <outline val="0"/>
        <shadow val="0"/>
        <u val="none"/>
        <vertAlign val="baseline"/>
        <name val="微软雅黑"/>
        <scheme val="none"/>
      </font>
      <numFmt numFmtId="166" formatCode="[&lt;=9999999]###\-####;\(###\)\ ###\-####"/>
      <alignment horizontal="center" vertical="bottom" textRotation="0" wrapText="0" indent="0" justifyLastLine="0" shrinkToFit="0" readingOrder="0"/>
    </dxf>
    <dxf>
      <font>
        <strike val="0"/>
        <outline val="0"/>
        <shadow val="0"/>
        <u val="none"/>
        <vertAlign val="baseline"/>
        <name val="微软雅黑"/>
        <scheme val="none"/>
      </font>
      <numFmt numFmtId="166" formatCode="[&lt;=9999999]###\-####;\(###\)\ ###\-####"/>
      <alignment horizontal="center" vertical="bottom" textRotation="0" wrapText="0" indent="0" justifyLastLine="0" shrinkToFit="0" readingOrder="0"/>
    </dxf>
    <dxf>
      <font>
        <strike val="0"/>
        <outline val="0"/>
        <shadow val="0"/>
        <u val="none"/>
        <vertAlign val="baseline"/>
        <name val="微软雅黑"/>
        <scheme val="none"/>
      </font>
      <numFmt numFmtId="166" formatCode="[&lt;=9999999]###\-####;\(###\)\ ###\-####"/>
      <alignment horizontal="left" vertical="bottom" textRotation="0" wrapText="0" indent="0" justifyLastLine="0" shrinkToFit="0" readingOrder="0"/>
    </dxf>
    <dxf>
      <font>
        <strike val="0"/>
        <outline val="0"/>
        <shadow val="0"/>
        <u val="none"/>
        <vertAlign val="baseline"/>
        <name val="微软雅黑"/>
        <scheme val="none"/>
      </font>
      <numFmt numFmtId="166" formatCode="[&lt;=9999999]###\-####;\(###\)\ ###\-####"/>
      <alignment horizontal="left" vertical="bottom" textRotation="0" wrapText="0" indent="0" justifyLastLine="0" shrinkToFit="0" readingOrder="0"/>
    </dxf>
    <dxf>
      <font>
        <strike val="0"/>
        <outline val="0"/>
        <shadow val="0"/>
        <u val="none"/>
        <vertAlign val="baseline"/>
        <name val="微软雅黑"/>
        <scheme val="none"/>
      </font>
      <numFmt numFmtId="166" formatCode="[&lt;=9999999]###\-####;\(###\)\ ###\-####"/>
      <alignment horizontal="center" vertical="bottom" textRotation="0" wrapText="0" indent="0" justifyLastLine="0" shrinkToFit="0" readingOrder="0"/>
    </dxf>
    <dxf>
      <font>
        <strike val="0"/>
        <outline val="0"/>
        <shadow val="0"/>
        <u val="none"/>
        <vertAlign val="baseline"/>
        <name val="微软雅黑"/>
        <scheme val="none"/>
      </font>
      <numFmt numFmtId="166" formatCode="[&lt;=9999999]###\-####;\(###\)\ ###\-####"/>
      <alignment horizontal="center" vertical="bottom" textRotation="0" wrapText="0" indent="0" justifyLastLine="0" shrinkToFit="0" readingOrder="0"/>
    </dxf>
    <dxf>
      <font>
        <strike val="0"/>
        <outline val="0"/>
        <shadow val="0"/>
        <u val="none"/>
        <vertAlign val="baseline"/>
        <name val="微软雅黑"/>
        <scheme val="none"/>
      </font>
      <alignment horizontal="left" vertical="bottom" textRotation="0" wrapText="0" indent="0" justifyLastLine="0" shrinkToFit="0" readingOrder="0"/>
    </dxf>
    <dxf>
      <font>
        <strike val="0"/>
        <outline val="0"/>
        <shadow val="0"/>
        <u val="none"/>
        <vertAlign val="baseline"/>
        <name val="微软雅黑"/>
        <scheme val="none"/>
      </font>
      <alignment horizontal="left" vertical="bottom" textRotation="0" wrapText="0" indent="0" justifyLastLine="0" shrinkToFit="0" readingOrder="0"/>
    </dxf>
    <dxf>
      <font>
        <strike val="0"/>
        <outline val="0"/>
        <shadow val="0"/>
        <u val="none"/>
        <vertAlign val="baseline"/>
        <name val="微软雅黑"/>
        <scheme val="none"/>
      </font>
      <numFmt numFmtId="170" formatCode="yyyy/mm/dd"/>
      <alignment horizontal="center" vertical="bottom" textRotation="0" wrapText="0" indent="0" justifyLastLine="0" shrinkToFit="0" readingOrder="0"/>
    </dxf>
    <dxf>
      <font>
        <strike val="0"/>
        <outline val="0"/>
        <shadow val="0"/>
        <u val="none"/>
        <vertAlign val="baseline"/>
        <name val="微软雅黑"/>
        <scheme val="none"/>
      </font>
      <alignment horizontal="center" vertical="bottom" textRotation="0" wrapText="0" indent="0" justifyLastLine="0" shrinkToFit="0" readingOrder="0"/>
    </dxf>
    <dxf>
      <font>
        <strike val="0"/>
        <outline val="0"/>
        <shadow val="0"/>
        <u val="none"/>
        <vertAlign val="baseline"/>
        <name val="微软雅黑"/>
        <scheme val="none"/>
      </font>
      <alignment horizontal="left" vertical="bottom" textRotation="0" wrapText="0" indent="0" justifyLastLine="0" shrinkToFit="0" readingOrder="0"/>
    </dxf>
    <dxf>
      <font>
        <strike val="0"/>
        <outline val="0"/>
        <shadow val="0"/>
        <u val="none"/>
        <vertAlign val="baseline"/>
        <name val="微软雅黑"/>
        <scheme val="none"/>
      </font>
    </dxf>
    <dxf>
      <font>
        <strike val="0"/>
        <outline val="0"/>
        <shadow val="0"/>
        <u val="none"/>
        <vertAlign val="baseline"/>
        <name val="微软雅黑"/>
        <scheme val="none"/>
      </font>
      <alignment horizontal="left" vertical="bottom" textRotation="0" wrapText="0" indent="0" justifyLastLine="0" shrinkToFit="0" readingOrder="0"/>
    </dxf>
    <dxf>
      <font>
        <strike val="0"/>
        <outline val="0"/>
        <shadow val="0"/>
        <u val="none"/>
        <vertAlign val="baseline"/>
        <name val="微软雅黑"/>
        <scheme val="none"/>
      </font>
    </dxf>
    <dxf>
      <font>
        <strike val="0"/>
        <outline val="0"/>
        <shadow val="0"/>
        <u val="none"/>
        <vertAlign val="baseline"/>
        <name val="微软雅黑"/>
        <scheme val="none"/>
      </font>
      <alignment horizontal="center" vertical="center" textRotation="0" wrapText="1" indent="0" justifyLastLine="0" shrinkToFit="0" readingOrder="0"/>
    </dxf>
    <dxf>
      <fill>
        <patternFill>
          <bgColor theme="4" tint="0.79998168889431442"/>
        </patternFill>
      </fill>
    </dxf>
    <dxf>
      <fill>
        <patternFill patternType="none">
          <fgColor indexed="64"/>
          <bgColor auto="1"/>
        </patternFill>
      </fill>
    </dxf>
    <dxf>
      <font>
        <b val="0"/>
        <i val="0"/>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tableStyleElement type="wholeTable" dxfId="1065"/>
      <tableStyleElement type="headerRow" dxfId="1064"/>
      <tableStyleElement type="totalRow" dxfId="1063"/>
      <tableStyleElement type="firstRowStripe" dxfId="1062"/>
      <tableStyleElement type="secondRowStripe" dxfId="1061"/>
    </tableStyle>
    <tableStyle name="Student List" pivot="0" count="5">
      <tableStyleElement type="wholeTable" dxfId="1060"/>
      <tableStyleElement type="headerRow" dxfId="1059"/>
      <tableStyleElement type="totalRow" dxfId="1058"/>
      <tableStyleElement type="firstRowStripe" dxfId="1057"/>
      <tableStyleElement type="secondRowStripe" dxfId="1056"/>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Spin" dx="16" fmlaLink="CalendarYear" max="3000" min="2010" page="10" val="201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39</xdr:col>
          <xdr:colOff>38100</xdr:colOff>
          <xdr:row>0</xdr:row>
          <xdr:rowOff>104775</xdr:rowOff>
        </xdr:from>
        <xdr:to>
          <xdr:col>39</xdr:col>
          <xdr:colOff>209550</xdr:colOff>
          <xdr:row>0</xdr:row>
          <xdr:rowOff>419100</xdr:rowOff>
        </xdr:to>
        <xdr:sp macro="" textlink="">
          <xdr:nvSpPr>
            <xdr:cNvPr id="2049" name="Spinner 1" descr="Calendar Year Spinner. Click the spinner to change the school calendar year or type the year in cell AM."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id="1" name="StudentList" displayName="StudentList" ref="B3:S8" totalsRowShown="0" headerRowDxfId="1055" dataDxfId="1054">
  <autoFilter ref="B3:S8"/>
  <tableColumns count="18">
    <tableColumn id="1" name="学生 ID" dataDxfId="1053"/>
    <tableColumn id="2" name="学生名字" dataDxfId="1052"/>
    <tableColumn id="3" name="学生姓氏" dataDxfId="1051"/>
    <tableColumn id="5" name="性别" dataDxfId="1050"/>
    <tableColumn id="6" name="出生日期" dataDxfId="1049"/>
    <tableColumn id="7" name="父母或监护人 1" dataDxfId="1048"/>
    <tableColumn id="10" name="父母或监护人 1 关系" dataDxfId="1047"/>
    <tableColumn id="9" name="父母或监护人 1 工作电话" dataDxfId="1046"/>
    <tableColumn id="8" name="父母或监护人 1 家庭电话" dataDxfId="1045"/>
    <tableColumn id="18" name="父母或监护人 2" dataDxfId="1044"/>
    <tableColumn id="15" name="父母或监护人 2 关系" dataDxfId="1043"/>
    <tableColumn id="16" name="父母或监护人 2 工作电话" dataDxfId="1042"/>
    <tableColumn id="17" name="父母或监护人 2 家庭电话" dataDxfId="1041"/>
    <tableColumn id="13" name="Emergency Contact" dataDxfId="1040"/>
    <tableColumn id="12" name="紧急联系人关系" dataDxfId="1039"/>
    <tableColumn id="11" name="紧急联系人工作电话" dataDxfId="1038"/>
    <tableColumn id="14" name="紧急联系人家庭电话" dataDxfId="1037"/>
    <tableColumn id="4" name="学生全名" dataDxfId="1036">
      <calculatedColumnFormula>StudentList[[#This Row],[学生姓氏]]&amp;"" &amp;StudentList[[#This Row],[学生名字]]</calculatedColumnFormula>
    </tableColumn>
  </tableColumns>
  <tableStyleInfo name="Student List" showFirstColumn="0" showLastColumn="0" showRowStripes="1" showColumnStripes="0"/>
  <extLst>
    <ext xmlns:x14="http://schemas.microsoft.com/office/spreadsheetml/2009/9/main" uri="{504A1905-F514-4f6f-8877-14C23A59335A}">
      <x14:table altText="Student List" altTextSummary="Provides student names, guardian contact information, and emergency contact information for each student."/>
    </ext>
  </extLst>
</table>
</file>

<file path=xl/tables/table10.xml><?xml version="1.0" encoding="utf-8"?>
<table xmlns="http://schemas.openxmlformats.org/spreadsheetml/2006/main" id="9" name="AprilAttendance" displayName="AprilAttendance" ref="B6:AM12" totalsRowCount="1" headerRowDxfId="336" dataDxfId="335" totalsRowDxfId="334">
  <tableColumns count="38">
    <tableColumn id="38" name="学生 ID" dataDxfId="333" totalsRowDxfId="332"/>
    <tableColumn id="1" name="学生姓名" totalsRowLabel="总缺席天数" dataDxfId="331" totalsRowDxfId="330">
      <calculatedColumnFormula>IFERROR(VLOOKUP(AprilAttendance[[#This Row],[学生 ID]],StudentList[],18,FALSE),"")</calculatedColumnFormula>
    </tableColumn>
    <tableColumn id="2" name="1" totalsRowFunction="custom" dataDxfId="329" totalsRowDxfId="328">
      <totalsRowFormula>COUNTIF(AprilAttendance[1],"U")+COUNTIF(AprilAttendance[1],"E")</totalsRowFormula>
    </tableColumn>
    <tableColumn id="3" name="2" totalsRowFunction="custom" dataDxfId="327" totalsRowDxfId="326">
      <totalsRowFormula>COUNTIF(AprilAttendance[2],"U")+COUNTIF(AprilAttendance[2],"E")</totalsRowFormula>
    </tableColumn>
    <tableColumn id="4" name="3" totalsRowFunction="custom" dataDxfId="325" totalsRowDxfId="324">
      <totalsRowFormula>COUNTIF(AprilAttendance[3],"U")+COUNTIF(AprilAttendance[3],"E")</totalsRowFormula>
    </tableColumn>
    <tableColumn id="5" name="4" totalsRowFunction="custom" dataDxfId="323" totalsRowDxfId="322">
      <totalsRowFormula>COUNTIF(AprilAttendance[4],"U")+COUNTIF(AprilAttendance[4],"E")</totalsRowFormula>
    </tableColumn>
    <tableColumn id="6" name="5" totalsRowFunction="custom" dataDxfId="321" totalsRowDxfId="320">
      <totalsRowFormula>COUNTIF(AprilAttendance[5],"U")+COUNTIF(AprilAttendance[5],"E")</totalsRowFormula>
    </tableColumn>
    <tableColumn id="7" name="6" totalsRowFunction="custom" dataDxfId="319" totalsRowDxfId="318">
      <totalsRowFormula>COUNTIF(AprilAttendance[6],"U")+COUNTIF(AprilAttendance[6],"E")</totalsRowFormula>
    </tableColumn>
    <tableColumn id="8" name="7" totalsRowFunction="custom" dataDxfId="317" totalsRowDxfId="316">
      <totalsRowFormula>COUNTIF(AprilAttendance[7],"U")+COUNTIF(AprilAttendance[7],"E")</totalsRowFormula>
    </tableColumn>
    <tableColumn id="9" name="8" totalsRowFunction="custom" dataDxfId="315" totalsRowDxfId="314">
      <totalsRowFormula>COUNTIF(AprilAttendance[8],"U")+COUNTIF(AprilAttendance[8],"E")</totalsRowFormula>
    </tableColumn>
    <tableColumn id="10" name="9" totalsRowFunction="custom" dataDxfId="313" totalsRowDxfId="312">
      <totalsRowFormula>COUNTIF(AprilAttendance[9],"U")+COUNTIF(AprilAttendance[9],"E")</totalsRowFormula>
    </tableColumn>
    <tableColumn id="11" name="10" totalsRowFunction="custom" dataDxfId="311" totalsRowDxfId="310">
      <totalsRowFormula>COUNTIF(AprilAttendance[10],"U")+COUNTIF(AprilAttendance[10],"E")</totalsRowFormula>
    </tableColumn>
    <tableColumn id="12" name="11" totalsRowFunction="custom" dataDxfId="309" totalsRowDxfId="308">
      <totalsRowFormula>COUNTIF(AprilAttendance[11],"U")+COUNTIF(AprilAttendance[11],"E")</totalsRowFormula>
    </tableColumn>
    <tableColumn id="13" name="12" totalsRowFunction="custom" dataDxfId="307" totalsRowDxfId="306">
      <totalsRowFormula>COUNTIF(AprilAttendance[12],"U")+COUNTIF(AprilAttendance[12],"E")</totalsRowFormula>
    </tableColumn>
    <tableColumn id="14" name="13" totalsRowFunction="custom" dataDxfId="305" totalsRowDxfId="304">
      <totalsRowFormula>COUNTIF(AprilAttendance[13],"U")+COUNTIF(AprilAttendance[13],"E")</totalsRowFormula>
    </tableColumn>
    <tableColumn id="15" name="14" totalsRowFunction="custom" dataDxfId="303" totalsRowDxfId="302">
      <totalsRowFormula>COUNTIF(AprilAttendance[14],"U")+COUNTIF(AprilAttendance[14],"E")</totalsRowFormula>
    </tableColumn>
    <tableColumn id="16" name="15" totalsRowFunction="custom" dataDxfId="301" totalsRowDxfId="300">
      <totalsRowFormula>COUNTIF(AprilAttendance[15],"U")+COUNTIF(AprilAttendance[15],"E")</totalsRowFormula>
    </tableColumn>
    <tableColumn id="17" name="16" totalsRowFunction="custom" dataDxfId="299" totalsRowDxfId="298">
      <totalsRowFormula>COUNTIF(AprilAttendance[16],"U")+COUNTIF(AprilAttendance[16],"E")</totalsRowFormula>
    </tableColumn>
    <tableColumn id="18" name="17" totalsRowFunction="custom" dataDxfId="297" totalsRowDxfId="296">
      <totalsRowFormula>COUNTIF(AprilAttendance[17],"U")+COUNTIF(AprilAttendance[17],"E")</totalsRowFormula>
    </tableColumn>
    <tableColumn id="19" name="18" totalsRowFunction="custom" dataDxfId="295" totalsRowDxfId="294">
      <totalsRowFormula>COUNTIF(AprilAttendance[18],"U")+COUNTIF(AprilAttendance[18],"E")</totalsRowFormula>
    </tableColumn>
    <tableColumn id="20" name="19" totalsRowFunction="custom" dataDxfId="293" totalsRowDxfId="292">
      <totalsRowFormula>COUNTIF(AprilAttendance[19],"U")+COUNTIF(AprilAttendance[19],"E")</totalsRowFormula>
    </tableColumn>
    <tableColumn id="21" name="20" totalsRowFunction="custom" dataDxfId="291" totalsRowDxfId="290">
      <totalsRowFormula>COUNTIF(AprilAttendance[20],"U")+COUNTIF(AprilAttendance[20],"E")</totalsRowFormula>
    </tableColumn>
    <tableColumn id="22" name="21" totalsRowFunction="custom" dataDxfId="289" totalsRowDxfId="288">
      <totalsRowFormula>COUNTIF(AprilAttendance[21],"U")+COUNTIF(AprilAttendance[21],"E")</totalsRowFormula>
    </tableColumn>
    <tableColumn id="23" name="22" totalsRowFunction="custom" dataDxfId="287" totalsRowDxfId="286">
      <totalsRowFormula>COUNTIF(AprilAttendance[22],"U")+COUNTIF(AprilAttendance[22],"E")</totalsRowFormula>
    </tableColumn>
    <tableColumn id="24" name="23" totalsRowFunction="custom" dataDxfId="285" totalsRowDxfId="284">
      <totalsRowFormula>COUNTIF(AprilAttendance[23],"U")+COUNTIF(AprilAttendance[23],"E")</totalsRowFormula>
    </tableColumn>
    <tableColumn id="25" name="24" totalsRowFunction="custom" dataDxfId="283" totalsRowDxfId="282">
      <totalsRowFormula>COUNTIF(AprilAttendance[24],"U")+COUNTIF(AprilAttendance[24],"E")</totalsRowFormula>
    </tableColumn>
    <tableColumn id="26" name="25" totalsRowFunction="custom" dataDxfId="281" totalsRowDxfId="280">
      <totalsRowFormula>COUNTIF(AprilAttendance[25],"U")+COUNTIF(AprilAttendance[25],"E")</totalsRowFormula>
    </tableColumn>
    <tableColumn id="27" name="26" totalsRowFunction="custom" dataDxfId="279" totalsRowDxfId="278">
      <totalsRowFormula>COUNTIF(AprilAttendance[26],"U")+COUNTIF(AprilAttendance[26],"E")</totalsRowFormula>
    </tableColumn>
    <tableColumn id="28" name="27" totalsRowFunction="custom" dataDxfId="277" totalsRowDxfId="276">
      <totalsRowFormula>COUNTIF(AprilAttendance[27],"U")+COUNTIF(AprilAttendance[27],"E")</totalsRowFormula>
    </tableColumn>
    <tableColumn id="29" name="28" totalsRowFunction="custom" dataDxfId="275" totalsRowDxfId="274">
      <totalsRowFormula>COUNTIF(AprilAttendance[28],"U")+COUNTIF(AprilAttendance[28],"E")</totalsRowFormula>
    </tableColumn>
    <tableColumn id="30" name="29" totalsRowFunction="custom" dataDxfId="273" totalsRowDxfId="272">
      <totalsRowFormula>COUNTIF(AprilAttendance[29],"U")+COUNTIF(AprilAttendance[29],"E")</totalsRowFormula>
    </tableColumn>
    <tableColumn id="31" name="30" dataDxfId="271" totalsRowDxfId="270"/>
    <tableColumn id="32" name=" " dataDxfId="269" totalsRowDxfId="268"/>
    <tableColumn id="35" name="T" totalsRowFunction="sum" dataDxfId="267" totalsRowDxfId="266">
      <calculatedColumnFormula>COUNTIF(AprilAttendance[[#This Row],[1]:[ ]],Code1)</calculatedColumnFormula>
    </tableColumn>
    <tableColumn id="34" name="E" totalsRowFunction="sum" dataDxfId="265" totalsRowDxfId="264">
      <calculatedColumnFormula>COUNTIF(AprilAttendance[[#This Row],[1]:[ ]],Code2)</calculatedColumnFormula>
    </tableColumn>
    <tableColumn id="37" name="U" totalsRowFunction="sum" dataDxfId="263" totalsRowDxfId="262">
      <calculatedColumnFormula>COUNTIF(AprilAttendance[[#This Row],[1]:[ ]],Code3)</calculatedColumnFormula>
    </tableColumn>
    <tableColumn id="36" name="P" totalsRowFunction="sum" dataDxfId="261" totalsRowDxfId="260">
      <calculatedColumnFormula>COUNTIF(AprilAttendance[[#This Row],[1]:[ ]],Code4)</calculatedColumnFormula>
    </tableColumn>
    <tableColumn id="33" name="缺席天数" totalsRowFunction="sum" dataDxfId="259" totalsRowDxfId="258">
      <calculatedColumnFormula>SUM(AprilAttendance[[#This Row],[E]:[U]])</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February Attendance Record" altTextSummary="Tracks student attendance, such as T=Tardy, E=Excused, U=Unexcused, P=Present, N=No School, for the month of April."/>
    </ext>
  </extLst>
</table>
</file>

<file path=xl/tables/table11.xml><?xml version="1.0" encoding="utf-8"?>
<table xmlns="http://schemas.openxmlformats.org/spreadsheetml/2006/main" id="11" name="MayAttendance" displayName="MayAttendance" ref="B6:AM12" totalsRowCount="1" headerRowDxfId="252" dataDxfId="251" totalsRowDxfId="250">
  <tableColumns count="38">
    <tableColumn id="38" name="学生 ID" dataDxfId="249" totalsRowDxfId="248"/>
    <tableColumn id="1" name="学生姓名" totalsRowLabel="总缺席天数" dataDxfId="247" totalsRowDxfId="246">
      <calculatedColumnFormula>IFERROR(VLOOKUP(MayAttendance[[#This Row],[学生 ID]],StudentList[],18,FALSE),"")</calculatedColumnFormula>
    </tableColumn>
    <tableColumn id="2" name="1" totalsRowFunction="custom" dataDxfId="245" totalsRowDxfId="244">
      <totalsRowFormula>COUNTIF(MayAttendance[1],"U")+COUNTIF(MayAttendance[1],"E")</totalsRowFormula>
    </tableColumn>
    <tableColumn id="3" name="2" totalsRowFunction="custom" dataDxfId="243" totalsRowDxfId="242">
      <totalsRowFormula>COUNTIF(MayAttendance[2],"U")+COUNTIF(MayAttendance[2],"E")</totalsRowFormula>
    </tableColumn>
    <tableColumn id="4" name="3" totalsRowFunction="custom" dataDxfId="241" totalsRowDxfId="240">
      <totalsRowFormula>COUNTIF(MayAttendance[3],"U")+COUNTIF(MayAttendance[3],"E")</totalsRowFormula>
    </tableColumn>
    <tableColumn id="5" name="4" totalsRowFunction="custom" dataDxfId="239" totalsRowDxfId="238">
      <totalsRowFormula>COUNTIF(MayAttendance[4],"U")+COUNTIF(MayAttendance[4],"E")</totalsRowFormula>
    </tableColumn>
    <tableColumn id="6" name="5" totalsRowFunction="custom" dataDxfId="237" totalsRowDxfId="236">
      <totalsRowFormula>COUNTIF(MayAttendance[5],"U")+COUNTIF(MayAttendance[5],"E")</totalsRowFormula>
    </tableColumn>
    <tableColumn id="7" name="6" totalsRowFunction="custom" dataDxfId="235" totalsRowDxfId="234">
      <totalsRowFormula>COUNTIF(MayAttendance[6],"U")+COUNTIF(MayAttendance[6],"E")</totalsRowFormula>
    </tableColumn>
    <tableColumn id="8" name="7" totalsRowFunction="custom" dataDxfId="233" totalsRowDxfId="232">
      <totalsRowFormula>COUNTIF(MayAttendance[7],"U")+COUNTIF(MayAttendance[7],"E")</totalsRowFormula>
    </tableColumn>
    <tableColumn id="9" name="8" totalsRowFunction="custom" dataDxfId="231" totalsRowDxfId="230">
      <totalsRowFormula>COUNTIF(MayAttendance[8],"U")+COUNTIF(MayAttendance[8],"E")</totalsRowFormula>
    </tableColumn>
    <tableColumn id="10" name="9" totalsRowFunction="custom" dataDxfId="229" totalsRowDxfId="228">
      <totalsRowFormula>COUNTIF(MayAttendance[9],"U")+COUNTIF(MayAttendance[9],"E")</totalsRowFormula>
    </tableColumn>
    <tableColumn id="11" name="10" totalsRowFunction="custom" dataDxfId="227" totalsRowDxfId="226">
      <totalsRowFormula>COUNTIF(MayAttendance[10],"U")+COUNTIF(MayAttendance[10],"E")</totalsRowFormula>
    </tableColumn>
    <tableColumn id="12" name="11" totalsRowFunction="custom" dataDxfId="225" totalsRowDxfId="224">
      <totalsRowFormula>COUNTIF(MayAttendance[11],"U")+COUNTIF(MayAttendance[11],"E")</totalsRowFormula>
    </tableColumn>
    <tableColumn id="13" name="12" totalsRowFunction="custom" dataDxfId="223" totalsRowDxfId="222">
      <totalsRowFormula>COUNTIF(MayAttendance[12],"U")+COUNTIF(MayAttendance[12],"E")</totalsRowFormula>
    </tableColumn>
    <tableColumn id="14" name="13" totalsRowFunction="custom" dataDxfId="221" totalsRowDxfId="220">
      <totalsRowFormula>COUNTIF(MayAttendance[13],"U")+COUNTIF(MayAttendance[13],"E")</totalsRowFormula>
    </tableColumn>
    <tableColumn id="15" name="14" totalsRowFunction="custom" dataDxfId="219" totalsRowDxfId="218">
      <totalsRowFormula>COUNTIF(MayAttendance[14],"U")+COUNTIF(MayAttendance[14],"E")</totalsRowFormula>
    </tableColumn>
    <tableColumn id="16" name="15" totalsRowFunction="custom" dataDxfId="217" totalsRowDxfId="216">
      <totalsRowFormula>COUNTIF(MayAttendance[15],"U")+COUNTIF(MayAttendance[15],"E")</totalsRowFormula>
    </tableColumn>
    <tableColumn id="17" name="16" totalsRowFunction="custom" dataDxfId="215" totalsRowDxfId="214">
      <totalsRowFormula>COUNTIF(MayAttendance[16],"U")+COUNTIF(MayAttendance[16],"E")</totalsRowFormula>
    </tableColumn>
    <tableColumn id="18" name="17" totalsRowFunction="custom" dataDxfId="213" totalsRowDxfId="212">
      <totalsRowFormula>COUNTIF(MayAttendance[17],"U")+COUNTIF(MayAttendance[17],"E")</totalsRowFormula>
    </tableColumn>
    <tableColumn id="19" name="18" totalsRowFunction="custom" dataDxfId="211" totalsRowDxfId="210">
      <totalsRowFormula>COUNTIF(MayAttendance[18],"U")+COUNTIF(MayAttendance[18],"E")</totalsRowFormula>
    </tableColumn>
    <tableColumn id="20" name="19" totalsRowFunction="custom" dataDxfId="209" totalsRowDxfId="208">
      <totalsRowFormula>COUNTIF(MayAttendance[19],"U")+COUNTIF(MayAttendance[19],"E")</totalsRowFormula>
    </tableColumn>
    <tableColumn id="21" name="20" totalsRowFunction="custom" dataDxfId="207" totalsRowDxfId="206">
      <totalsRowFormula>COUNTIF(MayAttendance[20],"U")+COUNTIF(MayAttendance[20],"E")</totalsRowFormula>
    </tableColumn>
    <tableColumn id="22" name="21" totalsRowFunction="custom" dataDxfId="205" totalsRowDxfId="204">
      <totalsRowFormula>COUNTIF(MayAttendance[21],"U")+COUNTIF(MayAttendance[21],"E")</totalsRowFormula>
    </tableColumn>
    <tableColumn id="23" name="22" totalsRowFunction="custom" dataDxfId="203" totalsRowDxfId="202">
      <totalsRowFormula>COUNTIF(MayAttendance[22],"U")+COUNTIF(MayAttendance[22],"E")</totalsRowFormula>
    </tableColumn>
    <tableColumn id="24" name="23" totalsRowFunction="custom" dataDxfId="201" totalsRowDxfId="200">
      <totalsRowFormula>COUNTIF(MayAttendance[23],"U")+COUNTIF(MayAttendance[23],"E")</totalsRowFormula>
    </tableColumn>
    <tableColumn id="25" name="24" totalsRowFunction="custom" dataDxfId="199" totalsRowDxfId="198">
      <totalsRowFormula>COUNTIF(MayAttendance[24],"U")+COUNTIF(MayAttendance[24],"E")</totalsRowFormula>
    </tableColumn>
    <tableColumn id="26" name="25" totalsRowFunction="custom" dataDxfId="197" totalsRowDxfId="196">
      <totalsRowFormula>COUNTIF(MayAttendance[25],"U")+COUNTIF(MayAttendance[25],"E")</totalsRowFormula>
    </tableColumn>
    <tableColumn id="27" name="26" totalsRowFunction="custom" dataDxfId="195" totalsRowDxfId="194">
      <totalsRowFormula>COUNTIF(MayAttendance[26],"U")+COUNTIF(MayAttendance[26],"E")</totalsRowFormula>
    </tableColumn>
    <tableColumn id="28" name="27" totalsRowFunction="custom" dataDxfId="193" totalsRowDxfId="192">
      <totalsRowFormula>COUNTIF(MayAttendance[27],"U")+COUNTIF(MayAttendance[27],"E")</totalsRowFormula>
    </tableColumn>
    <tableColumn id="29" name="28" totalsRowFunction="custom" dataDxfId="191" totalsRowDxfId="190">
      <totalsRowFormula>COUNTIF(MayAttendance[28],"U")+COUNTIF(MayAttendance[28],"E")</totalsRowFormula>
    </tableColumn>
    <tableColumn id="30" name="29" totalsRowFunction="custom" dataDxfId="189" totalsRowDxfId="188">
      <totalsRowFormula>COUNTIF(MayAttendance[29],"U")+COUNTIF(MayAttendance[29],"E")</totalsRowFormula>
    </tableColumn>
    <tableColumn id="31" name="30" dataDxfId="187" totalsRowDxfId="186"/>
    <tableColumn id="32" name="31" dataDxfId="185" totalsRowDxfId="184"/>
    <tableColumn id="35" name="T" totalsRowFunction="sum" dataDxfId="183" totalsRowDxfId="182">
      <calculatedColumnFormula>COUNTIF(MayAttendance[[#This Row],[1]:[31]],Code1)</calculatedColumnFormula>
    </tableColumn>
    <tableColumn id="34" name="E" totalsRowFunction="sum" dataDxfId="181" totalsRowDxfId="180">
      <calculatedColumnFormula>COUNTIF(MayAttendance[[#This Row],[1]:[31]],Code2)</calculatedColumnFormula>
    </tableColumn>
    <tableColumn id="37" name="U" totalsRowFunction="sum" dataDxfId="179" totalsRowDxfId="178">
      <calculatedColumnFormula>COUNTIF(MayAttendance[[#This Row],[1]:[31]],Code3)</calculatedColumnFormula>
    </tableColumn>
    <tableColumn id="36" name="P" totalsRowFunction="sum" dataDxfId="177" totalsRowDxfId="176">
      <calculatedColumnFormula>COUNTIF(MayAttendance[[#This Row],[1]:[31]],Code4)</calculatedColumnFormula>
    </tableColumn>
    <tableColumn id="33" name="缺席天数" totalsRowFunction="sum" dataDxfId="175" totalsRowDxfId="174">
      <calculatedColumnFormula>SUM(MayAttendance[[#This Row],[E]:[U]])</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February Attendance Record" altTextSummary="Tracks student attendance, such as T=Tardy, E=Excused, U=Unexcused, P=Present, N=No School, for the month of May."/>
    </ext>
  </extLst>
</table>
</file>

<file path=xl/tables/table12.xml><?xml version="1.0" encoding="utf-8"?>
<table xmlns="http://schemas.openxmlformats.org/spreadsheetml/2006/main" id="12" name="JuneAttendance" displayName="JuneAttendance" ref="B6:AM12" totalsRowCount="1" headerRowDxfId="168" dataDxfId="167" totalsRowDxfId="166">
  <tableColumns count="38">
    <tableColumn id="38" name="学生 ID" dataDxfId="165" totalsRowDxfId="164"/>
    <tableColumn id="1" name="学生姓名" totalsRowLabel="总缺席天数" dataDxfId="163" totalsRowDxfId="162">
      <calculatedColumnFormula>IFERROR(VLOOKUP(JuneAttendance[[#This Row],[学生 ID]],StudentList[],18,FALSE),"")</calculatedColumnFormula>
    </tableColumn>
    <tableColumn id="2" name="1" totalsRowFunction="custom" dataDxfId="161" totalsRowDxfId="160">
      <totalsRowFormula>COUNTIF(JuneAttendance[1],"U")+COUNTIF(JuneAttendance[1],"E")</totalsRowFormula>
    </tableColumn>
    <tableColumn id="3" name="2" totalsRowFunction="custom" dataDxfId="159" totalsRowDxfId="158">
      <totalsRowFormula>COUNTIF(JuneAttendance[2],"U")+COUNTIF(JuneAttendance[2],"E")</totalsRowFormula>
    </tableColumn>
    <tableColumn id="4" name="3" totalsRowFunction="custom" dataDxfId="157" totalsRowDxfId="156">
      <totalsRowFormula>COUNTIF(JuneAttendance[3],"U")+COUNTIF(JuneAttendance[3],"E")</totalsRowFormula>
    </tableColumn>
    <tableColumn id="5" name="4" totalsRowFunction="custom" dataDxfId="155" totalsRowDxfId="154">
      <totalsRowFormula>COUNTIF(JuneAttendance[4],"U")+COUNTIF(JuneAttendance[4],"E")</totalsRowFormula>
    </tableColumn>
    <tableColumn id="6" name="5" totalsRowFunction="custom" dataDxfId="153" totalsRowDxfId="152">
      <totalsRowFormula>COUNTIF(JuneAttendance[5],"U")+COUNTIF(JuneAttendance[5],"E")</totalsRowFormula>
    </tableColumn>
    <tableColumn id="7" name="6" totalsRowFunction="custom" dataDxfId="151" totalsRowDxfId="150">
      <totalsRowFormula>COUNTIF(JuneAttendance[6],"U")+COUNTIF(JuneAttendance[6],"E")</totalsRowFormula>
    </tableColumn>
    <tableColumn id="8" name="7" totalsRowFunction="custom" dataDxfId="149" totalsRowDxfId="148">
      <totalsRowFormula>COUNTIF(JuneAttendance[7],"U")+COUNTIF(JuneAttendance[7],"E")</totalsRowFormula>
    </tableColumn>
    <tableColumn id="9" name="8" totalsRowFunction="custom" dataDxfId="147" totalsRowDxfId="146">
      <totalsRowFormula>COUNTIF(JuneAttendance[8],"U")+COUNTIF(JuneAttendance[8],"E")</totalsRowFormula>
    </tableColumn>
    <tableColumn id="10" name="9" totalsRowFunction="custom" dataDxfId="145" totalsRowDxfId="144">
      <totalsRowFormula>COUNTIF(JuneAttendance[9],"U")+COUNTIF(JuneAttendance[9],"E")</totalsRowFormula>
    </tableColumn>
    <tableColumn id="11" name="10" totalsRowFunction="custom" dataDxfId="143" totalsRowDxfId="142">
      <totalsRowFormula>COUNTIF(JuneAttendance[10],"U")+COUNTIF(JuneAttendance[10],"E")</totalsRowFormula>
    </tableColumn>
    <tableColumn id="12" name="11" totalsRowFunction="custom" dataDxfId="141" totalsRowDxfId="140">
      <totalsRowFormula>COUNTIF(JuneAttendance[11],"U")+COUNTIF(JuneAttendance[11],"E")</totalsRowFormula>
    </tableColumn>
    <tableColumn id="13" name="12" totalsRowFunction="custom" dataDxfId="139" totalsRowDxfId="138">
      <totalsRowFormula>COUNTIF(JuneAttendance[12],"U")+COUNTIF(JuneAttendance[12],"E")</totalsRowFormula>
    </tableColumn>
    <tableColumn id="14" name="13" totalsRowFunction="custom" dataDxfId="137" totalsRowDxfId="136">
      <totalsRowFormula>COUNTIF(JuneAttendance[13],"U")+COUNTIF(JuneAttendance[13],"E")</totalsRowFormula>
    </tableColumn>
    <tableColumn id="15" name="14" totalsRowFunction="custom" dataDxfId="135" totalsRowDxfId="134">
      <totalsRowFormula>COUNTIF(JuneAttendance[14],"U")+COUNTIF(JuneAttendance[14],"E")</totalsRowFormula>
    </tableColumn>
    <tableColumn id="16" name="15" totalsRowFunction="custom" dataDxfId="133" totalsRowDxfId="132">
      <totalsRowFormula>COUNTIF(JuneAttendance[15],"U")+COUNTIF(JuneAttendance[15],"E")</totalsRowFormula>
    </tableColumn>
    <tableColumn id="17" name="16" totalsRowFunction="custom" dataDxfId="131" totalsRowDxfId="130">
      <totalsRowFormula>COUNTIF(JuneAttendance[16],"U")+COUNTIF(JuneAttendance[16],"E")</totalsRowFormula>
    </tableColumn>
    <tableColumn id="18" name="17" totalsRowFunction="custom" dataDxfId="129" totalsRowDxfId="128">
      <totalsRowFormula>COUNTIF(JuneAttendance[17],"U")+COUNTIF(JuneAttendance[17],"E")</totalsRowFormula>
    </tableColumn>
    <tableColumn id="19" name="18" totalsRowFunction="custom" dataDxfId="127" totalsRowDxfId="126">
      <totalsRowFormula>COUNTIF(JuneAttendance[18],"U")+COUNTIF(JuneAttendance[18],"E")</totalsRowFormula>
    </tableColumn>
    <tableColumn id="20" name="19" totalsRowFunction="custom" dataDxfId="125" totalsRowDxfId="124">
      <totalsRowFormula>COUNTIF(JuneAttendance[19],"U")+COUNTIF(JuneAttendance[19],"E")</totalsRowFormula>
    </tableColumn>
    <tableColumn id="21" name="20" totalsRowFunction="custom" dataDxfId="123" totalsRowDxfId="122">
      <totalsRowFormula>COUNTIF(JuneAttendance[20],"U")+COUNTIF(JuneAttendance[20],"E")</totalsRowFormula>
    </tableColumn>
    <tableColumn id="22" name="21" totalsRowFunction="custom" dataDxfId="121" totalsRowDxfId="120">
      <totalsRowFormula>COUNTIF(JuneAttendance[21],"U")+COUNTIF(JuneAttendance[21],"E")</totalsRowFormula>
    </tableColumn>
    <tableColumn id="23" name="22" totalsRowFunction="custom" dataDxfId="119" totalsRowDxfId="118">
      <totalsRowFormula>COUNTIF(JuneAttendance[22],"U")+COUNTIF(JuneAttendance[22],"E")</totalsRowFormula>
    </tableColumn>
    <tableColumn id="24" name="23" totalsRowFunction="custom" dataDxfId="117" totalsRowDxfId="116">
      <totalsRowFormula>COUNTIF(JuneAttendance[23],"U")+COUNTIF(JuneAttendance[23],"E")</totalsRowFormula>
    </tableColumn>
    <tableColumn id="25" name="24" totalsRowFunction="custom" dataDxfId="115" totalsRowDxfId="114">
      <totalsRowFormula>COUNTIF(JuneAttendance[24],"U")+COUNTIF(JuneAttendance[24],"E")</totalsRowFormula>
    </tableColumn>
    <tableColumn id="26" name="25" totalsRowFunction="custom" dataDxfId="113" totalsRowDxfId="112">
      <totalsRowFormula>COUNTIF(JuneAttendance[25],"U")+COUNTIF(JuneAttendance[25],"E")</totalsRowFormula>
    </tableColumn>
    <tableColumn id="27" name="26" totalsRowFunction="custom" dataDxfId="111" totalsRowDxfId="110">
      <totalsRowFormula>COUNTIF(JuneAttendance[26],"U")+COUNTIF(JuneAttendance[26],"E")</totalsRowFormula>
    </tableColumn>
    <tableColumn id="28" name="27" totalsRowFunction="custom" dataDxfId="109" totalsRowDxfId="108">
      <totalsRowFormula>COUNTIF(JuneAttendance[27],"U")+COUNTIF(JuneAttendance[27],"E")</totalsRowFormula>
    </tableColumn>
    <tableColumn id="29" name="28" totalsRowFunction="custom" dataDxfId="107" totalsRowDxfId="106">
      <totalsRowFormula>COUNTIF(JuneAttendance[28],"U")+COUNTIF(JuneAttendance[28],"E")</totalsRowFormula>
    </tableColumn>
    <tableColumn id="30" name="29" totalsRowFunction="custom" dataDxfId="105" totalsRowDxfId="104">
      <totalsRowFormula>COUNTIF(JuneAttendance[29],"U")+COUNTIF(JuneAttendance[29],"E")</totalsRowFormula>
    </tableColumn>
    <tableColumn id="31" name="30" dataDxfId="103" totalsRowDxfId="102"/>
    <tableColumn id="32" name=" " dataDxfId="101" totalsRowDxfId="100"/>
    <tableColumn id="35" name="T" totalsRowFunction="sum" dataDxfId="99" totalsRowDxfId="98">
      <calculatedColumnFormula>COUNTIF(JuneAttendance[[#This Row],[1]:[ ]],Code1)</calculatedColumnFormula>
    </tableColumn>
    <tableColumn id="34" name="E" totalsRowFunction="sum" dataDxfId="97" totalsRowDxfId="96">
      <calculatedColumnFormula>COUNTIF(JuneAttendance[[#This Row],[1]:[ ]],Code2)</calculatedColumnFormula>
    </tableColumn>
    <tableColumn id="37" name="U" totalsRowFunction="sum" dataDxfId="95" totalsRowDxfId="94">
      <calculatedColumnFormula>COUNTIF(JuneAttendance[[#This Row],[1]:[ ]],Code3)</calculatedColumnFormula>
    </tableColumn>
    <tableColumn id="36" name="P" totalsRowFunction="sum" dataDxfId="93" totalsRowDxfId="92">
      <calculatedColumnFormula>COUNTIF(JuneAttendance[[#This Row],[1]:[ ]],Code4)</calculatedColumnFormula>
    </tableColumn>
    <tableColumn id="33" name="缺席天数" totalsRowFunction="sum" dataDxfId="91" totalsRowDxfId="90">
      <calculatedColumnFormula>SUM(JuneAttendance[[#This Row],[E]:[U]])</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February Attendance Record" altTextSummary="Tracks student attendance, such as T=Tardy, E=Excused, U=Unexcused, P=Present, N=No School, for the month of June."/>
    </ext>
  </extLst>
</table>
</file>

<file path=xl/tables/table13.xml><?xml version="1.0" encoding="utf-8"?>
<table xmlns="http://schemas.openxmlformats.org/spreadsheetml/2006/main" id="13" name="JulyAttendance" displayName="JulyAttendance" ref="B6:AM12" totalsRowCount="1" headerRowDxfId="84" dataDxfId="83" totalsRowDxfId="82">
  <tableColumns count="38">
    <tableColumn id="38" name="学生 ID" dataDxfId="81" totalsRowDxfId="80"/>
    <tableColumn id="1" name="学生姓名" totalsRowLabel="总缺席天数" dataDxfId="79" totalsRowDxfId="78">
      <calculatedColumnFormula>IFERROR(VLOOKUP(JulyAttendance[[#This Row],[学生 ID]],StudentList[],18,FALSE),"")</calculatedColumnFormula>
    </tableColumn>
    <tableColumn id="2" name="1" totalsRowFunction="custom" dataDxfId="77" totalsRowDxfId="76">
      <totalsRowFormula>COUNTIF(JulyAttendance[1],"U")+COUNTIF(JulyAttendance[1],"E")</totalsRowFormula>
    </tableColumn>
    <tableColumn id="3" name="2" totalsRowFunction="custom" dataDxfId="75" totalsRowDxfId="74">
      <totalsRowFormula>COUNTIF(JulyAttendance[2],"U")+COUNTIF(JulyAttendance[2],"E")</totalsRowFormula>
    </tableColumn>
    <tableColumn id="4" name="3" totalsRowFunction="custom" dataDxfId="73" totalsRowDxfId="72">
      <totalsRowFormula>COUNTIF(JulyAttendance[3],"U")+COUNTIF(JulyAttendance[3],"E")</totalsRowFormula>
    </tableColumn>
    <tableColumn id="5" name="4" totalsRowFunction="custom" dataDxfId="71" totalsRowDxfId="70">
      <totalsRowFormula>COUNTIF(JulyAttendance[4],"U")+COUNTIF(JulyAttendance[4],"E")</totalsRowFormula>
    </tableColumn>
    <tableColumn id="6" name="5" totalsRowFunction="custom" dataDxfId="69" totalsRowDxfId="68">
      <totalsRowFormula>COUNTIF(JulyAttendance[5],"U")+COUNTIF(JulyAttendance[5],"E")</totalsRowFormula>
    </tableColumn>
    <tableColumn id="7" name="6" totalsRowFunction="custom" dataDxfId="67" totalsRowDxfId="66">
      <totalsRowFormula>COUNTIF(JulyAttendance[6],"U")+COUNTIF(JulyAttendance[6],"E")</totalsRowFormula>
    </tableColumn>
    <tableColumn id="8" name="7" totalsRowFunction="custom" dataDxfId="65" totalsRowDxfId="64">
      <totalsRowFormula>COUNTIF(JulyAttendance[7],"U")+COUNTIF(JulyAttendance[7],"E")</totalsRowFormula>
    </tableColumn>
    <tableColumn id="9" name="8" totalsRowFunction="custom" dataDxfId="63" totalsRowDxfId="62">
      <totalsRowFormula>COUNTIF(JulyAttendance[8],"U")+COUNTIF(JulyAttendance[8],"E")</totalsRowFormula>
    </tableColumn>
    <tableColumn id="10" name="9" totalsRowFunction="custom" dataDxfId="61" totalsRowDxfId="60">
      <totalsRowFormula>COUNTIF(JulyAttendance[9],"U")+COUNTIF(JulyAttendance[9],"E")</totalsRowFormula>
    </tableColumn>
    <tableColumn id="11" name="10" totalsRowFunction="custom" dataDxfId="59" totalsRowDxfId="58">
      <totalsRowFormula>COUNTIF(JulyAttendance[10],"U")+COUNTIF(JulyAttendance[10],"E")</totalsRowFormula>
    </tableColumn>
    <tableColumn id="12" name="11" totalsRowFunction="custom" dataDxfId="57" totalsRowDxfId="56">
      <totalsRowFormula>COUNTIF(JulyAttendance[11],"U")+COUNTIF(JulyAttendance[11],"E")</totalsRowFormula>
    </tableColumn>
    <tableColumn id="13" name="12" totalsRowFunction="custom" dataDxfId="55" totalsRowDxfId="54">
      <totalsRowFormula>COUNTIF(JulyAttendance[12],"U")+COUNTIF(JulyAttendance[12],"E")</totalsRowFormula>
    </tableColumn>
    <tableColumn id="14" name="13" totalsRowFunction="custom" dataDxfId="53" totalsRowDxfId="52">
      <totalsRowFormula>COUNTIF(JulyAttendance[13],"U")+COUNTIF(JulyAttendance[13],"E")</totalsRowFormula>
    </tableColumn>
    <tableColumn id="15" name="14" totalsRowFunction="custom" dataDxfId="51" totalsRowDxfId="50">
      <totalsRowFormula>COUNTIF(JulyAttendance[14],"U")+COUNTIF(JulyAttendance[14],"E")</totalsRowFormula>
    </tableColumn>
    <tableColumn id="16" name="15" totalsRowFunction="custom" dataDxfId="49" totalsRowDxfId="48">
      <totalsRowFormula>COUNTIF(JulyAttendance[15],"U")+COUNTIF(JulyAttendance[15],"E")</totalsRowFormula>
    </tableColumn>
    <tableColumn id="17" name="16" totalsRowFunction="custom" dataDxfId="47" totalsRowDxfId="46">
      <totalsRowFormula>COUNTIF(JulyAttendance[16],"U")+COUNTIF(JulyAttendance[16],"E")</totalsRowFormula>
    </tableColumn>
    <tableColumn id="18" name="17" totalsRowFunction="custom" dataDxfId="45" totalsRowDxfId="44">
      <totalsRowFormula>COUNTIF(JulyAttendance[17],"U")+COUNTIF(JulyAttendance[17],"E")</totalsRowFormula>
    </tableColumn>
    <tableColumn id="19" name="18" totalsRowFunction="custom" dataDxfId="43" totalsRowDxfId="42">
      <totalsRowFormula>COUNTIF(JulyAttendance[18],"U")+COUNTIF(JulyAttendance[18],"E")</totalsRowFormula>
    </tableColumn>
    <tableColumn id="20" name="19" totalsRowFunction="custom" dataDxfId="41" totalsRowDxfId="40">
      <totalsRowFormula>COUNTIF(JulyAttendance[19],"U")+COUNTIF(JulyAttendance[19],"E")</totalsRowFormula>
    </tableColumn>
    <tableColumn id="21" name="20" totalsRowFunction="custom" dataDxfId="39" totalsRowDxfId="38">
      <totalsRowFormula>COUNTIF(JulyAttendance[20],"U")+COUNTIF(JulyAttendance[20],"E")</totalsRowFormula>
    </tableColumn>
    <tableColumn id="22" name="21" totalsRowFunction="custom" dataDxfId="37" totalsRowDxfId="36">
      <totalsRowFormula>COUNTIF(JulyAttendance[21],"U")+COUNTIF(JulyAttendance[21],"E")</totalsRowFormula>
    </tableColumn>
    <tableColumn id="23" name="22" totalsRowFunction="custom" dataDxfId="35" totalsRowDxfId="34">
      <totalsRowFormula>COUNTIF(JulyAttendance[22],"U")+COUNTIF(JulyAttendance[22],"E")</totalsRowFormula>
    </tableColumn>
    <tableColumn id="24" name="23" totalsRowFunction="custom" dataDxfId="33" totalsRowDxfId="32">
      <totalsRowFormula>COUNTIF(JulyAttendance[23],"U")+COUNTIF(JulyAttendance[23],"E")</totalsRowFormula>
    </tableColumn>
    <tableColumn id="25" name="24" totalsRowFunction="custom" dataDxfId="31" totalsRowDxfId="30">
      <totalsRowFormula>COUNTIF(JulyAttendance[24],"U")+COUNTIF(JulyAttendance[24],"E")</totalsRowFormula>
    </tableColumn>
    <tableColumn id="26" name="25" totalsRowFunction="custom" dataDxfId="29" totalsRowDxfId="28">
      <totalsRowFormula>COUNTIF(JulyAttendance[25],"U")+COUNTIF(JulyAttendance[25],"E")</totalsRowFormula>
    </tableColumn>
    <tableColumn id="27" name="26" totalsRowFunction="custom" dataDxfId="27" totalsRowDxfId="26">
      <totalsRowFormula>COUNTIF(JulyAttendance[26],"U")+COUNTIF(JulyAttendance[26],"E")</totalsRowFormula>
    </tableColumn>
    <tableColumn id="28" name="27" totalsRowFunction="custom" dataDxfId="25" totalsRowDxfId="24">
      <totalsRowFormula>COUNTIF(JulyAttendance[27],"U")+COUNTIF(JulyAttendance[27],"E")</totalsRowFormula>
    </tableColumn>
    <tableColumn id="29" name="28" totalsRowFunction="custom" dataDxfId="23" totalsRowDxfId="22">
      <totalsRowFormula>COUNTIF(JulyAttendance[28],"U")+COUNTIF(JulyAttendance[28],"E")</totalsRowFormula>
    </tableColumn>
    <tableColumn id="30" name="29" totalsRowFunction="custom" dataDxfId="21" totalsRowDxfId="20">
      <totalsRowFormula>COUNTIF(JulyAttendance[29],"U")+COUNTIF(JulyAttendance[29],"E")</totalsRowFormula>
    </tableColumn>
    <tableColumn id="31" name="30" dataDxfId="19" totalsRowDxfId="18"/>
    <tableColumn id="32" name="31" dataDxfId="17" totalsRowDxfId="16"/>
    <tableColumn id="35" name="T" totalsRowFunction="sum" dataDxfId="15" totalsRowDxfId="14">
      <calculatedColumnFormula>COUNTIF(JulyAttendance[[#This Row],[1]:[31]],Code1)</calculatedColumnFormula>
    </tableColumn>
    <tableColumn id="34" name="E" totalsRowFunction="sum" dataDxfId="13" totalsRowDxfId="12">
      <calculatedColumnFormula>COUNTIF(JulyAttendance[[#This Row],[1]:[31]],Code2)</calculatedColumnFormula>
    </tableColumn>
    <tableColumn id="37" name="U" totalsRowFunction="sum" dataDxfId="11" totalsRowDxfId="10">
      <calculatedColumnFormula>COUNTIF(JulyAttendance[[#This Row],[1]:[31]],Code3)</calculatedColumnFormula>
    </tableColumn>
    <tableColumn id="36" name="P" totalsRowFunction="sum" dataDxfId="9" totalsRowDxfId="8">
      <calculatedColumnFormula>COUNTIF(JulyAttendance[[#This Row],[1]:[31]],Code4)</calculatedColumnFormula>
    </tableColumn>
    <tableColumn id="33" name="缺席天数" totalsRowFunction="sum" dataDxfId="7" totalsRowDxfId="6">
      <calculatedColumnFormula>SUM(JulyAttendance[[#This Row],[E]:[U]])</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February Attendance Record" altTextSummary="Tracks student attendance, such as T=Tardy, E=Excused, U=Unexcused, P=Present, N=No School, for the month of July."/>
    </ext>
  </extLst>
</table>
</file>

<file path=xl/tables/table2.xml><?xml version="1.0" encoding="utf-8"?>
<table xmlns="http://schemas.openxmlformats.org/spreadsheetml/2006/main" id="3" name="AugustAttendance" displayName="AugustAttendance" ref="B6:AM12" totalsRowCount="1" headerRowDxfId="1030" dataDxfId="1029" totalsRowDxfId="1028">
  <tableColumns count="38">
    <tableColumn id="38" name="学生 ID" dataDxfId="1027" totalsRowDxfId="1026"/>
    <tableColumn id="1" name="学生姓名" totalsRowLabel="总缺席天数" dataDxfId="1025" totalsRowDxfId="1024">
      <calculatedColumnFormula>IFERROR(VLOOKUP(AugustAttendance[[#This Row],[学生 ID]],StudentList[],18,FALSE),"")</calculatedColumnFormula>
    </tableColumn>
    <tableColumn id="2" name="1" totalsRowFunction="custom" dataDxfId="1023" totalsRowDxfId="1022">
      <totalsRowFormula>COUNTIF(AugustAttendance[1],"U")+COUNTIF(AugustAttendance[1],"E")</totalsRowFormula>
    </tableColumn>
    <tableColumn id="3" name="2" totalsRowFunction="custom" dataDxfId="1021" totalsRowDxfId="1020">
      <totalsRowFormula>COUNTIF(AugustAttendance[2],"U")+COUNTIF(AugustAttendance[2],"E")</totalsRowFormula>
    </tableColumn>
    <tableColumn id="4" name="3" totalsRowFunction="custom" dataDxfId="1019" totalsRowDxfId="1018">
      <totalsRowFormula>COUNTIF(AugustAttendance[3],"U")+COUNTIF(AugustAttendance[3],"E")</totalsRowFormula>
    </tableColumn>
    <tableColumn id="5" name="4" totalsRowFunction="custom" dataDxfId="1017" totalsRowDxfId="1016">
      <totalsRowFormula>COUNTIF(AugustAttendance[4],"U")+COUNTIF(AugustAttendance[4],"E")</totalsRowFormula>
    </tableColumn>
    <tableColumn id="6" name="5" totalsRowFunction="custom" dataDxfId="1015" totalsRowDxfId="1014">
      <totalsRowFormula>COUNTIF(AugustAttendance[5],"U")+COUNTIF(AugustAttendance[5],"E")</totalsRowFormula>
    </tableColumn>
    <tableColumn id="7" name="6" totalsRowFunction="custom" dataDxfId="1013" totalsRowDxfId="1012">
      <totalsRowFormula>COUNTIF(AugustAttendance[6],"U")+COUNTIF(AugustAttendance[6],"E")</totalsRowFormula>
    </tableColumn>
    <tableColumn id="8" name="7" totalsRowFunction="custom" dataDxfId="1011" totalsRowDxfId="1010">
      <totalsRowFormula>COUNTIF(AugustAttendance[7],"U")+COUNTIF(AugustAttendance[7],"E")</totalsRowFormula>
    </tableColumn>
    <tableColumn id="9" name="8" totalsRowFunction="custom" dataDxfId="1009" totalsRowDxfId="1008">
      <totalsRowFormula>COUNTIF(AugustAttendance[8],"U")+COUNTIF(AugustAttendance[8],"E")</totalsRowFormula>
    </tableColumn>
    <tableColumn id="10" name="9" totalsRowFunction="custom" dataDxfId="1007" totalsRowDxfId="1006">
      <totalsRowFormula>COUNTIF(AugustAttendance[9],"U")+COUNTIF(AugustAttendance[9],"E")</totalsRowFormula>
    </tableColumn>
    <tableColumn id="11" name="10" totalsRowFunction="custom" dataDxfId="1005" totalsRowDxfId="1004">
      <totalsRowFormula>COUNTIF(AugustAttendance[10],"U")+COUNTIF(AugustAttendance[10],"E")</totalsRowFormula>
    </tableColumn>
    <tableColumn id="12" name="11" totalsRowFunction="custom" dataDxfId="1003" totalsRowDxfId="1002">
      <totalsRowFormula>COUNTIF(AugustAttendance[11],"U")+COUNTIF(AugustAttendance[11],"E")</totalsRowFormula>
    </tableColumn>
    <tableColumn id="13" name="12" totalsRowFunction="custom" dataDxfId="1001" totalsRowDxfId="1000">
      <totalsRowFormula>COUNTIF(AugustAttendance[12],"U")+COUNTIF(AugustAttendance[12],"E")</totalsRowFormula>
    </tableColumn>
    <tableColumn id="14" name="13" totalsRowFunction="custom" dataDxfId="999" totalsRowDxfId="998">
      <totalsRowFormula>COUNTIF(AugustAttendance[13],"U")+COUNTIF(AugustAttendance[13],"E")</totalsRowFormula>
    </tableColumn>
    <tableColumn id="15" name="14" totalsRowFunction="custom" dataDxfId="997" totalsRowDxfId="996">
      <totalsRowFormula>COUNTIF(AugustAttendance[14],"U")+COUNTIF(AugustAttendance[14],"E")</totalsRowFormula>
    </tableColumn>
    <tableColumn id="16" name="15" totalsRowFunction="custom" dataDxfId="995" totalsRowDxfId="994">
      <totalsRowFormula>COUNTIF(AugustAttendance[15],"U")+COUNTIF(AugustAttendance[15],"E")</totalsRowFormula>
    </tableColumn>
    <tableColumn id="17" name="16" totalsRowFunction="custom" dataDxfId="993" totalsRowDxfId="992">
      <totalsRowFormula>COUNTIF(AugustAttendance[16],"U")+COUNTIF(AugustAttendance[16],"E")</totalsRowFormula>
    </tableColumn>
    <tableColumn id="18" name="17" totalsRowFunction="custom" dataDxfId="991" totalsRowDxfId="990">
      <totalsRowFormula>COUNTIF(AugustAttendance[17],"U")+COUNTIF(AugustAttendance[17],"E")</totalsRowFormula>
    </tableColumn>
    <tableColumn id="19" name="18" totalsRowFunction="custom" dataDxfId="989" totalsRowDxfId="988">
      <totalsRowFormula>COUNTIF(AugustAttendance[18],"U")+COUNTIF(AugustAttendance[18],"E")</totalsRowFormula>
    </tableColumn>
    <tableColumn id="20" name="19" totalsRowFunction="custom" dataDxfId="987" totalsRowDxfId="986">
      <totalsRowFormula>COUNTIF(AugustAttendance[19],"U")+COUNTIF(AugustAttendance[19],"E")</totalsRowFormula>
    </tableColumn>
    <tableColumn id="21" name="20" totalsRowFunction="custom" dataDxfId="985" totalsRowDxfId="984">
      <totalsRowFormula>COUNTIF(AugustAttendance[20],"U")+COUNTIF(AugustAttendance[20],"E")</totalsRowFormula>
    </tableColumn>
    <tableColumn id="22" name="21" totalsRowFunction="custom" dataDxfId="983" totalsRowDxfId="982">
      <totalsRowFormula>COUNTIF(AugustAttendance[21],"U")+COUNTIF(AugustAttendance[21],"E")</totalsRowFormula>
    </tableColumn>
    <tableColumn id="23" name="22" totalsRowFunction="custom" dataDxfId="981" totalsRowDxfId="980">
      <totalsRowFormula>COUNTIF(AugustAttendance[22],"U")+COUNTIF(AugustAttendance[22],"E")</totalsRowFormula>
    </tableColumn>
    <tableColumn id="24" name="23" totalsRowFunction="custom" dataDxfId="979" totalsRowDxfId="978">
      <totalsRowFormula>COUNTIF(AugustAttendance[23],"U")+COUNTIF(AugustAttendance[23],"E")</totalsRowFormula>
    </tableColumn>
    <tableColumn id="25" name="24" totalsRowFunction="custom" dataDxfId="977" totalsRowDxfId="976">
      <totalsRowFormula>COUNTIF(AugustAttendance[24],"U")+COUNTIF(AugustAttendance[24],"E")</totalsRowFormula>
    </tableColumn>
    <tableColumn id="26" name="25" totalsRowFunction="custom" dataDxfId="975" totalsRowDxfId="974">
      <totalsRowFormula>COUNTIF(AugustAttendance[25],"U")+COUNTIF(AugustAttendance[25],"E")</totalsRowFormula>
    </tableColumn>
    <tableColumn id="27" name="26" totalsRowFunction="custom" dataDxfId="973" totalsRowDxfId="972">
      <totalsRowFormula>COUNTIF(AugustAttendance[26],"U")+COUNTIF(AugustAttendance[26],"E")</totalsRowFormula>
    </tableColumn>
    <tableColumn id="28" name="27" totalsRowFunction="custom" dataDxfId="971" totalsRowDxfId="970">
      <totalsRowFormula>COUNTIF(AugustAttendance[27],"U")+COUNTIF(AugustAttendance[27],"E")</totalsRowFormula>
    </tableColumn>
    <tableColumn id="29" name="28" totalsRowFunction="custom" dataDxfId="969" totalsRowDxfId="968">
      <totalsRowFormula>COUNTIF(AugustAttendance[28],"U")+COUNTIF(AugustAttendance[28],"E")</totalsRowFormula>
    </tableColumn>
    <tableColumn id="30" name="29" totalsRowFunction="custom" dataDxfId="967" totalsRowDxfId="966">
      <totalsRowFormula>COUNTIF(AugustAttendance[29],"U")+COUNTIF(AugustAttendance[29],"E")</totalsRowFormula>
    </tableColumn>
    <tableColumn id="31" name="30" totalsRowFunction="custom" dataDxfId="965" totalsRowDxfId="964">
      <totalsRowFormula>COUNTIF(AugustAttendance[30],"U")+COUNTIF(AugustAttendance[30],"E")</totalsRowFormula>
    </tableColumn>
    <tableColumn id="32" name="31" totalsRowFunction="custom" dataDxfId="963" totalsRowDxfId="962">
      <totalsRowFormula>COUNTIF(AugustAttendance[31],"U")+COUNTIF(AugustAttendance[31],"E")</totalsRowFormula>
    </tableColumn>
    <tableColumn id="35" name="T" totalsRowFunction="sum" dataDxfId="961" totalsRowDxfId="960">
      <calculatedColumnFormula>COUNTIF(AugustAttendance[[#This Row],[1]:[31]],Code1)</calculatedColumnFormula>
    </tableColumn>
    <tableColumn id="34" name="E" totalsRowFunction="sum" dataDxfId="959" totalsRowDxfId="958">
      <calculatedColumnFormula>COUNTIF(AugustAttendance[[#This Row],[1]:[31]],Code2)</calculatedColumnFormula>
    </tableColumn>
    <tableColumn id="37" name="U" totalsRowFunction="sum" dataDxfId="957" totalsRowDxfId="956">
      <calculatedColumnFormula>COUNTIF(AugustAttendance[[#This Row],[1]:[31]],Code3)</calculatedColumnFormula>
    </tableColumn>
    <tableColumn id="36" name="P" totalsRowFunction="sum" dataDxfId="955" totalsRowDxfId="954">
      <calculatedColumnFormula>COUNTIF(AugustAttendance[[#This Row],[1]:[31]],Code4)</calculatedColumnFormula>
    </tableColumn>
    <tableColumn id="33" name="缺席天数" totalsRowFunction="sum" dataDxfId="953" totalsRowDxfId="952">
      <calculatedColumnFormula>SUM(AugustAttendance[[#This Row],[E]:[U]])</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August Attendance Record" altTextSummary="Tracks student attendance, such as T=Tardy, E=Excused, U=Unexcused, P=Present, N=No School, for the month of August."/>
    </ext>
  </extLst>
</table>
</file>

<file path=xl/tables/table3.xml><?xml version="1.0" encoding="utf-8"?>
<table xmlns="http://schemas.openxmlformats.org/spreadsheetml/2006/main" id="10" name="SeptemberAttendance" displayName="SeptemberAttendance" ref="B6:AM12" totalsRowCount="1" headerRowDxfId="941" dataDxfId="940" totalsRowDxfId="939">
  <tableColumns count="38">
    <tableColumn id="38" name="学生 ID" dataDxfId="938" totalsRowDxfId="937"/>
    <tableColumn id="1" name="学生姓名" totalsRowLabel="总缺席天数" dataDxfId="936" totalsRowDxfId="935">
      <calculatedColumnFormula>IFERROR(VLOOKUP(SeptemberAttendance[[#This Row],[学生 ID]],StudentList[],18,FALSE),"")</calculatedColumnFormula>
    </tableColumn>
    <tableColumn id="2" name="1" totalsRowFunction="custom" dataDxfId="934" totalsRowDxfId="933">
      <totalsRowFormula>COUNTIF(SeptemberAttendance[1],"U")+COUNTIF(SeptemberAttendance[1],"E")</totalsRowFormula>
    </tableColumn>
    <tableColumn id="3" name="2" totalsRowFunction="custom" dataDxfId="932" totalsRowDxfId="931">
      <totalsRowFormula>COUNTIF(SeptemberAttendance[2],"U")+COUNTIF(SeptemberAttendance[2],"E")</totalsRowFormula>
    </tableColumn>
    <tableColumn id="4" name="3" totalsRowFunction="custom" dataDxfId="930" totalsRowDxfId="929">
      <totalsRowFormula>COUNTIF(SeptemberAttendance[3],"U")+COUNTIF(SeptemberAttendance[3],"E")</totalsRowFormula>
    </tableColumn>
    <tableColumn id="5" name="4" totalsRowFunction="custom" dataDxfId="928" totalsRowDxfId="927">
      <totalsRowFormula>COUNTIF(SeptemberAttendance[4],"U")+COUNTIF(SeptemberAttendance[4],"E")</totalsRowFormula>
    </tableColumn>
    <tableColumn id="6" name="5" totalsRowFunction="custom" dataDxfId="926" totalsRowDxfId="925">
      <totalsRowFormula>COUNTIF(SeptemberAttendance[5],"U")+COUNTIF(SeptemberAttendance[5],"E")</totalsRowFormula>
    </tableColumn>
    <tableColumn id="7" name="6" totalsRowFunction="custom" dataDxfId="924" totalsRowDxfId="923">
      <totalsRowFormula>COUNTIF(SeptemberAttendance[6],"U")+COUNTIF(SeptemberAttendance[6],"E")</totalsRowFormula>
    </tableColumn>
    <tableColumn id="8" name="7" totalsRowFunction="custom" dataDxfId="922" totalsRowDxfId="921">
      <totalsRowFormula>COUNTIF(SeptemberAttendance[7],"U")+COUNTIF(SeptemberAttendance[7],"E")</totalsRowFormula>
    </tableColumn>
    <tableColumn id="9" name="8" totalsRowFunction="custom" dataDxfId="920" totalsRowDxfId="919">
      <totalsRowFormula>COUNTIF(SeptemberAttendance[8],"U")+COUNTIF(SeptemberAttendance[8],"E")</totalsRowFormula>
    </tableColumn>
    <tableColumn id="10" name="9" totalsRowFunction="custom" dataDxfId="918" totalsRowDxfId="917">
      <totalsRowFormula>COUNTIF(SeptemberAttendance[9],"U")+COUNTIF(SeptemberAttendance[9],"E")</totalsRowFormula>
    </tableColumn>
    <tableColumn id="11" name="10" totalsRowFunction="custom" dataDxfId="916" totalsRowDxfId="915">
      <totalsRowFormula>COUNTIF(SeptemberAttendance[10],"U")+COUNTIF(SeptemberAttendance[10],"E")</totalsRowFormula>
    </tableColumn>
    <tableColumn id="12" name="11" totalsRowFunction="custom" dataDxfId="914" totalsRowDxfId="913">
      <totalsRowFormula>COUNTIF(SeptemberAttendance[11],"U")+COUNTIF(SeptemberAttendance[11],"E")</totalsRowFormula>
    </tableColumn>
    <tableColumn id="13" name="12" totalsRowFunction="custom" dataDxfId="912" totalsRowDxfId="911">
      <totalsRowFormula>COUNTIF(SeptemberAttendance[12],"U")+COUNTIF(SeptemberAttendance[12],"E")</totalsRowFormula>
    </tableColumn>
    <tableColumn id="14" name="13" totalsRowFunction="custom" dataDxfId="910" totalsRowDxfId="909">
      <totalsRowFormula>COUNTIF(SeptemberAttendance[13],"U")+COUNTIF(SeptemberAttendance[13],"E")</totalsRowFormula>
    </tableColumn>
    <tableColumn id="15" name="14" totalsRowFunction="custom" dataDxfId="908" totalsRowDxfId="907">
      <totalsRowFormula>COUNTIF(SeptemberAttendance[14],"U")+COUNTIF(SeptemberAttendance[14],"E")</totalsRowFormula>
    </tableColumn>
    <tableColumn id="16" name="15" totalsRowFunction="custom" dataDxfId="906" totalsRowDxfId="905">
      <totalsRowFormula>COUNTIF(SeptemberAttendance[15],"U")+COUNTIF(SeptemberAttendance[15],"E")</totalsRowFormula>
    </tableColumn>
    <tableColumn id="17" name="16" totalsRowFunction="custom" dataDxfId="904" totalsRowDxfId="903">
      <totalsRowFormula>COUNTIF(SeptemberAttendance[16],"U")+COUNTIF(SeptemberAttendance[16],"E")</totalsRowFormula>
    </tableColumn>
    <tableColumn id="18" name="17" totalsRowFunction="custom" dataDxfId="902" totalsRowDxfId="901">
      <totalsRowFormula>COUNTIF(SeptemberAttendance[17],"U")+COUNTIF(SeptemberAttendance[17],"E")</totalsRowFormula>
    </tableColumn>
    <tableColumn id="19" name="18" totalsRowFunction="custom" dataDxfId="900" totalsRowDxfId="899">
      <totalsRowFormula>COUNTIF(SeptemberAttendance[18],"U")+COUNTIF(SeptemberAttendance[18],"E")</totalsRowFormula>
    </tableColumn>
    <tableColumn id="20" name="19" totalsRowFunction="custom" dataDxfId="898" totalsRowDxfId="897">
      <totalsRowFormula>COUNTIF(SeptemberAttendance[19],"U")+COUNTIF(SeptemberAttendance[19],"E")</totalsRowFormula>
    </tableColumn>
    <tableColumn id="21" name="20" totalsRowFunction="custom" dataDxfId="896" totalsRowDxfId="895">
      <totalsRowFormula>COUNTIF(SeptemberAttendance[20],"U")+COUNTIF(SeptemberAttendance[20],"E")</totalsRowFormula>
    </tableColumn>
    <tableColumn id="22" name="21" totalsRowFunction="custom" dataDxfId="894" totalsRowDxfId="893">
      <totalsRowFormula>COUNTIF(SeptemberAttendance[21],"U")+COUNTIF(SeptemberAttendance[21],"E")</totalsRowFormula>
    </tableColumn>
    <tableColumn id="23" name="22" totalsRowFunction="custom" dataDxfId="892" totalsRowDxfId="891">
      <totalsRowFormula>COUNTIF(SeptemberAttendance[22],"U")+COUNTIF(SeptemberAttendance[22],"E")</totalsRowFormula>
    </tableColumn>
    <tableColumn id="24" name="23" totalsRowFunction="custom" dataDxfId="890" totalsRowDxfId="889">
      <totalsRowFormula>COUNTIF(SeptemberAttendance[23],"U")+COUNTIF(SeptemberAttendance[23],"E")</totalsRowFormula>
    </tableColumn>
    <tableColumn id="25" name="24" totalsRowFunction="custom" dataDxfId="888" totalsRowDxfId="887">
      <totalsRowFormula>COUNTIF(SeptemberAttendance[24],"U")+COUNTIF(SeptemberAttendance[24],"E")</totalsRowFormula>
    </tableColumn>
    <tableColumn id="26" name="25" totalsRowFunction="custom" dataDxfId="886" totalsRowDxfId="885">
      <totalsRowFormula>COUNTIF(SeptemberAttendance[25],"U")+COUNTIF(SeptemberAttendance[25],"E")</totalsRowFormula>
    </tableColumn>
    <tableColumn id="27" name="26" totalsRowFunction="custom" dataDxfId="884" totalsRowDxfId="883">
      <totalsRowFormula>COUNTIF(SeptemberAttendance[26],"U")+COUNTIF(SeptemberAttendance[26],"E")</totalsRowFormula>
    </tableColumn>
    <tableColumn id="28" name="27" totalsRowFunction="custom" dataDxfId="882" totalsRowDxfId="881">
      <totalsRowFormula>COUNTIF(SeptemberAttendance[27],"U")+COUNTIF(SeptemberAttendance[27],"E")</totalsRowFormula>
    </tableColumn>
    <tableColumn id="29" name="28" totalsRowFunction="custom" dataDxfId="880" totalsRowDxfId="879">
      <totalsRowFormula>COUNTIF(SeptemberAttendance[28],"U")+COUNTIF(SeptemberAttendance[28],"E")</totalsRowFormula>
    </tableColumn>
    <tableColumn id="30" name="29" totalsRowFunction="custom" dataDxfId="878" totalsRowDxfId="877">
      <totalsRowFormula>COUNTIF(SeptemberAttendance[29],"U")+COUNTIF(SeptemberAttendance[29],"E")</totalsRowFormula>
    </tableColumn>
    <tableColumn id="31" name="30" totalsRowFunction="custom" dataDxfId="876" totalsRowDxfId="875">
      <totalsRowFormula>COUNTIF(SeptemberAttendance[30],"U")+COUNTIF(SeptemberAttendance[30],"E")</totalsRowFormula>
    </tableColumn>
    <tableColumn id="32" name=" " totalsRowFunction="custom" dataDxfId="874" totalsRowDxfId="873">
      <totalsRowFormula>COUNTIF(SeptemberAttendance[[ ]],"U")+COUNTIF(SeptemberAttendance[[ ]],"E")</totalsRowFormula>
    </tableColumn>
    <tableColumn id="35" name="T" totalsRowFunction="sum" dataDxfId="872" totalsRowDxfId="871">
      <calculatedColumnFormula>COUNTIF(SeptemberAttendance[[#This Row],[1]:[ ]],Code1)</calculatedColumnFormula>
    </tableColumn>
    <tableColumn id="34" name="E" totalsRowFunction="sum" dataDxfId="870" totalsRowDxfId="869">
      <calculatedColumnFormula>COUNTIF(SeptemberAttendance[[#This Row],[1]:[ ]],Code2)</calculatedColumnFormula>
    </tableColumn>
    <tableColumn id="37" name="U" totalsRowFunction="sum" dataDxfId="868" totalsRowDxfId="867">
      <calculatedColumnFormula>COUNTIF(SeptemberAttendance[[#This Row],[1]:[ ]],Code3)</calculatedColumnFormula>
    </tableColumn>
    <tableColumn id="36" name="P" totalsRowFunction="sum" dataDxfId="866" totalsRowDxfId="865">
      <calculatedColumnFormula>COUNTIF(SeptemberAttendance[[#This Row],[1]:[ ]],Code4)</calculatedColumnFormula>
    </tableColumn>
    <tableColumn id="33" name="缺席天数" totalsRowFunction="sum" dataDxfId="864" totalsRowDxfId="863">
      <calculatedColumnFormula>SUM(SeptemberAttendance[[#This Row],[E]:[U]])</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August Attendance Record" altTextSummary="Tracks student attendance, such as T=Tardy, E=Excused, U=Unexcused, P=Present, N=No School, for the month of September."/>
    </ext>
  </extLst>
</table>
</file>

<file path=xl/tables/table4.xml><?xml version="1.0" encoding="utf-8"?>
<table xmlns="http://schemas.openxmlformats.org/spreadsheetml/2006/main" id="2" name="OctoberAttendance" displayName="OctoberAttendance" ref="B6:AM12" totalsRowCount="1" headerRowDxfId="852" dataDxfId="851" totalsRowDxfId="850">
  <tableColumns count="38">
    <tableColumn id="38" name="学生 ID" dataDxfId="849" totalsRowDxfId="848"/>
    <tableColumn id="1" name="学生姓名" totalsRowLabel="总缺席天数" dataDxfId="847" totalsRowDxfId="846">
      <calculatedColumnFormula>IFERROR(VLOOKUP(OctoberAttendance[[#This Row],[学生 ID]],StudentList[],18,FALSE),"")</calculatedColumnFormula>
    </tableColumn>
    <tableColumn id="2" name="1" totalsRowFunction="custom" dataDxfId="845" totalsRowDxfId="844">
      <totalsRowFormula>COUNTIF(OctoberAttendance[1],"U")+COUNTIF(OctoberAttendance[1],"E")</totalsRowFormula>
    </tableColumn>
    <tableColumn id="3" name="2" totalsRowFunction="custom" dataDxfId="843" totalsRowDxfId="842">
      <totalsRowFormula>COUNTIF(OctoberAttendance[2],"U")+COUNTIF(OctoberAttendance[2],"E")</totalsRowFormula>
    </tableColumn>
    <tableColumn id="4" name="3" totalsRowFunction="custom" dataDxfId="841" totalsRowDxfId="840">
      <totalsRowFormula>COUNTIF(OctoberAttendance[3],"U")+COUNTIF(OctoberAttendance[3],"E")</totalsRowFormula>
    </tableColumn>
    <tableColumn id="5" name="4" totalsRowFunction="custom" dataDxfId="839" totalsRowDxfId="838">
      <totalsRowFormula>COUNTIF(OctoberAttendance[4],"U")+COUNTIF(OctoberAttendance[4],"E")</totalsRowFormula>
    </tableColumn>
    <tableColumn id="6" name="5" totalsRowFunction="custom" dataDxfId="837" totalsRowDxfId="836">
      <totalsRowFormula>COUNTIF(OctoberAttendance[5],"U")+COUNTIF(OctoberAttendance[5],"E")</totalsRowFormula>
    </tableColumn>
    <tableColumn id="7" name="6" totalsRowFunction="custom" dataDxfId="835" totalsRowDxfId="834">
      <totalsRowFormula>COUNTIF(OctoberAttendance[6],"U")+COUNTIF(OctoberAttendance[6],"E")</totalsRowFormula>
    </tableColumn>
    <tableColumn id="8" name="7" totalsRowFunction="custom" dataDxfId="833" totalsRowDxfId="832">
      <totalsRowFormula>COUNTIF(OctoberAttendance[7],"U")+COUNTIF(OctoberAttendance[7],"E")</totalsRowFormula>
    </tableColumn>
    <tableColumn id="9" name="8" totalsRowFunction="custom" dataDxfId="831" totalsRowDxfId="830">
      <totalsRowFormula>COUNTIF(OctoberAttendance[8],"U")+COUNTIF(OctoberAttendance[8],"E")</totalsRowFormula>
    </tableColumn>
    <tableColumn id="10" name="9" totalsRowFunction="custom" dataDxfId="829" totalsRowDxfId="828">
      <totalsRowFormula>COUNTIF(OctoberAttendance[9],"U")+COUNTIF(OctoberAttendance[9],"E")</totalsRowFormula>
    </tableColumn>
    <tableColumn id="11" name="10" totalsRowFunction="custom" dataDxfId="827" totalsRowDxfId="826">
      <totalsRowFormula>COUNTIF(OctoberAttendance[10],"U")+COUNTIF(OctoberAttendance[10],"E")</totalsRowFormula>
    </tableColumn>
    <tableColumn id="12" name="11" totalsRowFunction="custom" dataDxfId="825" totalsRowDxfId="824">
      <totalsRowFormula>COUNTIF(OctoberAttendance[11],"U")+COUNTIF(OctoberAttendance[11],"E")</totalsRowFormula>
    </tableColumn>
    <tableColumn id="13" name="12" totalsRowFunction="custom" dataDxfId="823" totalsRowDxfId="822">
      <totalsRowFormula>COUNTIF(OctoberAttendance[12],"U")+COUNTIF(OctoberAttendance[12],"E")</totalsRowFormula>
    </tableColumn>
    <tableColumn id="14" name="13" totalsRowFunction="custom" dataDxfId="821" totalsRowDxfId="820">
      <totalsRowFormula>COUNTIF(OctoberAttendance[13],"U")+COUNTIF(OctoberAttendance[13],"E")</totalsRowFormula>
    </tableColumn>
    <tableColumn id="15" name="14" totalsRowFunction="custom" dataDxfId="819" totalsRowDxfId="818">
      <totalsRowFormula>COUNTIF(OctoberAttendance[14],"U")+COUNTIF(OctoberAttendance[14],"E")</totalsRowFormula>
    </tableColumn>
    <tableColumn id="16" name="15" totalsRowFunction="custom" dataDxfId="817" totalsRowDxfId="816">
      <totalsRowFormula>COUNTIF(OctoberAttendance[15],"U")+COUNTIF(OctoberAttendance[15],"E")</totalsRowFormula>
    </tableColumn>
    <tableColumn id="17" name="16" totalsRowFunction="custom" dataDxfId="815" totalsRowDxfId="814">
      <totalsRowFormula>COUNTIF(OctoberAttendance[16],"U")+COUNTIF(OctoberAttendance[16],"E")</totalsRowFormula>
    </tableColumn>
    <tableColumn id="18" name="17" totalsRowFunction="custom" dataDxfId="813" totalsRowDxfId="812">
      <totalsRowFormula>COUNTIF(OctoberAttendance[17],"U")+COUNTIF(OctoberAttendance[17],"E")</totalsRowFormula>
    </tableColumn>
    <tableColumn id="19" name="18" totalsRowFunction="custom" dataDxfId="811" totalsRowDxfId="810">
      <totalsRowFormula>COUNTIF(OctoberAttendance[18],"U")+COUNTIF(OctoberAttendance[18],"E")</totalsRowFormula>
    </tableColumn>
    <tableColumn id="20" name="19" totalsRowFunction="custom" dataDxfId="809" totalsRowDxfId="808">
      <totalsRowFormula>COUNTIF(OctoberAttendance[19],"U")+COUNTIF(OctoberAttendance[19],"E")</totalsRowFormula>
    </tableColumn>
    <tableColumn id="21" name="20" totalsRowFunction="custom" dataDxfId="807" totalsRowDxfId="806">
      <totalsRowFormula>COUNTIF(OctoberAttendance[20],"U")+COUNTIF(OctoberAttendance[20],"E")</totalsRowFormula>
    </tableColumn>
    <tableColumn id="22" name="21" totalsRowFunction="custom" dataDxfId="805" totalsRowDxfId="804">
      <totalsRowFormula>COUNTIF(OctoberAttendance[21],"U")+COUNTIF(OctoberAttendance[21],"E")</totalsRowFormula>
    </tableColumn>
    <tableColumn id="23" name="22" totalsRowFunction="custom" dataDxfId="803" totalsRowDxfId="802">
      <totalsRowFormula>COUNTIF(OctoberAttendance[22],"U")+COUNTIF(OctoberAttendance[22],"E")</totalsRowFormula>
    </tableColumn>
    <tableColumn id="24" name="23" totalsRowFunction="custom" dataDxfId="801" totalsRowDxfId="800">
      <totalsRowFormula>COUNTIF(OctoberAttendance[23],"U")+COUNTIF(OctoberAttendance[23],"E")</totalsRowFormula>
    </tableColumn>
    <tableColumn id="25" name="24" totalsRowFunction="custom" dataDxfId="799" totalsRowDxfId="798">
      <totalsRowFormula>COUNTIF(OctoberAttendance[24],"U")+COUNTIF(OctoberAttendance[24],"E")</totalsRowFormula>
    </tableColumn>
    <tableColumn id="26" name="25" totalsRowFunction="custom" dataDxfId="797" totalsRowDxfId="796">
      <totalsRowFormula>COUNTIF(OctoberAttendance[25],"U")+COUNTIF(OctoberAttendance[25],"E")</totalsRowFormula>
    </tableColumn>
    <tableColumn id="27" name="26" totalsRowFunction="custom" dataDxfId="795" totalsRowDxfId="794">
      <totalsRowFormula>COUNTIF(OctoberAttendance[26],"U")+COUNTIF(OctoberAttendance[26],"E")</totalsRowFormula>
    </tableColumn>
    <tableColumn id="28" name="27" totalsRowFunction="custom" dataDxfId="793" totalsRowDxfId="792">
      <totalsRowFormula>COUNTIF(OctoberAttendance[27],"U")+COUNTIF(OctoberAttendance[27],"E")</totalsRowFormula>
    </tableColumn>
    <tableColumn id="29" name="28" totalsRowFunction="custom" dataDxfId="791" totalsRowDxfId="790">
      <totalsRowFormula>COUNTIF(OctoberAttendance[28],"U")+COUNTIF(OctoberAttendance[28],"E")</totalsRowFormula>
    </tableColumn>
    <tableColumn id="30" name="29" totalsRowFunction="custom" dataDxfId="789" totalsRowDxfId="788">
      <totalsRowFormula>COUNTIF(OctoberAttendance[29],"U")+COUNTIF(OctoberAttendance[29],"E")</totalsRowFormula>
    </tableColumn>
    <tableColumn id="31" name="30" totalsRowFunction="custom" dataDxfId="787" totalsRowDxfId="786">
      <totalsRowFormula>COUNTIF(OctoberAttendance[30],"U")+COUNTIF(OctoberAttendance[30],"E")</totalsRowFormula>
    </tableColumn>
    <tableColumn id="32" name="31" totalsRowFunction="custom" dataDxfId="785" totalsRowDxfId="784">
      <totalsRowFormula>COUNTIF(OctoberAttendance[31],"U")+COUNTIF(OctoberAttendance[31],"E")</totalsRowFormula>
    </tableColumn>
    <tableColumn id="35" name="T" totalsRowFunction="sum" dataDxfId="783" totalsRowDxfId="782">
      <calculatedColumnFormula>COUNTIF(OctoberAttendance[[#This Row],[1]:[31]],Code1)</calculatedColumnFormula>
    </tableColumn>
    <tableColumn id="34" name="E" totalsRowFunction="sum" dataDxfId="781" totalsRowDxfId="780">
      <calculatedColumnFormula>COUNTIF(OctoberAttendance[[#This Row],[1]:[31]],Code2)</calculatedColumnFormula>
    </tableColumn>
    <tableColumn id="37" name="U" totalsRowFunction="sum" dataDxfId="779" totalsRowDxfId="778">
      <calculatedColumnFormula>COUNTIF(OctoberAttendance[[#This Row],[1]:[31]],Code3)</calculatedColumnFormula>
    </tableColumn>
    <tableColumn id="36" name="P" totalsRowFunction="sum" dataDxfId="777" totalsRowDxfId="776">
      <calculatedColumnFormula>COUNTIF(OctoberAttendance[[#This Row],[1]:[31]],Code4)</calculatedColumnFormula>
    </tableColumn>
    <tableColumn id="33" name="缺席天数" totalsRowFunction="sum" dataDxfId="775" totalsRowDxfId="774">
      <calculatedColumnFormula>SUM(OctoberAttendance[[#This Row],[E]:[U]])</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August Attendance Record" altTextSummary="Tracks student attendance, such as T=Tardy, E=Excused, U=Unexcused, P=Present, N=No School, for the month of October."/>
    </ext>
  </extLst>
</table>
</file>

<file path=xl/tables/table5.xml><?xml version="1.0" encoding="utf-8"?>
<table xmlns="http://schemas.openxmlformats.org/spreadsheetml/2006/main" id="4" name="NovemberAttendance" displayName="NovemberAttendance" ref="B6:AM12" totalsRowCount="1" headerRowDxfId="763" dataDxfId="762" totalsRowDxfId="761">
  <tableColumns count="38">
    <tableColumn id="38" name="学生 ID" dataDxfId="760" totalsRowDxfId="759"/>
    <tableColumn id="1" name="学生姓名" totalsRowLabel="总缺席天数" dataDxfId="758" totalsRowDxfId="757">
      <calculatedColumnFormula>IFERROR(VLOOKUP(NovemberAttendance[[#This Row],[学生 ID]],StudentList[],18,FALSE),"")</calculatedColumnFormula>
    </tableColumn>
    <tableColumn id="2" name="1" totalsRowFunction="custom" dataDxfId="756" totalsRowDxfId="755">
      <totalsRowFormula>COUNTIF(NovemberAttendance[1],"U")+COUNTIF(NovemberAttendance[1],"E")</totalsRowFormula>
    </tableColumn>
    <tableColumn id="3" name="2" totalsRowFunction="custom" dataDxfId="754" totalsRowDxfId="753">
      <totalsRowFormula>COUNTIF(NovemberAttendance[2],"U")+COUNTIF(NovemberAttendance[2],"E")</totalsRowFormula>
    </tableColumn>
    <tableColumn id="4" name="3" totalsRowFunction="custom" dataDxfId="752" totalsRowDxfId="751">
      <totalsRowFormula>COUNTIF(NovemberAttendance[3],"U")+COUNTIF(NovemberAttendance[3],"E")</totalsRowFormula>
    </tableColumn>
    <tableColumn id="5" name="4" totalsRowFunction="custom" dataDxfId="750" totalsRowDxfId="749">
      <totalsRowFormula>COUNTIF(NovemberAttendance[4],"U")+COUNTIF(NovemberAttendance[4],"E")</totalsRowFormula>
    </tableColumn>
    <tableColumn id="6" name="5" totalsRowFunction="custom" dataDxfId="748" totalsRowDxfId="747">
      <totalsRowFormula>COUNTIF(NovemberAttendance[5],"U")+COUNTIF(NovemberAttendance[5],"E")</totalsRowFormula>
    </tableColumn>
    <tableColumn id="7" name="6" totalsRowFunction="custom" dataDxfId="746" totalsRowDxfId="745">
      <totalsRowFormula>COUNTIF(NovemberAttendance[6],"U")+COUNTIF(NovemberAttendance[6],"E")</totalsRowFormula>
    </tableColumn>
    <tableColumn id="8" name="7" totalsRowFunction="custom" dataDxfId="744" totalsRowDxfId="743">
      <totalsRowFormula>COUNTIF(NovemberAttendance[7],"U")+COUNTIF(NovemberAttendance[7],"E")</totalsRowFormula>
    </tableColumn>
    <tableColumn id="9" name="8" totalsRowFunction="custom" dataDxfId="742" totalsRowDxfId="741">
      <totalsRowFormula>COUNTIF(NovemberAttendance[8],"U")+COUNTIF(NovemberAttendance[8],"E")</totalsRowFormula>
    </tableColumn>
    <tableColumn id="10" name="9" totalsRowFunction="custom" dataDxfId="740" totalsRowDxfId="739">
      <totalsRowFormula>COUNTIF(NovemberAttendance[9],"U")+COUNTIF(NovemberAttendance[9],"E")</totalsRowFormula>
    </tableColumn>
    <tableColumn id="11" name="10" totalsRowFunction="custom" dataDxfId="738" totalsRowDxfId="737">
      <totalsRowFormula>COUNTIF(NovemberAttendance[10],"U")+COUNTIF(NovemberAttendance[10],"E")</totalsRowFormula>
    </tableColumn>
    <tableColumn id="12" name="11" totalsRowFunction="custom" dataDxfId="736" totalsRowDxfId="735">
      <totalsRowFormula>COUNTIF(NovemberAttendance[11],"U")+COUNTIF(NovemberAttendance[11],"E")</totalsRowFormula>
    </tableColumn>
    <tableColumn id="13" name="12" totalsRowFunction="custom" dataDxfId="734" totalsRowDxfId="733">
      <totalsRowFormula>COUNTIF(NovemberAttendance[12],"U")+COUNTIF(NovemberAttendance[12],"E")</totalsRowFormula>
    </tableColumn>
    <tableColumn id="14" name="13" totalsRowFunction="custom" dataDxfId="732" totalsRowDxfId="731">
      <totalsRowFormula>COUNTIF(NovemberAttendance[13],"U")+COUNTIF(NovemberAttendance[13],"E")</totalsRowFormula>
    </tableColumn>
    <tableColumn id="15" name="14" totalsRowFunction="custom" dataDxfId="730" totalsRowDxfId="729">
      <totalsRowFormula>COUNTIF(NovemberAttendance[14],"U")+COUNTIF(NovemberAttendance[14],"E")</totalsRowFormula>
    </tableColumn>
    <tableColumn id="16" name="15" totalsRowFunction="custom" dataDxfId="728" totalsRowDxfId="727">
      <totalsRowFormula>COUNTIF(NovemberAttendance[15],"U")+COUNTIF(NovemberAttendance[15],"E")</totalsRowFormula>
    </tableColumn>
    <tableColumn id="17" name="16" totalsRowFunction="custom" dataDxfId="726" totalsRowDxfId="725">
      <totalsRowFormula>COUNTIF(NovemberAttendance[16],"U")+COUNTIF(NovemberAttendance[16],"E")</totalsRowFormula>
    </tableColumn>
    <tableColumn id="18" name="17" totalsRowFunction="custom" dataDxfId="724" totalsRowDxfId="723">
      <totalsRowFormula>COUNTIF(NovemberAttendance[17],"U")+COUNTIF(NovemberAttendance[17],"E")</totalsRowFormula>
    </tableColumn>
    <tableColumn id="19" name="18" totalsRowFunction="custom" dataDxfId="722" totalsRowDxfId="721">
      <totalsRowFormula>COUNTIF(NovemberAttendance[18],"U")+COUNTIF(NovemberAttendance[18],"E")</totalsRowFormula>
    </tableColumn>
    <tableColumn id="20" name="19" totalsRowFunction="custom" dataDxfId="720" totalsRowDxfId="719">
      <totalsRowFormula>COUNTIF(NovemberAttendance[19],"U")+COUNTIF(NovemberAttendance[19],"E")</totalsRowFormula>
    </tableColumn>
    <tableColumn id="21" name="20" totalsRowFunction="custom" dataDxfId="718" totalsRowDxfId="717">
      <totalsRowFormula>COUNTIF(NovemberAttendance[20],"U")+COUNTIF(NovemberAttendance[20],"E")</totalsRowFormula>
    </tableColumn>
    <tableColumn id="22" name="21" totalsRowFunction="custom" dataDxfId="716" totalsRowDxfId="715">
      <totalsRowFormula>COUNTIF(NovemberAttendance[21],"U")+COUNTIF(NovemberAttendance[21],"E")</totalsRowFormula>
    </tableColumn>
    <tableColumn id="23" name="22" totalsRowFunction="custom" dataDxfId="714" totalsRowDxfId="713">
      <totalsRowFormula>COUNTIF(NovemberAttendance[22],"U")+COUNTIF(NovemberAttendance[22],"E")</totalsRowFormula>
    </tableColumn>
    <tableColumn id="24" name="23" totalsRowFunction="custom" dataDxfId="712" totalsRowDxfId="711">
      <totalsRowFormula>COUNTIF(NovemberAttendance[23],"U")+COUNTIF(NovemberAttendance[23],"E")</totalsRowFormula>
    </tableColumn>
    <tableColumn id="25" name="24" totalsRowFunction="custom" dataDxfId="710" totalsRowDxfId="709">
      <totalsRowFormula>COUNTIF(NovemberAttendance[24],"U")+COUNTIF(NovemberAttendance[24],"E")</totalsRowFormula>
    </tableColumn>
    <tableColumn id="26" name="25" totalsRowFunction="custom" dataDxfId="708" totalsRowDxfId="707">
      <totalsRowFormula>COUNTIF(NovemberAttendance[25],"U")+COUNTIF(NovemberAttendance[25],"E")</totalsRowFormula>
    </tableColumn>
    <tableColumn id="27" name="26" totalsRowFunction="custom" dataDxfId="706" totalsRowDxfId="705">
      <totalsRowFormula>COUNTIF(NovemberAttendance[26],"U")+COUNTIF(NovemberAttendance[26],"E")</totalsRowFormula>
    </tableColumn>
    <tableColumn id="28" name="27" totalsRowFunction="custom" dataDxfId="704" totalsRowDxfId="703">
      <totalsRowFormula>COUNTIF(NovemberAttendance[27],"U")+COUNTIF(NovemberAttendance[27],"E")</totalsRowFormula>
    </tableColumn>
    <tableColumn id="29" name="28" totalsRowFunction="custom" dataDxfId="702" totalsRowDxfId="701">
      <totalsRowFormula>COUNTIF(NovemberAttendance[28],"U")+COUNTIF(NovemberAttendance[28],"E")</totalsRowFormula>
    </tableColumn>
    <tableColumn id="30" name="29" totalsRowFunction="custom" dataDxfId="700" totalsRowDxfId="699">
      <totalsRowFormula>COUNTIF(NovemberAttendance[29],"U")+COUNTIF(NovemberAttendance[29],"E")</totalsRowFormula>
    </tableColumn>
    <tableColumn id="31" name="30" totalsRowFunction="custom" dataDxfId="698" totalsRowDxfId="697">
      <totalsRowFormula>COUNTIF(NovemberAttendance[30],"U")+COUNTIF(NovemberAttendance[30],"E")</totalsRowFormula>
    </tableColumn>
    <tableColumn id="32" name=" " totalsRowFunction="custom" dataDxfId="696" totalsRowDxfId="695">
      <totalsRowFormula>COUNTIF(NovemberAttendance[[ ]],"U")+COUNTIF(NovemberAttendance[[ ]],"E")</totalsRowFormula>
    </tableColumn>
    <tableColumn id="35" name="T" totalsRowFunction="sum" dataDxfId="694" totalsRowDxfId="693">
      <calculatedColumnFormula>COUNTIF(NovemberAttendance[[#This Row],[1]:[ ]],Code1)</calculatedColumnFormula>
    </tableColumn>
    <tableColumn id="34" name="E" totalsRowFunction="sum" dataDxfId="692" totalsRowDxfId="691">
      <calculatedColumnFormula>COUNTIF(NovemberAttendance[[#This Row],[1]:[ ]],Code2)</calculatedColumnFormula>
    </tableColumn>
    <tableColumn id="37" name="U" totalsRowFunction="sum" dataDxfId="690" totalsRowDxfId="689">
      <calculatedColumnFormula>COUNTIF(NovemberAttendance[[#This Row],[1]:[ ]],Code3)</calculatedColumnFormula>
    </tableColumn>
    <tableColumn id="36" name="P" totalsRowFunction="sum" dataDxfId="688" totalsRowDxfId="687">
      <calculatedColumnFormula>COUNTIF(NovemberAttendance[[#This Row],[1]:[ ]],Code4)</calculatedColumnFormula>
    </tableColumn>
    <tableColumn id="33" name="缺席天数" totalsRowFunction="sum" dataDxfId="686" totalsRowDxfId="685">
      <calculatedColumnFormula>SUM(NovemberAttendance[[#This Row],[E]:[U]])</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August Attendance Record" altTextSummary="Tracks student attendance, such as T=Tardy, E=Excused, U=Unexcused, P=Present, N=No School, for the month of November."/>
    </ext>
  </extLst>
</table>
</file>

<file path=xl/tables/table6.xml><?xml version="1.0" encoding="utf-8"?>
<table xmlns="http://schemas.openxmlformats.org/spreadsheetml/2006/main" id="6" name="DecemberAttendance" displayName="DecemberAttendance" ref="B6:AM12" totalsRowCount="1" headerRowDxfId="674" dataDxfId="673" totalsRowDxfId="672">
  <tableColumns count="38">
    <tableColumn id="38" name="学生 ID" dataDxfId="671" totalsRowDxfId="670"/>
    <tableColumn id="1" name="学生姓名" totalsRowLabel="总缺席天数" dataDxfId="669" totalsRowDxfId="668">
      <calculatedColumnFormula>IFERROR(VLOOKUP(DecemberAttendance[[#This Row],[学生 ID]],StudentList[],18,FALSE),"")</calculatedColumnFormula>
    </tableColumn>
    <tableColumn id="2" name="1" totalsRowFunction="custom" dataDxfId="667" totalsRowDxfId="666">
      <totalsRowFormula>COUNTIF(DecemberAttendance[1],"U")+COUNTIF(DecemberAttendance[1],"E")</totalsRowFormula>
    </tableColumn>
    <tableColumn id="3" name="2" totalsRowFunction="custom" dataDxfId="665" totalsRowDxfId="664">
      <totalsRowFormula>COUNTIF(DecemberAttendance[2],"U")+COUNTIF(DecemberAttendance[2],"E")</totalsRowFormula>
    </tableColumn>
    <tableColumn id="4" name="3" totalsRowFunction="custom" dataDxfId="663" totalsRowDxfId="662">
      <totalsRowFormula>COUNTIF(DecemberAttendance[3],"U")+COUNTIF(DecemberAttendance[3],"E")</totalsRowFormula>
    </tableColumn>
    <tableColumn id="5" name="4" totalsRowFunction="custom" dataDxfId="661" totalsRowDxfId="660">
      <totalsRowFormula>COUNTIF(DecemberAttendance[4],"U")+COUNTIF(DecemberAttendance[4],"E")</totalsRowFormula>
    </tableColumn>
    <tableColumn id="6" name="5" totalsRowFunction="custom" dataDxfId="659" totalsRowDxfId="658">
      <totalsRowFormula>COUNTIF(DecemberAttendance[5],"U")+COUNTIF(DecemberAttendance[5],"E")</totalsRowFormula>
    </tableColumn>
    <tableColumn id="7" name="6" totalsRowFunction="custom" dataDxfId="657" totalsRowDxfId="656">
      <totalsRowFormula>COUNTIF(DecemberAttendance[6],"U")+COUNTIF(DecemberAttendance[6],"E")</totalsRowFormula>
    </tableColumn>
    <tableColumn id="8" name="7" totalsRowFunction="custom" dataDxfId="655" totalsRowDxfId="654">
      <totalsRowFormula>COUNTIF(DecemberAttendance[7],"U")+COUNTIF(DecemberAttendance[7],"E")</totalsRowFormula>
    </tableColumn>
    <tableColumn id="9" name="8" totalsRowFunction="custom" dataDxfId="653" totalsRowDxfId="652">
      <totalsRowFormula>COUNTIF(DecemberAttendance[8],"U")+COUNTIF(DecemberAttendance[8],"E")</totalsRowFormula>
    </tableColumn>
    <tableColumn id="10" name="9" totalsRowFunction="custom" dataDxfId="651" totalsRowDxfId="650">
      <totalsRowFormula>COUNTIF(DecemberAttendance[9],"U")+COUNTIF(DecemberAttendance[9],"E")</totalsRowFormula>
    </tableColumn>
    <tableColumn id="11" name="10" totalsRowFunction="custom" dataDxfId="649" totalsRowDxfId="648">
      <totalsRowFormula>COUNTIF(DecemberAttendance[10],"U")+COUNTIF(DecemberAttendance[10],"E")</totalsRowFormula>
    </tableColumn>
    <tableColumn id="12" name="11" totalsRowFunction="custom" dataDxfId="647" totalsRowDxfId="646">
      <totalsRowFormula>COUNTIF(DecemberAttendance[11],"U")+COUNTIF(DecemberAttendance[11],"E")</totalsRowFormula>
    </tableColumn>
    <tableColumn id="13" name="12" totalsRowFunction="custom" dataDxfId="645" totalsRowDxfId="644">
      <totalsRowFormula>COUNTIF(DecemberAttendance[12],"U")+COUNTIF(DecemberAttendance[12],"E")</totalsRowFormula>
    </tableColumn>
    <tableColumn id="14" name="13" totalsRowFunction="custom" dataDxfId="643" totalsRowDxfId="642">
      <totalsRowFormula>COUNTIF(DecemberAttendance[13],"U")+COUNTIF(DecemberAttendance[13],"E")</totalsRowFormula>
    </tableColumn>
    <tableColumn id="15" name="14" totalsRowFunction="custom" dataDxfId="641" totalsRowDxfId="640">
      <totalsRowFormula>COUNTIF(DecemberAttendance[14],"U")+COUNTIF(DecemberAttendance[14],"E")</totalsRowFormula>
    </tableColumn>
    <tableColumn id="16" name="15" totalsRowFunction="custom" dataDxfId="639" totalsRowDxfId="638">
      <totalsRowFormula>COUNTIF(DecemberAttendance[15],"U")+COUNTIF(DecemberAttendance[15],"E")</totalsRowFormula>
    </tableColumn>
    <tableColumn id="17" name="16" totalsRowFunction="custom" dataDxfId="637" totalsRowDxfId="636">
      <totalsRowFormula>COUNTIF(DecemberAttendance[16],"U")+COUNTIF(DecemberAttendance[16],"E")</totalsRowFormula>
    </tableColumn>
    <tableColumn id="18" name="17" totalsRowFunction="custom" dataDxfId="635" totalsRowDxfId="634">
      <totalsRowFormula>COUNTIF(DecemberAttendance[17],"U")+COUNTIF(DecemberAttendance[17],"E")</totalsRowFormula>
    </tableColumn>
    <tableColumn id="19" name="18" totalsRowFunction="custom" dataDxfId="633" totalsRowDxfId="632">
      <totalsRowFormula>COUNTIF(DecemberAttendance[18],"U")+COUNTIF(DecemberAttendance[18],"E")</totalsRowFormula>
    </tableColumn>
    <tableColumn id="20" name="19" totalsRowFunction="custom" dataDxfId="631" totalsRowDxfId="630">
      <totalsRowFormula>COUNTIF(DecemberAttendance[19],"U")+COUNTIF(DecemberAttendance[19],"E")</totalsRowFormula>
    </tableColumn>
    <tableColumn id="21" name="20" totalsRowFunction="custom" dataDxfId="629" totalsRowDxfId="628">
      <totalsRowFormula>COUNTIF(DecemberAttendance[20],"U")+COUNTIF(DecemberAttendance[20],"E")</totalsRowFormula>
    </tableColumn>
    <tableColumn id="22" name="21" totalsRowFunction="custom" dataDxfId="627" totalsRowDxfId="626">
      <totalsRowFormula>COUNTIF(DecemberAttendance[21],"U")+COUNTIF(DecemberAttendance[21],"E")</totalsRowFormula>
    </tableColumn>
    <tableColumn id="23" name="22" totalsRowFunction="custom" dataDxfId="625" totalsRowDxfId="624">
      <totalsRowFormula>COUNTIF(DecemberAttendance[22],"U")+COUNTIF(DecemberAttendance[22],"E")</totalsRowFormula>
    </tableColumn>
    <tableColumn id="24" name="23" totalsRowFunction="custom" dataDxfId="623" totalsRowDxfId="622">
      <totalsRowFormula>COUNTIF(DecemberAttendance[23],"U")+COUNTIF(DecemberAttendance[23],"E")</totalsRowFormula>
    </tableColumn>
    <tableColumn id="25" name="24" totalsRowFunction="custom" dataDxfId="621" totalsRowDxfId="620">
      <totalsRowFormula>COUNTIF(DecemberAttendance[24],"U")+COUNTIF(DecemberAttendance[24],"E")</totalsRowFormula>
    </tableColumn>
    <tableColumn id="26" name="25" totalsRowFunction="custom" dataDxfId="619" totalsRowDxfId="618">
      <totalsRowFormula>COUNTIF(DecemberAttendance[25],"U")+COUNTIF(DecemberAttendance[25],"E")</totalsRowFormula>
    </tableColumn>
    <tableColumn id="27" name="26" totalsRowFunction="custom" dataDxfId="617" totalsRowDxfId="616">
      <totalsRowFormula>COUNTIF(DecemberAttendance[26],"U")+COUNTIF(DecemberAttendance[26],"E")</totalsRowFormula>
    </tableColumn>
    <tableColumn id="28" name="27" totalsRowFunction="custom" dataDxfId="615" totalsRowDxfId="614">
      <totalsRowFormula>COUNTIF(DecemberAttendance[27],"U")+COUNTIF(DecemberAttendance[27],"E")</totalsRowFormula>
    </tableColumn>
    <tableColumn id="29" name="28" totalsRowFunction="custom" dataDxfId="613" totalsRowDxfId="612">
      <totalsRowFormula>COUNTIF(DecemberAttendance[28],"U")+COUNTIF(DecemberAttendance[28],"E")</totalsRowFormula>
    </tableColumn>
    <tableColumn id="30" name="29" totalsRowFunction="custom" dataDxfId="611" totalsRowDxfId="610">
      <totalsRowFormula>COUNTIF(DecemberAttendance[29],"U")+COUNTIF(DecemberAttendance[29],"E")</totalsRowFormula>
    </tableColumn>
    <tableColumn id="31" name="30" totalsRowFunction="custom" dataDxfId="609" totalsRowDxfId="608">
      <totalsRowFormula>COUNTIF(DecemberAttendance[30],"U")+COUNTIF(DecemberAttendance[30],"E")</totalsRowFormula>
    </tableColumn>
    <tableColumn id="32" name="31" totalsRowFunction="custom" dataDxfId="607" totalsRowDxfId="606">
      <totalsRowFormula>COUNTIF(DecemberAttendance[31],"U")+COUNTIF(DecemberAttendance[31],"E")</totalsRowFormula>
    </tableColumn>
    <tableColumn id="35" name="T" totalsRowFunction="sum" dataDxfId="605" totalsRowDxfId="604">
      <calculatedColumnFormula>COUNTIF(DecemberAttendance[[#This Row],[1]:[31]],Code1)</calculatedColumnFormula>
    </tableColumn>
    <tableColumn id="34" name="E" totalsRowFunction="sum" dataDxfId="603" totalsRowDxfId="602">
      <calculatedColumnFormula>COUNTIF(DecemberAttendance[[#This Row],[1]:[31]],Code2)</calculatedColumnFormula>
    </tableColumn>
    <tableColumn id="37" name="U" totalsRowFunction="sum" dataDxfId="601" totalsRowDxfId="600">
      <calculatedColumnFormula>COUNTIF(DecemberAttendance[[#This Row],[1]:[31]],Code3)</calculatedColumnFormula>
    </tableColumn>
    <tableColumn id="36" name="P" totalsRowFunction="sum" dataDxfId="599" totalsRowDxfId="598">
      <calculatedColumnFormula>COUNTIF(DecemberAttendance[[#This Row],[1]:[31]],Code4)</calculatedColumnFormula>
    </tableColumn>
    <tableColumn id="33" name="缺席天数" totalsRowFunction="sum" dataDxfId="597" totalsRowDxfId="596">
      <calculatedColumnFormula>SUM(DecemberAttendance[[#This Row],[E]:[U]])</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August Attendance Record" altTextSummary="Tracks student attendance, such as T=Tardy, E=Excused, U=Unexcused, P=Present, N=No School, for the month of December."/>
    </ext>
  </extLst>
</table>
</file>

<file path=xl/tables/table7.xml><?xml version="1.0" encoding="utf-8"?>
<table xmlns="http://schemas.openxmlformats.org/spreadsheetml/2006/main" id="7" name="JanuaryAttendance" displayName="JanuaryAttendance" ref="B6:AM12" totalsRowCount="1" headerRowDxfId="590" dataDxfId="589" totalsRowDxfId="588">
  <tableColumns count="38">
    <tableColumn id="38" name="学生 ID" dataDxfId="587" totalsRowDxfId="586"/>
    <tableColumn id="1" name="学生姓名" totalsRowLabel="总缺席天数" dataDxfId="585" totalsRowDxfId="584">
      <calculatedColumnFormula>IFERROR(VLOOKUP(JanuaryAttendance[[#This Row],[学生 ID]],StudentList[],18,FALSE),"")</calculatedColumnFormula>
    </tableColumn>
    <tableColumn id="2" name="1" totalsRowFunction="custom" dataDxfId="583" totalsRowDxfId="582">
      <totalsRowFormula>COUNTIF(JanuaryAttendance[1],"U")+COUNTIF(JanuaryAttendance[1],"E")</totalsRowFormula>
    </tableColumn>
    <tableColumn id="3" name="2" totalsRowFunction="custom" dataDxfId="581" totalsRowDxfId="580">
      <totalsRowFormula>COUNTIF(JanuaryAttendance[2],"U")+COUNTIF(JanuaryAttendance[2],"E")</totalsRowFormula>
    </tableColumn>
    <tableColumn id="4" name="3" totalsRowFunction="custom" dataDxfId="579" totalsRowDxfId="578">
      <totalsRowFormula>COUNTIF(JanuaryAttendance[3],"U")+COUNTIF(JanuaryAttendance[3],"E")</totalsRowFormula>
    </tableColumn>
    <tableColumn id="5" name="4" totalsRowFunction="custom" dataDxfId="577" totalsRowDxfId="576">
      <totalsRowFormula>COUNTIF(JanuaryAttendance[4],"U")+COUNTIF(JanuaryAttendance[4],"E")</totalsRowFormula>
    </tableColumn>
    <tableColumn id="6" name="5" totalsRowFunction="custom" dataDxfId="575" totalsRowDxfId="574">
      <totalsRowFormula>COUNTIF(JanuaryAttendance[5],"U")+COUNTIF(JanuaryAttendance[5],"E")</totalsRowFormula>
    </tableColumn>
    <tableColumn id="7" name="6" totalsRowFunction="custom" dataDxfId="573" totalsRowDxfId="572">
      <totalsRowFormula>COUNTIF(JanuaryAttendance[6],"U")+COUNTIF(JanuaryAttendance[6],"E")</totalsRowFormula>
    </tableColumn>
    <tableColumn id="8" name="7" totalsRowFunction="custom" dataDxfId="571" totalsRowDxfId="570">
      <totalsRowFormula>COUNTIF(JanuaryAttendance[7],"U")+COUNTIF(JanuaryAttendance[7],"E")</totalsRowFormula>
    </tableColumn>
    <tableColumn id="9" name="8" totalsRowFunction="custom" dataDxfId="569" totalsRowDxfId="568">
      <totalsRowFormula>COUNTIF(JanuaryAttendance[8],"U")+COUNTIF(JanuaryAttendance[8],"E")</totalsRowFormula>
    </tableColumn>
    <tableColumn id="10" name="9" totalsRowFunction="custom" dataDxfId="567" totalsRowDxfId="566">
      <totalsRowFormula>COUNTIF(JanuaryAttendance[9],"U")+COUNTIF(JanuaryAttendance[9],"E")</totalsRowFormula>
    </tableColumn>
    <tableColumn id="11" name="10" totalsRowFunction="custom" dataDxfId="565" totalsRowDxfId="564">
      <totalsRowFormula>COUNTIF(JanuaryAttendance[10],"U")+COUNTIF(JanuaryAttendance[10],"E")</totalsRowFormula>
    </tableColumn>
    <tableColumn id="12" name="11" totalsRowFunction="custom" dataDxfId="563" totalsRowDxfId="562">
      <totalsRowFormula>COUNTIF(JanuaryAttendance[11],"U")+COUNTIF(JanuaryAttendance[11],"E")</totalsRowFormula>
    </tableColumn>
    <tableColumn id="13" name="12" totalsRowFunction="custom" dataDxfId="561" totalsRowDxfId="560">
      <totalsRowFormula>COUNTIF(JanuaryAttendance[12],"U")+COUNTIF(JanuaryAttendance[12],"E")</totalsRowFormula>
    </tableColumn>
    <tableColumn id="14" name="13" totalsRowFunction="custom" dataDxfId="559" totalsRowDxfId="558">
      <totalsRowFormula>COUNTIF(JanuaryAttendance[13],"U")+COUNTIF(JanuaryAttendance[13],"E")</totalsRowFormula>
    </tableColumn>
    <tableColumn id="15" name="14" totalsRowFunction="custom" dataDxfId="557" totalsRowDxfId="556">
      <totalsRowFormula>COUNTIF(JanuaryAttendance[14],"U")+COUNTIF(JanuaryAttendance[14],"E")</totalsRowFormula>
    </tableColumn>
    <tableColumn id="16" name="15" totalsRowFunction="custom" dataDxfId="555" totalsRowDxfId="554">
      <totalsRowFormula>COUNTIF(JanuaryAttendance[15],"U")+COUNTIF(JanuaryAttendance[15],"E")</totalsRowFormula>
    </tableColumn>
    <tableColumn id="17" name="16" totalsRowFunction="custom" dataDxfId="553" totalsRowDxfId="552">
      <totalsRowFormula>COUNTIF(JanuaryAttendance[16],"U")+COUNTIF(JanuaryAttendance[16],"E")</totalsRowFormula>
    </tableColumn>
    <tableColumn id="18" name="17" totalsRowFunction="custom" dataDxfId="551" totalsRowDxfId="550">
      <totalsRowFormula>COUNTIF(JanuaryAttendance[17],"U")+COUNTIF(JanuaryAttendance[17],"E")</totalsRowFormula>
    </tableColumn>
    <tableColumn id="19" name="18" totalsRowFunction="custom" dataDxfId="549" totalsRowDxfId="548">
      <totalsRowFormula>COUNTIF(JanuaryAttendance[18],"U")+COUNTIF(JanuaryAttendance[18],"E")</totalsRowFormula>
    </tableColumn>
    <tableColumn id="20" name="19" totalsRowFunction="custom" dataDxfId="547" totalsRowDxfId="546">
      <totalsRowFormula>COUNTIF(JanuaryAttendance[19],"U")+COUNTIF(JanuaryAttendance[19],"E")</totalsRowFormula>
    </tableColumn>
    <tableColumn id="21" name="20" totalsRowFunction="custom" dataDxfId="545" totalsRowDxfId="544">
      <totalsRowFormula>COUNTIF(JanuaryAttendance[20],"U")+COUNTIF(JanuaryAttendance[20],"E")</totalsRowFormula>
    </tableColumn>
    <tableColumn id="22" name="21" totalsRowFunction="custom" dataDxfId="543" totalsRowDxfId="542">
      <totalsRowFormula>COUNTIF(JanuaryAttendance[21],"U")+COUNTIF(JanuaryAttendance[21],"E")</totalsRowFormula>
    </tableColumn>
    <tableColumn id="23" name="22" totalsRowFunction="custom" dataDxfId="541" totalsRowDxfId="540">
      <totalsRowFormula>COUNTIF(JanuaryAttendance[22],"U")+COUNTIF(JanuaryAttendance[22],"E")</totalsRowFormula>
    </tableColumn>
    <tableColumn id="24" name="23" totalsRowFunction="custom" dataDxfId="539" totalsRowDxfId="538">
      <totalsRowFormula>COUNTIF(JanuaryAttendance[23],"U")+COUNTIF(JanuaryAttendance[23],"E")</totalsRowFormula>
    </tableColumn>
    <tableColumn id="25" name="24" totalsRowFunction="custom" dataDxfId="537" totalsRowDxfId="536">
      <totalsRowFormula>COUNTIF(JanuaryAttendance[24],"U")+COUNTIF(JanuaryAttendance[24],"E")</totalsRowFormula>
    </tableColumn>
    <tableColumn id="26" name="25" totalsRowFunction="custom" dataDxfId="535" totalsRowDxfId="534">
      <totalsRowFormula>COUNTIF(JanuaryAttendance[25],"U")+COUNTIF(JanuaryAttendance[25],"E")</totalsRowFormula>
    </tableColumn>
    <tableColumn id="27" name="26" totalsRowFunction="custom" dataDxfId="533" totalsRowDxfId="532">
      <totalsRowFormula>COUNTIF(JanuaryAttendance[26],"U")+COUNTIF(JanuaryAttendance[26],"E")</totalsRowFormula>
    </tableColumn>
    <tableColumn id="28" name="27" totalsRowFunction="custom" dataDxfId="531" totalsRowDxfId="530">
      <totalsRowFormula>COUNTIF(JanuaryAttendance[27],"U")+COUNTIF(JanuaryAttendance[27],"E")</totalsRowFormula>
    </tableColumn>
    <tableColumn id="29" name="28" totalsRowFunction="custom" dataDxfId="529" totalsRowDxfId="528">
      <totalsRowFormula>COUNTIF(JanuaryAttendance[28],"U")+COUNTIF(JanuaryAttendance[28],"E")</totalsRowFormula>
    </tableColumn>
    <tableColumn id="30" name="29" totalsRowFunction="custom" dataDxfId="527" totalsRowDxfId="526">
      <totalsRowFormula>COUNTIF(JanuaryAttendance[29],"U")+COUNTIF(JanuaryAttendance[29],"E")</totalsRowFormula>
    </tableColumn>
    <tableColumn id="31" name="30" dataDxfId="525" totalsRowDxfId="524"/>
    <tableColumn id="32" name="31" dataDxfId="523" totalsRowDxfId="522"/>
    <tableColumn id="35" name="T" totalsRowFunction="sum" dataDxfId="521" totalsRowDxfId="520">
      <calculatedColumnFormula>COUNTIF(JanuaryAttendance[[#This Row],[1]:[31]],Code1)</calculatedColumnFormula>
    </tableColumn>
    <tableColumn id="34" name="E" totalsRowFunction="sum" dataDxfId="519" totalsRowDxfId="518">
      <calculatedColumnFormula>COUNTIF(JanuaryAttendance[[#This Row],[1]:[31]],Code2)</calculatedColumnFormula>
    </tableColumn>
    <tableColumn id="37" name="U" totalsRowFunction="sum" dataDxfId="517" totalsRowDxfId="516">
      <calculatedColumnFormula>COUNTIF(JanuaryAttendance[[#This Row],[1]:[31]],Code3)</calculatedColumnFormula>
    </tableColumn>
    <tableColumn id="36" name="P" totalsRowFunction="sum" dataDxfId="515" totalsRowDxfId="514">
      <calculatedColumnFormula>COUNTIF(JanuaryAttendance[[#This Row],[1]:[31]],Code4)</calculatedColumnFormula>
    </tableColumn>
    <tableColumn id="33" name="缺席天数" totalsRowFunction="sum" dataDxfId="513" totalsRowDxfId="512">
      <calculatedColumnFormula>SUM(JanuaryAttendance[[#This Row],[E]:[U]])</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February Attendance Record" altTextSummary="Tracks student attendance, such as T=Tardy, E=Excused, U=Unexcused, P=Present, N=No School, for the month of January."/>
    </ext>
  </extLst>
</table>
</file>

<file path=xl/tables/table8.xml><?xml version="1.0" encoding="utf-8"?>
<table xmlns="http://schemas.openxmlformats.org/spreadsheetml/2006/main" id="5" name="FebruaryAttendance" displayName="FebruaryAttendance" ref="B6:AM12" totalsRowCount="1" headerRowDxfId="504" dataDxfId="503" totalsRowDxfId="502">
  <tableColumns count="38">
    <tableColumn id="38" name="学生 ID" dataDxfId="501" totalsRowDxfId="500"/>
    <tableColumn id="1" name="学生姓名" totalsRowLabel="总缺席天数" dataDxfId="499" totalsRowDxfId="498">
      <calculatedColumnFormula>IFERROR(VLOOKUP(FebruaryAttendance[[#This Row],[学生 ID]],StudentList[],18,FALSE),"")</calculatedColumnFormula>
    </tableColumn>
    <tableColumn id="2" name="1" totalsRowFunction="custom" dataDxfId="497" totalsRowDxfId="496">
      <totalsRowFormula>COUNTIF(FebruaryAttendance[1],"U")+COUNTIF(FebruaryAttendance[1],"E")</totalsRowFormula>
    </tableColumn>
    <tableColumn id="3" name="2" totalsRowFunction="custom" dataDxfId="495" totalsRowDxfId="494">
      <totalsRowFormula>COUNTIF(FebruaryAttendance[2],"U")+COUNTIF(FebruaryAttendance[2],"E")</totalsRowFormula>
    </tableColumn>
    <tableColumn id="4" name="3" totalsRowFunction="custom" dataDxfId="493" totalsRowDxfId="492">
      <totalsRowFormula>COUNTIF(FebruaryAttendance[3],"U")+COUNTIF(FebruaryAttendance[3],"E")</totalsRowFormula>
    </tableColumn>
    <tableColumn id="5" name="4" totalsRowFunction="custom" dataDxfId="491" totalsRowDxfId="490">
      <totalsRowFormula>COUNTIF(FebruaryAttendance[4],"U")+COUNTIF(FebruaryAttendance[4],"E")</totalsRowFormula>
    </tableColumn>
    <tableColumn id="6" name="5" totalsRowFunction="custom" dataDxfId="489" totalsRowDxfId="488">
      <totalsRowFormula>COUNTIF(FebruaryAttendance[5],"U")+COUNTIF(FebruaryAttendance[5],"E")</totalsRowFormula>
    </tableColumn>
    <tableColumn id="7" name="6" totalsRowFunction="custom" dataDxfId="487" totalsRowDxfId="486">
      <totalsRowFormula>COUNTIF(FebruaryAttendance[6],"U")+COUNTIF(FebruaryAttendance[6],"E")</totalsRowFormula>
    </tableColumn>
    <tableColumn id="8" name="7" totalsRowFunction="custom" dataDxfId="485" totalsRowDxfId="484">
      <totalsRowFormula>COUNTIF(FebruaryAttendance[7],"U")+COUNTIF(FebruaryAttendance[7],"E")</totalsRowFormula>
    </tableColumn>
    <tableColumn id="9" name="8" totalsRowFunction="custom" dataDxfId="483" totalsRowDxfId="482">
      <totalsRowFormula>COUNTIF(FebruaryAttendance[8],"U")+COUNTIF(FebruaryAttendance[8],"E")</totalsRowFormula>
    </tableColumn>
    <tableColumn id="10" name="9" totalsRowFunction="custom" dataDxfId="481" totalsRowDxfId="480">
      <totalsRowFormula>COUNTIF(FebruaryAttendance[9],"U")+COUNTIF(FebruaryAttendance[9],"E")</totalsRowFormula>
    </tableColumn>
    <tableColumn id="11" name="10" totalsRowFunction="custom" dataDxfId="479" totalsRowDxfId="478">
      <totalsRowFormula>COUNTIF(FebruaryAttendance[10],"U")+COUNTIF(FebruaryAttendance[10],"E")</totalsRowFormula>
    </tableColumn>
    <tableColumn id="12" name="11" totalsRowFunction="custom" dataDxfId="477" totalsRowDxfId="476">
      <totalsRowFormula>COUNTIF(FebruaryAttendance[11],"U")+COUNTIF(FebruaryAttendance[11],"E")</totalsRowFormula>
    </tableColumn>
    <tableColumn id="13" name="12" totalsRowFunction="custom" dataDxfId="475" totalsRowDxfId="474">
      <totalsRowFormula>COUNTIF(FebruaryAttendance[12],"U")+COUNTIF(FebruaryAttendance[12],"E")</totalsRowFormula>
    </tableColumn>
    <tableColumn id="14" name="13" totalsRowFunction="custom" dataDxfId="473" totalsRowDxfId="472">
      <totalsRowFormula>COUNTIF(FebruaryAttendance[13],"U")+COUNTIF(FebruaryAttendance[13],"E")</totalsRowFormula>
    </tableColumn>
    <tableColumn id="15" name="14" totalsRowFunction="custom" dataDxfId="471" totalsRowDxfId="470">
      <totalsRowFormula>COUNTIF(FebruaryAttendance[14],"U")+COUNTIF(FebruaryAttendance[14],"E")</totalsRowFormula>
    </tableColumn>
    <tableColumn id="16" name="15" totalsRowFunction="custom" dataDxfId="469" totalsRowDxfId="468">
      <totalsRowFormula>COUNTIF(FebruaryAttendance[15],"U")+COUNTIF(FebruaryAttendance[15],"E")</totalsRowFormula>
    </tableColumn>
    <tableColumn id="17" name="16" totalsRowFunction="custom" dataDxfId="467" totalsRowDxfId="466">
      <totalsRowFormula>COUNTIF(FebruaryAttendance[16],"U")+COUNTIF(FebruaryAttendance[16],"E")</totalsRowFormula>
    </tableColumn>
    <tableColumn id="18" name="17" totalsRowFunction="custom" dataDxfId="465" totalsRowDxfId="464">
      <totalsRowFormula>COUNTIF(FebruaryAttendance[17],"U")+COUNTIF(FebruaryAttendance[17],"E")</totalsRowFormula>
    </tableColumn>
    <tableColumn id="19" name="18" totalsRowFunction="custom" dataDxfId="463" totalsRowDxfId="462">
      <totalsRowFormula>COUNTIF(FebruaryAttendance[18],"U")+COUNTIF(FebruaryAttendance[18],"E")</totalsRowFormula>
    </tableColumn>
    <tableColumn id="20" name="19" totalsRowFunction="custom" dataDxfId="461" totalsRowDxfId="460">
      <totalsRowFormula>COUNTIF(FebruaryAttendance[19],"U")+COUNTIF(FebruaryAttendance[19],"E")</totalsRowFormula>
    </tableColumn>
    <tableColumn id="21" name="20" totalsRowFunction="custom" dataDxfId="459" totalsRowDxfId="458">
      <totalsRowFormula>COUNTIF(FebruaryAttendance[20],"U")+COUNTIF(FebruaryAttendance[20],"E")</totalsRowFormula>
    </tableColumn>
    <tableColumn id="22" name="21" totalsRowFunction="custom" dataDxfId="457" totalsRowDxfId="456">
      <totalsRowFormula>COUNTIF(FebruaryAttendance[21],"U")+COUNTIF(FebruaryAttendance[21],"E")</totalsRowFormula>
    </tableColumn>
    <tableColumn id="23" name="22" totalsRowFunction="custom" dataDxfId="455" totalsRowDxfId="454">
      <totalsRowFormula>COUNTIF(FebruaryAttendance[22],"U")+COUNTIF(FebruaryAttendance[22],"E")</totalsRowFormula>
    </tableColumn>
    <tableColumn id="24" name="23" totalsRowFunction="custom" dataDxfId="453" totalsRowDxfId="452">
      <totalsRowFormula>COUNTIF(FebruaryAttendance[23],"U")+COUNTIF(FebruaryAttendance[23],"E")</totalsRowFormula>
    </tableColumn>
    <tableColumn id="25" name="24" totalsRowFunction="custom" dataDxfId="451" totalsRowDxfId="450">
      <totalsRowFormula>COUNTIF(FebruaryAttendance[24],"U")+COUNTIF(FebruaryAttendance[24],"E")</totalsRowFormula>
    </tableColumn>
    <tableColumn id="26" name="25" totalsRowFunction="custom" dataDxfId="449" totalsRowDxfId="448">
      <totalsRowFormula>COUNTIF(FebruaryAttendance[25],"U")+COUNTIF(FebruaryAttendance[25],"E")</totalsRowFormula>
    </tableColumn>
    <tableColumn id="27" name="26" totalsRowFunction="custom" dataDxfId="447" totalsRowDxfId="446">
      <totalsRowFormula>COUNTIF(FebruaryAttendance[26],"U")+COUNTIF(FebruaryAttendance[26],"E")</totalsRowFormula>
    </tableColumn>
    <tableColumn id="28" name="27" totalsRowFunction="custom" dataDxfId="445" totalsRowDxfId="444">
      <totalsRowFormula>COUNTIF(FebruaryAttendance[27],"U")+COUNTIF(FebruaryAttendance[27],"E")</totalsRowFormula>
    </tableColumn>
    <tableColumn id="29" name="28" totalsRowFunction="custom" dataDxfId="443" totalsRowDxfId="442">
      <totalsRowFormula>COUNTIF(FebruaryAttendance[28],"U")+COUNTIF(FebruaryAttendance[28],"E")</totalsRowFormula>
    </tableColumn>
    <tableColumn id="30" name="29" totalsRowFunction="custom" dataDxfId="441" totalsRowDxfId="440">
      <totalsRowFormula>COUNTIF(FebruaryAttendance[29],"U")+COUNTIF(FebruaryAttendance[29],"E")</totalsRowFormula>
    </tableColumn>
    <tableColumn id="31" name="30" dataDxfId="439" totalsRowDxfId="438"/>
    <tableColumn id="32" name="31" dataDxfId="437" totalsRowDxfId="436"/>
    <tableColumn id="35" name="T" totalsRowFunction="sum" dataDxfId="435" totalsRowDxfId="434">
      <calculatedColumnFormula>COUNTIF(FebruaryAttendance[[#This Row],[1]:[31]],Code1)</calculatedColumnFormula>
    </tableColumn>
    <tableColumn id="34" name="E" totalsRowFunction="sum" dataDxfId="433" totalsRowDxfId="432">
      <calculatedColumnFormula>COUNTIF(FebruaryAttendance[[#This Row],[1]:[31]],Code2)</calculatedColumnFormula>
    </tableColumn>
    <tableColumn id="37" name="U" totalsRowFunction="sum" dataDxfId="431" totalsRowDxfId="430">
      <calculatedColumnFormula>COUNTIF(FebruaryAttendance[[#This Row],[1]:[31]],Code3)</calculatedColumnFormula>
    </tableColumn>
    <tableColumn id="36" name="P" totalsRowFunction="sum" dataDxfId="429" totalsRowDxfId="428">
      <calculatedColumnFormula>COUNTIF(FebruaryAttendance[[#This Row],[1]:[31]],Code4)</calculatedColumnFormula>
    </tableColumn>
    <tableColumn id="33" name="缺席天数" totalsRowFunction="sum" dataDxfId="427" totalsRowDxfId="426">
      <calculatedColumnFormula>SUM(FebruaryAttendance[[#This Row],[E]:[U]])</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February Attendance Record" altTextSummary="Tracks student attendance, such as T=Tardy, E=Excused, U=Unexcused, P=Present, N=No School, for the month of February."/>
    </ext>
  </extLst>
</table>
</file>

<file path=xl/tables/table9.xml><?xml version="1.0" encoding="utf-8"?>
<table xmlns="http://schemas.openxmlformats.org/spreadsheetml/2006/main" id="8" name="MarchAttendance" displayName="MarchAttendance" ref="B6:AM12" totalsRowCount="1" headerRowDxfId="420" dataDxfId="419" totalsRowDxfId="418">
  <tableColumns count="38">
    <tableColumn id="38" name="学生 ID" dataDxfId="417" totalsRowDxfId="416"/>
    <tableColumn id="1" name="学生姓名" totalsRowLabel="总缺席天数" dataDxfId="415" totalsRowDxfId="414">
      <calculatedColumnFormula>IFERROR(VLOOKUP(MarchAttendance[[#This Row],[学生 ID]],StudentList[],18,FALSE),"")</calculatedColumnFormula>
    </tableColumn>
    <tableColumn id="2" name="1" totalsRowFunction="custom" dataDxfId="413" totalsRowDxfId="412">
      <totalsRowFormula>COUNTIF(MarchAttendance[1],"U")+COUNTIF(MarchAttendance[1],"E")</totalsRowFormula>
    </tableColumn>
    <tableColumn id="3" name="2" totalsRowFunction="custom" dataDxfId="411" totalsRowDxfId="410">
      <totalsRowFormula>COUNTIF(MarchAttendance[2],"U")+COUNTIF(MarchAttendance[2],"E")</totalsRowFormula>
    </tableColumn>
    <tableColumn id="4" name="3" totalsRowFunction="custom" dataDxfId="409" totalsRowDxfId="408">
      <totalsRowFormula>COUNTIF(MarchAttendance[3],"U")+COUNTIF(MarchAttendance[3],"E")</totalsRowFormula>
    </tableColumn>
    <tableColumn id="5" name="4" totalsRowFunction="custom" dataDxfId="407" totalsRowDxfId="406">
      <totalsRowFormula>COUNTIF(MarchAttendance[4],"U")+COUNTIF(MarchAttendance[4],"E")</totalsRowFormula>
    </tableColumn>
    <tableColumn id="6" name="5" totalsRowFunction="custom" dataDxfId="405" totalsRowDxfId="404">
      <totalsRowFormula>COUNTIF(MarchAttendance[5],"U")+COUNTIF(MarchAttendance[5],"E")</totalsRowFormula>
    </tableColumn>
    <tableColumn id="7" name="6" totalsRowFunction="custom" dataDxfId="403" totalsRowDxfId="402">
      <totalsRowFormula>COUNTIF(MarchAttendance[6],"U")+COUNTIF(MarchAttendance[6],"E")</totalsRowFormula>
    </tableColumn>
    <tableColumn id="8" name="7" totalsRowFunction="custom" dataDxfId="401" totalsRowDxfId="400">
      <totalsRowFormula>COUNTIF(MarchAttendance[7],"U")+COUNTIF(MarchAttendance[7],"E")</totalsRowFormula>
    </tableColumn>
    <tableColumn id="9" name="8" totalsRowFunction="custom" dataDxfId="399" totalsRowDxfId="398">
      <totalsRowFormula>COUNTIF(MarchAttendance[8],"U")+COUNTIF(MarchAttendance[8],"E")</totalsRowFormula>
    </tableColumn>
    <tableColumn id="10" name="9" totalsRowFunction="custom" dataDxfId="397" totalsRowDxfId="396">
      <totalsRowFormula>COUNTIF(MarchAttendance[9],"U")+COUNTIF(MarchAttendance[9],"E")</totalsRowFormula>
    </tableColumn>
    <tableColumn id="11" name="10" totalsRowFunction="custom" dataDxfId="395" totalsRowDxfId="394">
      <totalsRowFormula>COUNTIF(MarchAttendance[10],"U")+COUNTIF(MarchAttendance[10],"E")</totalsRowFormula>
    </tableColumn>
    <tableColumn id="12" name="11" totalsRowFunction="custom" dataDxfId="393" totalsRowDxfId="392">
      <totalsRowFormula>COUNTIF(MarchAttendance[11],"U")+COUNTIF(MarchAttendance[11],"E")</totalsRowFormula>
    </tableColumn>
    <tableColumn id="13" name="12" totalsRowFunction="custom" dataDxfId="391" totalsRowDxfId="390">
      <totalsRowFormula>COUNTIF(MarchAttendance[12],"U")+COUNTIF(MarchAttendance[12],"E")</totalsRowFormula>
    </tableColumn>
    <tableColumn id="14" name="13" totalsRowFunction="custom" dataDxfId="389" totalsRowDxfId="388">
      <totalsRowFormula>COUNTIF(MarchAttendance[13],"U")+COUNTIF(MarchAttendance[13],"E")</totalsRowFormula>
    </tableColumn>
    <tableColumn id="15" name="14" totalsRowFunction="custom" dataDxfId="387" totalsRowDxfId="386">
      <totalsRowFormula>COUNTIF(MarchAttendance[14],"U")+COUNTIF(MarchAttendance[14],"E")</totalsRowFormula>
    </tableColumn>
    <tableColumn id="16" name="15" totalsRowFunction="custom" dataDxfId="385" totalsRowDxfId="384">
      <totalsRowFormula>COUNTIF(MarchAttendance[15],"U")+COUNTIF(MarchAttendance[15],"E")</totalsRowFormula>
    </tableColumn>
    <tableColumn id="17" name="16" totalsRowFunction="custom" dataDxfId="383" totalsRowDxfId="382">
      <totalsRowFormula>COUNTIF(MarchAttendance[16],"U")+COUNTIF(MarchAttendance[16],"E")</totalsRowFormula>
    </tableColumn>
    <tableColumn id="18" name="17" totalsRowFunction="custom" dataDxfId="381" totalsRowDxfId="380">
      <totalsRowFormula>COUNTIF(MarchAttendance[17],"U")+COUNTIF(MarchAttendance[17],"E")</totalsRowFormula>
    </tableColumn>
    <tableColumn id="19" name="18" totalsRowFunction="custom" dataDxfId="379" totalsRowDxfId="378">
      <totalsRowFormula>COUNTIF(MarchAttendance[18],"U")+COUNTIF(MarchAttendance[18],"E")</totalsRowFormula>
    </tableColumn>
    <tableColumn id="20" name="19" totalsRowFunction="custom" dataDxfId="377" totalsRowDxfId="376">
      <totalsRowFormula>COUNTIF(MarchAttendance[19],"U")+COUNTIF(MarchAttendance[19],"E")</totalsRowFormula>
    </tableColumn>
    <tableColumn id="21" name="20" totalsRowFunction="custom" dataDxfId="375" totalsRowDxfId="374">
      <totalsRowFormula>COUNTIF(MarchAttendance[20],"U")+COUNTIF(MarchAttendance[20],"E")</totalsRowFormula>
    </tableColumn>
    <tableColumn id="22" name="21" totalsRowFunction="custom" dataDxfId="373" totalsRowDxfId="372">
      <totalsRowFormula>COUNTIF(MarchAttendance[21],"U")+COUNTIF(MarchAttendance[21],"E")</totalsRowFormula>
    </tableColumn>
    <tableColumn id="23" name="22" totalsRowFunction="custom" dataDxfId="371" totalsRowDxfId="370">
      <totalsRowFormula>COUNTIF(MarchAttendance[22],"U")+COUNTIF(MarchAttendance[22],"E")</totalsRowFormula>
    </tableColumn>
    <tableColumn id="24" name="23" totalsRowFunction="custom" dataDxfId="369" totalsRowDxfId="368">
      <totalsRowFormula>COUNTIF(MarchAttendance[23],"U")+COUNTIF(MarchAttendance[23],"E")</totalsRowFormula>
    </tableColumn>
    <tableColumn id="25" name="24" totalsRowFunction="custom" dataDxfId="367" totalsRowDxfId="366">
      <totalsRowFormula>COUNTIF(MarchAttendance[24],"U")+COUNTIF(MarchAttendance[24],"E")</totalsRowFormula>
    </tableColumn>
    <tableColumn id="26" name="25" totalsRowFunction="custom" dataDxfId="365" totalsRowDxfId="364">
      <totalsRowFormula>COUNTIF(MarchAttendance[25],"U")+COUNTIF(MarchAttendance[25],"E")</totalsRowFormula>
    </tableColumn>
    <tableColumn id="27" name="26" totalsRowFunction="custom" dataDxfId="363" totalsRowDxfId="362">
      <totalsRowFormula>COUNTIF(MarchAttendance[26],"U")+COUNTIF(MarchAttendance[26],"E")</totalsRowFormula>
    </tableColumn>
    <tableColumn id="28" name="27" totalsRowFunction="custom" dataDxfId="361" totalsRowDxfId="360">
      <totalsRowFormula>COUNTIF(MarchAttendance[27],"U")+COUNTIF(MarchAttendance[27],"E")</totalsRowFormula>
    </tableColumn>
    <tableColumn id="29" name="28" totalsRowFunction="custom" dataDxfId="359" totalsRowDxfId="358">
      <totalsRowFormula>COUNTIF(MarchAttendance[28],"U")+COUNTIF(MarchAttendance[28],"E")</totalsRowFormula>
    </tableColumn>
    <tableColumn id="30" name="29" totalsRowFunction="custom" dataDxfId="357" totalsRowDxfId="356">
      <totalsRowFormula>COUNTIF(MarchAttendance[29],"U")+COUNTIF(MarchAttendance[29],"E")</totalsRowFormula>
    </tableColumn>
    <tableColumn id="31" name="30" dataDxfId="355" totalsRowDxfId="354"/>
    <tableColumn id="32" name="31" dataDxfId="353" totalsRowDxfId="352"/>
    <tableColumn id="35" name="T" totalsRowFunction="sum" dataDxfId="351" totalsRowDxfId="350">
      <calculatedColumnFormula>COUNTIF(MarchAttendance[[#This Row],[1]:[31]],Code1)</calculatedColumnFormula>
    </tableColumn>
    <tableColumn id="34" name="E" totalsRowFunction="sum" dataDxfId="349" totalsRowDxfId="348">
      <calculatedColumnFormula>COUNTIF(MarchAttendance[[#This Row],[1]:[31]],Code2)</calculatedColumnFormula>
    </tableColumn>
    <tableColumn id="37" name="U" totalsRowFunction="sum" dataDxfId="347" totalsRowDxfId="346">
      <calculatedColumnFormula>COUNTIF(MarchAttendance[[#This Row],[1]:[31]],Code3)</calculatedColumnFormula>
    </tableColumn>
    <tableColumn id="36" name="P" totalsRowFunction="sum" dataDxfId="345" totalsRowDxfId="344">
      <calculatedColumnFormula>COUNTIF(MarchAttendance[[#This Row],[1]:[31]],Code4)</calculatedColumnFormula>
    </tableColumn>
    <tableColumn id="33" name="缺席天数" totalsRowFunction="sum" dataDxfId="343" totalsRowDxfId="342">
      <calculatedColumnFormula>SUM(MarchAttendance[[#This Row],[E]:[U]])</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February Attendance Record" altTextSummary="Tracks student attendance, such as T=Tardy, E=Excused, U=Unexcused, P=Present, N=No School, for the month of March."/>
    </ext>
  </extLst>
</table>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ffice.microsoft.com/client/helppreview14.aspx?AssetId=HA010354866&amp;lcid=2052&amp;NS=EXCEL&amp;Version=14&amp;tl=2&amp;respos=0&amp;CTT=1&amp;queryid=d38d00d08c94494fb55f055eb667c2c9" TargetMode="External"/><Relationship Id="rId1" Type="http://schemas.openxmlformats.org/officeDocument/2006/relationships/hyperlink" Target="http://office.microsoft.com/client/helppreview14.aspx?AssetId=HA010354866&amp;lcid=1033&amp;NS=EXCEL&amp;Version=14&amp;tl=2&amp;respos=0&amp;CTT=1&amp;queryid=d38d00d08c94494fb55f055eb667c2c9"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2"/>
  <sheetViews>
    <sheetView showGridLines="0" showRowColHeaders="0" workbookViewId="0"/>
  </sheetViews>
  <sheetFormatPr defaultRowHeight="16.5"/>
  <cols>
    <col min="1" max="3" width="3.28515625" style="4" customWidth="1"/>
    <col min="4" max="4" width="3.85546875" style="4" customWidth="1"/>
    <col min="5" max="12" width="9.140625" style="4"/>
    <col min="13" max="13" width="9.85546875" style="4" customWidth="1"/>
    <col min="14" max="14" width="2.42578125" style="4" customWidth="1"/>
    <col min="15" max="16384" width="9.140625" style="4"/>
  </cols>
  <sheetData>
    <row r="1" spans="1:16" ht="42" customHeight="1">
      <c r="A1" s="1" t="s">
        <v>134</v>
      </c>
      <c r="B1" s="1"/>
      <c r="C1" s="1"/>
      <c r="D1" s="1"/>
      <c r="E1" s="2"/>
      <c r="F1" s="2"/>
      <c r="G1" s="2"/>
      <c r="H1" s="2"/>
      <c r="I1" s="2"/>
      <c r="J1" s="2"/>
      <c r="K1" s="2"/>
      <c r="L1" s="2"/>
      <c r="M1" s="2"/>
      <c r="N1" s="2"/>
      <c r="O1" s="3"/>
      <c r="P1" s="3"/>
    </row>
    <row r="2" spans="1:16" ht="6.75" customHeight="1"/>
    <row r="3" spans="1:16" ht="18">
      <c r="B3" s="5" t="s">
        <v>47</v>
      </c>
      <c r="C3" s="5"/>
      <c r="D3" s="5"/>
      <c r="E3" s="5"/>
      <c r="F3" s="5"/>
    </row>
    <row r="4" spans="1:16" ht="28.5" customHeight="1">
      <c r="C4" s="113" t="s">
        <v>48</v>
      </c>
      <c r="D4" s="113"/>
      <c r="E4" s="113"/>
      <c r="F4" s="113"/>
      <c r="G4" s="113"/>
      <c r="H4" s="113"/>
      <c r="I4" s="113"/>
      <c r="J4" s="113"/>
      <c r="K4" s="113"/>
      <c r="L4" s="113"/>
      <c r="M4" s="113"/>
    </row>
    <row r="5" spans="1:16" ht="85.5" customHeight="1">
      <c r="D5" s="6" t="s">
        <v>43</v>
      </c>
      <c r="E5" s="114" t="s">
        <v>49</v>
      </c>
      <c r="F5" s="114"/>
      <c r="G5" s="114"/>
      <c r="H5" s="114"/>
      <c r="I5" s="114"/>
      <c r="J5" s="114"/>
      <c r="K5" s="114"/>
      <c r="L5" s="114"/>
      <c r="M5" s="114"/>
      <c r="N5" s="7"/>
    </row>
    <row r="6" spans="1:16" ht="61.5" customHeight="1">
      <c r="C6" s="7"/>
      <c r="D6" s="6" t="s">
        <v>44</v>
      </c>
      <c r="E6" s="114" t="s">
        <v>50</v>
      </c>
      <c r="F6" s="114"/>
      <c r="G6" s="114"/>
      <c r="H6" s="114"/>
      <c r="I6" s="114"/>
      <c r="J6" s="114"/>
      <c r="K6" s="114"/>
      <c r="L6" s="114"/>
      <c r="M6" s="114"/>
      <c r="N6" s="7"/>
    </row>
    <row r="7" spans="1:16" ht="84.75" customHeight="1">
      <c r="C7" s="7"/>
      <c r="D7" s="6" t="s">
        <v>45</v>
      </c>
      <c r="E7" s="114" t="s">
        <v>51</v>
      </c>
      <c r="F7" s="114"/>
      <c r="G7" s="114"/>
      <c r="H7" s="114"/>
      <c r="I7" s="114"/>
      <c r="J7" s="114"/>
      <c r="K7" s="114"/>
      <c r="L7" s="114"/>
      <c r="M7" s="114"/>
      <c r="N7" s="7"/>
    </row>
    <row r="8" spans="1:16" ht="57" customHeight="1">
      <c r="C8" s="7"/>
      <c r="D8" s="6"/>
      <c r="E8" s="115" t="s">
        <v>52</v>
      </c>
      <c r="F8" s="115"/>
      <c r="G8" s="115"/>
      <c r="H8" s="115"/>
      <c r="I8" s="115"/>
      <c r="J8" s="115"/>
      <c r="K8" s="115"/>
      <c r="L8" s="115"/>
      <c r="M8" s="115"/>
      <c r="N8" s="7"/>
    </row>
    <row r="9" spans="1:16" ht="16.5" customHeight="1">
      <c r="E9" s="116" t="s">
        <v>135</v>
      </c>
      <c r="F9" s="117"/>
      <c r="G9" s="117"/>
      <c r="H9" s="117"/>
    </row>
    <row r="10" spans="1:16" ht="6.75" customHeight="1"/>
    <row r="11" spans="1:16" ht="16.5" customHeight="1">
      <c r="B11" s="5" t="s">
        <v>53</v>
      </c>
      <c r="C11" s="5"/>
      <c r="D11" s="5"/>
      <c r="E11" s="5"/>
      <c r="F11" s="5"/>
      <c r="G11" s="5"/>
      <c r="H11" s="5"/>
      <c r="I11" s="5"/>
    </row>
    <row r="12" spans="1:16" s="8" customFormat="1" ht="35.25" customHeight="1">
      <c r="C12" s="113" t="s">
        <v>54</v>
      </c>
      <c r="D12" s="113"/>
      <c r="E12" s="113"/>
      <c r="F12" s="113"/>
      <c r="G12" s="113"/>
      <c r="H12" s="113"/>
      <c r="I12" s="113"/>
      <c r="J12" s="113"/>
      <c r="K12" s="113"/>
      <c r="L12" s="113"/>
      <c r="M12" s="113"/>
    </row>
    <row r="13" spans="1:16" ht="47.25" customHeight="1">
      <c r="D13" s="6" t="s">
        <v>43</v>
      </c>
      <c r="E13" s="114" t="s">
        <v>55</v>
      </c>
      <c r="F13" s="114"/>
      <c r="G13" s="114"/>
      <c r="H13" s="114"/>
      <c r="I13" s="114"/>
      <c r="J13" s="114"/>
      <c r="K13" s="114"/>
      <c r="L13" s="114"/>
      <c r="M13" s="114"/>
      <c r="N13" s="7"/>
      <c r="O13" s="7"/>
    </row>
    <row r="14" spans="1:16" ht="47.25" customHeight="1">
      <c r="D14" s="6"/>
      <c r="E14" s="114" t="s">
        <v>56</v>
      </c>
      <c r="F14" s="114"/>
      <c r="G14" s="114"/>
      <c r="H14" s="114"/>
      <c r="I14" s="114"/>
      <c r="J14" s="114"/>
      <c r="K14" s="114"/>
      <c r="L14" s="114"/>
      <c r="M14" s="114"/>
      <c r="N14" s="7"/>
      <c r="O14" s="7"/>
    </row>
    <row r="15" spans="1:16" s="9" customFormat="1" ht="57.75" customHeight="1">
      <c r="D15" s="6" t="s">
        <v>44</v>
      </c>
      <c r="E15" s="114" t="s">
        <v>57</v>
      </c>
      <c r="F15" s="114"/>
      <c r="G15" s="114"/>
      <c r="H15" s="114"/>
      <c r="I15" s="114"/>
      <c r="J15" s="114"/>
      <c r="K15" s="114"/>
      <c r="L15" s="114"/>
      <c r="M15" s="114"/>
      <c r="N15" s="10"/>
      <c r="O15" s="10"/>
    </row>
    <row r="16" spans="1:16" ht="6.75" customHeight="1"/>
    <row r="17" spans="2:13" ht="18">
      <c r="B17" s="5" t="s">
        <v>58</v>
      </c>
      <c r="C17" s="5"/>
      <c r="D17" s="5"/>
      <c r="E17" s="5"/>
      <c r="F17" s="5"/>
      <c r="G17" s="5"/>
      <c r="H17" s="5"/>
      <c r="I17" s="5"/>
      <c r="J17" s="5"/>
    </row>
    <row r="18" spans="2:13" ht="30.75" customHeight="1">
      <c r="B18" s="8"/>
      <c r="C18" s="113" t="s">
        <v>59</v>
      </c>
      <c r="D18" s="113"/>
      <c r="E18" s="113"/>
      <c r="F18" s="113"/>
      <c r="G18" s="113"/>
      <c r="H18" s="113"/>
      <c r="I18" s="113"/>
      <c r="J18" s="113"/>
      <c r="K18" s="113"/>
      <c r="L18" s="113"/>
      <c r="M18" s="113"/>
    </row>
    <row r="19" spans="2:13" ht="34.5" customHeight="1">
      <c r="B19" s="8"/>
      <c r="C19" s="11"/>
      <c r="D19" s="9" t="s">
        <v>42</v>
      </c>
      <c r="E19" s="113" t="s">
        <v>60</v>
      </c>
      <c r="F19" s="113"/>
      <c r="G19" s="113"/>
      <c r="H19" s="113"/>
      <c r="I19" s="113"/>
      <c r="J19" s="113"/>
      <c r="K19" s="113"/>
      <c r="L19" s="113"/>
      <c r="M19" s="113"/>
    </row>
    <row r="20" spans="2:13" s="9" customFormat="1" ht="34.5" customHeight="1">
      <c r="D20" s="9" t="s">
        <v>42</v>
      </c>
      <c r="E20" s="114" t="s">
        <v>61</v>
      </c>
      <c r="F20" s="114"/>
      <c r="G20" s="114"/>
      <c r="H20" s="114"/>
      <c r="I20" s="114"/>
      <c r="J20" s="114"/>
      <c r="K20" s="114"/>
      <c r="L20" s="114"/>
      <c r="M20" s="114"/>
    </row>
    <row r="21" spans="2:13" s="9" customFormat="1" ht="34.5" customHeight="1">
      <c r="D21" s="9" t="s">
        <v>42</v>
      </c>
      <c r="E21" s="114" t="s">
        <v>62</v>
      </c>
      <c r="F21" s="114"/>
      <c r="G21" s="114"/>
      <c r="H21" s="114"/>
      <c r="I21" s="114"/>
      <c r="J21" s="114"/>
      <c r="K21" s="114"/>
      <c r="L21" s="114"/>
      <c r="M21" s="114"/>
    </row>
    <row r="22" spans="2:13" s="9" customFormat="1" ht="29.25" customHeight="1">
      <c r="D22" s="9" t="s">
        <v>42</v>
      </c>
      <c r="E22" s="114" t="s">
        <v>63</v>
      </c>
      <c r="F22" s="114"/>
      <c r="G22" s="114"/>
      <c r="H22" s="114"/>
      <c r="I22" s="114"/>
      <c r="J22" s="114"/>
      <c r="K22" s="114"/>
      <c r="L22" s="114"/>
      <c r="M22" s="114"/>
    </row>
    <row r="23" spans="2:13" ht="6.75" customHeight="1"/>
    <row r="24" spans="2:13" s="9" customFormat="1" ht="16.5" customHeight="1">
      <c r="B24" s="12" t="s">
        <v>64</v>
      </c>
      <c r="C24" s="12"/>
      <c r="D24" s="12"/>
      <c r="E24" s="12"/>
      <c r="F24" s="12"/>
      <c r="G24" s="12"/>
      <c r="H24" s="12"/>
      <c r="I24" s="12"/>
      <c r="J24" s="12"/>
      <c r="K24" s="12"/>
    </row>
    <row r="25" spans="2:13" s="9" customFormat="1" ht="96" customHeight="1">
      <c r="C25" s="113" t="s">
        <v>65</v>
      </c>
      <c r="D25" s="113"/>
      <c r="E25" s="113"/>
      <c r="F25" s="113"/>
      <c r="G25" s="113"/>
      <c r="H25" s="113"/>
      <c r="I25" s="113"/>
      <c r="J25" s="113"/>
      <c r="K25" s="113"/>
      <c r="L25" s="113"/>
      <c r="M25" s="113"/>
    </row>
    <row r="26" spans="2:13" s="9" customFormat="1" ht="16.5" customHeight="1"/>
    <row r="27" spans="2:13" s="9" customFormat="1" ht="16.5" customHeight="1"/>
    <row r="28" spans="2:13" s="9" customFormat="1" ht="16.5" customHeight="1"/>
    <row r="29" spans="2:13" s="9" customFormat="1" ht="16.5" customHeight="1"/>
    <row r="30" spans="2:13" s="9" customFormat="1" ht="16.5" customHeight="1"/>
    <row r="31" spans="2:13" s="9" customFormat="1" ht="16.5" customHeight="1"/>
    <row r="32" spans="2:13" ht="16.5" customHeight="1"/>
  </sheetData>
  <mergeCells count="16">
    <mergeCell ref="E22:M22"/>
    <mergeCell ref="C25:M25"/>
    <mergeCell ref="E13:M13"/>
    <mergeCell ref="E15:M15"/>
    <mergeCell ref="C18:M18"/>
    <mergeCell ref="E19:M19"/>
    <mergeCell ref="E20:M20"/>
    <mergeCell ref="E21:M21"/>
    <mergeCell ref="E14:M14"/>
    <mergeCell ref="C12:M12"/>
    <mergeCell ref="C4:M4"/>
    <mergeCell ref="E5:M5"/>
    <mergeCell ref="E6:M6"/>
    <mergeCell ref="E7:M7"/>
    <mergeCell ref="E8:M8"/>
    <mergeCell ref="E9:H9"/>
  </mergeCells>
  <phoneticPr fontId="9" type="noConversion"/>
  <hyperlinks>
    <hyperlink ref="E9:F9" r:id="rId1" location="_Toc261352312" display="Customize a document theme."/>
    <hyperlink ref="E9:H9" r:id="rId2" location="_Toc261352312" display="自定义文档主题。"/>
  </hyperlinks>
  <printOptions horizontalCentered="1"/>
  <pageMargins left="0.25" right="0.25" top="0.75" bottom="0.75" header="0.3" footer="0.3"/>
  <pageSetup scale="77" orientation="portrait" r:id="rId3"/>
  <ignoredErrors>
    <ignoredError sqref="D15 D5:D7 D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39"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39" s="4" customFormat="1" ht="16.5"/>
    <row r="3" spans="1:39"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39" s="4" customFormat="1" ht="16.5" customHeight="1"/>
    <row r="5" spans="1:39" s="34" customFormat="1" ht="18" customHeight="1">
      <c r="B5" s="112">
        <f>DATE(CalendarYear+1,3,1)</f>
        <v>40969</v>
      </c>
      <c r="C5" s="35"/>
      <c r="D5" s="36" t="str">
        <f>TEXT(WEEKDAY(DATE(CalendarYear+1,3,1),1),"[$-804]aaa")</f>
        <v>周四</v>
      </c>
      <c r="E5" s="36" t="str">
        <f>TEXT(WEEKDAY(DATE(CalendarYear+1,3,2),1),"[$-804]aaa")</f>
        <v>周五</v>
      </c>
      <c r="F5" s="36" t="str">
        <f>TEXT(WEEKDAY(DATE(CalendarYear+1,3,3),1),"[$-804]aaa")</f>
        <v>周六</v>
      </c>
      <c r="G5" s="36" t="str">
        <f>TEXT(WEEKDAY(DATE(CalendarYear+1,3,4),1),"[$-804]aaa")</f>
        <v>周日</v>
      </c>
      <c r="H5" s="36" t="str">
        <f>TEXT(WEEKDAY(DATE(CalendarYear+1,3,5),1),"[$-804]aaa")</f>
        <v>周一</v>
      </c>
      <c r="I5" s="36" t="str">
        <f>TEXT(WEEKDAY(DATE(CalendarYear+1,3,6),1),"[$-804]aaa")</f>
        <v>周二</v>
      </c>
      <c r="J5" s="36" t="str">
        <f>TEXT(WEEKDAY(DATE(CalendarYear+1,3,7),1),"[$-804]aaa")</f>
        <v>周三</v>
      </c>
      <c r="K5" s="36" t="str">
        <f>TEXT(WEEKDAY(DATE(CalendarYear+1,3,8),1),"[$-804]aaa")</f>
        <v>周四</v>
      </c>
      <c r="L5" s="36" t="str">
        <f>TEXT(WEEKDAY(DATE(CalendarYear+1,3,9),1),"[$-804]aaa")</f>
        <v>周五</v>
      </c>
      <c r="M5" s="36" t="str">
        <f>TEXT(WEEKDAY(DATE(CalendarYear+1,3,10),1),"[$-804]aaa")</f>
        <v>周六</v>
      </c>
      <c r="N5" s="36" t="str">
        <f>TEXT(WEEKDAY(DATE(CalendarYear+1,3,11),1),"[$-804]aaa")</f>
        <v>周日</v>
      </c>
      <c r="O5" s="36" t="str">
        <f>TEXT(WEEKDAY(DATE(CalendarYear+1,3,12),1),"[$-804]aaa")</f>
        <v>周一</v>
      </c>
      <c r="P5" s="36" t="str">
        <f>TEXT(WEEKDAY(DATE(CalendarYear+1,3,13),1),"[$-804]aaa")</f>
        <v>周二</v>
      </c>
      <c r="Q5" s="36" t="str">
        <f>TEXT(WEEKDAY(DATE(CalendarYear+1,3,14),1),"[$-804]aaa")</f>
        <v>周三</v>
      </c>
      <c r="R5" s="36" t="str">
        <f>TEXT(WEEKDAY(DATE(CalendarYear+1,3,15),1),"[$-804]aaa")</f>
        <v>周四</v>
      </c>
      <c r="S5" s="36" t="str">
        <f>TEXT(WEEKDAY(DATE(CalendarYear+1,3,16),1),"[$-804]aaa")</f>
        <v>周五</v>
      </c>
      <c r="T5" s="36" t="str">
        <f>TEXT(WEEKDAY(DATE(CalendarYear+1,3,17),1),"[$-804]aaa")</f>
        <v>周六</v>
      </c>
      <c r="U5" s="36" t="str">
        <f>TEXT(WEEKDAY(DATE(CalendarYear+1,3,18),1),"[$-804]aaa")</f>
        <v>周日</v>
      </c>
      <c r="V5" s="36" t="str">
        <f>TEXT(WEEKDAY(DATE(CalendarYear+1,3,19),1),"[$-804]aaa")</f>
        <v>周一</v>
      </c>
      <c r="W5" s="36" t="str">
        <f>TEXT(WEEKDAY(DATE(CalendarYear+1,3,20),1),"[$-804]aaa")</f>
        <v>周二</v>
      </c>
      <c r="X5" s="36" t="str">
        <f>TEXT(WEEKDAY(DATE(CalendarYear+1,3,21),1),"[$-804]aaa")</f>
        <v>周三</v>
      </c>
      <c r="Y5" s="36" t="str">
        <f>TEXT(WEEKDAY(DATE(CalendarYear+1,3,22),1),"[$-804]aaa")</f>
        <v>周四</v>
      </c>
      <c r="Z5" s="36" t="str">
        <f>TEXT(WEEKDAY(DATE(CalendarYear+1,3,23),1),"[$-804]aaa")</f>
        <v>周五</v>
      </c>
      <c r="AA5" s="36" t="str">
        <f>TEXT(WEEKDAY(DATE(CalendarYear+1,3,24),1),"[$-804]aaa")</f>
        <v>周六</v>
      </c>
      <c r="AB5" s="36" t="str">
        <f>TEXT(WEEKDAY(DATE(CalendarYear+1,3,25),1),"[$-804]aaa")</f>
        <v>周日</v>
      </c>
      <c r="AC5" s="36" t="str">
        <f>TEXT(WEEKDAY(DATE(CalendarYear+1,3,26),1),"[$-804]aaa")</f>
        <v>周一</v>
      </c>
      <c r="AD5" s="36" t="str">
        <f>TEXT(WEEKDAY(DATE(CalendarYear+1,3,27),1),"[$-804]aaa")</f>
        <v>周二</v>
      </c>
      <c r="AE5" s="36" t="str">
        <f>TEXT(WEEKDAY(DATE(CalendarYear+1,3,28),1),"[$-804]aaa")</f>
        <v>周三</v>
      </c>
      <c r="AF5" s="36" t="str">
        <f>TEXT(WEEKDAY(DATE(CalendarYear+1,3,29),1),"[$-804]aaa")</f>
        <v>周四</v>
      </c>
      <c r="AG5" s="36" t="str">
        <f>TEXT(WEEKDAY(DATE(CalendarYear+1,3,30),1),"[$-804]aaa")</f>
        <v>周五</v>
      </c>
      <c r="AH5" s="36" t="str">
        <f>TEXT(WEEKDAY(DATE(CalendarYear+1,3,31),1),"[$-804]aaa")</f>
        <v>周六</v>
      </c>
      <c r="AI5" s="121" t="s">
        <v>96</v>
      </c>
      <c r="AJ5" s="121"/>
      <c r="AK5" s="121"/>
      <c r="AL5" s="121"/>
      <c r="AM5" s="121"/>
    </row>
    <row r="6" spans="1:39"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30</v>
      </c>
      <c r="AI6" s="72" t="s">
        <v>32</v>
      </c>
      <c r="AJ6" s="73" t="s">
        <v>34</v>
      </c>
      <c r="AK6" s="74" t="s">
        <v>33</v>
      </c>
      <c r="AL6" s="75" t="s">
        <v>31</v>
      </c>
      <c r="AM6" s="4" t="s">
        <v>97</v>
      </c>
    </row>
    <row r="7" spans="1:39" ht="16.5" customHeight="1">
      <c r="B7" s="76"/>
      <c r="C7" s="77" t="str">
        <f>IFERROR(VLOOKUP(MarchAttendance[[#This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0"/>
      <c r="AH7" s="40"/>
      <c r="AI7" s="78">
        <f>COUNTIF(MarchAttendance[[#This Row],[1]:[31]],Code1)</f>
        <v>0</v>
      </c>
      <c r="AJ7" s="78">
        <f>COUNTIF(MarchAttendance[[#This Row],[1]:[31]],Code2)</f>
        <v>0</v>
      </c>
      <c r="AK7" s="78">
        <f>COUNTIF(MarchAttendance[[#This Row],[1]:[31]],Code3)</f>
        <v>0</v>
      </c>
      <c r="AL7" s="78">
        <f>COUNTIF(MarchAttendance[[#This Row],[1]:[31]],Code4)</f>
        <v>0</v>
      </c>
      <c r="AM7" s="49">
        <f>SUM(MarchAttendance[[#This Row],[E]:[U]])</f>
        <v>0</v>
      </c>
    </row>
    <row r="8" spans="1:39" ht="16.5" customHeight="1">
      <c r="B8" s="76"/>
      <c r="C8" s="79" t="str">
        <f>IFERROR(VLOOKUP(MarchAttendance[[#This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0"/>
      <c r="AH8" s="40"/>
      <c r="AI8" s="78">
        <f>COUNTIF(MarchAttendance[[#This Row],[1]:[31]],Code1)</f>
        <v>0</v>
      </c>
      <c r="AJ8" s="78">
        <f>COUNTIF(MarchAttendance[[#This Row],[1]:[31]],Code2)</f>
        <v>0</v>
      </c>
      <c r="AK8" s="78">
        <f>COUNTIF(MarchAttendance[[#This Row],[1]:[31]],Code3)</f>
        <v>0</v>
      </c>
      <c r="AL8" s="78">
        <f>COUNTIF(MarchAttendance[[#This Row],[1]:[31]],Code4)</f>
        <v>0</v>
      </c>
      <c r="AM8" s="49">
        <f>SUM(MarchAttendance[[#This Row],[E]:[U]])</f>
        <v>0</v>
      </c>
    </row>
    <row r="9" spans="1:39" ht="16.5" customHeight="1">
      <c r="B9" s="76"/>
      <c r="C9" s="79" t="str">
        <f>IFERROR(VLOOKUP(MarchAttendance[[#This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0"/>
      <c r="AH9" s="40"/>
      <c r="AI9" s="78">
        <f>COUNTIF(MarchAttendance[[#This Row],[1]:[31]],Code1)</f>
        <v>0</v>
      </c>
      <c r="AJ9" s="78">
        <f>COUNTIF(MarchAttendance[[#This Row],[1]:[31]],Code2)</f>
        <v>0</v>
      </c>
      <c r="AK9" s="78">
        <f>COUNTIF(MarchAttendance[[#This Row],[1]:[31]],Code3)</f>
        <v>0</v>
      </c>
      <c r="AL9" s="78">
        <f>COUNTIF(MarchAttendance[[#This Row],[1]:[31]],Code4)</f>
        <v>0</v>
      </c>
      <c r="AM9" s="49">
        <f>SUM(MarchAttendance[[#This Row],[E]:[U]])</f>
        <v>0</v>
      </c>
    </row>
    <row r="10" spans="1:39" ht="16.5" customHeight="1">
      <c r="B10" s="76"/>
      <c r="C10" s="79" t="str">
        <f>IFERROR(VLOOKUP(MarchAttendance[[#This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0"/>
      <c r="AH10" s="40"/>
      <c r="AI10" s="78">
        <f>COUNTIF(MarchAttendance[[#This Row],[1]:[31]],Code1)</f>
        <v>0</v>
      </c>
      <c r="AJ10" s="78">
        <f>COUNTIF(MarchAttendance[[#This Row],[1]:[31]],Code2)</f>
        <v>0</v>
      </c>
      <c r="AK10" s="78">
        <f>COUNTIF(MarchAttendance[[#This Row],[1]:[31]],Code3)</f>
        <v>0</v>
      </c>
      <c r="AL10" s="78">
        <f>COUNTIF(MarchAttendance[[#This Row],[1]:[31]],Code4)</f>
        <v>0</v>
      </c>
      <c r="AM10" s="49">
        <f>SUM(MarchAttendance[[#This Row],[E]:[U]])</f>
        <v>0</v>
      </c>
    </row>
    <row r="11" spans="1:39" ht="16.5" customHeight="1">
      <c r="B11" s="76"/>
      <c r="C11" s="79" t="str">
        <f>IFERROR(VLOOKUP(MarchAttendance[[#This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0"/>
      <c r="AH11" s="40"/>
      <c r="AI11" s="78">
        <f>COUNTIF(MarchAttendance[[#This Row],[1]:[31]],Code1)</f>
        <v>0</v>
      </c>
      <c r="AJ11" s="78">
        <f>COUNTIF(MarchAttendance[[#This Row],[1]:[31]],Code2)</f>
        <v>0</v>
      </c>
      <c r="AK11" s="78">
        <f>COUNTIF(MarchAttendance[[#This Row],[1]:[31]],Code3)</f>
        <v>0</v>
      </c>
      <c r="AL11" s="78">
        <f>COUNTIF(MarchAttendance[[#This Row],[1]:[31]],Code4)</f>
        <v>0</v>
      </c>
      <c r="AM11" s="49">
        <f>SUM(MarchAttendance[[#This Row],[E]:[U]])</f>
        <v>0</v>
      </c>
    </row>
    <row r="12" spans="1:39" ht="16.5" customHeight="1">
      <c r="B12" s="40"/>
      <c r="C12" s="45" t="s">
        <v>98</v>
      </c>
      <c r="D12" s="49">
        <f>COUNTIF(MarchAttendance[1],"U")+COUNTIF(MarchAttendance[1],"E")</f>
        <v>0</v>
      </c>
      <c r="E12" s="49">
        <f>COUNTIF(MarchAttendance[2],"U")+COUNTIF(MarchAttendance[2],"E")</f>
        <v>0</v>
      </c>
      <c r="F12" s="49">
        <f>COUNTIF(MarchAttendance[3],"U")+COUNTIF(MarchAttendance[3],"E")</f>
        <v>0</v>
      </c>
      <c r="G12" s="49">
        <f>COUNTIF(MarchAttendance[4],"U")+COUNTIF(MarchAttendance[4],"E")</f>
        <v>0</v>
      </c>
      <c r="H12" s="49">
        <f>COUNTIF(MarchAttendance[5],"U")+COUNTIF(MarchAttendance[5],"E")</f>
        <v>0</v>
      </c>
      <c r="I12" s="49">
        <f>COUNTIF(MarchAttendance[6],"U")+COUNTIF(MarchAttendance[6],"E")</f>
        <v>0</v>
      </c>
      <c r="J12" s="49">
        <f>COUNTIF(MarchAttendance[7],"U")+COUNTIF(MarchAttendance[7],"E")</f>
        <v>0</v>
      </c>
      <c r="K12" s="49">
        <f>COUNTIF(MarchAttendance[8],"U")+COUNTIF(MarchAttendance[8],"E")</f>
        <v>0</v>
      </c>
      <c r="L12" s="49">
        <f>COUNTIF(MarchAttendance[9],"U")+COUNTIF(MarchAttendance[9],"E")</f>
        <v>0</v>
      </c>
      <c r="M12" s="49">
        <f>COUNTIF(MarchAttendance[10],"U")+COUNTIF(MarchAttendance[10],"E")</f>
        <v>0</v>
      </c>
      <c r="N12" s="49">
        <f>COUNTIF(MarchAttendance[11],"U")+COUNTIF(MarchAttendance[11],"E")</f>
        <v>0</v>
      </c>
      <c r="O12" s="49">
        <f>COUNTIF(MarchAttendance[12],"U")+COUNTIF(MarchAttendance[12],"E")</f>
        <v>0</v>
      </c>
      <c r="P12" s="49">
        <f>COUNTIF(MarchAttendance[13],"U")+COUNTIF(MarchAttendance[13],"E")</f>
        <v>0</v>
      </c>
      <c r="Q12" s="49">
        <f>COUNTIF(MarchAttendance[14],"U")+COUNTIF(MarchAttendance[14],"E")</f>
        <v>0</v>
      </c>
      <c r="R12" s="49">
        <f>COUNTIF(MarchAttendance[15],"U")+COUNTIF(MarchAttendance[15],"E")</f>
        <v>0</v>
      </c>
      <c r="S12" s="49">
        <f>COUNTIF(MarchAttendance[16],"U")+COUNTIF(MarchAttendance[16],"E")</f>
        <v>0</v>
      </c>
      <c r="T12" s="49">
        <f>COUNTIF(MarchAttendance[17],"U")+COUNTIF(MarchAttendance[17],"E")</f>
        <v>0</v>
      </c>
      <c r="U12" s="49">
        <f>COUNTIF(MarchAttendance[18],"U")+COUNTIF(MarchAttendance[18],"E")</f>
        <v>0</v>
      </c>
      <c r="V12" s="49">
        <f>COUNTIF(MarchAttendance[19],"U")+COUNTIF(MarchAttendance[19],"E")</f>
        <v>0</v>
      </c>
      <c r="W12" s="49">
        <f>COUNTIF(MarchAttendance[20],"U")+COUNTIF(MarchAttendance[20],"E")</f>
        <v>0</v>
      </c>
      <c r="X12" s="49">
        <f>COUNTIF(MarchAttendance[21],"U")+COUNTIF(MarchAttendance[21],"E")</f>
        <v>0</v>
      </c>
      <c r="Y12" s="49">
        <f>COUNTIF(MarchAttendance[22],"U")+COUNTIF(MarchAttendance[22],"E")</f>
        <v>0</v>
      </c>
      <c r="Z12" s="49">
        <f>COUNTIF(MarchAttendance[23],"U")+COUNTIF(MarchAttendance[23],"E")</f>
        <v>0</v>
      </c>
      <c r="AA12" s="49">
        <f>COUNTIF(MarchAttendance[24],"U")+COUNTIF(MarchAttendance[24],"E")</f>
        <v>0</v>
      </c>
      <c r="AB12" s="49">
        <f>COUNTIF(MarchAttendance[25],"U")+COUNTIF(MarchAttendance[25],"E")</f>
        <v>0</v>
      </c>
      <c r="AC12" s="49">
        <f>COUNTIF(MarchAttendance[26],"U")+COUNTIF(MarchAttendance[26],"E")</f>
        <v>0</v>
      </c>
      <c r="AD12" s="49">
        <f>COUNTIF(MarchAttendance[27],"U")+COUNTIF(MarchAttendance[27],"E")</f>
        <v>0</v>
      </c>
      <c r="AE12" s="49">
        <f>COUNTIF(MarchAttendance[28],"U")+COUNTIF(MarchAttendance[28],"E")</f>
        <v>0</v>
      </c>
      <c r="AF12" s="49">
        <f>COUNTIF(MarchAttendance[29],"U")+COUNTIF(MarchAttendance[29],"E")</f>
        <v>0</v>
      </c>
      <c r="AG12" s="49"/>
      <c r="AH12" s="49"/>
      <c r="AI12" s="49">
        <f>SUBTOTAL(109,MarchAttendance[T])</f>
        <v>0</v>
      </c>
      <c r="AJ12" s="49">
        <f>SUBTOTAL(109,MarchAttendance[E])</f>
        <v>0</v>
      </c>
      <c r="AK12" s="49">
        <f>SUBTOTAL(109,MarchAttendance[U])</f>
        <v>0</v>
      </c>
      <c r="AL12" s="49">
        <f>SUBTOTAL(109,MarchAttendance[P])</f>
        <v>0</v>
      </c>
      <c r="AM12" s="49">
        <f>SUBTOTAL(109,MarchAttendance[缺席天数])</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1">
      <dataBar>
        <cfvo type="min"/>
        <cfvo type="num" val="DATEDIF(DATE(CalendarYear,2,1),DATE(CalendarYear,3,1),&quot;d&quot;)"/>
        <color theme="4"/>
      </dataBar>
      <extLst>
        <ext xmlns:x14="http://schemas.microsoft.com/office/spreadsheetml/2009/9/main" uri="{B025F937-C7B1-47D3-B67F-A62EFF666E3E}">
          <x14:id>{FE16E06C-E989-439D-8944-FBFC073CA68C}</x14:id>
        </ext>
      </extLst>
    </cfRule>
  </conditionalFormatting>
  <conditionalFormatting sqref="D7:AF11">
    <cfRule type="expression" dxfId="425" priority="2" stopIfTrue="1">
      <formula>D7=Code2</formula>
    </cfRule>
  </conditionalFormatting>
  <conditionalFormatting sqref="D7:AF11">
    <cfRule type="expression" dxfId="424" priority="3" stopIfTrue="1">
      <formula>D7=Code5</formula>
    </cfRule>
    <cfRule type="expression" dxfId="423" priority="4" stopIfTrue="1">
      <formula>D7=Code4</formula>
    </cfRule>
    <cfRule type="expression" dxfId="422" priority="5" stopIfTrue="1">
      <formula>D7=Code3</formula>
    </cfRule>
    <cfRule type="expression" dxfId="421" priority="6"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E16E06C-E989-439D-8944-FBFC073CA68C}">
            <x14:dataBar minLength="0" maxLength="100" border="1" negativeBarBorderColorSameAsPositive="0">
              <x14:cfvo type="autoMin"/>
              <x14:cfvo type="num">
                <xm:f>DATEDIF(DATE(CalendarYear,2,1),DATE(CalendarYear,3,1),"d")</xm:f>
              </x14:cfvo>
              <x14:borderColor theme="4"/>
              <x14:negativeFillColor rgb="FFFF0000"/>
              <x14:negativeBorderColor rgb="FFFF0000"/>
              <x14:axisColor rgb="FF000000"/>
            </x14:dataBar>
          </x14:cfRule>
          <xm:sqref>AM7:AM11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39"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39" s="4" customFormat="1" ht="16.5"/>
    <row r="3" spans="1:39"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39" s="4" customFormat="1" ht="16.5" customHeight="1"/>
    <row r="5" spans="1:39" s="34" customFormat="1" ht="18" customHeight="1">
      <c r="B5" s="112">
        <f>DATE(CalendarYear+1,4,1)</f>
        <v>41000</v>
      </c>
      <c r="C5" s="35"/>
      <c r="D5" s="36" t="str">
        <f>TEXT(WEEKDAY(DATE(CalendarYear+1,4,1),1),"[$-804]aaa")</f>
        <v>周日</v>
      </c>
      <c r="E5" s="36" t="str">
        <f>TEXT(WEEKDAY(DATE(CalendarYear+1,4,2),1),"[$-804]aaa")</f>
        <v>周一</v>
      </c>
      <c r="F5" s="36" t="str">
        <f>TEXT(WEEKDAY(DATE(CalendarYear+1,4,3),1),"[$-804]aaa")</f>
        <v>周二</v>
      </c>
      <c r="G5" s="36" t="str">
        <f>TEXT(WEEKDAY(DATE(CalendarYear+1,4,4),1),"[$-804]aaa")</f>
        <v>周三</v>
      </c>
      <c r="H5" s="36" t="str">
        <f>TEXT(WEEKDAY(DATE(CalendarYear+1,4,5),1),"[$-804]aaa")</f>
        <v>周四</v>
      </c>
      <c r="I5" s="36" t="str">
        <f>TEXT(WEEKDAY(DATE(CalendarYear+1,4,6),1),"[$-804]aaa")</f>
        <v>周五</v>
      </c>
      <c r="J5" s="36" t="str">
        <f>TEXT(WEEKDAY(DATE(CalendarYear+1,4,7),1),"[$-804]aaa")</f>
        <v>周六</v>
      </c>
      <c r="K5" s="36" t="str">
        <f>TEXT(WEEKDAY(DATE(CalendarYear+1,4,8),1),"[$-804]aaa")</f>
        <v>周日</v>
      </c>
      <c r="L5" s="36" t="str">
        <f>TEXT(WEEKDAY(DATE(CalendarYear+1,4,9),1),"[$-804]aaa")</f>
        <v>周一</v>
      </c>
      <c r="M5" s="36" t="str">
        <f>TEXT(WEEKDAY(DATE(CalendarYear+1,4,10),1),"[$-804]aaa")</f>
        <v>周二</v>
      </c>
      <c r="N5" s="36" t="str">
        <f>TEXT(WEEKDAY(DATE(CalendarYear+1,4,11),1),"[$-804]aaa")</f>
        <v>周三</v>
      </c>
      <c r="O5" s="36" t="str">
        <f>TEXT(WEEKDAY(DATE(CalendarYear+1,4,12),1),"[$-804]aaa")</f>
        <v>周四</v>
      </c>
      <c r="P5" s="36" t="str">
        <f>TEXT(WEEKDAY(DATE(CalendarYear+1,4,13),1),"[$-804]aaa")</f>
        <v>周五</v>
      </c>
      <c r="Q5" s="36" t="str">
        <f>TEXT(WEEKDAY(DATE(CalendarYear+1,4,14),1),"[$-804]aaa")</f>
        <v>周六</v>
      </c>
      <c r="R5" s="36" t="str">
        <f>TEXT(WEEKDAY(DATE(CalendarYear+1,4,15),1),"[$-804]aaa")</f>
        <v>周日</v>
      </c>
      <c r="S5" s="36" t="str">
        <f>TEXT(WEEKDAY(DATE(CalendarYear+1,4,16),1),"[$-804]aaa")</f>
        <v>周一</v>
      </c>
      <c r="T5" s="36" t="str">
        <f>TEXT(WEEKDAY(DATE(CalendarYear+1,4,17),1),"[$-804]aaa")</f>
        <v>周二</v>
      </c>
      <c r="U5" s="36" t="str">
        <f>TEXT(WEEKDAY(DATE(CalendarYear+1,4,18),1),"[$-804]aaa")</f>
        <v>周三</v>
      </c>
      <c r="V5" s="36" t="str">
        <f>TEXT(WEEKDAY(DATE(CalendarYear+1,4,19),1),"[$-804]aaa")</f>
        <v>周四</v>
      </c>
      <c r="W5" s="36" t="str">
        <f>TEXT(WEEKDAY(DATE(CalendarYear+1,4,20),1),"[$-804]aaa")</f>
        <v>周五</v>
      </c>
      <c r="X5" s="36" t="str">
        <f>TEXT(WEEKDAY(DATE(CalendarYear+1,4,21),1),"[$-804]aaa")</f>
        <v>周六</v>
      </c>
      <c r="Y5" s="36" t="str">
        <f>TEXT(WEEKDAY(DATE(CalendarYear+1,4,22),1),"[$-804]aaa")</f>
        <v>周日</v>
      </c>
      <c r="Z5" s="36" t="str">
        <f>TEXT(WEEKDAY(DATE(CalendarYear+1,4,23),1),"[$-804]aaa")</f>
        <v>周一</v>
      </c>
      <c r="AA5" s="36" t="str">
        <f>TEXT(WEEKDAY(DATE(CalendarYear+1,4,24),1),"[$-804]aaa")</f>
        <v>周二</v>
      </c>
      <c r="AB5" s="36" t="str">
        <f>TEXT(WEEKDAY(DATE(CalendarYear+1,4,25),1),"[$-804]aaa")</f>
        <v>周三</v>
      </c>
      <c r="AC5" s="36" t="str">
        <f>TEXT(WEEKDAY(DATE(CalendarYear+1,4,26),1),"[$-804]aaa")</f>
        <v>周四</v>
      </c>
      <c r="AD5" s="36" t="str">
        <f>TEXT(WEEKDAY(DATE(CalendarYear+1,4,27),1),"[$-804]aaa")</f>
        <v>周五</v>
      </c>
      <c r="AE5" s="36" t="str">
        <f>TEXT(WEEKDAY(DATE(CalendarYear+1,4,28),1),"[$-804]aaa")</f>
        <v>周六</v>
      </c>
      <c r="AF5" s="36" t="str">
        <f>TEXT(WEEKDAY(DATE(CalendarYear+1,4,29),1),"[$-804]aaa")</f>
        <v>周日</v>
      </c>
      <c r="AG5" s="36" t="str">
        <f>TEXT(WEEKDAY(DATE(CalendarYear+1,4,30),1),"[$-804]aaa")</f>
        <v>周一</v>
      </c>
      <c r="AH5" s="36"/>
      <c r="AI5" s="121" t="s">
        <v>96</v>
      </c>
      <c r="AJ5" s="121"/>
      <c r="AK5" s="121"/>
      <c r="AL5" s="121"/>
      <c r="AM5" s="121"/>
    </row>
    <row r="6" spans="1:39"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46</v>
      </c>
      <c r="AI6" s="72" t="s">
        <v>32</v>
      </c>
      <c r="AJ6" s="73" t="s">
        <v>34</v>
      </c>
      <c r="AK6" s="74" t="s">
        <v>33</v>
      </c>
      <c r="AL6" s="75" t="s">
        <v>31</v>
      </c>
      <c r="AM6" s="4" t="s">
        <v>97</v>
      </c>
    </row>
    <row r="7" spans="1:39" ht="16.5" customHeight="1">
      <c r="B7" s="76"/>
      <c r="C7" s="77" t="str">
        <f>IFERROR(VLOOKUP(AprilAttendance[[#This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0"/>
      <c r="AH7" s="40"/>
      <c r="AI7" s="78">
        <f>COUNTIF(AprilAttendance[[#This Row],[1]:[ ]],Code1)</f>
        <v>0</v>
      </c>
      <c r="AJ7" s="78">
        <f>COUNTIF(AprilAttendance[[#This Row],[1]:[ ]],Code2)</f>
        <v>0</v>
      </c>
      <c r="AK7" s="78">
        <f>COUNTIF(AprilAttendance[[#This Row],[1]:[ ]],Code3)</f>
        <v>0</v>
      </c>
      <c r="AL7" s="78">
        <f>COUNTIF(AprilAttendance[[#This Row],[1]:[ ]],Code4)</f>
        <v>0</v>
      </c>
      <c r="AM7" s="49">
        <f>SUM(AprilAttendance[[#This Row],[E]:[U]])</f>
        <v>0</v>
      </c>
    </row>
    <row r="8" spans="1:39" ht="16.5" customHeight="1">
      <c r="B8" s="76"/>
      <c r="C8" s="79" t="str">
        <f>IFERROR(VLOOKUP(AprilAttendance[[#This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0"/>
      <c r="AH8" s="40"/>
      <c r="AI8" s="78">
        <f>COUNTIF(AprilAttendance[[#This Row],[1]:[ ]],Code1)</f>
        <v>0</v>
      </c>
      <c r="AJ8" s="78">
        <f>COUNTIF(AprilAttendance[[#This Row],[1]:[ ]],Code2)</f>
        <v>0</v>
      </c>
      <c r="AK8" s="78">
        <f>COUNTIF(AprilAttendance[[#This Row],[1]:[ ]],Code3)</f>
        <v>0</v>
      </c>
      <c r="AL8" s="78">
        <f>COUNTIF(AprilAttendance[[#This Row],[1]:[ ]],Code4)</f>
        <v>0</v>
      </c>
      <c r="AM8" s="49">
        <f>SUM(AprilAttendance[[#This Row],[E]:[U]])</f>
        <v>0</v>
      </c>
    </row>
    <row r="9" spans="1:39" ht="16.5" customHeight="1">
      <c r="B9" s="76"/>
      <c r="C9" s="79" t="str">
        <f>IFERROR(VLOOKUP(AprilAttendance[[#This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0"/>
      <c r="AH9" s="40"/>
      <c r="AI9" s="78">
        <f>COUNTIF(AprilAttendance[[#This Row],[1]:[ ]],Code1)</f>
        <v>0</v>
      </c>
      <c r="AJ9" s="78">
        <f>COUNTIF(AprilAttendance[[#This Row],[1]:[ ]],Code2)</f>
        <v>0</v>
      </c>
      <c r="AK9" s="78">
        <f>COUNTIF(AprilAttendance[[#This Row],[1]:[ ]],Code3)</f>
        <v>0</v>
      </c>
      <c r="AL9" s="78">
        <f>COUNTIF(AprilAttendance[[#This Row],[1]:[ ]],Code4)</f>
        <v>0</v>
      </c>
      <c r="AM9" s="49">
        <f>SUM(AprilAttendance[[#This Row],[E]:[U]])</f>
        <v>0</v>
      </c>
    </row>
    <row r="10" spans="1:39" ht="16.5" customHeight="1">
      <c r="B10" s="76"/>
      <c r="C10" s="79" t="str">
        <f>IFERROR(VLOOKUP(AprilAttendance[[#This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0"/>
      <c r="AH10" s="40"/>
      <c r="AI10" s="78">
        <f>COUNTIF(AprilAttendance[[#This Row],[1]:[ ]],Code1)</f>
        <v>0</v>
      </c>
      <c r="AJ10" s="78">
        <f>COUNTIF(AprilAttendance[[#This Row],[1]:[ ]],Code2)</f>
        <v>0</v>
      </c>
      <c r="AK10" s="78">
        <f>COUNTIF(AprilAttendance[[#This Row],[1]:[ ]],Code3)</f>
        <v>0</v>
      </c>
      <c r="AL10" s="78">
        <f>COUNTIF(AprilAttendance[[#This Row],[1]:[ ]],Code4)</f>
        <v>0</v>
      </c>
      <c r="AM10" s="49">
        <f>SUM(AprilAttendance[[#This Row],[E]:[U]])</f>
        <v>0</v>
      </c>
    </row>
    <row r="11" spans="1:39" ht="16.5" customHeight="1">
      <c r="B11" s="76"/>
      <c r="C11" s="79" t="str">
        <f>IFERROR(VLOOKUP(AprilAttendance[[#This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0"/>
      <c r="AH11" s="40"/>
      <c r="AI11" s="78">
        <f>COUNTIF(AprilAttendance[[#This Row],[1]:[ ]],Code1)</f>
        <v>0</v>
      </c>
      <c r="AJ11" s="78">
        <f>COUNTIF(AprilAttendance[[#This Row],[1]:[ ]],Code2)</f>
        <v>0</v>
      </c>
      <c r="AK11" s="78">
        <f>COUNTIF(AprilAttendance[[#This Row],[1]:[ ]],Code3)</f>
        <v>0</v>
      </c>
      <c r="AL11" s="78">
        <f>COUNTIF(AprilAttendance[[#This Row],[1]:[ ]],Code4)</f>
        <v>0</v>
      </c>
      <c r="AM11" s="49">
        <f>SUM(AprilAttendance[[#This Row],[E]:[U]])</f>
        <v>0</v>
      </c>
    </row>
    <row r="12" spans="1:39" ht="16.5" customHeight="1">
      <c r="B12" s="40"/>
      <c r="C12" s="45" t="s">
        <v>98</v>
      </c>
      <c r="D12" s="49">
        <f>COUNTIF(AprilAttendance[1],"U")+COUNTIF(AprilAttendance[1],"E")</f>
        <v>0</v>
      </c>
      <c r="E12" s="49">
        <f>COUNTIF(AprilAttendance[2],"U")+COUNTIF(AprilAttendance[2],"E")</f>
        <v>0</v>
      </c>
      <c r="F12" s="49">
        <f>COUNTIF(AprilAttendance[3],"U")+COUNTIF(AprilAttendance[3],"E")</f>
        <v>0</v>
      </c>
      <c r="G12" s="49">
        <f>COUNTIF(AprilAttendance[4],"U")+COUNTIF(AprilAttendance[4],"E")</f>
        <v>0</v>
      </c>
      <c r="H12" s="49">
        <f>COUNTIF(AprilAttendance[5],"U")+COUNTIF(AprilAttendance[5],"E")</f>
        <v>0</v>
      </c>
      <c r="I12" s="49">
        <f>COUNTIF(AprilAttendance[6],"U")+COUNTIF(AprilAttendance[6],"E")</f>
        <v>0</v>
      </c>
      <c r="J12" s="49">
        <f>COUNTIF(AprilAttendance[7],"U")+COUNTIF(AprilAttendance[7],"E")</f>
        <v>0</v>
      </c>
      <c r="K12" s="49">
        <f>COUNTIF(AprilAttendance[8],"U")+COUNTIF(AprilAttendance[8],"E")</f>
        <v>0</v>
      </c>
      <c r="L12" s="49">
        <f>COUNTIF(AprilAttendance[9],"U")+COUNTIF(AprilAttendance[9],"E")</f>
        <v>0</v>
      </c>
      <c r="M12" s="49">
        <f>COUNTIF(AprilAttendance[10],"U")+COUNTIF(AprilAttendance[10],"E")</f>
        <v>0</v>
      </c>
      <c r="N12" s="49">
        <f>COUNTIF(AprilAttendance[11],"U")+COUNTIF(AprilAttendance[11],"E")</f>
        <v>0</v>
      </c>
      <c r="O12" s="49">
        <f>COUNTIF(AprilAttendance[12],"U")+COUNTIF(AprilAttendance[12],"E")</f>
        <v>0</v>
      </c>
      <c r="P12" s="49">
        <f>COUNTIF(AprilAttendance[13],"U")+COUNTIF(AprilAttendance[13],"E")</f>
        <v>0</v>
      </c>
      <c r="Q12" s="49">
        <f>COUNTIF(AprilAttendance[14],"U")+COUNTIF(AprilAttendance[14],"E")</f>
        <v>0</v>
      </c>
      <c r="R12" s="49">
        <f>COUNTIF(AprilAttendance[15],"U")+COUNTIF(AprilAttendance[15],"E")</f>
        <v>0</v>
      </c>
      <c r="S12" s="49">
        <f>COUNTIF(AprilAttendance[16],"U")+COUNTIF(AprilAttendance[16],"E")</f>
        <v>0</v>
      </c>
      <c r="T12" s="49">
        <f>COUNTIF(AprilAttendance[17],"U")+COUNTIF(AprilAttendance[17],"E")</f>
        <v>0</v>
      </c>
      <c r="U12" s="49">
        <f>COUNTIF(AprilAttendance[18],"U")+COUNTIF(AprilAttendance[18],"E")</f>
        <v>0</v>
      </c>
      <c r="V12" s="49">
        <f>COUNTIF(AprilAttendance[19],"U")+COUNTIF(AprilAttendance[19],"E")</f>
        <v>0</v>
      </c>
      <c r="W12" s="49">
        <f>COUNTIF(AprilAttendance[20],"U")+COUNTIF(AprilAttendance[20],"E")</f>
        <v>0</v>
      </c>
      <c r="X12" s="49">
        <f>COUNTIF(AprilAttendance[21],"U")+COUNTIF(AprilAttendance[21],"E")</f>
        <v>0</v>
      </c>
      <c r="Y12" s="49">
        <f>COUNTIF(AprilAttendance[22],"U")+COUNTIF(AprilAttendance[22],"E")</f>
        <v>0</v>
      </c>
      <c r="Z12" s="49">
        <f>COUNTIF(AprilAttendance[23],"U")+COUNTIF(AprilAttendance[23],"E")</f>
        <v>0</v>
      </c>
      <c r="AA12" s="49">
        <f>COUNTIF(AprilAttendance[24],"U")+COUNTIF(AprilAttendance[24],"E")</f>
        <v>0</v>
      </c>
      <c r="AB12" s="49">
        <f>COUNTIF(AprilAttendance[25],"U")+COUNTIF(AprilAttendance[25],"E")</f>
        <v>0</v>
      </c>
      <c r="AC12" s="49">
        <f>COUNTIF(AprilAttendance[26],"U")+COUNTIF(AprilAttendance[26],"E")</f>
        <v>0</v>
      </c>
      <c r="AD12" s="49">
        <f>COUNTIF(AprilAttendance[27],"U")+COUNTIF(AprilAttendance[27],"E")</f>
        <v>0</v>
      </c>
      <c r="AE12" s="49">
        <f>COUNTIF(AprilAttendance[28],"U")+COUNTIF(AprilAttendance[28],"E")</f>
        <v>0</v>
      </c>
      <c r="AF12" s="49">
        <f>COUNTIF(AprilAttendance[29],"U")+COUNTIF(AprilAttendance[29],"E")</f>
        <v>0</v>
      </c>
      <c r="AG12" s="49"/>
      <c r="AH12" s="49"/>
      <c r="AI12" s="49">
        <f>SUBTOTAL(109,AprilAttendance[T])</f>
        <v>0</v>
      </c>
      <c r="AJ12" s="49">
        <f>SUBTOTAL(109,AprilAttendance[E])</f>
        <v>0</v>
      </c>
      <c r="AK12" s="49">
        <f>SUBTOTAL(109,AprilAttendance[U])</f>
        <v>0</v>
      </c>
      <c r="AL12" s="49">
        <f>SUBTOTAL(109,AprilAttendance[P])</f>
        <v>0</v>
      </c>
      <c r="AM12" s="49">
        <f>SUBTOTAL(109,AprilAttendance[缺席天数])</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1">
      <dataBar>
        <cfvo type="min"/>
        <cfvo type="num" val="DATEDIF(DATE(CalendarYear,2,1),DATE(CalendarYear,3,1),&quot;d&quot;)"/>
        <color theme="4"/>
      </dataBar>
      <extLst>
        <ext xmlns:x14="http://schemas.microsoft.com/office/spreadsheetml/2009/9/main" uri="{B025F937-C7B1-47D3-B67F-A62EFF666E3E}">
          <x14:id>{9FD523D2-45CA-45DA-93F8-59B772F50C00}</x14:id>
        </ext>
      </extLst>
    </cfRule>
  </conditionalFormatting>
  <conditionalFormatting sqref="D7:AF11">
    <cfRule type="expression" dxfId="341" priority="2" stopIfTrue="1">
      <formula>D7=Code2</formula>
    </cfRule>
  </conditionalFormatting>
  <conditionalFormatting sqref="D7:AF11">
    <cfRule type="expression" dxfId="340" priority="3" stopIfTrue="1">
      <formula>D7=Code5</formula>
    </cfRule>
    <cfRule type="expression" dxfId="339" priority="4" stopIfTrue="1">
      <formula>D7=Code4</formula>
    </cfRule>
    <cfRule type="expression" dxfId="338" priority="5" stopIfTrue="1">
      <formula>D7=Code3</formula>
    </cfRule>
    <cfRule type="expression" dxfId="337" priority="6"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D523D2-45CA-45DA-93F8-59B772F50C00}">
            <x14:dataBar minLength="0" maxLength="100" border="1" negativeBarBorderColorSameAsPositive="0">
              <x14:cfvo type="autoMin"/>
              <x14:cfvo type="num">
                <xm:f>DATEDIF(DATE(CalendarYear,2,1),DATE(CalendarYear,3,1),"d")</xm:f>
              </x14:cfvo>
              <x14:borderColor theme="4"/>
              <x14:negativeFillColor rgb="FFFF0000"/>
              <x14:negativeBorderColor rgb="FFFF0000"/>
              <x14:axisColor rgb="FF000000"/>
            </x14:dataBar>
          </x14:cfRule>
          <xm:sqref>AM7:AM11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39"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39" s="4" customFormat="1" ht="16.5"/>
    <row r="3" spans="1:39"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39" s="4" customFormat="1" ht="16.5" customHeight="1"/>
    <row r="5" spans="1:39" s="34" customFormat="1" ht="18" customHeight="1">
      <c r="B5" s="112">
        <f>DATE(CalendarYear+1,5,1)</f>
        <v>41030</v>
      </c>
      <c r="C5" s="35"/>
      <c r="D5" s="36" t="str">
        <f>TEXT(WEEKDAY(DATE(CalendarYear+1,5,1),1),"[$-804]aaa")</f>
        <v>周二</v>
      </c>
      <c r="E5" s="36" t="str">
        <f>TEXT(WEEKDAY(DATE(CalendarYear+1,5,2),1),"[$-804]aaa")</f>
        <v>周三</v>
      </c>
      <c r="F5" s="36" t="str">
        <f>TEXT(WEEKDAY(DATE(CalendarYear+1,5,3),1),"[$-804]aaa")</f>
        <v>周四</v>
      </c>
      <c r="G5" s="36" t="str">
        <f>TEXT(WEEKDAY(DATE(CalendarYear+1,5,4),1),"[$-804]aaa")</f>
        <v>周五</v>
      </c>
      <c r="H5" s="36" t="str">
        <f>TEXT(WEEKDAY(DATE(CalendarYear+1,5,5),1),"[$-804]aaa")</f>
        <v>周六</v>
      </c>
      <c r="I5" s="36" t="str">
        <f>TEXT(WEEKDAY(DATE(CalendarYear+1,5,6),1),"[$-804]aaa")</f>
        <v>周日</v>
      </c>
      <c r="J5" s="36" t="str">
        <f>TEXT(WEEKDAY(DATE(CalendarYear+1,5,7),1),"[$-804]aaa")</f>
        <v>周一</v>
      </c>
      <c r="K5" s="36" t="str">
        <f>TEXT(WEEKDAY(DATE(CalendarYear+1,5,8),1),"[$-804]aaa")</f>
        <v>周二</v>
      </c>
      <c r="L5" s="36" t="str">
        <f>TEXT(WEEKDAY(DATE(CalendarYear+1,5,9),1),"[$-804]aaa")</f>
        <v>周三</v>
      </c>
      <c r="M5" s="36" t="str">
        <f>TEXT(WEEKDAY(DATE(CalendarYear+1,5,10),1),"[$-804]aaa")</f>
        <v>周四</v>
      </c>
      <c r="N5" s="36" t="str">
        <f>TEXT(WEEKDAY(DATE(CalendarYear+1,5,11),1),"[$-804]aaa")</f>
        <v>周五</v>
      </c>
      <c r="O5" s="36" t="str">
        <f>TEXT(WEEKDAY(DATE(CalendarYear+1,5,12),1),"[$-804]aaa")</f>
        <v>周六</v>
      </c>
      <c r="P5" s="36" t="str">
        <f>TEXT(WEEKDAY(DATE(CalendarYear+1,5,13),1),"[$-804]aaa")</f>
        <v>周日</v>
      </c>
      <c r="Q5" s="36" t="str">
        <f>TEXT(WEEKDAY(DATE(CalendarYear+1,5,14),1),"[$-804]aaa")</f>
        <v>周一</v>
      </c>
      <c r="R5" s="36" t="str">
        <f>TEXT(WEEKDAY(DATE(CalendarYear+1,5,15),1),"[$-804]aaa")</f>
        <v>周二</v>
      </c>
      <c r="S5" s="36" t="str">
        <f>TEXT(WEEKDAY(DATE(CalendarYear+1,5,16),1),"[$-804]aaa")</f>
        <v>周三</v>
      </c>
      <c r="T5" s="36" t="str">
        <f>TEXT(WEEKDAY(DATE(CalendarYear+1,5,17),1),"[$-804]aaa")</f>
        <v>周四</v>
      </c>
      <c r="U5" s="36" t="str">
        <f>TEXT(WEEKDAY(DATE(CalendarYear+1,5,18),1),"[$-804]aaa")</f>
        <v>周五</v>
      </c>
      <c r="V5" s="36" t="str">
        <f>TEXT(WEEKDAY(DATE(CalendarYear+1,5,19),1),"[$-804]aaa")</f>
        <v>周六</v>
      </c>
      <c r="W5" s="36" t="str">
        <f>TEXT(WEEKDAY(DATE(CalendarYear+1,5,20),1),"[$-804]aaa")</f>
        <v>周日</v>
      </c>
      <c r="X5" s="36" t="str">
        <f>TEXT(WEEKDAY(DATE(CalendarYear+1,5,21),1),"[$-804]aaa")</f>
        <v>周一</v>
      </c>
      <c r="Y5" s="36" t="str">
        <f>TEXT(WEEKDAY(DATE(CalendarYear+1,5,22),1),"[$-804]aaa")</f>
        <v>周二</v>
      </c>
      <c r="Z5" s="36" t="str">
        <f>TEXT(WEEKDAY(DATE(CalendarYear+1,5,23),1),"[$-804]aaa")</f>
        <v>周三</v>
      </c>
      <c r="AA5" s="36" t="str">
        <f>TEXT(WEEKDAY(DATE(CalendarYear+1,5,24),1),"[$-804]aaa")</f>
        <v>周四</v>
      </c>
      <c r="AB5" s="36" t="str">
        <f>TEXT(WEEKDAY(DATE(CalendarYear+1,5,25),1),"[$-804]aaa")</f>
        <v>周五</v>
      </c>
      <c r="AC5" s="36" t="str">
        <f>TEXT(WEEKDAY(DATE(CalendarYear+1,5,26),1),"[$-804]aaa")</f>
        <v>周六</v>
      </c>
      <c r="AD5" s="36" t="str">
        <f>TEXT(WEEKDAY(DATE(CalendarYear+1,5,27),1),"[$-804]aaa")</f>
        <v>周日</v>
      </c>
      <c r="AE5" s="36" t="str">
        <f>TEXT(WEEKDAY(DATE(CalendarYear+1,5,28),1),"[$-804]aaa")</f>
        <v>周一</v>
      </c>
      <c r="AF5" s="36" t="str">
        <f>TEXT(WEEKDAY(DATE(CalendarYear+1,5,29),1),"[$-804]aaa")</f>
        <v>周二</v>
      </c>
      <c r="AG5" s="36" t="str">
        <f>TEXT(WEEKDAY(DATE(CalendarYear+1,5,30),1),"[$-804]aaa")</f>
        <v>周三</v>
      </c>
      <c r="AH5" s="36" t="str">
        <f>TEXT(WEEKDAY(DATE(CalendarYear+1,5,31),1),"[$-804]aaa")</f>
        <v>周四</v>
      </c>
      <c r="AI5" s="121" t="s">
        <v>96</v>
      </c>
      <c r="AJ5" s="121"/>
      <c r="AK5" s="121"/>
      <c r="AL5" s="121"/>
      <c r="AM5" s="121"/>
    </row>
    <row r="6" spans="1:39"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30</v>
      </c>
      <c r="AI6" s="72" t="s">
        <v>32</v>
      </c>
      <c r="AJ6" s="73" t="s">
        <v>34</v>
      </c>
      <c r="AK6" s="74" t="s">
        <v>33</v>
      </c>
      <c r="AL6" s="75" t="s">
        <v>31</v>
      </c>
      <c r="AM6" s="4" t="s">
        <v>97</v>
      </c>
    </row>
    <row r="7" spans="1:39" ht="16.5" customHeight="1">
      <c r="B7" s="76"/>
      <c r="C7" s="77" t="str">
        <f>IFERROR(VLOOKUP(MayAttendance[[#This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0"/>
      <c r="AH7" s="40"/>
      <c r="AI7" s="78">
        <f>COUNTIF(MayAttendance[[#This Row],[1]:[31]],Code1)</f>
        <v>0</v>
      </c>
      <c r="AJ7" s="78">
        <f>COUNTIF(MayAttendance[[#This Row],[1]:[31]],Code2)</f>
        <v>0</v>
      </c>
      <c r="AK7" s="78">
        <f>COUNTIF(MayAttendance[[#This Row],[1]:[31]],Code3)</f>
        <v>0</v>
      </c>
      <c r="AL7" s="78">
        <f>COUNTIF(MayAttendance[[#This Row],[1]:[31]],Code4)</f>
        <v>0</v>
      </c>
      <c r="AM7" s="49">
        <f>SUM(MayAttendance[[#This Row],[E]:[U]])</f>
        <v>0</v>
      </c>
    </row>
    <row r="8" spans="1:39" ht="16.5" customHeight="1">
      <c r="B8" s="76"/>
      <c r="C8" s="79" t="str">
        <f>IFERROR(VLOOKUP(MayAttendance[[#This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0"/>
      <c r="AH8" s="40"/>
      <c r="AI8" s="78">
        <f>COUNTIF(MayAttendance[[#This Row],[1]:[31]],Code1)</f>
        <v>0</v>
      </c>
      <c r="AJ8" s="78">
        <f>COUNTIF(MayAttendance[[#This Row],[1]:[31]],Code2)</f>
        <v>0</v>
      </c>
      <c r="AK8" s="78">
        <f>COUNTIF(MayAttendance[[#This Row],[1]:[31]],Code3)</f>
        <v>0</v>
      </c>
      <c r="AL8" s="78">
        <f>COUNTIF(MayAttendance[[#This Row],[1]:[31]],Code4)</f>
        <v>0</v>
      </c>
      <c r="AM8" s="49">
        <f>SUM(MayAttendance[[#This Row],[E]:[U]])</f>
        <v>0</v>
      </c>
    </row>
    <row r="9" spans="1:39" ht="16.5" customHeight="1">
      <c r="B9" s="76"/>
      <c r="C9" s="79" t="str">
        <f>IFERROR(VLOOKUP(MayAttendance[[#This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0"/>
      <c r="AH9" s="40"/>
      <c r="AI9" s="78">
        <f>COUNTIF(MayAttendance[[#This Row],[1]:[31]],Code1)</f>
        <v>0</v>
      </c>
      <c r="AJ9" s="78">
        <f>COUNTIF(MayAttendance[[#This Row],[1]:[31]],Code2)</f>
        <v>0</v>
      </c>
      <c r="AK9" s="78">
        <f>COUNTIF(MayAttendance[[#This Row],[1]:[31]],Code3)</f>
        <v>0</v>
      </c>
      <c r="AL9" s="78">
        <f>COUNTIF(MayAttendance[[#This Row],[1]:[31]],Code4)</f>
        <v>0</v>
      </c>
      <c r="AM9" s="49">
        <f>SUM(MayAttendance[[#This Row],[E]:[U]])</f>
        <v>0</v>
      </c>
    </row>
    <row r="10" spans="1:39" ht="16.5" customHeight="1">
      <c r="B10" s="76"/>
      <c r="C10" s="79" t="str">
        <f>IFERROR(VLOOKUP(MayAttendance[[#This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0"/>
      <c r="AH10" s="40"/>
      <c r="AI10" s="78">
        <f>COUNTIF(MayAttendance[[#This Row],[1]:[31]],Code1)</f>
        <v>0</v>
      </c>
      <c r="AJ10" s="78">
        <f>COUNTIF(MayAttendance[[#This Row],[1]:[31]],Code2)</f>
        <v>0</v>
      </c>
      <c r="AK10" s="78">
        <f>COUNTIF(MayAttendance[[#This Row],[1]:[31]],Code3)</f>
        <v>0</v>
      </c>
      <c r="AL10" s="78">
        <f>COUNTIF(MayAttendance[[#This Row],[1]:[31]],Code4)</f>
        <v>0</v>
      </c>
      <c r="AM10" s="49">
        <f>SUM(MayAttendance[[#This Row],[E]:[U]])</f>
        <v>0</v>
      </c>
    </row>
    <row r="11" spans="1:39" ht="16.5" customHeight="1">
      <c r="B11" s="76"/>
      <c r="C11" s="79" t="str">
        <f>IFERROR(VLOOKUP(MayAttendance[[#This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0"/>
      <c r="AH11" s="40"/>
      <c r="AI11" s="78">
        <f>COUNTIF(MayAttendance[[#This Row],[1]:[31]],Code1)</f>
        <v>0</v>
      </c>
      <c r="AJ11" s="78">
        <f>COUNTIF(MayAttendance[[#This Row],[1]:[31]],Code2)</f>
        <v>0</v>
      </c>
      <c r="AK11" s="78">
        <f>COUNTIF(MayAttendance[[#This Row],[1]:[31]],Code3)</f>
        <v>0</v>
      </c>
      <c r="AL11" s="78">
        <f>COUNTIF(MayAttendance[[#This Row],[1]:[31]],Code4)</f>
        <v>0</v>
      </c>
      <c r="AM11" s="49">
        <f>SUM(MayAttendance[[#This Row],[E]:[U]])</f>
        <v>0</v>
      </c>
    </row>
    <row r="12" spans="1:39" ht="16.5" customHeight="1">
      <c r="B12" s="40"/>
      <c r="C12" s="45" t="s">
        <v>98</v>
      </c>
      <c r="D12" s="49">
        <f>COUNTIF(MayAttendance[1],"U")+COUNTIF(MayAttendance[1],"E")</f>
        <v>0</v>
      </c>
      <c r="E12" s="49">
        <f>COUNTIF(MayAttendance[2],"U")+COUNTIF(MayAttendance[2],"E")</f>
        <v>0</v>
      </c>
      <c r="F12" s="49">
        <f>COUNTIF(MayAttendance[3],"U")+COUNTIF(MayAttendance[3],"E")</f>
        <v>0</v>
      </c>
      <c r="G12" s="49">
        <f>COUNTIF(MayAttendance[4],"U")+COUNTIF(MayAttendance[4],"E")</f>
        <v>0</v>
      </c>
      <c r="H12" s="49">
        <f>COUNTIF(MayAttendance[5],"U")+COUNTIF(MayAttendance[5],"E")</f>
        <v>0</v>
      </c>
      <c r="I12" s="49">
        <f>COUNTIF(MayAttendance[6],"U")+COUNTIF(MayAttendance[6],"E")</f>
        <v>0</v>
      </c>
      <c r="J12" s="49">
        <f>COUNTIF(MayAttendance[7],"U")+COUNTIF(MayAttendance[7],"E")</f>
        <v>0</v>
      </c>
      <c r="K12" s="49">
        <f>COUNTIF(MayAttendance[8],"U")+COUNTIF(MayAttendance[8],"E")</f>
        <v>0</v>
      </c>
      <c r="L12" s="49">
        <f>COUNTIF(MayAttendance[9],"U")+COUNTIF(MayAttendance[9],"E")</f>
        <v>0</v>
      </c>
      <c r="M12" s="49">
        <f>COUNTIF(MayAttendance[10],"U")+COUNTIF(MayAttendance[10],"E")</f>
        <v>0</v>
      </c>
      <c r="N12" s="49">
        <f>COUNTIF(MayAttendance[11],"U")+COUNTIF(MayAttendance[11],"E")</f>
        <v>0</v>
      </c>
      <c r="O12" s="49">
        <f>COUNTIF(MayAttendance[12],"U")+COUNTIF(MayAttendance[12],"E")</f>
        <v>0</v>
      </c>
      <c r="P12" s="49">
        <f>COUNTIF(MayAttendance[13],"U")+COUNTIF(MayAttendance[13],"E")</f>
        <v>0</v>
      </c>
      <c r="Q12" s="49">
        <f>COUNTIF(MayAttendance[14],"U")+COUNTIF(MayAttendance[14],"E")</f>
        <v>0</v>
      </c>
      <c r="R12" s="49">
        <f>COUNTIF(MayAttendance[15],"U")+COUNTIF(MayAttendance[15],"E")</f>
        <v>0</v>
      </c>
      <c r="S12" s="49">
        <f>COUNTIF(MayAttendance[16],"U")+COUNTIF(MayAttendance[16],"E")</f>
        <v>0</v>
      </c>
      <c r="T12" s="49">
        <f>COUNTIF(MayAttendance[17],"U")+COUNTIF(MayAttendance[17],"E")</f>
        <v>0</v>
      </c>
      <c r="U12" s="49">
        <f>COUNTIF(MayAttendance[18],"U")+COUNTIF(MayAttendance[18],"E")</f>
        <v>0</v>
      </c>
      <c r="V12" s="49">
        <f>COUNTIF(MayAttendance[19],"U")+COUNTIF(MayAttendance[19],"E")</f>
        <v>0</v>
      </c>
      <c r="W12" s="49">
        <f>COUNTIF(MayAttendance[20],"U")+COUNTIF(MayAttendance[20],"E")</f>
        <v>0</v>
      </c>
      <c r="X12" s="49">
        <f>COUNTIF(MayAttendance[21],"U")+COUNTIF(MayAttendance[21],"E")</f>
        <v>0</v>
      </c>
      <c r="Y12" s="49">
        <f>COUNTIF(MayAttendance[22],"U")+COUNTIF(MayAttendance[22],"E")</f>
        <v>0</v>
      </c>
      <c r="Z12" s="49">
        <f>COUNTIF(MayAttendance[23],"U")+COUNTIF(MayAttendance[23],"E")</f>
        <v>0</v>
      </c>
      <c r="AA12" s="49">
        <f>COUNTIF(MayAttendance[24],"U")+COUNTIF(MayAttendance[24],"E")</f>
        <v>0</v>
      </c>
      <c r="AB12" s="49">
        <f>COUNTIF(MayAttendance[25],"U")+COUNTIF(MayAttendance[25],"E")</f>
        <v>0</v>
      </c>
      <c r="AC12" s="49">
        <f>COUNTIF(MayAttendance[26],"U")+COUNTIF(MayAttendance[26],"E")</f>
        <v>0</v>
      </c>
      <c r="AD12" s="49">
        <f>COUNTIF(MayAttendance[27],"U")+COUNTIF(MayAttendance[27],"E")</f>
        <v>0</v>
      </c>
      <c r="AE12" s="49">
        <f>COUNTIF(MayAttendance[28],"U")+COUNTIF(MayAttendance[28],"E")</f>
        <v>0</v>
      </c>
      <c r="AF12" s="49">
        <f>COUNTIF(MayAttendance[29],"U")+COUNTIF(MayAttendance[29],"E")</f>
        <v>0</v>
      </c>
      <c r="AG12" s="49"/>
      <c r="AH12" s="49"/>
      <c r="AI12" s="49">
        <f>SUBTOTAL(109,MayAttendance[T])</f>
        <v>0</v>
      </c>
      <c r="AJ12" s="49">
        <f>SUBTOTAL(109,MayAttendance[E])</f>
        <v>0</v>
      </c>
      <c r="AK12" s="49">
        <f>SUBTOTAL(109,MayAttendance[U])</f>
        <v>0</v>
      </c>
      <c r="AL12" s="49">
        <f>SUBTOTAL(109,MayAttendance[P])</f>
        <v>0</v>
      </c>
      <c r="AM12" s="49">
        <f>SUBTOTAL(109,MayAttendance[缺席天数])</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1">
      <dataBar>
        <cfvo type="min"/>
        <cfvo type="num" val="DATEDIF(DATE(CalendarYear,2,1),DATE(CalendarYear,3,1),&quot;d&quot;)"/>
        <color theme="4"/>
      </dataBar>
      <extLst>
        <ext xmlns:x14="http://schemas.microsoft.com/office/spreadsheetml/2009/9/main" uri="{B025F937-C7B1-47D3-B67F-A62EFF666E3E}">
          <x14:id>{075C44B9-B707-434A-A9F0-95252D34B3EF}</x14:id>
        </ext>
      </extLst>
    </cfRule>
  </conditionalFormatting>
  <conditionalFormatting sqref="D7:AF11">
    <cfRule type="expression" dxfId="257" priority="2" stopIfTrue="1">
      <formula>D7=Code2</formula>
    </cfRule>
  </conditionalFormatting>
  <conditionalFormatting sqref="D7:AF11">
    <cfRule type="expression" dxfId="256" priority="3" stopIfTrue="1">
      <formula>D7=Code5</formula>
    </cfRule>
    <cfRule type="expression" dxfId="255" priority="4" stopIfTrue="1">
      <formula>D7=Code4</formula>
    </cfRule>
    <cfRule type="expression" dxfId="254" priority="5" stopIfTrue="1">
      <formula>D7=Code3</formula>
    </cfRule>
    <cfRule type="expression" dxfId="253" priority="6"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75C44B9-B707-434A-A9F0-95252D34B3EF}">
            <x14:dataBar minLength="0" maxLength="100" border="1" negativeBarBorderColorSameAsPositive="0">
              <x14:cfvo type="autoMin"/>
              <x14:cfvo type="num">
                <xm:f>DATEDIF(DATE(CalendarYear,2,1),DATE(CalendarYear,3,1),"d")</xm:f>
              </x14:cfvo>
              <x14:borderColor theme="4"/>
              <x14:negativeFillColor rgb="FFFF0000"/>
              <x14:negativeBorderColor rgb="FFFF0000"/>
              <x14:axisColor rgb="FF000000"/>
            </x14:dataBar>
          </x14:cfRule>
          <xm:sqref>AM7:AM11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39"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39" s="4" customFormat="1" ht="16.5"/>
    <row r="3" spans="1:39"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39" s="4" customFormat="1" ht="16.5" customHeight="1"/>
    <row r="5" spans="1:39" s="34" customFormat="1" ht="18" customHeight="1">
      <c r="B5" s="112">
        <f>DATE(CalendarYear+1,6,1)</f>
        <v>41061</v>
      </c>
      <c r="C5" s="35"/>
      <c r="D5" s="36" t="str">
        <f>TEXT(WEEKDAY(DATE(CalendarYear+1,6,1),1),"[$-804]aaa")</f>
        <v>周五</v>
      </c>
      <c r="E5" s="36" t="str">
        <f>TEXT(WEEKDAY(DATE(CalendarYear+1,6,2),1),"[$-804]aaa")</f>
        <v>周六</v>
      </c>
      <c r="F5" s="36" t="str">
        <f>TEXT(WEEKDAY(DATE(CalendarYear+1,6,3),1),"[$-804]aaa")</f>
        <v>周日</v>
      </c>
      <c r="G5" s="36" t="str">
        <f>TEXT(WEEKDAY(DATE(CalendarYear+1,6,4),1),"[$-804]aaa")</f>
        <v>周一</v>
      </c>
      <c r="H5" s="36" t="str">
        <f>TEXT(WEEKDAY(DATE(CalendarYear+1,6,5),1),"[$-804]aaa")</f>
        <v>周二</v>
      </c>
      <c r="I5" s="36" t="str">
        <f>TEXT(WEEKDAY(DATE(CalendarYear+1,6,6),1),"[$-804]aaa")</f>
        <v>周三</v>
      </c>
      <c r="J5" s="36" t="str">
        <f>TEXT(WEEKDAY(DATE(CalendarYear+1,6,7),1),"[$-804]aaa")</f>
        <v>周四</v>
      </c>
      <c r="K5" s="36" t="str">
        <f>TEXT(WEEKDAY(DATE(CalendarYear+1,6,8),1),"[$-804]aaa")</f>
        <v>周五</v>
      </c>
      <c r="L5" s="36" t="str">
        <f>TEXT(WEEKDAY(DATE(CalendarYear+1,6,9),1),"[$-804]aaa")</f>
        <v>周六</v>
      </c>
      <c r="M5" s="36" t="str">
        <f>TEXT(WEEKDAY(DATE(CalendarYear+1,6,10),1),"[$-804]aaa")</f>
        <v>周日</v>
      </c>
      <c r="N5" s="36" t="str">
        <f>TEXT(WEEKDAY(DATE(CalendarYear+1,6,11),1),"[$-804]aaa")</f>
        <v>周一</v>
      </c>
      <c r="O5" s="36" t="str">
        <f>TEXT(WEEKDAY(DATE(CalendarYear+1,6,12),1),"[$-804]aaa")</f>
        <v>周二</v>
      </c>
      <c r="P5" s="36" t="str">
        <f>TEXT(WEEKDAY(DATE(CalendarYear+1,6,13),1),"[$-804]aaa")</f>
        <v>周三</v>
      </c>
      <c r="Q5" s="36" t="str">
        <f>TEXT(WEEKDAY(DATE(CalendarYear+1,6,14),1),"[$-804]aaa")</f>
        <v>周四</v>
      </c>
      <c r="R5" s="36" t="str">
        <f>TEXT(WEEKDAY(DATE(CalendarYear+1,6,15),1),"[$-804]aaa")</f>
        <v>周五</v>
      </c>
      <c r="S5" s="36" t="str">
        <f>TEXT(WEEKDAY(DATE(CalendarYear+1,6,16),1),"[$-804]aaa")</f>
        <v>周六</v>
      </c>
      <c r="T5" s="36" t="str">
        <f>TEXT(WEEKDAY(DATE(CalendarYear+1,6,17),1),"[$-804]aaa")</f>
        <v>周日</v>
      </c>
      <c r="U5" s="36" t="str">
        <f>TEXT(WEEKDAY(DATE(CalendarYear+1,6,18),1),"[$-804]aaa")</f>
        <v>周一</v>
      </c>
      <c r="V5" s="36" t="str">
        <f>TEXT(WEEKDAY(DATE(CalendarYear+1,6,19),1),"[$-804]aaa")</f>
        <v>周二</v>
      </c>
      <c r="W5" s="36" t="str">
        <f>TEXT(WEEKDAY(DATE(CalendarYear+1,6,20),1),"[$-804]aaa")</f>
        <v>周三</v>
      </c>
      <c r="X5" s="36" t="str">
        <f>TEXT(WEEKDAY(DATE(CalendarYear+1,6,21),1),"[$-804]aaa")</f>
        <v>周四</v>
      </c>
      <c r="Y5" s="36" t="str">
        <f>TEXT(WEEKDAY(DATE(CalendarYear+1,6,22),1),"[$-804]aaa")</f>
        <v>周五</v>
      </c>
      <c r="Z5" s="36" t="str">
        <f>TEXT(WEEKDAY(DATE(CalendarYear+1,6,23),1),"[$-804]aaa")</f>
        <v>周六</v>
      </c>
      <c r="AA5" s="36" t="str">
        <f>TEXT(WEEKDAY(DATE(CalendarYear+1,6,24),1),"[$-804]aaa")</f>
        <v>周日</v>
      </c>
      <c r="AB5" s="36" t="str">
        <f>TEXT(WEEKDAY(DATE(CalendarYear+1,6,25),1),"[$-804]aaa")</f>
        <v>周一</v>
      </c>
      <c r="AC5" s="36" t="str">
        <f>TEXT(WEEKDAY(DATE(CalendarYear+1,6,26),1),"[$-804]aaa")</f>
        <v>周二</v>
      </c>
      <c r="AD5" s="36" t="str">
        <f>TEXT(WEEKDAY(DATE(CalendarYear+1,6,27),1),"[$-804]aaa")</f>
        <v>周三</v>
      </c>
      <c r="AE5" s="36" t="str">
        <f>TEXT(WEEKDAY(DATE(CalendarYear+1,6,28),1),"[$-804]aaa")</f>
        <v>周四</v>
      </c>
      <c r="AF5" s="36" t="str">
        <f>TEXT(WEEKDAY(DATE(CalendarYear+1,6,29),1),"[$-804]aaa")</f>
        <v>周五</v>
      </c>
      <c r="AG5" s="36" t="str">
        <f>TEXT(WEEKDAY(DATE(CalendarYear+1,6,30),1),"[$-804]aaa")</f>
        <v>周六</v>
      </c>
      <c r="AH5" s="36"/>
      <c r="AI5" s="121" t="s">
        <v>96</v>
      </c>
      <c r="AJ5" s="121"/>
      <c r="AK5" s="121"/>
      <c r="AL5" s="121"/>
      <c r="AM5" s="121"/>
    </row>
    <row r="6" spans="1:39"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46</v>
      </c>
      <c r="AI6" s="72" t="s">
        <v>32</v>
      </c>
      <c r="AJ6" s="73" t="s">
        <v>34</v>
      </c>
      <c r="AK6" s="74" t="s">
        <v>33</v>
      </c>
      <c r="AL6" s="75" t="s">
        <v>31</v>
      </c>
      <c r="AM6" s="4" t="s">
        <v>97</v>
      </c>
    </row>
    <row r="7" spans="1:39" ht="16.5" customHeight="1">
      <c r="B7" s="76"/>
      <c r="C7" s="77" t="str">
        <f>IFERROR(VLOOKUP(JuneAttendance[[#This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0"/>
      <c r="AH7" s="40"/>
      <c r="AI7" s="78">
        <f>COUNTIF(JuneAttendance[[#This Row],[1]:[ ]],Code1)</f>
        <v>0</v>
      </c>
      <c r="AJ7" s="78">
        <f>COUNTIF(JuneAttendance[[#This Row],[1]:[ ]],Code2)</f>
        <v>0</v>
      </c>
      <c r="AK7" s="78">
        <f>COUNTIF(JuneAttendance[[#This Row],[1]:[ ]],Code3)</f>
        <v>0</v>
      </c>
      <c r="AL7" s="78">
        <f>COUNTIF(JuneAttendance[[#This Row],[1]:[ ]],Code4)</f>
        <v>0</v>
      </c>
      <c r="AM7" s="49">
        <f>SUM(JuneAttendance[[#This Row],[E]:[U]])</f>
        <v>0</v>
      </c>
    </row>
    <row r="8" spans="1:39" ht="16.5" customHeight="1">
      <c r="B8" s="76"/>
      <c r="C8" s="79" t="str">
        <f>IFERROR(VLOOKUP(JuneAttendance[[#This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0"/>
      <c r="AH8" s="40"/>
      <c r="AI8" s="78">
        <f>COUNTIF(JuneAttendance[[#This Row],[1]:[ ]],Code1)</f>
        <v>0</v>
      </c>
      <c r="AJ8" s="78">
        <f>COUNTIF(JuneAttendance[[#This Row],[1]:[ ]],Code2)</f>
        <v>0</v>
      </c>
      <c r="AK8" s="78">
        <f>COUNTIF(JuneAttendance[[#This Row],[1]:[ ]],Code3)</f>
        <v>0</v>
      </c>
      <c r="AL8" s="78">
        <f>COUNTIF(JuneAttendance[[#This Row],[1]:[ ]],Code4)</f>
        <v>0</v>
      </c>
      <c r="AM8" s="49">
        <f>SUM(JuneAttendance[[#This Row],[E]:[U]])</f>
        <v>0</v>
      </c>
    </row>
    <row r="9" spans="1:39" ht="16.5" customHeight="1">
      <c r="B9" s="76"/>
      <c r="C9" s="79" t="str">
        <f>IFERROR(VLOOKUP(JuneAttendance[[#This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0"/>
      <c r="AH9" s="40"/>
      <c r="AI9" s="78">
        <f>COUNTIF(JuneAttendance[[#This Row],[1]:[ ]],Code1)</f>
        <v>0</v>
      </c>
      <c r="AJ9" s="78">
        <f>COUNTIF(JuneAttendance[[#This Row],[1]:[ ]],Code2)</f>
        <v>0</v>
      </c>
      <c r="AK9" s="78">
        <f>COUNTIF(JuneAttendance[[#This Row],[1]:[ ]],Code3)</f>
        <v>0</v>
      </c>
      <c r="AL9" s="78">
        <f>COUNTIF(JuneAttendance[[#This Row],[1]:[ ]],Code4)</f>
        <v>0</v>
      </c>
      <c r="AM9" s="49">
        <f>SUM(JuneAttendance[[#This Row],[E]:[U]])</f>
        <v>0</v>
      </c>
    </row>
    <row r="10" spans="1:39" ht="16.5" customHeight="1">
      <c r="B10" s="76"/>
      <c r="C10" s="79" t="str">
        <f>IFERROR(VLOOKUP(JuneAttendance[[#This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0"/>
      <c r="AH10" s="40"/>
      <c r="AI10" s="78">
        <f>COUNTIF(JuneAttendance[[#This Row],[1]:[ ]],Code1)</f>
        <v>0</v>
      </c>
      <c r="AJ10" s="78">
        <f>COUNTIF(JuneAttendance[[#This Row],[1]:[ ]],Code2)</f>
        <v>0</v>
      </c>
      <c r="AK10" s="78">
        <f>COUNTIF(JuneAttendance[[#This Row],[1]:[ ]],Code3)</f>
        <v>0</v>
      </c>
      <c r="AL10" s="78">
        <f>COUNTIF(JuneAttendance[[#This Row],[1]:[ ]],Code4)</f>
        <v>0</v>
      </c>
      <c r="AM10" s="49">
        <f>SUM(JuneAttendance[[#This Row],[E]:[U]])</f>
        <v>0</v>
      </c>
    </row>
    <row r="11" spans="1:39" ht="16.5" customHeight="1">
      <c r="B11" s="76"/>
      <c r="C11" s="79" t="str">
        <f>IFERROR(VLOOKUP(JuneAttendance[[#This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0"/>
      <c r="AH11" s="40"/>
      <c r="AI11" s="78">
        <f>COUNTIF(JuneAttendance[[#This Row],[1]:[ ]],Code1)</f>
        <v>0</v>
      </c>
      <c r="AJ11" s="78">
        <f>COUNTIF(JuneAttendance[[#This Row],[1]:[ ]],Code2)</f>
        <v>0</v>
      </c>
      <c r="AK11" s="78">
        <f>COUNTIF(JuneAttendance[[#This Row],[1]:[ ]],Code3)</f>
        <v>0</v>
      </c>
      <c r="AL11" s="78">
        <f>COUNTIF(JuneAttendance[[#This Row],[1]:[ ]],Code4)</f>
        <v>0</v>
      </c>
      <c r="AM11" s="49">
        <f>SUM(JuneAttendance[[#This Row],[E]:[U]])</f>
        <v>0</v>
      </c>
    </row>
    <row r="12" spans="1:39" ht="16.5" customHeight="1">
      <c r="B12" s="40"/>
      <c r="C12" s="45" t="s">
        <v>98</v>
      </c>
      <c r="D12" s="49">
        <f>COUNTIF(JuneAttendance[1],"U")+COUNTIF(JuneAttendance[1],"E")</f>
        <v>0</v>
      </c>
      <c r="E12" s="49">
        <f>COUNTIF(JuneAttendance[2],"U")+COUNTIF(JuneAttendance[2],"E")</f>
        <v>0</v>
      </c>
      <c r="F12" s="49">
        <f>COUNTIF(JuneAttendance[3],"U")+COUNTIF(JuneAttendance[3],"E")</f>
        <v>0</v>
      </c>
      <c r="G12" s="49">
        <f>COUNTIF(JuneAttendance[4],"U")+COUNTIF(JuneAttendance[4],"E")</f>
        <v>0</v>
      </c>
      <c r="H12" s="49">
        <f>COUNTIF(JuneAttendance[5],"U")+COUNTIF(JuneAttendance[5],"E")</f>
        <v>0</v>
      </c>
      <c r="I12" s="49">
        <f>COUNTIF(JuneAttendance[6],"U")+COUNTIF(JuneAttendance[6],"E")</f>
        <v>0</v>
      </c>
      <c r="J12" s="49">
        <f>COUNTIF(JuneAttendance[7],"U")+COUNTIF(JuneAttendance[7],"E")</f>
        <v>0</v>
      </c>
      <c r="K12" s="49">
        <f>COUNTIF(JuneAttendance[8],"U")+COUNTIF(JuneAttendance[8],"E")</f>
        <v>0</v>
      </c>
      <c r="L12" s="49">
        <f>COUNTIF(JuneAttendance[9],"U")+COUNTIF(JuneAttendance[9],"E")</f>
        <v>0</v>
      </c>
      <c r="M12" s="49">
        <f>COUNTIF(JuneAttendance[10],"U")+COUNTIF(JuneAttendance[10],"E")</f>
        <v>0</v>
      </c>
      <c r="N12" s="49">
        <f>COUNTIF(JuneAttendance[11],"U")+COUNTIF(JuneAttendance[11],"E")</f>
        <v>0</v>
      </c>
      <c r="O12" s="49">
        <f>COUNTIF(JuneAttendance[12],"U")+COUNTIF(JuneAttendance[12],"E")</f>
        <v>0</v>
      </c>
      <c r="P12" s="49">
        <f>COUNTIF(JuneAttendance[13],"U")+COUNTIF(JuneAttendance[13],"E")</f>
        <v>0</v>
      </c>
      <c r="Q12" s="49">
        <f>COUNTIF(JuneAttendance[14],"U")+COUNTIF(JuneAttendance[14],"E")</f>
        <v>0</v>
      </c>
      <c r="R12" s="49">
        <f>COUNTIF(JuneAttendance[15],"U")+COUNTIF(JuneAttendance[15],"E")</f>
        <v>0</v>
      </c>
      <c r="S12" s="49">
        <f>COUNTIF(JuneAttendance[16],"U")+COUNTIF(JuneAttendance[16],"E")</f>
        <v>0</v>
      </c>
      <c r="T12" s="49">
        <f>COUNTIF(JuneAttendance[17],"U")+COUNTIF(JuneAttendance[17],"E")</f>
        <v>0</v>
      </c>
      <c r="U12" s="49">
        <f>COUNTIF(JuneAttendance[18],"U")+COUNTIF(JuneAttendance[18],"E")</f>
        <v>0</v>
      </c>
      <c r="V12" s="49">
        <f>COUNTIF(JuneAttendance[19],"U")+COUNTIF(JuneAttendance[19],"E")</f>
        <v>0</v>
      </c>
      <c r="W12" s="49">
        <f>COUNTIF(JuneAttendance[20],"U")+COUNTIF(JuneAttendance[20],"E")</f>
        <v>0</v>
      </c>
      <c r="X12" s="49">
        <f>COUNTIF(JuneAttendance[21],"U")+COUNTIF(JuneAttendance[21],"E")</f>
        <v>0</v>
      </c>
      <c r="Y12" s="49">
        <f>COUNTIF(JuneAttendance[22],"U")+COUNTIF(JuneAttendance[22],"E")</f>
        <v>0</v>
      </c>
      <c r="Z12" s="49">
        <f>COUNTIF(JuneAttendance[23],"U")+COUNTIF(JuneAttendance[23],"E")</f>
        <v>0</v>
      </c>
      <c r="AA12" s="49">
        <f>COUNTIF(JuneAttendance[24],"U")+COUNTIF(JuneAttendance[24],"E")</f>
        <v>0</v>
      </c>
      <c r="AB12" s="49">
        <f>COUNTIF(JuneAttendance[25],"U")+COUNTIF(JuneAttendance[25],"E")</f>
        <v>0</v>
      </c>
      <c r="AC12" s="49">
        <f>COUNTIF(JuneAttendance[26],"U")+COUNTIF(JuneAttendance[26],"E")</f>
        <v>0</v>
      </c>
      <c r="AD12" s="49">
        <f>COUNTIF(JuneAttendance[27],"U")+COUNTIF(JuneAttendance[27],"E")</f>
        <v>0</v>
      </c>
      <c r="AE12" s="49">
        <f>COUNTIF(JuneAttendance[28],"U")+COUNTIF(JuneAttendance[28],"E")</f>
        <v>0</v>
      </c>
      <c r="AF12" s="49">
        <f>COUNTIF(JuneAttendance[29],"U")+COUNTIF(JuneAttendance[29],"E")</f>
        <v>0</v>
      </c>
      <c r="AG12" s="49"/>
      <c r="AH12" s="49"/>
      <c r="AI12" s="49">
        <f>SUBTOTAL(109,JuneAttendance[T])</f>
        <v>0</v>
      </c>
      <c r="AJ12" s="49">
        <f>SUBTOTAL(109,JuneAttendance[E])</f>
        <v>0</v>
      </c>
      <c r="AK12" s="49">
        <f>SUBTOTAL(109,JuneAttendance[U])</f>
        <v>0</v>
      </c>
      <c r="AL12" s="49">
        <f>SUBTOTAL(109,JuneAttendance[P])</f>
        <v>0</v>
      </c>
      <c r="AM12" s="49">
        <f>SUBTOTAL(109,JuneAttendance[缺席天数])</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1">
      <dataBar>
        <cfvo type="min"/>
        <cfvo type="num" val="DATEDIF(DATE(CalendarYear,2,1),DATE(CalendarYear,3,1),&quot;d&quot;)"/>
        <color theme="4"/>
      </dataBar>
      <extLst>
        <ext xmlns:x14="http://schemas.microsoft.com/office/spreadsheetml/2009/9/main" uri="{B025F937-C7B1-47D3-B67F-A62EFF666E3E}">
          <x14:id>{22C67C28-76AD-46BA-A7A2-13A61F3247FE}</x14:id>
        </ext>
      </extLst>
    </cfRule>
  </conditionalFormatting>
  <conditionalFormatting sqref="D7:AF11">
    <cfRule type="expression" dxfId="173" priority="2" stopIfTrue="1">
      <formula>D7=Code2</formula>
    </cfRule>
  </conditionalFormatting>
  <conditionalFormatting sqref="D7:AF11">
    <cfRule type="expression" dxfId="172" priority="3" stopIfTrue="1">
      <formula>D7=Code5</formula>
    </cfRule>
    <cfRule type="expression" dxfId="171" priority="4" stopIfTrue="1">
      <formula>D7=Code4</formula>
    </cfRule>
    <cfRule type="expression" dxfId="170" priority="5" stopIfTrue="1">
      <formula>D7=Code3</formula>
    </cfRule>
    <cfRule type="expression" dxfId="169" priority="6"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2C67C28-76AD-46BA-A7A2-13A61F3247FE}">
            <x14:dataBar minLength="0" maxLength="100" border="1" negativeBarBorderColorSameAsPositive="0">
              <x14:cfvo type="autoMin"/>
              <x14:cfvo type="num">
                <xm:f>DATEDIF(DATE(CalendarYear,2,1),DATE(CalendarYear,3,1),"d")</xm:f>
              </x14:cfvo>
              <x14:borderColor theme="4"/>
              <x14:negativeFillColor rgb="FFFF0000"/>
              <x14:negativeBorderColor rgb="FFFF0000"/>
              <x14:axisColor rgb="FF000000"/>
            </x14:dataBar>
          </x14:cfRule>
          <xm:sqref>AM7:AM11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39"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39" s="4" customFormat="1" ht="16.5"/>
    <row r="3" spans="1:39"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39" s="4" customFormat="1" ht="16.5" customHeight="1"/>
    <row r="5" spans="1:39" s="34" customFormat="1" ht="18" customHeight="1">
      <c r="B5" s="112">
        <f>DATE(CalendarYear+1,7,1)</f>
        <v>41091</v>
      </c>
      <c r="C5" s="35"/>
      <c r="D5" s="36" t="str">
        <f>TEXT(WEEKDAY(DATE(CalendarYear+1,7,1),1),"[$-804]aaa")</f>
        <v>周日</v>
      </c>
      <c r="E5" s="36" t="str">
        <f>TEXT(WEEKDAY(DATE(CalendarYear+1,7,2),1),"[$-804]aaa")</f>
        <v>周一</v>
      </c>
      <c r="F5" s="36" t="str">
        <f>TEXT(WEEKDAY(DATE(CalendarYear+1,7,3),1),"[$-804]aaa")</f>
        <v>周二</v>
      </c>
      <c r="G5" s="36" t="str">
        <f>TEXT(WEEKDAY(DATE(CalendarYear+1,7,4),1),"[$-804]aaa")</f>
        <v>周三</v>
      </c>
      <c r="H5" s="36" t="str">
        <f>TEXT(WEEKDAY(DATE(CalendarYear+1,7,5),1),"[$-804]aaa")</f>
        <v>周四</v>
      </c>
      <c r="I5" s="36" t="str">
        <f>TEXT(WEEKDAY(DATE(CalendarYear+1,7,6),1),"[$-804]aaa")</f>
        <v>周五</v>
      </c>
      <c r="J5" s="36" t="str">
        <f>TEXT(WEEKDAY(DATE(CalendarYear+1,7,7),1),"[$-804]aaa")</f>
        <v>周六</v>
      </c>
      <c r="K5" s="36" t="str">
        <f>TEXT(WEEKDAY(DATE(CalendarYear+1,7,8),1),"[$-804]aaa")</f>
        <v>周日</v>
      </c>
      <c r="L5" s="36" t="str">
        <f>TEXT(WEEKDAY(DATE(CalendarYear+1,7,9),1),"[$-804]aaa")</f>
        <v>周一</v>
      </c>
      <c r="M5" s="36" t="str">
        <f>TEXT(WEEKDAY(DATE(CalendarYear+1,7,10),1),"[$-804]aaa")</f>
        <v>周二</v>
      </c>
      <c r="N5" s="36" t="str">
        <f>TEXT(WEEKDAY(DATE(CalendarYear+1,7,11),1),"[$-804]aaa")</f>
        <v>周三</v>
      </c>
      <c r="O5" s="36" t="str">
        <f>TEXT(WEEKDAY(DATE(CalendarYear+1,7,12),1),"[$-804]aaa")</f>
        <v>周四</v>
      </c>
      <c r="P5" s="36" t="str">
        <f>TEXT(WEEKDAY(DATE(CalendarYear+1,7,13),1),"[$-804]aaa")</f>
        <v>周五</v>
      </c>
      <c r="Q5" s="36" t="str">
        <f>TEXT(WEEKDAY(DATE(CalendarYear+1,7,14),1),"[$-804]aaa")</f>
        <v>周六</v>
      </c>
      <c r="R5" s="36" t="str">
        <f>TEXT(WEEKDAY(DATE(CalendarYear+1,7,15),1),"[$-804]aaa")</f>
        <v>周日</v>
      </c>
      <c r="S5" s="36" t="str">
        <f>TEXT(WEEKDAY(DATE(CalendarYear+1,7,16),1),"[$-804]aaa")</f>
        <v>周一</v>
      </c>
      <c r="T5" s="36" t="str">
        <f>TEXT(WEEKDAY(DATE(CalendarYear+1,7,17),1),"[$-804]aaa")</f>
        <v>周二</v>
      </c>
      <c r="U5" s="36" t="str">
        <f>TEXT(WEEKDAY(DATE(CalendarYear+1,7,18),1),"[$-804]aaa")</f>
        <v>周三</v>
      </c>
      <c r="V5" s="36" t="str">
        <f>TEXT(WEEKDAY(DATE(CalendarYear+1,7,19),1),"[$-804]aaa")</f>
        <v>周四</v>
      </c>
      <c r="W5" s="36" t="str">
        <f>TEXT(WEEKDAY(DATE(CalendarYear+1,7,20),1),"[$-804]aaa")</f>
        <v>周五</v>
      </c>
      <c r="X5" s="36" t="str">
        <f>TEXT(WEEKDAY(DATE(CalendarYear+1,7,21),1),"[$-804]aaa")</f>
        <v>周六</v>
      </c>
      <c r="Y5" s="36" t="str">
        <f>TEXT(WEEKDAY(DATE(CalendarYear+1,7,22),1),"[$-804]aaa")</f>
        <v>周日</v>
      </c>
      <c r="Z5" s="36" t="str">
        <f>TEXT(WEEKDAY(DATE(CalendarYear+1,7,23),1),"[$-804]aaa")</f>
        <v>周一</v>
      </c>
      <c r="AA5" s="36" t="str">
        <f>TEXT(WEEKDAY(DATE(CalendarYear+1,7,24),1),"[$-804]aaa")</f>
        <v>周二</v>
      </c>
      <c r="AB5" s="36" t="str">
        <f>TEXT(WEEKDAY(DATE(CalendarYear+1,7,25),1),"[$-804]aaa")</f>
        <v>周三</v>
      </c>
      <c r="AC5" s="36" t="str">
        <f>TEXT(WEEKDAY(DATE(CalendarYear+1,7,26),1),"[$-804]aaa")</f>
        <v>周四</v>
      </c>
      <c r="AD5" s="36" t="str">
        <f>TEXT(WEEKDAY(DATE(CalendarYear+1,7,27),1),"[$-804]aaa")</f>
        <v>周五</v>
      </c>
      <c r="AE5" s="36" t="str">
        <f>TEXT(WEEKDAY(DATE(CalendarYear+1,7,28),1),"[$-804]aaa")</f>
        <v>周六</v>
      </c>
      <c r="AF5" s="36" t="str">
        <f>TEXT(WEEKDAY(DATE(CalendarYear+1,7,29),1),"[$-804]aaa")</f>
        <v>周日</v>
      </c>
      <c r="AG5" s="36" t="str">
        <f>TEXT(WEEKDAY(DATE(CalendarYear+1,7,30),1),"[$-804]aaa")</f>
        <v>周一</v>
      </c>
      <c r="AH5" s="36" t="str">
        <f>TEXT(WEEKDAY(DATE(CalendarYear+1,7,31),1),"[$-804]aaa")</f>
        <v>周二</v>
      </c>
      <c r="AI5" s="121" t="s">
        <v>96</v>
      </c>
      <c r="AJ5" s="121"/>
      <c r="AK5" s="121"/>
      <c r="AL5" s="121"/>
      <c r="AM5" s="121"/>
    </row>
    <row r="6" spans="1:39"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30</v>
      </c>
      <c r="AI6" s="72" t="s">
        <v>32</v>
      </c>
      <c r="AJ6" s="73" t="s">
        <v>34</v>
      </c>
      <c r="AK6" s="74" t="s">
        <v>33</v>
      </c>
      <c r="AL6" s="75" t="s">
        <v>31</v>
      </c>
      <c r="AM6" s="4" t="s">
        <v>97</v>
      </c>
    </row>
    <row r="7" spans="1:39" ht="16.5" customHeight="1">
      <c r="B7" s="76"/>
      <c r="C7" s="77" t="str">
        <f>IFERROR(VLOOKUP(JulyAttendance[[#This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0"/>
      <c r="AH7" s="40"/>
      <c r="AI7" s="78">
        <f>COUNTIF(JulyAttendance[[#This Row],[1]:[31]],Code1)</f>
        <v>0</v>
      </c>
      <c r="AJ7" s="78">
        <f>COUNTIF(JulyAttendance[[#This Row],[1]:[31]],Code2)</f>
        <v>0</v>
      </c>
      <c r="AK7" s="78">
        <f>COUNTIF(JulyAttendance[[#This Row],[1]:[31]],Code3)</f>
        <v>0</v>
      </c>
      <c r="AL7" s="78">
        <f>COUNTIF(JulyAttendance[[#This Row],[1]:[31]],Code4)</f>
        <v>0</v>
      </c>
      <c r="AM7" s="49">
        <f>SUM(JulyAttendance[[#This Row],[E]:[U]])</f>
        <v>0</v>
      </c>
    </row>
    <row r="8" spans="1:39" ht="16.5" customHeight="1">
      <c r="B8" s="76"/>
      <c r="C8" s="79" t="str">
        <f>IFERROR(VLOOKUP(JulyAttendance[[#This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0"/>
      <c r="AH8" s="40"/>
      <c r="AI8" s="78">
        <f>COUNTIF(JulyAttendance[[#This Row],[1]:[31]],Code1)</f>
        <v>0</v>
      </c>
      <c r="AJ8" s="78">
        <f>COUNTIF(JulyAttendance[[#This Row],[1]:[31]],Code2)</f>
        <v>0</v>
      </c>
      <c r="AK8" s="78">
        <f>COUNTIF(JulyAttendance[[#This Row],[1]:[31]],Code3)</f>
        <v>0</v>
      </c>
      <c r="AL8" s="78">
        <f>COUNTIF(JulyAttendance[[#This Row],[1]:[31]],Code4)</f>
        <v>0</v>
      </c>
      <c r="AM8" s="49">
        <f>SUM(JulyAttendance[[#This Row],[E]:[U]])</f>
        <v>0</v>
      </c>
    </row>
    <row r="9" spans="1:39" ht="16.5" customHeight="1">
      <c r="B9" s="76"/>
      <c r="C9" s="79" t="str">
        <f>IFERROR(VLOOKUP(JulyAttendance[[#This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0"/>
      <c r="AH9" s="40"/>
      <c r="AI9" s="78">
        <f>COUNTIF(JulyAttendance[[#This Row],[1]:[31]],Code1)</f>
        <v>0</v>
      </c>
      <c r="AJ9" s="78">
        <f>COUNTIF(JulyAttendance[[#This Row],[1]:[31]],Code2)</f>
        <v>0</v>
      </c>
      <c r="AK9" s="78">
        <f>COUNTIF(JulyAttendance[[#This Row],[1]:[31]],Code3)</f>
        <v>0</v>
      </c>
      <c r="AL9" s="78">
        <f>COUNTIF(JulyAttendance[[#This Row],[1]:[31]],Code4)</f>
        <v>0</v>
      </c>
      <c r="AM9" s="49">
        <f>SUM(JulyAttendance[[#This Row],[E]:[U]])</f>
        <v>0</v>
      </c>
    </row>
    <row r="10" spans="1:39" ht="16.5" customHeight="1">
      <c r="B10" s="76"/>
      <c r="C10" s="79" t="str">
        <f>IFERROR(VLOOKUP(JulyAttendance[[#This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0"/>
      <c r="AH10" s="40"/>
      <c r="AI10" s="78">
        <f>COUNTIF(JulyAttendance[[#This Row],[1]:[31]],Code1)</f>
        <v>0</v>
      </c>
      <c r="AJ10" s="78">
        <f>COUNTIF(JulyAttendance[[#This Row],[1]:[31]],Code2)</f>
        <v>0</v>
      </c>
      <c r="AK10" s="78">
        <f>COUNTIF(JulyAttendance[[#This Row],[1]:[31]],Code3)</f>
        <v>0</v>
      </c>
      <c r="AL10" s="78">
        <f>COUNTIF(JulyAttendance[[#This Row],[1]:[31]],Code4)</f>
        <v>0</v>
      </c>
      <c r="AM10" s="49">
        <f>SUM(JulyAttendance[[#This Row],[E]:[U]])</f>
        <v>0</v>
      </c>
    </row>
    <row r="11" spans="1:39" ht="16.5" customHeight="1">
      <c r="B11" s="76"/>
      <c r="C11" s="79" t="str">
        <f>IFERROR(VLOOKUP(JulyAttendance[[#This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0"/>
      <c r="AH11" s="40"/>
      <c r="AI11" s="78">
        <f>COUNTIF(JulyAttendance[[#This Row],[1]:[31]],Code1)</f>
        <v>0</v>
      </c>
      <c r="AJ11" s="78">
        <f>COUNTIF(JulyAttendance[[#This Row],[1]:[31]],Code2)</f>
        <v>0</v>
      </c>
      <c r="AK11" s="78">
        <f>COUNTIF(JulyAttendance[[#This Row],[1]:[31]],Code3)</f>
        <v>0</v>
      </c>
      <c r="AL11" s="78">
        <f>COUNTIF(JulyAttendance[[#This Row],[1]:[31]],Code4)</f>
        <v>0</v>
      </c>
      <c r="AM11" s="49">
        <f>SUM(JulyAttendance[[#This Row],[E]:[U]])</f>
        <v>0</v>
      </c>
    </row>
    <row r="12" spans="1:39" ht="16.5" customHeight="1">
      <c r="B12" s="40"/>
      <c r="C12" s="45" t="s">
        <v>98</v>
      </c>
      <c r="D12" s="49">
        <f>COUNTIF(JulyAttendance[1],"U")+COUNTIF(JulyAttendance[1],"E")</f>
        <v>0</v>
      </c>
      <c r="E12" s="49">
        <f>COUNTIF(JulyAttendance[2],"U")+COUNTIF(JulyAttendance[2],"E")</f>
        <v>0</v>
      </c>
      <c r="F12" s="49">
        <f>COUNTIF(JulyAttendance[3],"U")+COUNTIF(JulyAttendance[3],"E")</f>
        <v>0</v>
      </c>
      <c r="G12" s="49">
        <f>COUNTIF(JulyAttendance[4],"U")+COUNTIF(JulyAttendance[4],"E")</f>
        <v>0</v>
      </c>
      <c r="H12" s="49">
        <f>COUNTIF(JulyAttendance[5],"U")+COUNTIF(JulyAttendance[5],"E")</f>
        <v>0</v>
      </c>
      <c r="I12" s="49">
        <f>COUNTIF(JulyAttendance[6],"U")+COUNTIF(JulyAttendance[6],"E")</f>
        <v>0</v>
      </c>
      <c r="J12" s="49">
        <f>COUNTIF(JulyAttendance[7],"U")+COUNTIF(JulyAttendance[7],"E")</f>
        <v>0</v>
      </c>
      <c r="K12" s="49">
        <f>COUNTIF(JulyAttendance[8],"U")+COUNTIF(JulyAttendance[8],"E")</f>
        <v>0</v>
      </c>
      <c r="L12" s="49">
        <f>COUNTIF(JulyAttendance[9],"U")+COUNTIF(JulyAttendance[9],"E")</f>
        <v>0</v>
      </c>
      <c r="M12" s="49">
        <f>COUNTIF(JulyAttendance[10],"U")+COUNTIF(JulyAttendance[10],"E")</f>
        <v>0</v>
      </c>
      <c r="N12" s="49">
        <f>COUNTIF(JulyAttendance[11],"U")+COUNTIF(JulyAttendance[11],"E")</f>
        <v>0</v>
      </c>
      <c r="O12" s="49">
        <f>COUNTIF(JulyAttendance[12],"U")+COUNTIF(JulyAttendance[12],"E")</f>
        <v>0</v>
      </c>
      <c r="P12" s="49">
        <f>COUNTIF(JulyAttendance[13],"U")+COUNTIF(JulyAttendance[13],"E")</f>
        <v>0</v>
      </c>
      <c r="Q12" s="49">
        <f>COUNTIF(JulyAttendance[14],"U")+COUNTIF(JulyAttendance[14],"E")</f>
        <v>0</v>
      </c>
      <c r="R12" s="49">
        <f>COUNTIF(JulyAttendance[15],"U")+COUNTIF(JulyAttendance[15],"E")</f>
        <v>0</v>
      </c>
      <c r="S12" s="49">
        <f>COUNTIF(JulyAttendance[16],"U")+COUNTIF(JulyAttendance[16],"E")</f>
        <v>0</v>
      </c>
      <c r="T12" s="49">
        <f>COUNTIF(JulyAttendance[17],"U")+COUNTIF(JulyAttendance[17],"E")</f>
        <v>0</v>
      </c>
      <c r="U12" s="49">
        <f>COUNTIF(JulyAttendance[18],"U")+COUNTIF(JulyAttendance[18],"E")</f>
        <v>0</v>
      </c>
      <c r="V12" s="49">
        <f>COUNTIF(JulyAttendance[19],"U")+COUNTIF(JulyAttendance[19],"E")</f>
        <v>0</v>
      </c>
      <c r="W12" s="49">
        <f>COUNTIF(JulyAttendance[20],"U")+COUNTIF(JulyAttendance[20],"E")</f>
        <v>0</v>
      </c>
      <c r="X12" s="49">
        <f>COUNTIF(JulyAttendance[21],"U")+COUNTIF(JulyAttendance[21],"E")</f>
        <v>0</v>
      </c>
      <c r="Y12" s="49">
        <f>COUNTIF(JulyAttendance[22],"U")+COUNTIF(JulyAttendance[22],"E")</f>
        <v>0</v>
      </c>
      <c r="Z12" s="49">
        <f>COUNTIF(JulyAttendance[23],"U")+COUNTIF(JulyAttendance[23],"E")</f>
        <v>0</v>
      </c>
      <c r="AA12" s="49">
        <f>COUNTIF(JulyAttendance[24],"U")+COUNTIF(JulyAttendance[24],"E")</f>
        <v>0</v>
      </c>
      <c r="AB12" s="49">
        <f>COUNTIF(JulyAttendance[25],"U")+COUNTIF(JulyAttendance[25],"E")</f>
        <v>0</v>
      </c>
      <c r="AC12" s="49">
        <f>COUNTIF(JulyAttendance[26],"U")+COUNTIF(JulyAttendance[26],"E")</f>
        <v>0</v>
      </c>
      <c r="AD12" s="49">
        <f>COUNTIF(JulyAttendance[27],"U")+COUNTIF(JulyAttendance[27],"E")</f>
        <v>0</v>
      </c>
      <c r="AE12" s="49">
        <f>COUNTIF(JulyAttendance[28],"U")+COUNTIF(JulyAttendance[28],"E")</f>
        <v>0</v>
      </c>
      <c r="AF12" s="49">
        <f>COUNTIF(JulyAttendance[29],"U")+COUNTIF(JulyAttendance[29],"E")</f>
        <v>0</v>
      </c>
      <c r="AG12" s="49"/>
      <c r="AH12" s="49"/>
      <c r="AI12" s="49">
        <f>SUBTOTAL(109,JulyAttendance[T])</f>
        <v>0</v>
      </c>
      <c r="AJ12" s="49">
        <f>SUBTOTAL(109,JulyAttendance[E])</f>
        <v>0</v>
      </c>
      <c r="AK12" s="49">
        <f>SUBTOTAL(109,JulyAttendance[U])</f>
        <v>0</v>
      </c>
      <c r="AL12" s="49">
        <f>SUBTOTAL(109,JulyAttendance[P])</f>
        <v>0</v>
      </c>
      <c r="AM12" s="49">
        <f>SUBTOTAL(109,JulyAttendance[缺席天数])</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1">
      <dataBar>
        <cfvo type="min"/>
        <cfvo type="num" val="DATEDIF(DATE(CalendarYear,2,1),DATE(CalendarYear,3,1),&quot;d&quot;)"/>
        <color theme="4"/>
      </dataBar>
      <extLst>
        <ext xmlns:x14="http://schemas.microsoft.com/office/spreadsheetml/2009/9/main" uri="{B025F937-C7B1-47D3-B67F-A62EFF666E3E}">
          <x14:id>{9F36FAEC-C62D-409B-BB81-2770CD5BFB3E}</x14:id>
        </ext>
      </extLst>
    </cfRule>
  </conditionalFormatting>
  <conditionalFormatting sqref="D7:AF11">
    <cfRule type="expression" dxfId="89" priority="2" stopIfTrue="1">
      <formula>D7=Code2</formula>
    </cfRule>
  </conditionalFormatting>
  <conditionalFormatting sqref="D7:AF11">
    <cfRule type="expression" dxfId="88" priority="3" stopIfTrue="1">
      <formula>D7=Code5</formula>
    </cfRule>
    <cfRule type="expression" dxfId="87" priority="4" stopIfTrue="1">
      <formula>D7=Code4</formula>
    </cfRule>
    <cfRule type="expression" dxfId="86" priority="5" stopIfTrue="1">
      <formula>D7=Code3</formula>
    </cfRule>
    <cfRule type="expression" dxfId="85" priority="6"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36FAEC-C62D-409B-BB81-2770CD5BFB3E}">
            <x14:dataBar minLength="0" maxLength="100" border="1" negativeBarBorderColorSameAsPositive="0">
              <x14:cfvo type="autoMin"/>
              <x14:cfvo type="num">
                <xm:f>DATEDIF(DATE(CalendarYear,2,1),DATE(CalendarYear,3,1),"d")</xm:f>
              </x14:cfvo>
              <x14:borderColor theme="4"/>
              <x14:negativeFillColor rgb="FFFF0000"/>
              <x14:negativeBorderColor rgb="FFFF0000"/>
              <x14:axisColor rgb="FF000000"/>
            </x14:dataBar>
          </x14:cfRule>
          <xm:sqref>AM7:AM11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AK40"/>
  <sheetViews>
    <sheetView showGridLines="0" tabSelected="1" zoomScaleNormal="100" workbookViewId="0">
      <selection activeCell="B4" sqref="B4:C4"/>
    </sheetView>
  </sheetViews>
  <sheetFormatPr defaultRowHeight="16.5"/>
  <cols>
    <col min="1" max="1" width="3.42578125" style="86" customWidth="1"/>
    <col min="2" max="2" width="10.85546875" style="86" customWidth="1"/>
    <col min="3" max="33" width="3.28515625" style="86" customWidth="1"/>
    <col min="34" max="37" width="6.140625" style="86" customWidth="1"/>
    <col min="38" max="16384" width="9.140625" style="86"/>
  </cols>
  <sheetData>
    <row r="1" spans="1:37" ht="33" customHeight="1">
      <c r="A1" s="80" t="str">
        <f>"出勤记录 "</f>
        <v xml:space="preserve">出勤记录 </v>
      </c>
      <c r="B1" s="81"/>
      <c r="C1" s="83" t="str">
        <f>D4</f>
        <v>贾卫国</v>
      </c>
      <c r="D1" s="82"/>
      <c r="E1" s="82"/>
      <c r="F1" s="82"/>
      <c r="G1" s="82"/>
      <c r="H1" s="82"/>
      <c r="I1" s="83"/>
      <c r="J1" s="81"/>
      <c r="K1" s="81"/>
      <c r="L1" s="81"/>
      <c r="M1" s="82"/>
      <c r="N1" s="84"/>
      <c r="O1" s="84"/>
      <c r="P1" s="84"/>
      <c r="Q1" s="84"/>
      <c r="R1" s="84"/>
      <c r="S1" s="84"/>
      <c r="T1" s="84"/>
      <c r="U1" s="84"/>
      <c r="V1" s="84"/>
      <c r="W1" s="84"/>
      <c r="X1" s="84"/>
      <c r="Y1" s="84"/>
      <c r="Z1" s="84"/>
      <c r="AA1" s="84"/>
      <c r="AB1" s="84"/>
      <c r="AC1" s="84"/>
      <c r="AD1" s="84"/>
      <c r="AE1" s="84"/>
      <c r="AF1" s="84"/>
      <c r="AG1" s="84"/>
      <c r="AH1" s="84"/>
      <c r="AI1" s="84"/>
      <c r="AJ1" s="84"/>
      <c r="AK1" s="85"/>
    </row>
    <row r="2" spans="1:37" s="4" customFormat="1" ht="15" customHeight="1"/>
    <row r="3" spans="1:37" ht="17.25" customHeight="1">
      <c r="B3" s="87" t="s">
        <v>67</v>
      </c>
      <c r="C3" s="88"/>
      <c r="D3" s="132" t="s">
        <v>106</v>
      </c>
      <c r="E3" s="132"/>
      <c r="F3" s="132"/>
      <c r="G3" s="132"/>
      <c r="H3" s="132"/>
      <c r="I3" s="132"/>
      <c r="J3" s="132"/>
      <c r="K3" s="132"/>
      <c r="L3" s="132"/>
      <c r="M3" s="132"/>
      <c r="N3" s="132"/>
      <c r="O3" s="132"/>
      <c r="P3" s="137" t="s">
        <v>107</v>
      </c>
      <c r="Q3" s="137"/>
      <c r="R3" s="137"/>
      <c r="S3" s="137" t="s">
        <v>108</v>
      </c>
      <c r="T3" s="137"/>
      <c r="U3" s="137"/>
      <c r="V3" s="137"/>
      <c r="W3" s="137" t="s">
        <v>109</v>
      </c>
      <c r="X3" s="137"/>
      <c r="Y3" s="137"/>
      <c r="Z3" s="137"/>
      <c r="AA3" s="137"/>
      <c r="AB3" s="137"/>
      <c r="AC3" s="137"/>
      <c r="AD3" s="137"/>
      <c r="AE3" s="135" t="s">
        <v>110</v>
      </c>
      <c r="AF3" s="135"/>
      <c r="AG3" s="137" t="s">
        <v>111</v>
      </c>
      <c r="AH3" s="137"/>
      <c r="AI3" s="137"/>
      <c r="AJ3" s="137"/>
      <c r="AK3" s="89" t="s">
        <v>112</v>
      </c>
    </row>
    <row r="4" spans="1:37" ht="17.25" customHeight="1">
      <c r="B4" s="130" t="s">
        <v>138</v>
      </c>
      <c r="C4" s="130"/>
      <c r="D4" s="131" t="str">
        <f>IFERROR(VLOOKUP(StudentLookup,StudentList[],18,FALSE),"")</f>
        <v>贾卫国</v>
      </c>
      <c r="E4" s="131"/>
      <c r="F4" s="131"/>
      <c r="G4" s="131"/>
      <c r="H4" s="131"/>
      <c r="I4" s="131"/>
      <c r="J4" s="131"/>
      <c r="K4" s="131"/>
      <c r="L4" s="131"/>
      <c r="M4" s="131"/>
      <c r="N4" s="131"/>
      <c r="O4" s="131"/>
      <c r="P4" s="139" t="str">
        <f>IFERROR(VLOOKUP(StudentLookup,StudentList[],4,FALSE),"")</f>
        <v>男</v>
      </c>
      <c r="Q4" s="139"/>
      <c r="R4" s="139"/>
      <c r="S4" s="140">
        <f>IFERROR(VLOOKUP(StudentLookup,StudentList[],5,FALSE),"")</f>
        <v>35517</v>
      </c>
      <c r="T4" s="140"/>
      <c r="U4" s="140"/>
      <c r="V4" s="140"/>
      <c r="W4" s="130" t="s">
        <v>113</v>
      </c>
      <c r="X4" s="130"/>
      <c r="Y4" s="130"/>
      <c r="Z4" s="130"/>
      <c r="AA4" s="130"/>
      <c r="AB4" s="130"/>
      <c r="AC4" s="130"/>
      <c r="AD4" s="130"/>
      <c r="AE4" s="136">
        <v>7</v>
      </c>
      <c r="AF4" s="136"/>
      <c r="AG4" s="130" t="s">
        <v>114</v>
      </c>
      <c r="AH4" s="130"/>
      <c r="AI4" s="130"/>
      <c r="AJ4" s="130"/>
      <c r="AK4" s="90">
        <v>123</v>
      </c>
    </row>
    <row r="5" spans="1:37" ht="17.25" customHeight="1">
      <c r="B5" s="137" t="s">
        <v>115</v>
      </c>
      <c r="C5" s="137"/>
      <c r="D5" s="137"/>
      <c r="E5" s="137"/>
      <c r="F5" s="137"/>
      <c r="G5" s="137"/>
      <c r="H5" s="137"/>
      <c r="I5" s="137"/>
      <c r="J5" s="137"/>
      <c r="K5" s="137" t="s">
        <v>117</v>
      </c>
      <c r="L5" s="137"/>
      <c r="M5" s="137"/>
      <c r="N5" s="137"/>
      <c r="O5" s="137"/>
      <c r="P5" s="137"/>
      <c r="Q5" s="137"/>
      <c r="R5" s="137"/>
      <c r="S5" s="137"/>
      <c r="T5" s="137"/>
      <c r="U5" s="137"/>
      <c r="V5" s="137"/>
      <c r="W5" s="137" t="s">
        <v>118</v>
      </c>
      <c r="X5" s="137"/>
      <c r="Y5" s="137"/>
      <c r="Z5" s="137"/>
      <c r="AA5" s="137"/>
      <c r="AB5" s="137"/>
      <c r="AC5" s="137"/>
      <c r="AD5" s="137"/>
      <c r="AE5" s="137" t="s">
        <v>119</v>
      </c>
      <c r="AF5" s="137"/>
      <c r="AG5" s="137"/>
      <c r="AH5" s="137"/>
      <c r="AI5" s="137"/>
      <c r="AJ5" s="137"/>
      <c r="AK5" s="137"/>
    </row>
    <row r="6" spans="1:37" ht="17.25" customHeight="1">
      <c r="B6" s="131" t="str">
        <f>IFERROR(VLOOKUP(StudentLookup,StudentList[],6,FALSE),"")</f>
        <v>黎圆圆</v>
      </c>
      <c r="C6" s="131"/>
      <c r="D6" s="131"/>
      <c r="E6" s="131"/>
      <c r="F6" s="131"/>
      <c r="G6" s="131"/>
      <c r="H6" s="131"/>
      <c r="I6" s="131"/>
      <c r="J6" s="131"/>
      <c r="K6" s="131" t="str">
        <f>IFERROR(VLOOKUP(StudentLookup,StudentList[],7,FALSE),"")</f>
        <v>母亲</v>
      </c>
      <c r="L6" s="131"/>
      <c r="M6" s="131"/>
      <c r="N6" s="131"/>
      <c r="O6" s="131"/>
      <c r="P6" s="131"/>
      <c r="Q6" s="131"/>
      <c r="R6" s="131"/>
      <c r="S6" s="131"/>
      <c r="T6" s="131"/>
      <c r="U6" s="131"/>
      <c r="V6" s="131"/>
      <c r="W6" s="138">
        <f>IFERROR(VLOOKUP(StudentLookup,StudentList[],8,FALSE),"")</f>
        <v>1235550134</v>
      </c>
      <c r="X6" s="138"/>
      <c r="Y6" s="138"/>
      <c r="Z6" s="138"/>
      <c r="AA6" s="138"/>
      <c r="AB6" s="138"/>
      <c r="AC6" s="138"/>
      <c r="AD6" s="138"/>
      <c r="AE6" s="138">
        <f>IFERROR(VLOOKUP(StudentLookup,StudentList[],9,FALSE),"")</f>
        <v>2345550134</v>
      </c>
      <c r="AF6" s="138"/>
      <c r="AG6" s="138"/>
      <c r="AH6" s="138"/>
      <c r="AI6" s="138"/>
      <c r="AJ6" s="138"/>
      <c r="AK6" s="138"/>
    </row>
    <row r="7" spans="1:37" ht="17.25" customHeight="1">
      <c r="B7" s="137" t="s">
        <v>116</v>
      </c>
      <c r="C7" s="137"/>
      <c r="D7" s="137"/>
      <c r="E7" s="137"/>
      <c r="F7" s="137"/>
      <c r="G7" s="137"/>
      <c r="H7" s="137"/>
      <c r="I7" s="137"/>
      <c r="J7" s="137"/>
      <c r="K7" s="137" t="s">
        <v>117</v>
      </c>
      <c r="L7" s="137"/>
      <c r="M7" s="137"/>
      <c r="N7" s="137"/>
      <c r="O7" s="137"/>
      <c r="P7" s="137"/>
      <c r="Q7" s="137"/>
      <c r="R7" s="137"/>
      <c r="S7" s="137"/>
      <c r="T7" s="137"/>
      <c r="U7" s="137"/>
      <c r="V7" s="137"/>
      <c r="W7" s="137" t="s">
        <v>118</v>
      </c>
      <c r="X7" s="137"/>
      <c r="Y7" s="137"/>
      <c r="Z7" s="137"/>
      <c r="AA7" s="137"/>
      <c r="AB7" s="137"/>
      <c r="AC7" s="137"/>
      <c r="AD7" s="137"/>
      <c r="AE7" s="137" t="s">
        <v>119</v>
      </c>
      <c r="AF7" s="137"/>
      <c r="AG7" s="137"/>
      <c r="AH7" s="137"/>
      <c r="AI7" s="137"/>
      <c r="AJ7" s="137"/>
      <c r="AK7" s="137"/>
    </row>
    <row r="8" spans="1:37" ht="17.25" customHeight="1">
      <c r="B8" s="131" t="str">
        <f>IFERROR(VLOOKUP(StudentLookup,StudentList[],10,FALSE),"")</f>
        <v>贾志军</v>
      </c>
      <c r="C8" s="131"/>
      <c r="D8" s="131"/>
      <c r="E8" s="131"/>
      <c r="F8" s="131"/>
      <c r="G8" s="131"/>
      <c r="H8" s="131"/>
      <c r="I8" s="131"/>
      <c r="J8" s="131"/>
      <c r="K8" s="131" t="str">
        <f>IFERROR(VLOOKUP(StudentLookup,StudentList[],11,FALSE),"")</f>
        <v>父亲</v>
      </c>
      <c r="L8" s="131"/>
      <c r="M8" s="131"/>
      <c r="N8" s="131"/>
      <c r="O8" s="131"/>
      <c r="P8" s="131"/>
      <c r="Q8" s="131"/>
      <c r="R8" s="131"/>
      <c r="S8" s="131"/>
      <c r="T8" s="131"/>
      <c r="U8" s="131"/>
      <c r="V8" s="131"/>
      <c r="W8" s="138">
        <f>IFERROR(VLOOKUP(StudentLookup,StudentList[],12,FALSE),"")</f>
        <v>1235550134</v>
      </c>
      <c r="X8" s="138"/>
      <c r="Y8" s="138"/>
      <c r="Z8" s="138"/>
      <c r="AA8" s="138"/>
      <c r="AB8" s="138"/>
      <c r="AC8" s="138"/>
      <c r="AD8" s="138"/>
      <c r="AE8" s="138">
        <f>IFERROR(VLOOKUP(StudentLookup,StudentList[],13,FALSE),"")</f>
        <v>2345550134</v>
      </c>
      <c r="AF8" s="138"/>
      <c r="AG8" s="138"/>
      <c r="AH8" s="138"/>
      <c r="AI8" s="138"/>
      <c r="AJ8" s="138"/>
      <c r="AK8" s="138"/>
    </row>
    <row r="9" spans="1:37" ht="17.25" customHeight="1">
      <c r="B9" s="137" t="s">
        <v>120</v>
      </c>
      <c r="C9" s="137"/>
      <c r="D9" s="137"/>
      <c r="E9" s="137"/>
      <c r="F9" s="137"/>
      <c r="G9" s="137"/>
      <c r="H9" s="137"/>
      <c r="I9" s="137"/>
      <c r="J9" s="137"/>
      <c r="K9" s="137" t="s">
        <v>117</v>
      </c>
      <c r="L9" s="137"/>
      <c r="M9" s="137"/>
      <c r="N9" s="137"/>
      <c r="O9" s="137"/>
      <c r="P9" s="137"/>
      <c r="Q9" s="137"/>
      <c r="R9" s="137"/>
      <c r="S9" s="137"/>
      <c r="T9" s="137"/>
      <c r="U9" s="137"/>
      <c r="V9" s="137"/>
      <c r="W9" s="137" t="s">
        <v>118</v>
      </c>
      <c r="X9" s="137"/>
      <c r="Y9" s="137"/>
      <c r="Z9" s="137"/>
      <c r="AA9" s="137"/>
      <c r="AB9" s="137"/>
      <c r="AC9" s="137"/>
      <c r="AD9" s="137"/>
      <c r="AE9" s="137" t="s">
        <v>119</v>
      </c>
      <c r="AF9" s="137"/>
      <c r="AG9" s="137"/>
      <c r="AH9" s="137"/>
      <c r="AI9" s="137"/>
      <c r="AJ9" s="137"/>
      <c r="AK9" s="137"/>
    </row>
    <row r="10" spans="1:37" ht="17.25" customHeight="1">
      <c r="B10" s="131" t="str">
        <f>IFERROR(VLOOKUP(StudentLookup,StudentList[],14,FALSE),"")</f>
        <v>贾城</v>
      </c>
      <c r="C10" s="131"/>
      <c r="D10" s="131"/>
      <c r="E10" s="131"/>
      <c r="F10" s="131"/>
      <c r="G10" s="131"/>
      <c r="H10" s="131"/>
      <c r="I10" s="131"/>
      <c r="J10" s="131"/>
      <c r="K10" s="131" t="str">
        <f>IFERROR(VLOOKUP(StudentLookup,StudentList[],15,FALSE),"")</f>
        <v>祖父</v>
      </c>
      <c r="L10" s="131"/>
      <c r="M10" s="131"/>
      <c r="N10" s="131"/>
      <c r="O10" s="131"/>
      <c r="P10" s="131"/>
      <c r="Q10" s="131"/>
      <c r="R10" s="131"/>
      <c r="S10" s="131"/>
      <c r="T10" s="131"/>
      <c r="U10" s="131"/>
      <c r="V10" s="131"/>
      <c r="W10" s="138">
        <f>IFERROR(VLOOKUP(StudentLookup,StudentList[],16,FALSE),"")</f>
        <v>7895550189</v>
      </c>
      <c r="X10" s="138"/>
      <c r="Y10" s="138"/>
      <c r="Z10" s="138"/>
      <c r="AA10" s="138"/>
      <c r="AB10" s="138"/>
      <c r="AC10" s="138"/>
      <c r="AD10" s="138"/>
      <c r="AE10" s="138">
        <f>IFERROR(VLOOKUP(StudentLookup,StudentList[],17,FALSE),"")</f>
        <v>7895550134</v>
      </c>
      <c r="AF10" s="138"/>
      <c r="AG10" s="138"/>
      <c r="AH10" s="138"/>
      <c r="AI10" s="138"/>
      <c r="AJ10" s="138"/>
      <c r="AK10" s="138"/>
    </row>
    <row r="11" spans="1:37" ht="10.5" customHeight="1">
      <c r="B11" s="91"/>
      <c r="C11" s="91"/>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row>
    <row r="12" spans="1:37" ht="15.75" customHeight="1">
      <c r="B12" s="93" t="str">
        <f>八月!C3</f>
        <v>颜色键</v>
      </c>
      <c r="C12" s="94" t="str">
        <f>八月!D3</f>
        <v>T</v>
      </c>
      <c r="D12" s="93" t="str">
        <f>八月!E3</f>
        <v>迟到</v>
      </c>
      <c r="E12" s="93"/>
      <c r="F12" s="93"/>
      <c r="G12" s="95" t="str">
        <f>八月!H3</f>
        <v>E</v>
      </c>
      <c r="H12" s="93" t="str">
        <f>八月!I3</f>
        <v>请假</v>
      </c>
      <c r="I12" s="93"/>
      <c r="J12" s="93"/>
      <c r="K12" s="96" t="str">
        <f>八月!L3</f>
        <v>U</v>
      </c>
      <c r="L12" s="93" t="str">
        <f>八月!M3</f>
        <v>无故缺席</v>
      </c>
      <c r="M12" s="93"/>
      <c r="N12" s="93"/>
      <c r="O12" s="97"/>
      <c r="P12" s="98" t="str">
        <f>八月!P3</f>
        <v>P</v>
      </c>
      <c r="Q12" s="93" t="str">
        <f>八月!Q3</f>
        <v>到场</v>
      </c>
      <c r="R12" s="93"/>
      <c r="S12" s="93"/>
      <c r="T12" s="99" t="str">
        <f>八月!T3</f>
        <v>N</v>
      </c>
      <c r="U12" s="100" t="str">
        <f>八月!U3</f>
        <v>停课</v>
      </c>
      <c r="V12" s="91"/>
      <c r="W12" s="92"/>
      <c r="X12" s="92"/>
      <c r="Y12" s="92"/>
      <c r="Z12" s="92"/>
      <c r="AA12" s="92"/>
      <c r="AB12" s="92"/>
      <c r="AC12" s="92"/>
      <c r="AD12" s="92"/>
      <c r="AE12" s="92"/>
      <c r="AF12" s="92"/>
      <c r="AG12" s="92"/>
      <c r="AH12" s="92"/>
      <c r="AI12" s="92"/>
      <c r="AJ12" s="92"/>
      <c r="AK12" s="92"/>
    </row>
    <row r="13" spans="1:37" ht="6" customHeight="1"/>
    <row r="14" spans="1:37" ht="16.5" customHeight="1">
      <c r="B14" s="133" t="s">
        <v>121</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29" t="s">
        <v>95</v>
      </c>
      <c r="AI14" s="129"/>
      <c r="AJ14" s="129"/>
      <c r="AK14" s="129"/>
    </row>
    <row r="15" spans="1:37" ht="17.25" thickBot="1">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01" t="s">
        <v>32</v>
      </c>
      <c r="AI15" s="102" t="s">
        <v>34</v>
      </c>
      <c r="AJ15" s="103" t="s">
        <v>33</v>
      </c>
      <c r="AK15" s="104" t="s">
        <v>31</v>
      </c>
    </row>
    <row r="16" spans="1:37">
      <c r="B16" s="128" t="s">
        <v>122</v>
      </c>
      <c r="C16" s="105">
        <v>1</v>
      </c>
      <c r="D16" s="105">
        <v>2</v>
      </c>
      <c r="E16" s="105">
        <v>3</v>
      </c>
      <c r="F16" s="105">
        <v>4</v>
      </c>
      <c r="G16" s="105">
        <v>5</v>
      </c>
      <c r="H16" s="105">
        <v>6</v>
      </c>
      <c r="I16" s="105">
        <v>7</v>
      </c>
      <c r="J16" s="105">
        <v>8</v>
      </c>
      <c r="K16" s="105">
        <v>9</v>
      </c>
      <c r="L16" s="105">
        <v>10</v>
      </c>
      <c r="M16" s="105">
        <v>11</v>
      </c>
      <c r="N16" s="105">
        <v>12</v>
      </c>
      <c r="O16" s="105">
        <v>13</v>
      </c>
      <c r="P16" s="105">
        <v>14</v>
      </c>
      <c r="Q16" s="105">
        <v>15</v>
      </c>
      <c r="R16" s="105">
        <v>16</v>
      </c>
      <c r="S16" s="105">
        <v>17</v>
      </c>
      <c r="T16" s="105">
        <v>18</v>
      </c>
      <c r="U16" s="105">
        <v>19</v>
      </c>
      <c r="V16" s="105">
        <v>20</v>
      </c>
      <c r="W16" s="105">
        <v>21</v>
      </c>
      <c r="X16" s="105">
        <v>22</v>
      </c>
      <c r="Y16" s="105">
        <v>23</v>
      </c>
      <c r="Z16" s="105">
        <v>24</v>
      </c>
      <c r="AA16" s="105">
        <v>25</v>
      </c>
      <c r="AB16" s="105">
        <v>26</v>
      </c>
      <c r="AC16" s="105">
        <v>27</v>
      </c>
      <c r="AD16" s="105">
        <v>28</v>
      </c>
      <c r="AE16" s="105">
        <v>29</v>
      </c>
      <c r="AF16" s="105">
        <v>30</v>
      </c>
      <c r="AG16" s="105">
        <v>31</v>
      </c>
      <c r="AH16" s="123">
        <f>COUNTIF($D17:$AH17,Code1)</f>
        <v>2</v>
      </c>
      <c r="AI16" s="123">
        <f>COUNTIF($D17:$AH17,Code2)</f>
        <v>1</v>
      </c>
      <c r="AJ16" s="123">
        <f>COUNTIF($D17:$AH17,Code3)</f>
        <v>0</v>
      </c>
      <c r="AK16" s="123">
        <f>COUNTIF($D17:$AH17,Code4)</f>
        <v>19</v>
      </c>
    </row>
    <row r="17" spans="2:37">
      <c r="B17" s="125"/>
      <c r="C17" s="106" t="str">
        <f>IFERROR(VLOOKUP(StudentLookup,AugustAttendance[],3,FALSE),"")</f>
        <v>P</v>
      </c>
      <c r="D17" s="106" t="str">
        <f>IFERROR(VLOOKUP(StudentLookup,AugustAttendance[],4,FALSE),"")</f>
        <v>P</v>
      </c>
      <c r="E17" s="106" t="str">
        <f>IFERROR(VLOOKUP(StudentLookup,AugustAttendance[],5,FALSE),"")</f>
        <v>T</v>
      </c>
      <c r="F17" s="106" t="str">
        <f>IFERROR(VLOOKUP(StudentLookup,AugustAttendance[],6,FALSE),"")</f>
        <v>T</v>
      </c>
      <c r="G17" s="106" t="str">
        <f>IFERROR(VLOOKUP(StudentLookup,AugustAttendance[],7,FALSE),"")</f>
        <v>P</v>
      </c>
      <c r="H17" s="106" t="str">
        <f>IFERROR(VLOOKUP(StudentLookup,AugustAttendance[],8,FALSE),"")</f>
        <v>N</v>
      </c>
      <c r="I17" s="106" t="str">
        <f>IFERROR(VLOOKUP(StudentLookup,AugustAttendance[],9,FALSE),"")</f>
        <v>N</v>
      </c>
      <c r="J17" s="106" t="str">
        <f>IFERROR(VLOOKUP(StudentLookup,AugustAttendance[],10,FALSE),"")</f>
        <v>P</v>
      </c>
      <c r="K17" s="106" t="str">
        <f>IFERROR(VLOOKUP(StudentLookup,AugustAttendance[],11,FALSE),"")</f>
        <v>P</v>
      </c>
      <c r="L17" s="106" t="str">
        <f>IFERROR(VLOOKUP(StudentLookup,AugustAttendance[],12,FALSE),"")</f>
        <v>E</v>
      </c>
      <c r="M17" s="106" t="str">
        <f>IFERROR(VLOOKUP(StudentLookup,AugustAttendance[],13,FALSE),"")</f>
        <v>P</v>
      </c>
      <c r="N17" s="106" t="str">
        <f>IFERROR(VLOOKUP(StudentLookup,AugustAttendance[],14,FALSE),"")</f>
        <v>P</v>
      </c>
      <c r="O17" s="106" t="str">
        <f>IFERROR(VLOOKUP(StudentLookup,AugustAttendance[],15,FALSE),"")</f>
        <v>N</v>
      </c>
      <c r="P17" s="106" t="str">
        <f>IFERROR(VLOOKUP(StudentLookup,AugustAttendance[],16,FALSE),"")</f>
        <v>N</v>
      </c>
      <c r="Q17" s="106" t="str">
        <f>IFERROR(VLOOKUP(StudentLookup,AugustAttendance[],17,FALSE),"")</f>
        <v>P</v>
      </c>
      <c r="R17" s="106" t="str">
        <f>IFERROR(VLOOKUP(StudentLookup,AugustAttendance[],18,FALSE),"")</f>
        <v>P</v>
      </c>
      <c r="S17" s="106" t="str">
        <f>IFERROR(VLOOKUP(StudentLookup,AugustAttendance[],19,FALSE),"")</f>
        <v>P</v>
      </c>
      <c r="T17" s="106" t="str">
        <f>IFERROR(VLOOKUP(StudentLookup,AugustAttendance[],20,FALSE),"")</f>
        <v>P</v>
      </c>
      <c r="U17" s="106" t="str">
        <f>IFERROR(VLOOKUP(StudentLookup,AugustAttendance[],21,FALSE),"")</f>
        <v>P</v>
      </c>
      <c r="V17" s="106" t="str">
        <f>IFERROR(VLOOKUP(StudentLookup,AugustAttendance[],22,FALSE),"")</f>
        <v>N</v>
      </c>
      <c r="W17" s="106" t="str">
        <f>IFERROR(VLOOKUP(StudentLookup,AugustAttendance[],23,FALSE),"")</f>
        <v>N</v>
      </c>
      <c r="X17" s="106" t="str">
        <f>IFERROR(VLOOKUP(StudentLookup,AugustAttendance[],24,FALSE),"")</f>
        <v>P</v>
      </c>
      <c r="Y17" s="106" t="str">
        <f>IFERROR(VLOOKUP(StudentLookup,AugustAttendance[],25,FALSE),"")</f>
        <v>P</v>
      </c>
      <c r="Z17" s="106" t="str">
        <f>IFERROR(VLOOKUP(StudentLookup,AugustAttendance[],26,FALSE),"")</f>
        <v>P</v>
      </c>
      <c r="AA17" s="106" t="str">
        <f>IFERROR(VLOOKUP(StudentLookup,AugustAttendance[],27,FALSE),"")</f>
        <v>P</v>
      </c>
      <c r="AB17" s="106" t="str">
        <f>IFERROR(VLOOKUP(StudentLookup,AugustAttendance[],28,FALSE),"")</f>
        <v>P</v>
      </c>
      <c r="AC17" s="106" t="str">
        <f>IFERROR(VLOOKUP(StudentLookup,AugustAttendance[],29,FALSE),"")</f>
        <v>N</v>
      </c>
      <c r="AD17" s="106" t="str">
        <f>IFERROR(VLOOKUP(StudentLookup,AugustAttendance[],30,FALSE),"")</f>
        <v>N</v>
      </c>
      <c r="AE17" s="106" t="str">
        <f>IFERROR(VLOOKUP(StudentLookup,AugustAttendance[],31,FALSE),"")</f>
        <v>P</v>
      </c>
      <c r="AF17" s="106" t="str">
        <f>IFERROR(VLOOKUP(StudentLookup,AugustAttendance[],32,FALSE),"")</f>
        <v>P</v>
      </c>
      <c r="AG17" s="106" t="str">
        <f>IFERROR(VLOOKUP(StudentLookup,AugustAttendance[],33,FALSE),"")</f>
        <v>P</v>
      </c>
      <c r="AH17" s="126"/>
      <c r="AI17" s="126"/>
      <c r="AJ17" s="126"/>
      <c r="AK17" s="126"/>
    </row>
    <row r="18" spans="2:37">
      <c r="B18" s="125" t="s">
        <v>123</v>
      </c>
      <c r="C18" s="107">
        <v>1</v>
      </c>
      <c r="D18" s="107">
        <v>2</v>
      </c>
      <c r="E18" s="107">
        <v>3</v>
      </c>
      <c r="F18" s="107">
        <v>4</v>
      </c>
      <c r="G18" s="107">
        <v>5</v>
      </c>
      <c r="H18" s="107">
        <v>6</v>
      </c>
      <c r="I18" s="107">
        <v>7</v>
      </c>
      <c r="J18" s="107">
        <v>8</v>
      </c>
      <c r="K18" s="107">
        <v>9</v>
      </c>
      <c r="L18" s="107">
        <v>10</v>
      </c>
      <c r="M18" s="107">
        <v>11</v>
      </c>
      <c r="N18" s="107">
        <v>12</v>
      </c>
      <c r="O18" s="107">
        <v>13</v>
      </c>
      <c r="P18" s="107">
        <v>14</v>
      </c>
      <c r="Q18" s="107">
        <v>15</v>
      </c>
      <c r="R18" s="107">
        <v>16</v>
      </c>
      <c r="S18" s="107">
        <v>17</v>
      </c>
      <c r="T18" s="107">
        <v>18</v>
      </c>
      <c r="U18" s="107">
        <v>19</v>
      </c>
      <c r="V18" s="107">
        <v>20</v>
      </c>
      <c r="W18" s="107">
        <v>21</v>
      </c>
      <c r="X18" s="107">
        <v>22</v>
      </c>
      <c r="Y18" s="107">
        <v>23</v>
      </c>
      <c r="Z18" s="107">
        <v>24</v>
      </c>
      <c r="AA18" s="107">
        <v>25</v>
      </c>
      <c r="AB18" s="107">
        <v>26</v>
      </c>
      <c r="AC18" s="107">
        <v>27</v>
      </c>
      <c r="AD18" s="107">
        <v>28</v>
      </c>
      <c r="AE18" s="107">
        <v>29</v>
      </c>
      <c r="AF18" s="107">
        <v>30</v>
      </c>
      <c r="AG18" s="107"/>
      <c r="AH18" s="126">
        <f>COUNTIF($D19:$AH19,Code1)</f>
        <v>0</v>
      </c>
      <c r="AI18" s="126">
        <f>COUNTIF($D19:$AH19,Code2)</f>
        <v>0</v>
      </c>
      <c r="AJ18" s="126">
        <f>COUNTIF($D19:$AH19,Code3)</f>
        <v>0</v>
      </c>
      <c r="AK18" s="126">
        <f>COUNTIF($D19:$AH19,Code4)</f>
        <v>0</v>
      </c>
    </row>
    <row r="19" spans="2:37">
      <c r="B19" s="125"/>
      <c r="C19" s="106" t="str">
        <f>IFERROR(VLOOKUP(StudentLookup,SeptemberAttendance[],3,FALSE),"")</f>
        <v/>
      </c>
      <c r="D19" s="106" t="str">
        <f>IFERROR(VLOOKUP(StudentLookup,SeptemberAttendance[],4,FALSE),"")</f>
        <v/>
      </c>
      <c r="E19" s="106" t="str">
        <f>IFERROR(VLOOKUP(StudentLookup,SeptemberAttendance[],5,FALSE),"")</f>
        <v/>
      </c>
      <c r="F19" s="106" t="str">
        <f>IFERROR(VLOOKUP(StudentLookup,SeptemberAttendance[],6,FALSE),"")</f>
        <v/>
      </c>
      <c r="G19" s="106" t="str">
        <f>IFERROR(VLOOKUP(StudentLookup,SeptemberAttendance[],7,FALSE),"")</f>
        <v/>
      </c>
      <c r="H19" s="106" t="str">
        <f>IFERROR(VLOOKUP(StudentLookup,SeptemberAttendance[],8,FALSE),"")</f>
        <v/>
      </c>
      <c r="I19" s="106" t="str">
        <f>IFERROR(VLOOKUP(StudentLookup,SeptemberAttendance[],9,FALSE),"")</f>
        <v/>
      </c>
      <c r="J19" s="106" t="str">
        <f>IFERROR(VLOOKUP(StudentLookup,SeptemberAttendance[],10,FALSE),"")</f>
        <v/>
      </c>
      <c r="K19" s="106" t="str">
        <f>IFERROR(VLOOKUP(StudentLookup,SeptemberAttendance[],11,FALSE),"")</f>
        <v/>
      </c>
      <c r="L19" s="106" t="str">
        <f>IFERROR(VLOOKUP(StudentLookup,SeptemberAttendance[],12,FALSE),"")</f>
        <v/>
      </c>
      <c r="M19" s="106" t="str">
        <f>IFERROR(VLOOKUP(StudentLookup,SeptemberAttendance[],13,FALSE),"")</f>
        <v/>
      </c>
      <c r="N19" s="106" t="str">
        <f>IFERROR(VLOOKUP(StudentLookup,SeptemberAttendance[],14,FALSE),"")</f>
        <v/>
      </c>
      <c r="O19" s="106" t="str">
        <f>IFERROR(VLOOKUP(StudentLookup,SeptemberAttendance[],15,FALSE),"")</f>
        <v/>
      </c>
      <c r="P19" s="106" t="str">
        <f>IFERROR(VLOOKUP(StudentLookup,SeptemberAttendance[],16,FALSE),"")</f>
        <v/>
      </c>
      <c r="Q19" s="106" t="str">
        <f>IFERROR(VLOOKUP(StudentLookup,SeptemberAttendance[],17,FALSE),"")</f>
        <v/>
      </c>
      <c r="R19" s="106" t="str">
        <f>IFERROR(VLOOKUP(StudentLookup,SeptemberAttendance[],18,FALSE),"")</f>
        <v/>
      </c>
      <c r="S19" s="106" t="str">
        <f>IFERROR(VLOOKUP(StudentLookup,SeptemberAttendance[],19,FALSE),"")</f>
        <v/>
      </c>
      <c r="T19" s="106" t="str">
        <f>IFERROR(VLOOKUP(StudentLookup,SeptemberAttendance[],20,FALSE),"")</f>
        <v/>
      </c>
      <c r="U19" s="106" t="str">
        <f>IFERROR(VLOOKUP(StudentLookup,SeptemberAttendance[],21,FALSE),"")</f>
        <v/>
      </c>
      <c r="V19" s="106" t="str">
        <f>IFERROR(VLOOKUP(StudentLookup,SeptemberAttendance[],22,FALSE),"")</f>
        <v/>
      </c>
      <c r="W19" s="106" t="str">
        <f>IFERROR(VLOOKUP(StudentLookup,SeptemberAttendance[],23,FALSE),"")</f>
        <v/>
      </c>
      <c r="X19" s="106" t="str">
        <f>IFERROR(VLOOKUP(StudentLookup,SeptemberAttendance[],24,FALSE),"")</f>
        <v/>
      </c>
      <c r="Y19" s="106" t="str">
        <f>IFERROR(VLOOKUP(StudentLookup,SeptemberAttendance[],25,FALSE),"")</f>
        <v/>
      </c>
      <c r="Z19" s="106" t="str">
        <f>IFERROR(VLOOKUP(StudentLookup,SeptemberAttendance[],26,FALSE),"")</f>
        <v/>
      </c>
      <c r="AA19" s="106" t="str">
        <f>IFERROR(VLOOKUP(StudentLookup,SeptemberAttendance[],27,FALSE),"")</f>
        <v/>
      </c>
      <c r="AB19" s="106" t="str">
        <f>IFERROR(VLOOKUP(StudentLookup,SeptemberAttendance[],28,FALSE),"")</f>
        <v/>
      </c>
      <c r="AC19" s="106" t="str">
        <f>IFERROR(VLOOKUP(StudentLookup,SeptemberAttendance[],29,FALSE),"")</f>
        <v/>
      </c>
      <c r="AD19" s="106" t="str">
        <f>IFERROR(VLOOKUP(StudentLookup,SeptemberAttendance[],30,FALSE),"")</f>
        <v/>
      </c>
      <c r="AE19" s="106" t="str">
        <f>IFERROR(VLOOKUP(StudentLookup,SeptemberAttendance[],31,FALSE),"")</f>
        <v/>
      </c>
      <c r="AF19" s="106" t="str">
        <f>IFERROR(VLOOKUP(StudentLookup,SeptemberAttendance[],32,FALSE),"")</f>
        <v/>
      </c>
      <c r="AG19" s="106"/>
      <c r="AH19" s="126"/>
      <c r="AI19" s="126"/>
      <c r="AJ19" s="126"/>
      <c r="AK19" s="126"/>
    </row>
    <row r="20" spans="2:37">
      <c r="B20" s="125" t="s">
        <v>124</v>
      </c>
      <c r="C20" s="107">
        <v>1</v>
      </c>
      <c r="D20" s="107">
        <v>2</v>
      </c>
      <c r="E20" s="107">
        <v>3</v>
      </c>
      <c r="F20" s="107">
        <v>4</v>
      </c>
      <c r="G20" s="107">
        <v>5</v>
      </c>
      <c r="H20" s="107">
        <v>6</v>
      </c>
      <c r="I20" s="107">
        <v>7</v>
      </c>
      <c r="J20" s="107">
        <v>8</v>
      </c>
      <c r="K20" s="107">
        <v>9</v>
      </c>
      <c r="L20" s="107">
        <v>10</v>
      </c>
      <c r="M20" s="107">
        <v>11</v>
      </c>
      <c r="N20" s="107">
        <v>12</v>
      </c>
      <c r="O20" s="107">
        <v>13</v>
      </c>
      <c r="P20" s="107">
        <v>14</v>
      </c>
      <c r="Q20" s="107">
        <v>15</v>
      </c>
      <c r="R20" s="107">
        <v>16</v>
      </c>
      <c r="S20" s="107">
        <v>17</v>
      </c>
      <c r="T20" s="107">
        <v>18</v>
      </c>
      <c r="U20" s="107">
        <v>19</v>
      </c>
      <c r="V20" s="107">
        <v>20</v>
      </c>
      <c r="W20" s="107">
        <v>21</v>
      </c>
      <c r="X20" s="107">
        <v>22</v>
      </c>
      <c r="Y20" s="107">
        <v>23</v>
      </c>
      <c r="Z20" s="107">
        <v>24</v>
      </c>
      <c r="AA20" s="107">
        <v>25</v>
      </c>
      <c r="AB20" s="107">
        <v>26</v>
      </c>
      <c r="AC20" s="107">
        <v>27</v>
      </c>
      <c r="AD20" s="107">
        <v>28</v>
      </c>
      <c r="AE20" s="107">
        <v>29</v>
      </c>
      <c r="AF20" s="107">
        <v>30</v>
      </c>
      <c r="AG20" s="107">
        <v>31</v>
      </c>
      <c r="AH20" s="126">
        <f>COUNTIF($D21:$AH21,Code1)</f>
        <v>0</v>
      </c>
      <c r="AI20" s="126">
        <f>COUNTIF($D21:$AH21,Code2)</f>
        <v>0</v>
      </c>
      <c r="AJ20" s="126">
        <f>COUNTIF($D21:$AH21,Code3)</f>
        <v>0</v>
      </c>
      <c r="AK20" s="126">
        <f>COUNTIF($D21:$AH21,Code4)</f>
        <v>0</v>
      </c>
    </row>
    <row r="21" spans="2:37">
      <c r="B21" s="125"/>
      <c r="C21" s="106" t="str">
        <f>IFERROR(VLOOKUP(StudentLookup,OctoberAttendance[],3,FALSE),"")</f>
        <v/>
      </c>
      <c r="D21" s="106" t="str">
        <f>IFERROR(VLOOKUP(StudentLookup,OctoberAttendance[],4,FALSE),"")</f>
        <v/>
      </c>
      <c r="E21" s="106" t="str">
        <f>IFERROR(VLOOKUP(StudentLookup,OctoberAttendance[],5,FALSE),"")</f>
        <v/>
      </c>
      <c r="F21" s="106" t="str">
        <f>IFERROR(VLOOKUP(StudentLookup,OctoberAttendance[],6,FALSE),"")</f>
        <v/>
      </c>
      <c r="G21" s="106" t="str">
        <f>IFERROR(VLOOKUP(StudentLookup,OctoberAttendance[],7,FALSE),"")</f>
        <v/>
      </c>
      <c r="H21" s="106" t="str">
        <f>IFERROR(VLOOKUP(StudentLookup,OctoberAttendance[],8,FALSE),"")</f>
        <v/>
      </c>
      <c r="I21" s="106" t="str">
        <f>IFERROR(VLOOKUP(StudentLookup,OctoberAttendance[],9,FALSE),"")</f>
        <v/>
      </c>
      <c r="J21" s="106" t="str">
        <f>IFERROR(VLOOKUP(StudentLookup,OctoberAttendance[],10,FALSE),"")</f>
        <v/>
      </c>
      <c r="K21" s="106" t="str">
        <f>IFERROR(VLOOKUP(StudentLookup,OctoberAttendance[],11,FALSE),"")</f>
        <v/>
      </c>
      <c r="L21" s="106" t="str">
        <f>IFERROR(VLOOKUP(StudentLookup,OctoberAttendance[],12,FALSE),"")</f>
        <v/>
      </c>
      <c r="M21" s="106" t="str">
        <f>IFERROR(VLOOKUP(StudentLookup,OctoberAttendance[],13,FALSE),"")</f>
        <v/>
      </c>
      <c r="N21" s="106" t="str">
        <f>IFERROR(VLOOKUP(StudentLookup,OctoberAttendance[],14,FALSE),"")</f>
        <v/>
      </c>
      <c r="O21" s="106" t="str">
        <f>IFERROR(VLOOKUP(StudentLookup,OctoberAttendance[],15,FALSE),"")</f>
        <v/>
      </c>
      <c r="P21" s="106" t="str">
        <f>IFERROR(VLOOKUP(StudentLookup,OctoberAttendance[],16,FALSE),"")</f>
        <v/>
      </c>
      <c r="Q21" s="106" t="str">
        <f>IFERROR(VLOOKUP(StudentLookup,OctoberAttendance[],17,FALSE),"")</f>
        <v/>
      </c>
      <c r="R21" s="106" t="str">
        <f>IFERROR(VLOOKUP(StudentLookup,OctoberAttendance[],18,FALSE),"")</f>
        <v/>
      </c>
      <c r="S21" s="106" t="str">
        <f>IFERROR(VLOOKUP(StudentLookup,OctoberAttendance[],19,FALSE),"")</f>
        <v/>
      </c>
      <c r="T21" s="106" t="str">
        <f>IFERROR(VLOOKUP(StudentLookup,OctoberAttendance[],20,FALSE),"")</f>
        <v/>
      </c>
      <c r="U21" s="106" t="str">
        <f>IFERROR(VLOOKUP(StudentLookup,OctoberAttendance[],21,FALSE),"")</f>
        <v/>
      </c>
      <c r="V21" s="106" t="str">
        <f>IFERROR(VLOOKUP(StudentLookup,OctoberAttendance[],22,FALSE),"")</f>
        <v/>
      </c>
      <c r="W21" s="106" t="str">
        <f>IFERROR(VLOOKUP(StudentLookup,OctoberAttendance[],23,FALSE),"")</f>
        <v/>
      </c>
      <c r="X21" s="106" t="str">
        <f>IFERROR(VLOOKUP(StudentLookup,OctoberAttendance[],24,FALSE),"")</f>
        <v/>
      </c>
      <c r="Y21" s="106" t="str">
        <f>IFERROR(VLOOKUP(StudentLookup,OctoberAttendance[],25,FALSE),"")</f>
        <v/>
      </c>
      <c r="Z21" s="106" t="str">
        <f>IFERROR(VLOOKUP(StudentLookup,OctoberAttendance[],26,FALSE),"")</f>
        <v/>
      </c>
      <c r="AA21" s="106" t="str">
        <f>IFERROR(VLOOKUP(StudentLookup,OctoberAttendance[],27,FALSE),"")</f>
        <v/>
      </c>
      <c r="AB21" s="106" t="str">
        <f>IFERROR(VLOOKUP(StudentLookup,OctoberAttendance[],28,FALSE),"")</f>
        <v/>
      </c>
      <c r="AC21" s="106" t="str">
        <f>IFERROR(VLOOKUP(StudentLookup,OctoberAttendance[],29,FALSE),"")</f>
        <v/>
      </c>
      <c r="AD21" s="106" t="str">
        <f>IFERROR(VLOOKUP(StudentLookup,OctoberAttendance[],30,FALSE),"")</f>
        <v/>
      </c>
      <c r="AE21" s="106" t="str">
        <f>IFERROR(VLOOKUP(StudentLookup,OctoberAttendance[],31,FALSE),"")</f>
        <v/>
      </c>
      <c r="AF21" s="106" t="str">
        <f>IFERROR(VLOOKUP(StudentLookup,OctoberAttendance[],32,FALSE),"")</f>
        <v/>
      </c>
      <c r="AG21" s="106" t="str">
        <f>IFERROR(VLOOKUP(StudentLookup,OctoberAttendance[],33,FALSE),"")</f>
        <v/>
      </c>
      <c r="AH21" s="126"/>
      <c r="AI21" s="126"/>
      <c r="AJ21" s="126"/>
      <c r="AK21" s="126"/>
    </row>
    <row r="22" spans="2:37">
      <c r="B22" s="125" t="s">
        <v>125</v>
      </c>
      <c r="C22" s="107">
        <v>1</v>
      </c>
      <c r="D22" s="107">
        <v>2</v>
      </c>
      <c r="E22" s="107">
        <v>3</v>
      </c>
      <c r="F22" s="107">
        <v>4</v>
      </c>
      <c r="G22" s="107">
        <v>5</v>
      </c>
      <c r="H22" s="107">
        <v>6</v>
      </c>
      <c r="I22" s="107">
        <v>7</v>
      </c>
      <c r="J22" s="107">
        <v>8</v>
      </c>
      <c r="K22" s="107">
        <v>9</v>
      </c>
      <c r="L22" s="107">
        <v>10</v>
      </c>
      <c r="M22" s="107">
        <v>11</v>
      </c>
      <c r="N22" s="107">
        <v>12</v>
      </c>
      <c r="O22" s="107">
        <v>13</v>
      </c>
      <c r="P22" s="107">
        <v>14</v>
      </c>
      <c r="Q22" s="107">
        <v>15</v>
      </c>
      <c r="R22" s="107">
        <v>16</v>
      </c>
      <c r="S22" s="107">
        <v>17</v>
      </c>
      <c r="T22" s="107">
        <v>18</v>
      </c>
      <c r="U22" s="107">
        <v>19</v>
      </c>
      <c r="V22" s="107">
        <v>20</v>
      </c>
      <c r="W22" s="107">
        <v>21</v>
      </c>
      <c r="X22" s="107">
        <v>22</v>
      </c>
      <c r="Y22" s="107">
        <v>23</v>
      </c>
      <c r="Z22" s="107">
        <v>24</v>
      </c>
      <c r="AA22" s="107">
        <v>25</v>
      </c>
      <c r="AB22" s="107">
        <v>26</v>
      </c>
      <c r="AC22" s="107">
        <v>27</v>
      </c>
      <c r="AD22" s="107">
        <v>28</v>
      </c>
      <c r="AE22" s="107">
        <v>29</v>
      </c>
      <c r="AF22" s="107">
        <v>30</v>
      </c>
      <c r="AG22" s="107"/>
      <c r="AH22" s="126">
        <f>COUNTIF($D23:$AH23,Code1)</f>
        <v>0</v>
      </c>
      <c r="AI22" s="126">
        <f>COUNTIF($D23:$AH23,Code2)</f>
        <v>0</v>
      </c>
      <c r="AJ22" s="126">
        <f>COUNTIF($D23:$AH23,Code3)</f>
        <v>0</v>
      </c>
      <c r="AK22" s="126">
        <f>COUNTIF($D23:$AH23,Code4)</f>
        <v>0</v>
      </c>
    </row>
    <row r="23" spans="2:37">
      <c r="B23" s="125"/>
      <c r="C23" s="106" t="str">
        <f>IFERROR(VLOOKUP(StudentLookup,NovemberAttendance[],3,FALSE),"")</f>
        <v/>
      </c>
      <c r="D23" s="106" t="str">
        <f>IFERROR(VLOOKUP(StudentLookup,NovemberAttendance[],4,FALSE),"")</f>
        <v/>
      </c>
      <c r="E23" s="106" t="str">
        <f>IFERROR(VLOOKUP(StudentLookup,NovemberAttendance[],5,FALSE),"")</f>
        <v/>
      </c>
      <c r="F23" s="106" t="str">
        <f>IFERROR(VLOOKUP(StudentLookup,NovemberAttendance[],6,FALSE),"")</f>
        <v/>
      </c>
      <c r="G23" s="106" t="str">
        <f>IFERROR(VLOOKUP(StudentLookup,NovemberAttendance[],7,FALSE),"")</f>
        <v/>
      </c>
      <c r="H23" s="106" t="str">
        <f>IFERROR(VLOOKUP(StudentLookup,NovemberAttendance[],8,FALSE),"")</f>
        <v/>
      </c>
      <c r="I23" s="106" t="str">
        <f>IFERROR(VLOOKUP(StudentLookup,NovemberAttendance[],9,FALSE),"")</f>
        <v/>
      </c>
      <c r="J23" s="106" t="str">
        <f>IFERROR(VLOOKUP(StudentLookup,NovemberAttendance[],10,FALSE),"")</f>
        <v/>
      </c>
      <c r="K23" s="106" t="str">
        <f>IFERROR(VLOOKUP(StudentLookup,NovemberAttendance[],11,FALSE),"")</f>
        <v/>
      </c>
      <c r="L23" s="106" t="str">
        <f>IFERROR(VLOOKUP(StudentLookup,NovemberAttendance[],12,FALSE),"")</f>
        <v/>
      </c>
      <c r="M23" s="106" t="str">
        <f>IFERROR(VLOOKUP(StudentLookup,NovemberAttendance[],13,FALSE),"")</f>
        <v/>
      </c>
      <c r="N23" s="106" t="str">
        <f>IFERROR(VLOOKUP(StudentLookup,NovemberAttendance[],14,FALSE),"")</f>
        <v/>
      </c>
      <c r="O23" s="106" t="str">
        <f>IFERROR(VLOOKUP(StudentLookup,NovemberAttendance[],15,FALSE),"")</f>
        <v/>
      </c>
      <c r="P23" s="106" t="str">
        <f>IFERROR(VLOOKUP(StudentLookup,NovemberAttendance[],16,FALSE),"")</f>
        <v/>
      </c>
      <c r="Q23" s="106" t="str">
        <f>IFERROR(VLOOKUP(StudentLookup,NovemberAttendance[],17,FALSE),"")</f>
        <v/>
      </c>
      <c r="R23" s="106" t="str">
        <f>IFERROR(VLOOKUP(StudentLookup,NovemberAttendance[],18,FALSE),"")</f>
        <v/>
      </c>
      <c r="S23" s="106" t="str">
        <f>IFERROR(VLOOKUP(StudentLookup,NovemberAttendance[],19,FALSE),"")</f>
        <v/>
      </c>
      <c r="T23" s="106" t="str">
        <f>IFERROR(VLOOKUP(StudentLookup,NovemberAttendance[],20,FALSE),"")</f>
        <v/>
      </c>
      <c r="U23" s="106" t="str">
        <f>IFERROR(VLOOKUP(StudentLookup,NovemberAttendance[],21,FALSE),"")</f>
        <v/>
      </c>
      <c r="V23" s="106" t="str">
        <f>IFERROR(VLOOKUP(StudentLookup,NovemberAttendance[],22,FALSE),"")</f>
        <v/>
      </c>
      <c r="W23" s="106" t="str">
        <f>IFERROR(VLOOKUP(StudentLookup,NovemberAttendance[],23,FALSE),"")</f>
        <v/>
      </c>
      <c r="X23" s="106" t="str">
        <f>IFERROR(VLOOKUP(StudentLookup,NovemberAttendance[],24,FALSE),"")</f>
        <v/>
      </c>
      <c r="Y23" s="106" t="str">
        <f>IFERROR(VLOOKUP(StudentLookup,NovemberAttendance[],25,FALSE),"")</f>
        <v/>
      </c>
      <c r="Z23" s="106" t="str">
        <f>IFERROR(VLOOKUP(StudentLookup,NovemberAttendance[],26,FALSE),"")</f>
        <v/>
      </c>
      <c r="AA23" s="106" t="str">
        <f>IFERROR(VLOOKUP(StudentLookup,NovemberAttendance[],27,FALSE),"")</f>
        <v/>
      </c>
      <c r="AB23" s="106" t="str">
        <f>IFERROR(VLOOKUP(StudentLookup,NovemberAttendance[],28,FALSE),"")</f>
        <v/>
      </c>
      <c r="AC23" s="106" t="str">
        <f>IFERROR(VLOOKUP(StudentLookup,NovemberAttendance[],29,FALSE),"")</f>
        <v/>
      </c>
      <c r="AD23" s="106" t="str">
        <f>IFERROR(VLOOKUP(StudentLookup,NovemberAttendance[],30,FALSE),"")</f>
        <v/>
      </c>
      <c r="AE23" s="106" t="str">
        <f>IFERROR(VLOOKUP(StudentLookup,NovemberAttendance[],31,FALSE),"")</f>
        <v/>
      </c>
      <c r="AF23" s="106" t="str">
        <f>IFERROR(VLOOKUP(StudentLookup,NovemberAttendance[],32,FALSE),"")</f>
        <v/>
      </c>
      <c r="AG23" s="106"/>
      <c r="AH23" s="126"/>
      <c r="AI23" s="126"/>
      <c r="AJ23" s="126"/>
      <c r="AK23" s="126"/>
    </row>
    <row r="24" spans="2:37">
      <c r="B24" s="125" t="s">
        <v>126</v>
      </c>
      <c r="C24" s="107">
        <v>1</v>
      </c>
      <c r="D24" s="107">
        <v>2</v>
      </c>
      <c r="E24" s="107">
        <v>3</v>
      </c>
      <c r="F24" s="107">
        <v>4</v>
      </c>
      <c r="G24" s="107">
        <v>5</v>
      </c>
      <c r="H24" s="107">
        <v>6</v>
      </c>
      <c r="I24" s="107">
        <v>7</v>
      </c>
      <c r="J24" s="107">
        <v>8</v>
      </c>
      <c r="K24" s="107">
        <v>9</v>
      </c>
      <c r="L24" s="107">
        <v>10</v>
      </c>
      <c r="M24" s="107">
        <v>11</v>
      </c>
      <c r="N24" s="107">
        <v>12</v>
      </c>
      <c r="O24" s="107">
        <v>13</v>
      </c>
      <c r="P24" s="107">
        <v>14</v>
      </c>
      <c r="Q24" s="107">
        <v>15</v>
      </c>
      <c r="R24" s="107">
        <v>16</v>
      </c>
      <c r="S24" s="107">
        <v>17</v>
      </c>
      <c r="T24" s="107">
        <v>18</v>
      </c>
      <c r="U24" s="107">
        <v>19</v>
      </c>
      <c r="V24" s="107">
        <v>20</v>
      </c>
      <c r="W24" s="107">
        <v>21</v>
      </c>
      <c r="X24" s="107">
        <v>22</v>
      </c>
      <c r="Y24" s="107">
        <v>23</v>
      </c>
      <c r="Z24" s="107">
        <v>24</v>
      </c>
      <c r="AA24" s="107">
        <v>25</v>
      </c>
      <c r="AB24" s="107">
        <v>26</v>
      </c>
      <c r="AC24" s="107">
        <v>27</v>
      </c>
      <c r="AD24" s="107">
        <v>28</v>
      </c>
      <c r="AE24" s="107">
        <v>29</v>
      </c>
      <c r="AF24" s="107">
        <v>30</v>
      </c>
      <c r="AG24" s="107">
        <v>31</v>
      </c>
      <c r="AH24" s="126">
        <f>COUNTIF($D25:$AH25,Code1)</f>
        <v>0</v>
      </c>
      <c r="AI24" s="126">
        <f>COUNTIF($D25:$AH25,Code2)</f>
        <v>0</v>
      </c>
      <c r="AJ24" s="126">
        <f>COUNTIF($D25:$AH25,Code3)</f>
        <v>0</v>
      </c>
      <c r="AK24" s="126">
        <f>COUNTIF($D25:$AH25,Code4)</f>
        <v>0</v>
      </c>
    </row>
    <row r="25" spans="2:37">
      <c r="B25" s="125"/>
      <c r="C25" s="106" t="str">
        <f>IFERROR(VLOOKUP(StudentLookup,DecemberAttendance[],3,FALSE),"")</f>
        <v/>
      </c>
      <c r="D25" s="106" t="str">
        <f>IFERROR(VLOOKUP(StudentLookup,DecemberAttendance[],4,FALSE),"")</f>
        <v/>
      </c>
      <c r="E25" s="106" t="str">
        <f>IFERROR(VLOOKUP(StudentLookup,DecemberAttendance[],5,FALSE),"")</f>
        <v/>
      </c>
      <c r="F25" s="106" t="str">
        <f>IFERROR(VLOOKUP(StudentLookup,DecemberAttendance[],6,FALSE),"")</f>
        <v/>
      </c>
      <c r="G25" s="106" t="str">
        <f>IFERROR(VLOOKUP(StudentLookup,DecemberAttendance[],7,FALSE),"")</f>
        <v/>
      </c>
      <c r="H25" s="106" t="str">
        <f>IFERROR(VLOOKUP(StudentLookup,DecemberAttendance[],8,FALSE),"")</f>
        <v/>
      </c>
      <c r="I25" s="106" t="str">
        <f>IFERROR(VLOOKUP(StudentLookup,DecemberAttendance[],9,FALSE),"")</f>
        <v/>
      </c>
      <c r="J25" s="106" t="str">
        <f>IFERROR(VLOOKUP(StudentLookup,DecemberAttendance[],10,FALSE),"")</f>
        <v/>
      </c>
      <c r="K25" s="106" t="str">
        <f>IFERROR(VLOOKUP(StudentLookup,DecemberAttendance[],11,FALSE),"")</f>
        <v/>
      </c>
      <c r="L25" s="106" t="str">
        <f>IFERROR(VLOOKUP(StudentLookup,DecemberAttendance[],12,FALSE),"")</f>
        <v/>
      </c>
      <c r="M25" s="106" t="str">
        <f>IFERROR(VLOOKUP(StudentLookup,DecemberAttendance[],13,FALSE),"")</f>
        <v/>
      </c>
      <c r="N25" s="106" t="str">
        <f>IFERROR(VLOOKUP(StudentLookup,DecemberAttendance[],14,FALSE),"")</f>
        <v/>
      </c>
      <c r="O25" s="106" t="str">
        <f>IFERROR(VLOOKUP(StudentLookup,DecemberAttendance[],15,FALSE),"")</f>
        <v/>
      </c>
      <c r="P25" s="106" t="str">
        <f>IFERROR(VLOOKUP(StudentLookup,DecemberAttendance[],16,FALSE),"")</f>
        <v/>
      </c>
      <c r="Q25" s="106" t="str">
        <f>IFERROR(VLOOKUP(StudentLookup,DecemberAttendance[],17,FALSE),"")</f>
        <v/>
      </c>
      <c r="R25" s="106" t="str">
        <f>IFERROR(VLOOKUP(StudentLookup,DecemberAttendance[],18,FALSE),"")</f>
        <v/>
      </c>
      <c r="S25" s="106" t="str">
        <f>IFERROR(VLOOKUP(StudentLookup,DecemberAttendance[],19,FALSE),"")</f>
        <v/>
      </c>
      <c r="T25" s="106" t="str">
        <f>IFERROR(VLOOKUP(StudentLookup,DecemberAttendance[],20,FALSE),"")</f>
        <v/>
      </c>
      <c r="U25" s="106" t="str">
        <f>IFERROR(VLOOKUP(StudentLookup,DecemberAttendance[],21,FALSE),"")</f>
        <v/>
      </c>
      <c r="V25" s="106" t="str">
        <f>IFERROR(VLOOKUP(StudentLookup,DecemberAttendance[],22,FALSE),"")</f>
        <v/>
      </c>
      <c r="W25" s="106" t="str">
        <f>IFERROR(VLOOKUP(StudentLookup,DecemberAttendance[],23,FALSE),"")</f>
        <v/>
      </c>
      <c r="X25" s="106" t="str">
        <f>IFERROR(VLOOKUP(StudentLookup,DecemberAttendance[],24,FALSE),"")</f>
        <v/>
      </c>
      <c r="Y25" s="106" t="str">
        <f>IFERROR(VLOOKUP(StudentLookup,DecemberAttendance[],25,FALSE),"")</f>
        <v/>
      </c>
      <c r="Z25" s="106" t="str">
        <f>IFERROR(VLOOKUP(StudentLookup,DecemberAttendance[],26,FALSE),"")</f>
        <v/>
      </c>
      <c r="AA25" s="106" t="str">
        <f>IFERROR(VLOOKUP(StudentLookup,DecemberAttendance[],27,FALSE),"")</f>
        <v/>
      </c>
      <c r="AB25" s="106" t="str">
        <f>IFERROR(VLOOKUP(StudentLookup,DecemberAttendance[],28,FALSE),"")</f>
        <v/>
      </c>
      <c r="AC25" s="106" t="str">
        <f>IFERROR(VLOOKUP(StudentLookup,DecemberAttendance[],29,FALSE),"")</f>
        <v/>
      </c>
      <c r="AD25" s="106" t="str">
        <f>IFERROR(VLOOKUP(StudentLookup,DecemberAttendance[],30,FALSE),"")</f>
        <v/>
      </c>
      <c r="AE25" s="106" t="str">
        <f>IFERROR(VLOOKUP(StudentLookup,DecemberAttendance[],31,FALSE),"")</f>
        <v/>
      </c>
      <c r="AF25" s="106" t="str">
        <f>IFERROR(VLOOKUP(StudentLookup,DecemberAttendance[],32,FALSE),"")</f>
        <v/>
      </c>
      <c r="AG25" s="106" t="str">
        <f>IFERROR(VLOOKUP(StudentLookup,DecemberAttendance[],33,FALSE),"")</f>
        <v/>
      </c>
      <c r="AH25" s="126"/>
      <c r="AI25" s="126"/>
      <c r="AJ25" s="126"/>
      <c r="AK25" s="126"/>
    </row>
    <row r="26" spans="2:37">
      <c r="B26" s="125" t="s">
        <v>127</v>
      </c>
      <c r="C26" s="107">
        <v>1</v>
      </c>
      <c r="D26" s="107">
        <v>2</v>
      </c>
      <c r="E26" s="107">
        <v>3</v>
      </c>
      <c r="F26" s="107">
        <v>4</v>
      </c>
      <c r="G26" s="107">
        <v>5</v>
      </c>
      <c r="H26" s="107">
        <v>6</v>
      </c>
      <c r="I26" s="107">
        <v>7</v>
      </c>
      <c r="J26" s="107">
        <v>8</v>
      </c>
      <c r="K26" s="107">
        <v>9</v>
      </c>
      <c r="L26" s="107">
        <v>10</v>
      </c>
      <c r="M26" s="107">
        <v>11</v>
      </c>
      <c r="N26" s="107">
        <v>12</v>
      </c>
      <c r="O26" s="107">
        <v>13</v>
      </c>
      <c r="P26" s="107">
        <v>14</v>
      </c>
      <c r="Q26" s="107">
        <v>15</v>
      </c>
      <c r="R26" s="107">
        <v>16</v>
      </c>
      <c r="S26" s="107">
        <v>17</v>
      </c>
      <c r="T26" s="107">
        <v>18</v>
      </c>
      <c r="U26" s="107">
        <v>19</v>
      </c>
      <c r="V26" s="107">
        <v>20</v>
      </c>
      <c r="W26" s="107">
        <v>21</v>
      </c>
      <c r="X26" s="107">
        <v>22</v>
      </c>
      <c r="Y26" s="107">
        <v>23</v>
      </c>
      <c r="Z26" s="107">
        <v>24</v>
      </c>
      <c r="AA26" s="107">
        <v>25</v>
      </c>
      <c r="AB26" s="107">
        <v>26</v>
      </c>
      <c r="AC26" s="107">
        <v>27</v>
      </c>
      <c r="AD26" s="107">
        <v>28</v>
      </c>
      <c r="AE26" s="107">
        <v>29</v>
      </c>
      <c r="AF26" s="107">
        <v>30</v>
      </c>
      <c r="AG26" s="107">
        <v>31</v>
      </c>
      <c r="AH26" s="126">
        <f>COUNTIF($D27:$AH27,Code1)</f>
        <v>0</v>
      </c>
      <c r="AI26" s="126">
        <f>COUNTIF($D27:$AH27,Code2)</f>
        <v>0</v>
      </c>
      <c r="AJ26" s="126">
        <f>COUNTIF($D27:$AH27,Code3)</f>
        <v>0</v>
      </c>
      <c r="AK26" s="126">
        <f>COUNTIF($D27:$AH27,Code4)</f>
        <v>0</v>
      </c>
    </row>
    <row r="27" spans="2:37">
      <c r="B27" s="125"/>
      <c r="C27" s="106" t="str">
        <f>IFERROR(VLOOKUP(StudentLookup,JanuaryAttendance[],3,FALSE),"")</f>
        <v/>
      </c>
      <c r="D27" s="106" t="str">
        <f>IFERROR(VLOOKUP(StudentLookup,JanuaryAttendance[],4,FALSE),"")</f>
        <v/>
      </c>
      <c r="E27" s="106" t="str">
        <f>IFERROR(VLOOKUP(StudentLookup,JanuaryAttendance[],5,FALSE),"")</f>
        <v/>
      </c>
      <c r="F27" s="106" t="str">
        <f>IFERROR(VLOOKUP(StudentLookup,JanuaryAttendance[],6,FALSE),"")</f>
        <v/>
      </c>
      <c r="G27" s="106" t="str">
        <f>IFERROR(VLOOKUP(StudentLookup,JanuaryAttendance[],7,FALSE),"")</f>
        <v/>
      </c>
      <c r="H27" s="106" t="str">
        <f>IFERROR(VLOOKUP(StudentLookup,JanuaryAttendance[],8,FALSE),"")</f>
        <v/>
      </c>
      <c r="I27" s="106" t="str">
        <f>IFERROR(VLOOKUP(StudentLookup,JanuaryAttendance[],9,FALSE),"")</f>
        <v/>
      </c>
      <c r="J27" s="106" t="str">
        <f>IFERROR(VLOOKUP(StudentLookup,JanuaryAttendance[],10,FALSE),"")</f>
        <v/>
      </c>
      <c r="K27" s="106" t="str">
        <f>IFERROR(VLOOKUP(StudentLookup,JanuaryAttendance[],11,FALSE),"")</f>
        <v/>
      </c>
      <c r="L27" s="106" t="str">
        <f>IFERROR(VLOOKUP(StudentLookup,JanuaryAttendance[],12,FALSE),"")</f>
        <v/>
      </c>
      <c r="M27" s="106" t="str">
        <f>IFERROR(VLOOKUP(StudentLookup,JanuaryAttendance[],13,FALSE),"")</f>
        <v/>
      </c>
      <c r="N27" s="106" t="str">
        <f>IFERROR(VLOOKUP(StudentLookup,JanuaryAttendance[],14,FALSE),"")</f>
        <v/>
      </c>
      <c r="O27" s="106" t="str">
        <f>IFERROR(VLOOKUP(StudentLookup,JanuaryAttendance[],15,FALSE),"")</f>
        <v/>
      </c>
      <c r="P27" s="106" t="str">
        <f>IFERROR(VLOOKUP(StudentLookup,JanuaryAttendance[],16,FALSE),"")</f>
        <v/>
      </c>
      <c r="Q27" s="106" t="str">
        <f>IFERROR(VLOOKUP(StudentLookup,JanuaryAttendance[],17,FALSE),"")</f>
        <v/>
      </c>
      <c r="R27" s="106" t="str">
        <f>IFERROR(VLOOKUP(StudentLookup,JanuaryAttendance[],18,FALSE),"")</f>
        <v/>
      </c>
      <c r="S27" s="106" t="str">
        <f>IFERROR(VLOOKUP(StudentLookup,JanuaryAttendance[],19,FALSE),"")</f>
        <v/>
      </c>
      <c r="T27" s="106" t="str">
        <f>IFERROR(VLOOKUP(StudentLookup,JanuaryAttendance[],20,FALSE),"")</f>
        <v/>
      </c>
      <c r="U27" s="106" t="str">
        <f>IFERROR(VLOOKUP(StudentLookup,JanuaryAttendance[],21,FALSE),"")</f>
        <v/>
      </c>
      <c r="V27" s="106" t="str">
        <f>IFERROR(VLOOKUP(StudentLookup,JanuaryAttendance[],22,FALSE),"")</f>
        <v/>
      </c>
      <c r="W27" s="106" t="str">
        <f>IFERROR(VLOOKUP(StudentLookup,JanuaryAttendance[],23,FALSE),"")</f>
        <v/>
      </c>
      <c r="X27" s="106" t="str">
        <f>IFERROR(VLOOKUP(StudentLookup,JanuaryAttendance[],24,FALSE),"")</f>
        <v/>
      </c>
      <c r="Y27" s="106" t="str">
        <f>IFERROR(VLOOKUP(StudentLookup,JanuaryAttendance[],25,FALSE),"")</f>
        <v/>
      </c>
      <c r="Z27" s="106" t="str">
        <f>IFERROR(VLOOKUP(StudentLookup,JanuaryAttendance[],26,FALSE),"")</f>
        <v/>
      </c>
      <c r="AA27" s="106" t="str">
        <f>IFERROR(VLOOKUP(StudentLookup,JanuaryAttendance[],27,FALSE),"")</f>
        <v/>
      </c>
      <c r="AB27" s="106" t="str">
        <f>IFERROR(VLOOKUP(StudentLookup,JanuaryAttendance[],28,FALSE),"")</f>
        <v/>
      </c>
      <c r="AC27" s="106" t="str">
        <f>IFERROR(VLOOKUP(StudentLookup,JanuaryAttendance[],29,FALSE),"")</f>
        <v/>
      </c>
      <c r="AD27" s="106" t="str">
        <f>IFERROR(VLOOKUP(StudentLookup,JanuaryAttendance[],30,FALSE),"")</f>
        <v/>
      </c>
      <c r="AE27" s="106" t="str">
        <f>IFERROR(VLOOKUP(StudentLookup,JanuaryAttendance[],31,FALSE),"")</f>
        <v/>
      </c>
      <c r="AF27" s="106" t="str">
        <f>IFERROR(VLOOKUP(StudentLookup,JanuaryAttendance[],32,FALSE),"")</f>
        <v/>
      </c>
      <c r="AG27" s="106" t="str">
        <f>IFERROR(VLOOKUP(StudentLookup,JanuaryAttendance[],33,FALSE),"")</f>
        <v/>
      </c>
      <c r="AH27" s="126"/>
      <c r="AI27" s="126"/>
      <c r="AJ27" s="126"/>
      <c r="AK27" s="126"/>
    </row>
    <row r="28" spans="2:37">
      <c r="B28" s="125" t="s">
        <v>128</v>
      </c>
      <c r="C28" s="107">
        <v>1</v>
      </c>
      <c r="D28" s="107">
        <v>2</v>
      </c>
      <c r="E28" s="107">
        <v>3</v>
      </c>
      <c r="F28" s="107">
        <v>4</v>
      </c>
      <c r="G28" s="107">
        <v>5</v>
      </c>
      <c r="H28" s="107">
        <v>6</v>
      </c>
      <c r="I28" s="107">
        <v>7</v>
      </c>
      <c r="J28" s="107">
        <v>8</v>
      </c>
      <c r="K28" s="107">
        <v>9</v>
      </c>
      <c r="L28" s="107">
        <v>10</v>
      </c>
      <c r="M28" s="107">
        <v>11</v>
      </c>
      <c r="N28" s="107">
        <v>12</v>
      </c>
      <c r="O28" s="107">
        <v>13</v>
      </c>
      <c r="P28" s="107">
        <v>14</v>
      </c>
      <c r="Q28" s="107">
        <v>15</v>
      </c>
      <c r="R28" s="107">
        <v>16</v>
      </c>
      <c r="S28" s="107">
        <v>17</v>
      </c>
      <c r="T28" s="107">
        <v>18</v>
      </c>
      <c r="U28" s="107">
        <v>19</v>
      </c>
      <c r="V28" s="107">
        <v>20</v>
      </c>
      <c r="W28" s="107">
        <v>21</v>
      </c>
      <c r="X28" s="107">
        <v>22</v>
      </c>
      <c r="Y28" s="107">
        <v>23</v>
      </c>
      <c r="Z28" s="107">
        <v>24</v>
      </c>
      <c r="AA28" s="107">
        <v>25</v>
      </c>
      <c r="AB28" s="107">
        <v>26</v>
      </c>
      <c r="AC28" s="107">
        <v>27</v>
      </c>
      <c r="AD28" s="107">
        <v>28</v>
      </c>
      <c r="AE28" s="107">
        <v>29</v>
      </c>
      <c r="AF28" s="107"/>
      <c r="AG28" s="107"/>
      <c r="AH28" s="126">
        <f>COUNTIF($D29:$AH29,Code1)</f>
        <v>0</v>
      </c>
      <c r="AI28" s="126">
        <f>COUNTIF($D29:$AH29,Code2)</f>
        <v>0</v>
      </c>
      <c r="AJ28" s="126">
        <f>COUNTIF($D29:$AH29,Code3)</f>
        <v>0</v>
      </c>
      <c r="AK28" s="126">
        <f>COUNTIF($D29:$AH29,Code4)</f>
        <v>0</v>
      </c>
    </row>
    <row r="29" spans="2:37">
      <c r="B29" s="125"/>
      <c r="C29" s="106" t="str">
        <f>IFERROR(VLOOKUP(StudentLookup,FebruaryAttendance[],3,FALSE),"")</f>
        <v/>
      </c>
      <c r="D29" s="106" t="str">
        <f>IFERROR(VLOOKUP(StudentLookup,FebruaryAttendance[],4,FALSE),"")</f>
        <v/>
      </c>
      <c r="E29" s="106" t="str">
        <f>IFERROR(VLOOKUP(StudentLookup,FebruaryAttendance[],5,FALSE),"")</f>
        <v/>
      </c>
      <c r="F29" s="106" t="str">
        <f>IFERROR(VLOOKUP(StudentLookup,FebruaryAttendance[],6,FALSE),"")</f>
        <v/>
      </c>
      <c r="G29" s="106" t="str">
        <f>IFERROR(VLOOKUP(StudentLookup,FebruaryAttendance[],7,FALSE),"")</f>
        <v/>
      </c>
      <c r="H29" s="106" t="str">
        <f>IFERROR(VLOOKUP(StudentLookup,FebruaryAttendance[],8,FALSE),"")</f>
        <v/>
      </c>
      <c r="I29" s="106" t="str">
        <f>IFERROR(VLOOKUP(StudentLookup,FebruaryAttendance[],9,FALSE),"")</f>
        <v/>
      </c>
      <c r="J29" s="106" t="str">
        <f>IFERROR(VLOOKUP(StudentLookup,FebruaryAttendance[],10,FALSE),"")</f>
        <v/>
      </c>
      <c r="K29" s="106" t="str">
        <f>IFERROR(VLOOKUP(StudentLookup,FebruaryAttendance[],11,FALSE),"")</f>
        <v/>
      </c>
      <c r="L29" s="106" t="str">
        <f>IFERROR(VLOOKUP(StudentLookup,FebruaryAttendance[],12,FALSE),"")</f>
        <v/>
      </c>
      <c r="M29" s="106" t="str">
        <f>IFERROR(VLOOKUP(StudentLookup,FebruaryAttendance[],13,FALSE),"")</f>
        <v/>
      </c>
      <c r="N29" s="106" t="str">
        <f>IFERROR(VLOOKUP(StudentLookup,FebruaryAttendance[],14,FALSE),"")</f>
        <v/>
      </c>
      <c r="O29" s="106" t="str">
        <f>IFERROR(VLOOKUP(StudentLookup,FebruaryAttendance[],15,FALSE),"")</f>
        <v/>
      </c>
      <c r="P29" s="106" t="str">
        <f>IFERROR(VLOOKUP(StudentLookup,FebruaryAttendance[],16,FALSE),"")</f>
        <v/>
      </c>
      <c r="Q29" s="106" t="str">
        <f>IFERROR(VLOOKUP(StudentLookup,FebruaryAttendance[],17,FALSE),"")</f>
        <v/>
      </c>
      <c r="R29" s="106" t="str">
        <f>IFERROR(VLOOKUP(StudentLookup,FebruaryAttendance[],18,FALSE),"")</f>
        <v/>
      </c>
      <c r="S29" s="106" t="str">
        <f>IFERROR(VLOOKUP(StudentLookup,FebruaryAttendance[],19,FALSE),"")</f>
        <v/>
      </c>
      <c r="T29" s="106" t="str">
        <f>IFERROR(VLOOKUP(StudentLookup,FebruaryAttendance[],20,FALSE),"")</f>
        <v/>
      </c>
      <c r="U29" s="106" t="str">
        <f>IFERROR(VLOOKUP(StudentLookup,FebruaryAttendance[],21,FALSE),"")</f>
        <v/>
      </c>
      <c r="V29" s="106" t="str">
        <f>IFERROR(VLOOKUP(StudentLookup,FebruaryAttendance[],22,FALSE),"")</f>
        <v/>
      </c>
      <c r="W29" s="106" t="str">
        <f>IFERROR(VLOOKUP(StudentLookup,FebruaryAttendance[],23,FALSE),"")</f>
        <v/>
      </c>
      <c r="X29" s="106" t="str">
        <f>IFERROR(VLOOKUP(StudentLookup,FebruaryAttendance[],24,FALSE),"")</f>
        <v/>
      </c>
      <c r="Y29" s="106" t="str">
        <f>IFERROR(VLOOKUP(StudentLookup,FebruaryAttendance[],25,FALSE),"")</f>
        <v/>
      </c>
      <c r="Z29" s="106" t="str">
        <f>IFERROR(VLOOKUP(StudentLookup,FebruaryAttendance[],26,FALSE),"")</f>
        <v/>
      </c>
      <c r="AA29" s="106" t="str">
        <f>IFERROR(VLOOKUP(StudentLookup,FebruaryAttendance[],27,FALSE),"")</f>
        <v/>
      </c>
      <c r="AB29" s="106" t="str">
        <f>IFERROR(VLOOKUP(StudentLookup,FebruaryAttendance[],28,FALSE),"")</f>
        <v/>
      </c>
      <c r="AC29" s="106" t="str">
        <f>IFERROR(VLOOKUP(StudentLookup,FebruaryAttendance[],29,FALSE),"")</f>
        <v/>
      </c>
      <c r="AD29" s="106" t="str">
        <f>IFERROR(VLOOKUP(StudentLookup,FebruaryAttendance[],30,FALSE),"")</f>
        <v/>
      </c>
      <c r="AE29" s="106" t="str">
        <f>IFERROR(VLOOKUP(StudentLookup,FebruaryAttendance[],31,FALSE),"")</f>
        <v/>
      </c>
      <c r="AF29" s="106"/>
      <c r="AG29" s="106"/>
      <c r="AH29" s="126"/>
      <c r="AI29" s="126"/>
      <c r="AJ29" s="126"/>
      <c r="AK29" s="126"/>
    </row>
    <row r="30" spans="2:37">
      <c r="B30" s="125" t="s">
        <v>129</v>
      </c>
      <c r="C30" s="107">
        <v>1</v>
      </c>
      <c r="D30" s="107">
        <v>2</v>
      </c>
      <c r="E30" s="107">
        <v>3</v>
      </c>
      <c r="F30" s="107">
        <v>4</v>
      </c>
      <c r="G30" s="107">
        <v>5</v>
      </c>
      <c r="H30" s="107">
        <v>6</v>
      </c>
      <c r="I30" s="107">
        <v>7</v>
      </c>
      <c r="J30" s="107">
        <v>8</v>
      </c>
      <c r="K30" s="107">
        <v>9</v>
      </c>
      <c r="L30" s="107">
        <v>10</v>
      </c>
      <c r="M30" s="107">
        <v>11</v>
      </c>
      <c r="N30" s="107">
        <v>12</v>
      </c>
      <c r="O30" s="107">
        <v>13</v>
      </c>
      <c r="P30" s="107">
        <v>14</v>
      </c>
      <c r="Q30" s="107">
        <v>15</v>
      </c>
      <c r="R30" s="107">
        <v>16</v>
      </c>
      <c r="S30" s="107">
        <v>17</v>
      </c>
      <c r="T30" s="107">
        <v>18</v>
      </c>
      <c r="U30" s="107">
        <v>19</v>
      </c>
      <c r="V30" s="107">
        <v>20</v>
      </c>
      <c r="W30" s="107">
        <v>21</v>
      </c>
      <c r="X30" s="107">
        <v>22</v>
      </c>
      <c r="Y30" s="107">
        <v>23</v>
      </c>
      <c r="Z30" s="107">
        <v>24</v>
      </c>
      <c r="AA30" s="107">
        <v>25</v>
      </c>
      <c r="AB30" s="107">
        <v>26</v>
      </c>
      <c r="AC30" s="107">
        <v>27</v>
      </c>
      <c r="AD30" s="107">
        <v>28</v>
      </c>
      <c r="AE30" s="107">
        <v>29</v>
      </c>
      <c r="AF30" s="107">
        <v>30</v>
      </c>
      <c r="AG30" s="107">
        <v>31</v>
      </c>
      <c r="AH30" s="126">
        <f>COUNTIF($D31:$AH31,Code1)</f>
        <v>0</v>
      </c>
      <c r="AI30" s="126">
        <f>COUNTIF($D31:$AH31,Code2)</f>
        <v>0</v>
      </c>
      <c r="AJ30" s="126">
        <f>COUNTIF($D31:$AH31,Code3)</f>
        <v>0</v>
      </c>
      <c r="AK30" s="126">
        <f>COUNTIF($D31:$AH31,Code4)</f>
        <v>0</v>
      </c>
    </row>
    <row r="31" spans="2:37">
      <c r="B31" s="125"/>
      <c r="C31" s="106" t="str">
        <f>IFERROR(VLOOKUP(StudentLookup,MarchAttendance[],3,FALSE),"")</f>
        <v/>
      </c>
      <c r="D31" s="106" t="str">
        <f>IFERROR(VLOOKUP(StudentLookup,MarchAttendance[],4,FALSE),"")</f>
        <v/>
      </c>
      <c r="E31" s="106" t="str">
        <f>IFERROR(VLOOKUP(StudentLookup,MarchAttendance[],5,FALSE),"")</f>
        <v/>
      </c>
      <c r="F31" s="106" t="str">
        <f>IFERROR(VLOOKUP(StudentLookup,MarchAttendance[],6,FALSE),"")</f>
        <v/>
      </c>
      <c r="G31" s="106" t="str">
        <f>IFERROR(VLOOKUP(StudentLookup,MarchAttendance[],7,FALSE),"")</f>
        <v/>
      </c>
      <c r="H31" s="106" t="str">
        <f>IFERROR(VLOOKUP(StudentLookup,MarchAttendance[],8,FALSE),"")</f>
        <v/>
      </c>
      <c r="I31" s="106" t="str">
        <f>IFERROR(VLOOKUP(StudentLookup,MarchAttendance[],9,FALSE),"")</f>
        <v/>
      </c>
      <c r="J31" s="106" t="str">
        <f>IFERROR(VLOOKUP(StudentLookup,MarchAttendance[],10,FALSE),"")</f>
        <v/>
      </c>
      <c r="K31" s="106" t="str">
        <f>IFERROR(VLOOKUP(StudentLookup,MarchAttendance[],11,FALSE),"")</f>
        <v/>
      </c>
      <c r="L31" s="106" t="str">
        <f>IFERROR(VLOOKUP(StudentLookup,MarchAttendance[],12,FALSE),"")</f>
        <v/>
      </c>
      <c r="M31" s="106" t="str">
        <f>IFERROR(VLOOKUP(StudentLookup,MarchAttendance[],13,FALSE),"")</f>
        <v/>
      </c>
      <c r="N31" s="106" t="str">
        <f>IFERROR(VLOOKUP(StudentLookup,MarchAttendance[],14,FALSE),"")</f>
        <v/>
      </c>
      <c r="O31" s="106" t="str">
        <f>IFERROR(VLOOKUP(StudentLookup,MarchAttendance[],15,FALSE),"")</f>
        <v/>
      </c>
      <c r="P31" s="106" t="str">
        <f>IFERROR(VLOOKUP(StudentLookup,MarchAttendance[],16,FALSE),"")</f>
        <v/>
      </c>
      <c r="Q31" s="106" t="str">
        <f>IFERROR(VLOOKUP(StudentLookup,MarchAttendance[],17,FALSE),"")</f>
        <v/>
      </c>
      <c r="R31" s="106" t="str">
        <f>IFERROR(VLOOKUP(StudentLookup,MarchAttendance[],18,FALSE),"")</f>
        <v/>
      </c>
      <c r="S31" s="106" t="str">
        <f>IFERROR(VLOOKUP(StudentLookup,MarchAttendance[],19,FALSE),"")</f>
        <v/>
      </c>
      <c r="T31" s="106" t="str">
        <f>IFERROR(VLOOKUP(StudentLookup,MarchAttendance[],20,FALSE),"")</f>
        <v/>
      </c>
      <c r="U31" s="106" t="str">
        <f>IFERROR(VLOOKUP(StudentLookup,MarchAttendance[],21,FALSE),"")</f>
        <v/>
      </c>
      <c r="V31" s="106" t="str">
        <f>IFERROR(VLOOKUP(StudentLookup,MarchAttendance[],22,FALSE),"")</f>
        <v/>
      </c>
      <c r="W31" s="106" t="str">
        <f>IFERROR(VLOOKUP(StudentLookup,MarchAttendance[],23,FALSE),"")</f>
        <v/>
      </c>
      <c r="X31" s="106" t="str">
        <f>IFERROR(VLOOKUP(StudentLookup,MarchAttendance[],24,FALSE),"")</f>
        <v/>
      </c>
      <c r="Y31" s="106" t="str">
        <f>IFERROR(VLOOKUP(StudentLookup,MarchAttendance[],25,FALSE),"")</f>
        <v/>
      </c>
      <c r="Z31" s="106" t="str">
        <f>IFERROR(VLOOKUP(StudentLookup,MarchAttendance[],26,FALSE),"")</f>
        <v/>
      </c>
      <c r="AA31" s="106" t="str">
        <f>IFERROR(VLOOKUP(StudentLookup,MarchAttendance[],27,FALSE),"")</f>
        <v/>
      </c>
      <c r="AB31" s="106" t="str">
        <f>IFERROR(VLOOKUP(StudentLookup,MarchAttendance[],28,FALSE),"")</f>
        <v/>
      </c>
      <c r="AC31" s="106" t="str">
        <f>IFERROR(VLOOKUP(StudentLookup,MarchAttendance[],29,FALSE),"")</f>
        <v/>
      </c>
      <c r="AD31" s="106" t="str">
        <f>IFERROR(VLOOKUP(StudentLookup,MarchAttendance[],30,FALSE),"")</f>
        <v/>
      </c>
      <c r="AE31" s="106" t="str">
        <f>IFERROR(VLOOKUP(StudentLookup,MarchAttendance[],31,FALSE),"")</f>
        <v/>
      </c>
      <c r="AF31" s="106" t="str">
        <f>IFERROR(VLOOKUP(StudentLookup,MarchAttendance[],32,FALSE),"")</f>
        <v/>
      </c>
      <c r="AG31" s="106" t="str">
        <f>IFERROR(VLOOKUP(StudentLookup,MarchAttendance[],33,FALSE),"")</f>
        <v/>
      </c>
      <c r="AH31" s="126"/>
      <c r="AI31" s="126"/>
      <c r="AJ31" s="126"/>
      <c r="AK31" s="126"/>
    </row>
    <row r="32" spans="2:37">
      <c r="B32" s="125" t="s">
        <v>130</v>
      </c>
      <c r="C32" s="107">
        <v>1</v>
      </c>
      <c r="D32" s="107">
        <v>2</v>
      </c>
      <c r="E32" s="107">
        <v>3</v>
      </c>
      <c r="F32" s="107">
        <v>4</v>
      </c>
      <c r="G32" s="107">
        <v>5</v>
      </c>
      <c r="H32" s="107">
        <v>6</v>
      </c>
      <c r="I32" s="107">
        <v>7</v>
      </c>
      <c r="J32" s="107">
        <v>8</v>
      </c>
      <c r="K32" s="107">
        <v>9</v>
      </c>
      <c r="L32" s="107">
        <v>10</v>
      </c>
      <c r="M32" s="107">
        <v>11</v>
      </c>
      <c r="N32" s="107">
        <v>12</v>
      </c>
      <c r="O32" s="107">
        <v>13</v>
      </c>
      <c r="P32" s="107">
        <v>14</v>
      </c>
      <c r="Q32" s="107">
        <v>15</v>
      </c>
      <c r="R32" s="107">
        <v>16</v>
      </c>
      <c r="S32" s="107">
        <v>17</v>
      </c>
      <c r="T32" s="107">
        <v>18</v>
      </c>
      <c r="U32" s="107">
        <v>19</v>
      </c>
      <c r="V32" s="107">
        <v>20</v>
      </c>
      <c r="W32" s="107">
        <v>21</v>
      </c>
      <c r="X32" s="107">
        <v>22</v>
      </c>
      <c r="Y32" s="107">
        <v>23</v>
      </c>
      <c r="Z32" s="107">
        <v>24</v>
      </c>
      <c r="AA32" s="107">
        <v>25</v>
      </c>
      <c r="AB32" s="107">
        <v>26</v>
      </c>
      <c r="AC32" s="107">
        <v>27</v>
      </c>
      <c r="AD32" s="107">
        <v>28</v>
      </c>
      <c r="AE32" s="107">
        <v>29</v>
      </c>
      <c r="AF32" s="107">
        <v>30</v>
      </c>
      <c r="AG32" s="107"/>
      <c r="AH32" s="126">
        <f>COUNTIF($D33:$AH33,Code1)</f>
        <v>0</v>
      </c>
      <c r="AI32" s="126">
        <f>COUNTIF($D33:$AH33,Code2)</f>
        <v>0</v>
      </c>
      <c r="AJ32" s="126">
        <f>COUNTIF($D33:$AH33,Code3)</f>
        <v>0</v>
      </c>
      <c r="AK32" s="126">
        <f>COUNTIF($D33:$AH33,Code4)</f>
        <v>0</v>
      </c>
    </row>
    <row r="33" spans="2:37">
      <c r="B33" s="125"/>
      <c r="C33" s="106" t="str">
        <f>IFERROR(VLOOKUP(StudentLookup,AprilAttendance[],3,FALSE),"")</f>
        <v/>
      </c>
      <c r="D33" s="106" t="str">
        <f>IFERROR(VLOOKUP(StudentLookup,AprilAttendance[],4,FALSE),"")</f>
        <v/>
      </c>
      <c r="E33" s="106" t="str">
        <f>IFERROR(VLOOKUP(StudentLookup,AprilAttendance[],5,FALSE),"")</f>
        <v/>
      </c>
      <c r="F33" s="106" t="str">
        <f>IFERROR(VLOOKUP(StudentLookup,AprilAttendance[],6,FALSE),"")</f>
        <v/>
      </c>
      <c r="G33" s="106" t="str">
        <f>IFERROR(VLOOKUP(StudentLookup,AprilAttendance[],7,FALSE),"")</f>
        <v/>
      </c>
      <c r="H33" s="106" t="str">
        <f>IFERROR(VLOOKUP(StudentLookup,AprilAttendance[],8,FALSE),"")</f>
        <v/>
      </c>
      <c r="I33" s="106" t="str">
        <f>IFERROR(VLOOKUP(StudentLookup,AprilAttendance[],9,FALSE),"")</f>
        <v/>
      </c>
      <c r="J33" s="106" t="str">
        <f>IFERROR(VLOOKUP(StudentLookup,AprilAttendance[],10,FALSE),"")</f>
        <v/>
      </c>
      <c r="K33" s="106" t="str">
        <f>IFERROR(VLOOKUP(StudentLookup,AprilAttendance[],11,FALSE),"")</f>
        <v/>
      </c>
      <c r="L33" s="106" t="str">
        <f>IFERROR(VLOOKUP(StudentLookup,AprilAttendance[],12,FALSE),"")</f>
        <v/>
      </c>
      <c r="M33" s="106" t="str">
        <f>IFERROR(VLOOKUP(StudentLookup,AprilAttendance[],13,FALSE),"")</f>
        <v/>
      </c>
      <c r="N33" s="106" t="str">
        <f>IFERROR(VLOOKUP(StudentLookup,AprilAttendance[],14,FALSE),"")</f>
        <v/>
      </c>
      <c r="O33" s="106" t="str">
        <f>IFERROR(VLOOKUP(StudentLookup,AprilAttendance[],15,FALSE),"")</f>
        <v/>
      </c>
      <c r="P33" s="106" t="str">
        <f>IFERROR(VLOOKUP(StudentLookup,AprilAttendance[],16,FALSE),"")</f>
        <v/>
      </c>
      <c r="Q33" s="106" t="str">
        <f>IFERROR(VLOOKUP(StudentLookup,AprilAttendance[],17,FALSE),"")</f>
        <v/>
      </c>
      <c r="R33" s="106" t="str">
        <f>IFERROR(VLOOKUP(StudentLookup,AprilAttendance[],18,FALSE),"")</f>
        <v/>
      </c>
      <c r="S33" s="106" t="str">
        <f>IFERROR(VLOOKUP(StudentLookup,AprilAttendance[],19,FALSE),"")</f>
        <v/>
      </c>
      <c r="T33" s="106" t="str">
        <f>IFERROR(VLOOKUP(StudentLookup,AprilAttendance[],20,FALSE),"")</f>
        <v/>
      </c>
      <c r="U33" s="106" t="str">
        <f>IFERROR(VLOOKUP(StudentLookup,AprilAttendance[],21,FALSE),"")</f>
        <v/>
      </c>
      <c r="V33" s="106" t="str">
        <f>IFERROR(VLOOKUP(StudentLookup,AprilAttendance[],22,FALSE),"")</f>
        <v/>
      </c>
      <c r="W33" s="106" t="str">
        <f>IFERROR(VLOOKUP(StudentLookup,AprilAttendance[],23,FALSE),"")</f>
        <v/>
      </c>
      <c r="X33" s="106" t="str">
        <f>IFERROR(VLOOKUP(StudentLookup,AprilAttendance[],24,FALSE),"")</f>
        <v/>
      </c>
      <c r="Y33" s="106" t="str">
        <f>IFERROR(VLOOKUP(StudentLookup,AprilAttendance[],25,FALSE),"")</f>
        <v/>
      </c>
      <c r="Z33" s="106" t="str">
        <f>IFERROR(VLOOKUP(StudentLookup,AprilAttendance[],26,FALSE),"")</f>
        <v/>
      </c>
      <c r="AA33" s="106" t="str">
        <f>IFERROR(VLOOKUP(StudentLookup,AprilAttendance[],27,FALSE),"")</f>
        <v/>
      </c>
      <c r="AB33" s="106" t="str">
        <f>IFERROR(VLOOKUP(StudentLookup,AprilAttendance[],28,FALSE),"")</f>
        <v/>
      </c>
      <c r="AC33" s="106" t="str">
        <f>IFERROR(VLOOKUP(StudentLookup,AprilAttendance[],29,FALSE),"")</f>
        <v/>
      </c>
      <c r="AD33" s="106" t="str">
        <f>IFERROR(VLOOKUP(StudentLookup,AprilAttendance[],30,FALSE),"")</f>
        <v/>
      </c>
      <c r="AE33" s="106" t="str">
        <f>IFERROR(VLOOKUP(StudentLookup,AprilAttendance[],31,FALSE),"")</f>
        <v/>
      </c>
      <c r="AF33" s="106" t="str">
        <f>IFERROR(VLOOKUP(StudentLookup,AprilAttendance[],32,FALSE),"")</f>
        <v/>
      </c>
      <c r="AG33" s="106"/>
      <c r="AH33" s="126"/>
      <c r="AI33" s="126"/>
      <c r="AJ33" s="126"/>
      <c r="AK33" s="126"/>
    </row>
    <row r="34" spans="2:37">
      <c r="B34" s="125" t="s">
        <v>131</v>
      </c>
      <c r="C34" s="107">
        <v>1</v>
      </c>
      <c r="D34" s="107">
        <v>2</v>
      </c>
      <c r="E34" s="107">
        <v>3</v>
      </c>
      <c r="F34" s="107">
        <v>4</v>
      </c>
      <c r="G34" s="107">
        <v>5</v>
      </c>
      <c r="H34" s="107">
        <v>6</v>
      </c>
      <c r="I34" s="107">
        <v>7</v>
      </c>
      <c r="J34" s="107">
        <v>8</v>
      </c>
      <c r="K34" s="107">
        <v>9</v>
      </c>
      <c r="L34" s="107">
        <v>10</v>
      </c>
      <c r="M34" s="107">
        <v>11</v>
      </c>
      <c r="N34" s="107">
        <v>12</v>
      </c>
      <c r="O34" s="107">
        <v>13</v>
      </c>
      <c r="P34" s="107">
        <v>14</v>
      </c>
      <c r="Q34" s="107">
        <v>15</v>
      </c>
      <c r="R34" s="107">
        <v>16</v>
      </c>
      <c r="S34" s="107">
        <v>17</v>
      </c>
      <c r="T34" s="107">
        <v>18</v>
      </c>
      <c r="U34" s="107">
        <v>19</v>
      </c>
      <c r="V34" s="107">
        <v>20</v>
      </c>
      <c r="W34" s="107">
        <v>21</v>
      </c>
      <c r="X34" s="107">
        <v>22</v>
      </c>
      <c r="Y34" s="107">
        <v>23</v>
      </c>
      <c r="Z34" s="107">
        <v>24</v>
      </c>
      <c r="AA34" s="107">
        <v>25</v>
      </c>
      <c r="AB34" s="107">
        <v>26</v>
      </c>
      <c r="AC34" s="107">
        <v>27</v>
      </c>
      <c r="AD34" s="107">
        <v>28</v>
      </c>
      <c r="AE34" s="107">
        <v>29</v>
      </c>
      <c r="AF34" s="107">
        <v>30</v>
      </c>
      <c r="AG34" s="107">
        <v>31</v>
      </c>
      <c r="AH34" s="126">
        <f>COUNTIF($D35:$AH35,Code1)</f>
        <v>0</v>
      </c>
      <c r="AI34" s="126">
        <f>COUNTIF($D35:$AH35,Code2)</f>
        <v>0</v>
      </c>
      <c r="AJ34" s="126">
        <f>COUNTIF($D35:$AH35,Code3)</f>
        <v>0</v>
      </c>
      <c r="AK34" s="126">
        <f>COUNTIF($D35:$AH35,Code4)</f>
        <v>0</v>
      </c>
    </row>
    <row r="35" spans="2:37">
      <c r="B35" s="125"/>
      <c r="C35" s="106" t="str">
        <f>IFERROR(VLOOKUP(StudentLookup,MayAttendance[],3,FALSE),"")</f>
        <v/>
      </c>
      <c r="D35" s="106" t="str">
        <f>IFERROR(VLOOKUP(StudentLookup,MayAttendance[],4,FALSE),"")</f>
        <v/>
      </c>
      <c r="E35" s="106" t="str">
        <f>IFERROR(VLOOKUP(StudentLookup,MayAttendance[],5,FALSE),"")</f>
        <v/>
      </c>
      <c r="F35" s="106" t="str">
        <f>IFERROR(VLOOKUP(StudentLookup,MayAttendance[],6,FALSE),"")</f>
        <v/>
      </c>
      <c r="G35" s="106" t="str">
        <f>IFERROR(VLOOKUP(StudentLookup,MayAttendance[],7,FALSE),"")</f>
        <v/>
      </c>
      <c r="H35" s="106" t="str">
        <f>IFERROR(VLOOKUP(StudentLookup,MayAttendance[],8,FALSE),"")</f>
        <v/>
      </c>
      <c r="I35" s="106" t="str">
        <f>IFERROR(VLOOKUP(StudentLookup,MayAttendance[],9,FALSE),"")</f>
        <v/>
      </c>
      <c r="J35" s="106" t="str">
        <f>IFERROR(VLOOKUP(StudentLookup,MayAttendance[],10,FALSE),"")</f>
        <v/>
      </c>
      <c r="K35" s="106" t="str">
        <f>IFERROR(VLOOKUP(StudentLookup,MayAttendance[],11,FALSE),"")</f>
        <v/>
      </c>
      <c r="L35" s="106" t="str">
        <f>IFERROR(VLOOKUP(StudentLookup,MayAttendance[],12,FALSE),"")</f>
        <v/>
      </c>
      <c r="M35" s="106" t="str">
        <f>IFERROR(VLOOKUP(StudentLookup,MayAttendance[],13,FALSE),"")</f>
        <v/>
      </c>
      <c r="N35" s="106" t="str">
        <f>IFERROR(VLOOKUP(StudentLookup,MayAttendance[],14,FALSE),"")</f>
        <v/>
      </c>
      <c r="O35" s="106" t="str">
        <f>IFERROR(VLOOKUP(StudentLookup,MayAttendance[],15,FALSE),"")</f>
        <v/>
      </c>
      <c r="P35" s="106" t="str">
        <f>IFERROR(VLOOKUP(StudentLookup,MayAttendance[],16,FALSE),"")</f>
        <v/>
      </c>
      <c r="Q35" s="106" t="str">
        <f>IFERROR(VLOOKUP(StudentLookup,MayAttendance[],17,FALSE),"")</f>
        <v/>
      </c>
      <c r="R35" s="106" t="str">
        <f>IFERROR(VLOOKUP(StudentLookup,MayAttendance[],18,FALSE),"")</f>
        <v/>
      </c>
      <c r="S35" s="106" t="str">
        <f>IFERROR(VLOOKUP(StudentLookup,MayAttendance[],19,FALSE),"")</f>
        <v/>
      </c>
      <c r="T35" s="106" t="str">
        <f>IFERROR(VLOOKUP(StudentLookup,MayAttendance[],20,FALSE),"")</f>
        <v/>
      </c>
      <c r="U35" s="106" t="str">
        <f>IFERROR(VLOOKUP(StudentLookup,MayAttendance[],21,FALSE),"")</f>
        <v/>
      </c>
      <c r="V35" s="106" t="str">
        <f>IFERROR(VLOOKUP(StudentLookup,MayAttendance[],22,FALSE),"")</f>
        <v/>
      </c>
      <c r="W35" s="106" t="str">
        <f>IFERROR(VLOOKUP(StudentLookup,MayAttendance[],23,FALSE),"")</f>
        <v/>
      </c>
      <c r="X35" s="106" t="str">
        <f>IFERROR(VLOOKUP(StudentLookup,MayAttendance[],24,FALSE),"")</f>
        <v/>
      </c>
      <c r="Y35" s="106" t="str">
        <f>IFERROR(VLOOKUP(StudentLookup,MayAttendance[],25,FALSE),"")</f>
        <v/>
      </c>
      <c r="Z35" s="106" t="str">
        <f>IFERROR(VLOOKUP(StudentLookup,MayAttendance[],26,FALSE),"")</f>
        <v/>
      </c>
      <c r="AA35" s="106" t="str">
        <f>IFERROR(VLOOKUP(StudentLookup,MayAttendance[],27,FALSE),"")</f>
        <v/>
      </c>
      <c r="AB35" s="106" t="str">
        <f>IFERROR(VLOOKUP(StudentLookup,MayAttendance[],28,FALSE),"")</f>
        <v/>
      </c>
      <c r="AC35" s="106" t="str">
        <f>IFERROR(VLOOKUP(StudentLookup,MayAttendance[],29,FALSE),"")</f>
        <v/>
      </c>
      <c r="AD35" s="106" t="str">
        <f>IFERROR(VLOOKUP(StudentLookup,MayAttendance[],30,FALSE),"")</f>
        <v/>
      </c>
      <c r="AE35" s="106" t="str">
        <f>IFERROR(VLOOKUP(StudentLookup,MayAttendance[],31,FALSE),"")</f>
        <v/>
      </c>
      <c r="AF35" s="106" t="str">
        <f>IFERROR(VLOOKUP(StudentLookup,MayAttendance[],32,FALSE),"")</f>
        <v/>
      </c>
      <c r="AG35" s="106" t="str">
        <f>IFERROR(VLOOKUP(StudentLookup,MayAttendance[],33,FALSE),"")</f>
        <v/>
      </c>
      <c r="AH35" s="126"/>
      <c r="AI35" s="126"/>
      <c r="AJ35" s="126"/>
      <c r="AK35" s="126"/>
    </row>
    <row r="36" spans="2:37">
      <c r="B36" s="127" t="s">
        <v>132</v>
      </c>
      <c r="C36" s="107">
        <v>1</v>
      </c>
      <c r="D36" s="107">
        <v>2</v>
      </c>
      <c r="E36" s="107">
        <v>3</v>
      </c>
      <c r="F36" s="107">
        <v>4</v>
      </c>
      <c r="G36" s="107">
        <v>5</v>
      </c>
      <c r="H36" s="107">
        <v>6</v>
      </c>
      <c r="I36" s="107">
        <v>7</v>
      </c>
      <c r="J36" s="107">
        <v>8</v>
      </c>
      <c r="K36" s="107">
        <v>9</v>
      </c>
      <c r="L36" s="107">
        <v>10</v>
      </c>
      <c r="M36" s="107">
        <v>11</v>
      </c>
      <c r="N36" s="107">
        <v>12</v>
      </c>
      <c r="O36" s="107">
        <v>13</v>
      </c>
      <c r="P36" s="107">
        <v>14</v>
      </c>
      <c r="Q36" s="107">
        <v>15</v>
      </c>
      <c r="R36" s="107">
        <v>16</v>
      </c>
      <c r="S36" s="107">
        <v>17</v>
      </c>
      <c r="T36" s="107">
        <v>18</v>
      </c>
      <c r="U36" s="107">
        <v>19</v>
      </c>
      <c r="V36" s="107">
        <v>20</v>
      </c>
      <c r="W36" s="107">
        <v>21</v>
      </c>
      <c r="X36" s="107">
        <v>22</v>
      </c>
      <c r="Y36" s="107">
        <v>23</v>
      </c>
      <c r="Z36" s="107">
        <v>24</v>
      </c>
      <c r="AA36" s="107">
        <v>25</v>
      </c>
      <c r="AB36" s="107">
        <v>26</v>
      </c>
      <c r="AC36" s="107">
        <v>27</v>
      </c>
      <c r="AD36" s="107">
        <v>28</v>
      </c>
      <c r="AE36" s="107">
        <v>29</v>
      </c>
      <c r="AF36" s="107">
        <v>30</v>
      </c>
      <c r="AG36" s="107"/>
      <c r="AH36" s="122">
        <f>COUNTIF($D37:$AH37,Code1)</f>
        <v>0</v>
      </c>
      <c r="AI36" s="122">
        <f>COUNTIF($D37:$AH37,Code2)</f>
        <v>0</v>
      </c>
      <c r="AJ36" s="122">
        <f>COUNTIF($D37:$AH37,Code3)</f>
        <v>0</v>
      </c>
      <c r="AK36" s="122">
        <f>COUNTIF($D37:$AH37,Code4)</f>
        <v>0</v>
      </c>
    </row>
    <row r="37" spans="2:37">
      <c r="B37" s="128"/>
      <c r="C37" s="106" t="str">
        <f>IFERROR(VLOOKUP(StudentLookup,JuneAttendance[],3,FALSE),"")</f>
        <v/>
      </c>
      <c r="D37" s="106" t="str">
        <f>IFERROR(VLOOKUP(StudentLookup,JuneAttendance[],4,FALSE),"")</f>
        <v/>
      </c>
      <c r="E37" s="106" t="str">
        <f>IFERROR(VLOOKUP(StudentLookup,JuneAttendance[],5,FALSE),"")</f>
        <v/>
      </c>
      <c r="F37" s="106" t="str">
        <f>IFERROR(VLOOKUP(StudentLookup,JuneAttendance[],6,FALSE),"")</f>
        <v/>
      </c>
      <c r="G37" s="106" t="str">
        <f>IFERROR(VLOOKUP(StudentLookup,JuneAttendance[],7,FALSE),"")</f>
        <v/>
      </c>
      <c r="H37" s="106" t="str">
        <f>IFERROR(VLOOKUP(StudentLookup,JuneAttendance[],8,FALSE),"")</f>
        <v/>
      </c>
      <c r="I37" s="106" t="str">
        <f>IFERROR(VLOOKUP(StudentLookup,JuneAttendance[],9,FALSE),"")</f>
        <v/>
      </c>
      <c r="J37" s="106" t="str">
        <f>IFERROR(VLOOKUP(StudentLookup,JuneAttendance[],10,FALSE),"")</f>
        <v/>
      </c>
      <c r="K37" s="106" t="str">
        <f>IFERROR(VLOOKUP(StudentLookup,JuneAttendance[],11,FALSE),"")</f>
        <v/>
      </c>
      <c r="L37" s="106" t="str">
        <f>IFERROR(VLOOKUP(StudentLookup,JuneAttendance[],12,FALSE),"")</f>
        <v/>
      </c>
      <c r="M37" s="106" t="str">
        <f>IFERROR(VLOOKUP(StudentLookup,JuneAttendance[],13,FALSE),"")</f>
        <v/>
      </c>
      <c r="N37" s="106" t="str">
        <f>IFERROR(VLOOKUP(StudentLookup,JuneAttendance[],14,FALSE),"")</f>
        <v/>
      </c>
      <c r="O37" s="106" t="str">
        <f>IFERROR(VLOOKUP(StudentLookup,JuneAttendance[],15,FALSE),"")</f>
        <v/>
      </c>
      <c r="P37" s="106" t="str">
        <f>IFERROR(VLOOKUP(StudentLookup,JuneAttendance[],16,FALSE),"")</f>
        <v/>
      </c>
      <c r="Q37" s="106" t="str">
        <f>IFERROR(VLOOKUP(StudentLookup,JuneAttendance[],17,FALSE),"")</f>
        <v/>
      </c>
      <c r="R37" s="106" t="str">
        <f>IFERROR(VLOOKUP(StudentLookup,JuneAttendance[],18,FALSE),"")</f>
        <v/>
      </c>
      <c r="S37" s="106" t="str">
        <f>IFERROR(VLOOKUP(StudentLookup,JuneAttendance[],19,FALSE),"")</f>
        <v/>
      </c>
      <c r="T37" s="106" t="str">
        <f>IFERROR(VLOOKUP(StudentLookup,JuneAttendance[],20,FALSE),"")</f>
        <v/>
      </c>
      <c r="U37" s="106" t="str">
        <f>IFERROR(VLOOKUP(StudentLookup,JuneAttendance[],21,FALSE),"")</f>
        <v/>
      </c>
      <c r="V37" s="106" t="str">
        <f>IFERROR(VLOOKUP(StudentLookup,JuneAttendance[],22,FALSE),"")</f>
        <v/>
      </c>
      <c r="W37" s="106" t="str">
        <f>IFERROR(VLOOKUP(StudentLookup,JuneAttendance[],23,FALSE),"")</f>
        <v/>
      </c>
      <c r="X37" s="106" t="str">
        <f>IFERROR(VLOOKUP(StudentLookup,JuneAttendance[],24,FALSE),"")</f>
        <v/>
      </c>
      <c r="Y37" s="106" t="str">
        <f>IFERROR(VLOOKUP(StudentLookup,JuneAttendance[],25,FALSE),"")</f>
        <v/>
      </c>
      <c r="Z37" s="106" t="str">
        <f>IFERROR(VLOOKUP(StudentLookup,JuneAttendance[],26,FALSE),"")</f>
        <v/>
      </c>
      <c r="AA37" s="106" t="str">
        <f>IFERROR(VLOOKUP(StudentLookup,JuneAttendance[],27,FALSE),"")</f>
        <v/>
      </c>
      <c r="AB37" s="106" t="str">
        <f>IFERROR(VLOOKUP(StudentLookup,JuneAttendance[],28,FALSE),"")</f>
        <v/>
      </c>
      <c r="AC37" s="106" t="str">
        <f>IFERROR(VLOOKUP(StudentLookup,JuneAttendance[],29,FALSE),"")</f>
        <v/>
      </c>
      <c r="AD37" s="106" t="str">
        <f>IFERROR(VLOOKUP(StudentLookup,JuneAttendance[],30,FALSE),"")</f>
        <v/>
      </c>
      <c r="AE37" s="106" t="str">
        <f>IFERROR(VLOOKUP(StudentLookup,JuneAttendance[],31,FALSE),"")</f>
        <v/>
      </c>
      <c r="AF37" s="106" t="str">
        <f>IFERROR(VLOOKUP(StudentLookup,JuneAttendance[],32,FALSE),"")</f>
        <v/>
      </c>
      <c r="AG37" s="106"/>
      <c r="AH37" s="123"/>
      <c r="AI37" s="123"/>
      <c r="AJ37" s="123"/>
      <c r="AK37" s="123"/>
    </row>
    <row r="38" spans="2:37">
      <c r="B38" s="127" t="s">
        <v>133</v>
      </c>
      <c r="C38" s="107">
        <v>1</v>
      </c>
      <c r="D38" s="107">
        <v>2</v>
      </c>
      <c r="E38" s="107">
        <v>3</v>
      </c>
      <c r="F38" s="107">
        <v>4</v>
      </c>
      <c r="G38" s="107">
        <v>5</v>
      </c>
      <c r="H38" s="107">
        <v>6</v>
      </c>
      <c r="I38" s="107">
        <v>7</v>
      </c>
      <c r="J38" s="107">
        <v>8</v>
      </c>
      <c r="K38" s="107">
        <v>9</v>
      </c>
      <c r="L38" s="107">
        <v>10</v>
      </c>
      <c r="M38" s="107">
        <v>11</v>
      </c>
      <c r="N38" s="107">
        <v>12</v>
      </c>
      <c r="O38" s="107">
        <v>13</v>
      </c>
      <c r="P38" s="107">
        <v>14</v>
      </c>
      <c r="Q38" s="107">
        <v>15</v>
      </c>
      <c r="R38" s="107">
        <v>16</v>
      </c>
      <c r="S38" s="107">
        <v>17</v>
      </c>
      <c r="T38" s="107">
        <v>18</v>
      </c>
      <c r="U38" s="107">
        <v>19</v>
      </c>
      <c r="V38" s="107">
        <v>20</v>
      </c>
      <c r="W38" s="107">
        <v>21</v>
      </c>
      <c r="X38" s="107">
        <v>22</v>
      </c>
      <c r="Y38" s="107">
        <v>23</v>
      </c>
      <c r="Z38" s="107">
        <v>24</v>
      </c>
      <c r="AA38" s="107">
        <v>25</v>
      </c>
      <c r="AB38" s="107">
        <v>26</v>
      </c>
      <c r="AC38" s="107">
        <v>27</v>
      </c>
      <c r="AD38" s="107">
        <v>28</v>
      </c>
      <c r="AE38" s="107">
        <v>29</v>
      </c>
      <c r="AF38" s="107">
        <v>30</v>
      </c>
      <c r="AG38" s="107">
        <v>31</v>
      </c>
      <c r="AH38" s="122">
        <f>COUNTIF($D39:$AH39,Code1)</f>
        <v>0</v>
      </c>
      <c r="AI38" s="122">
        <f>COUNTIF($D39:$AH39,Code2)</f>
        <v>0</v>
      </c>
      <c r="AJ38" s="122">
        <f>COUNTIF($D39:$AH39,Code3)</f>
        <v>0</v>
      </c>
      <c r="AK38" s="122">
        <f>COUNTIF($D39:$AH39,Code4)</f>
        <v>0</v>
      </c>
    </row>
    <row r="39" spans="2:37">
      <c r="B39" s="128"/>
      <c r="C39" s="106" t="str">
        <f>IFERROR(VLOOKUP(StudentLookup,JulyAttendance[],3,FALSE),"")</f>
        <v/>
      </c>
      <c r="D39" s="106" t="str">
        <f>IFERROR(VLOOKUP(StudentLookup,JulyAttendance[],4,FALSE),"")</f>
        <v/>
      </c>
      <c r="E39" s="106" t="str">
        <f>IFERROR(VLOOKUP(StudentLookup,JulyAttendance[],5,FALSE),"")</f>
        <v/>
      </c>
      <c r="F39" s="106" t="str">
        <f>IFERROR(VLOOKUP(StudentLookup,JulyAttendance[],6,FALSE),"")</f>
        <v/>
      </c>
      <c r="G39" s="106" t="str">
        <f>IFERROR(VLOOKUP(StudentLookup,JulyAttendance[],7,FALSE),"")</f>
        <v/>
      </c>
      <c r="H39" s="106" t="str">
        <f>IFERROR(VLOOKUP(StudentLookup,JulyAttendance[],8,FALSE),"")</f>
        <v/>
      </c>
      <c r="I39" s="106" t="str">
        <f>IFERROR(VLOOKUP(StudentLookup,JulyAttendance[],9,FALSE),"")</f>
        <v/>
      </c>
      <c r="J39" s="106" t="str">
        <f>IFERROR(VLOOKUP(StudentLookup,JulyAttendance[],10,FALSE),"")</f>
        <v/>
      </c>
      <c r="K39" s="106" t="str">
        <f>IFERROR(VLOOKUP(StudentLookup,JulyAttendance[],11,FALSE),"")</f>
        <v/>
      </c>
      <c r="L39" s="106" t="str">
        <f>IFERROR(VLOOKUP(StudentLookup,JulyAttendance[],12,FALSE),"")</f>
        <v/>
      </c>
      <c r="M39" s="106" t="str">
        <f>IFERROR(VLOOKUP(StudentLookup,JulyAttendance[],13,FALSE),"")</f>
        <v/>
      </c>
      <c r="N39" s="106" t="str">
        <f>IFERROR(VLOOKUP(StudentLookup,JulyAttendance[],14,FALSE),"")</f>
        <v/>
      </c>
      <c r="O39" s="106" t="str">
        <f>IFERROR(VLOOKUP(StudentLookup,JulyAttendance[],15,FALSE),"")</f>
        <v/>
      </c>
      <c r="P39" s="106" t="str">
        <f>IFERROR(VLOOKUP(StudentLookup,JulyAttendance[],16,FALSE),"")</f>
        <v/>
      </c>
      <c r="Q39" s="106" t="str">
        <f>IFERROR(VLOOKUP(StudentLookup,JulyAttendance[],17,FALSE),"")</f>
        <v/>
      </c>
      <c r="R39" s="106" t="str">
        <f>IFERROR(VLOOKUP(StudentLookup,JulyAttendance[],18,FALSE),"")</f>
        <v/>
      </c>
      <c r="S39" s="106" t="str">
        <f>IFERROR(VLOOKUP(StudentLookup,JulyAttendance[],19,FALSE),"")</f>
        <v/>
      </c>
      <c r="T39" s="106" t="str">
        <f>IFERROR(VLOOKUP(StudentLookup,JulyAttendance[],20,FALSE),"")</f>
        <v/>
      </c>
      <c r="U39" s="106" t="str">
        <f>IFERROR(VLOOKUP(StudentLookup,JulyAttendance[],21,FALSE),"")</f>
        <v/>
      </c>
      <c r="V39" s="106" t="str">
        <f>IFERROR(VLOOKUP(StudentLookup,JulyAttendance[],22,FALSE),"")</f>
        <v/>
      </c>
      <c r="W39" s="106" t="str">
        <f>IFERROR(VLOOKUP(StudentLookup,JulyAttendance[],23,FALSE),"")</f>
        <v/>
      </c>
      <c r="X39" s="106" t="str">
        <f>IFERROR(VLOOKUP(StudentLookup,JulyAttendance[],24,FALSE),"")</f>
        <v/>
      </c>
      <c r="Y39" s="106" t="str">
        <f>IFERROR(VLOOKUP(StudentLookup,JulyAttendance[],25,FALSE),"")</f>
        <v/>
      </c>
      <c r="Z39" s="106" t="str">
        <f>IFERROR(VLOOKUP(StudentLookup,JulyAttendance[],26,FALSE),"")</f>
        <v/>
      </c>
      <c r="AA39" s="106" t="str">
        <f>IFERROR(VLOOKUP(StudentLookup,JulyAttendance[],27,FALSE),"")</f>
        <v/>
      </c>
      <c r="AB39" s="106" t="str">
        <f>IFERROR(VLOOKUP(StudentLookup,JulyAttendance[],28,FALSE),"")</f>
        <v/>
      </c>
      <c r="AC39" s="106" t="str">
        <f>IFERROR(VLOOKUP(StudentLookup,JulyAttendance[],29,FALSE),"")</f>
        <v/>
      </c>
      <c r="AD39" s="106" t="str">
        <f>IFERROR(VLOOKUP(StudentLookup,JulyAttendance[],30,FALSE),"")</f>
        <v/>
      </c>
      <c r="AE39" s="106" t="str">
        <f>IFERROR(VLOOKUP(StudentLookup,JulyAttendance[],31,FALSE),"")</f>
        <v/>
      </c>
      <c r="AF39" s="106" t="str">
        <f>IFERROR(VLOOKUP(StudentLookup,JulyAttendance[],32,FALSE),"")</f>
        <v/>
      </c>
      <c r="AG39" s="106" t="str">
        <f>IFERROR(VLOOKUP(StudentLookup,JulyAttendance[],33,FALSE),"")</f>
        <v/>
      </c>
      <c r="AH39" s="123"/>
      <c r="AI39" s="123"/>
      <c r="AJ39" s="123"/>
      <c r="AK39" s="123"/>
    </row>
    <row r="40" spans="2:37">
      <c r="B40" s="108"/>
      <c r="C40" s="108"/>
      <c r="D40" s="108"/>
      <c r="E40" s="108"/>
      <c r="F40" s="108"/>
      <c r="G40" s="108"/>
      <c r="H40" s="108"/>
      <c r="I40" s="108"/>
      <c r="J40" s="108"/>
      <c r="K40" s="108"/>
      <c r="L40" s="108"/>
      <c r="M40" s="108"/>
      <c r="N40" s="108"/>
      <c r="O40" s="108"/>
      <c r="P40" s="108"/>
      <c r="Q40" s="108"/>
      <c r="R40" s="108"/>
      <c r="S40" s="109"/>
      <c r="T40" s="109"/>
      <c r="U40" s="109"/>
      <c r="V40" s="109"/>
      <c r="W40" s="109"/>
      <c r="X40" s="109"/>
      <c r="Y40" s="109"/>
      <c r="Z40" s="109"/>
      <c r="AA40" s="109"/>
      <c r="AB40" s="109"/>
      <c r="AC40" s="109"/>
      <c r="AD40" s="109"/>
      <c r="AE40" s="124" t="s">
        <v>96</v>
      </c>
      <c r="AF40" s="124"/>
      <c r="AG40" s="124"/>
      <c r="AH40" s="110">
        <f>SUM(AH16:AH39)</f>
        <v>2</v>
      </c>
      <c r="AI40" s="110">
        <f>SUM(AI16:AI39)</f>
        <v>1</v>
      </c>
      <c r="AJ40" s="110">
        <f>SUM(AJ16:AJ39)</f>
        <v>0</v>
      </c>
      <c r="AK40" s="110">
        <f>SUM(AK16:AK39)</f>
        <v>19</v>
      </c>
    </row>
  </sheetData>
  <sheetProtection sheet="1" objects="1" scenarios="1" formatColumns="0" formatRows="0" selectLockedCells="1"/>
  <mergeCells count="100">
    <mergeCell ref="AE5:AK5"/>
    <mergeCell ref="B6:J6"/>
    <mergeCell ref="K6:V6"/>
    <mergeCell ref="W6:AD6"/>
    <mergeCell ref="AE6:AK6"/>
    <mergeCell ref="B5:J5"/>
    <mergeCell ref="K5:V5"/>
    <mergeCell ref="B7:J7"/>
    <mergeCell ref="K7:V7"/>
    <mergeCell ref="W7:AD7"/>
    <mergeCell ref="AE7:AK7"/>
    <mergeCell ref="B8:J8"/>
    <mergeCell ref="K8:V8"/>
    <mergeCell ref="W8:AD8"/>
    <mergeCell ref="AE8:AK8"/>
    <mergeCell ref="P3:R3"/>
    <mergeCell ref="S3:V3"/>
    <mergeCell ref="W3:AD3"/>
    <mergeCell ref="W5:AD5"/>
    <mergeCell ref="P4:R4"/>
    <mergeCell ref="S4:V4"/>
    <mergeCell ref="W4:AD4"/>
    <mergeCell ref="B4:C4"/>
    <mergeCell ref="D4:O4"/>
    <mergeCell ref="D3:O3"/>
    <mergeCell ref="B14:AG15"/>
    <mergeCell ref="AE3:AF3"/>
    <mergeCell ref="AE4:AF4"/>
    <mergeCell ref="AG3:AJ3"/>
    <mergeCell ref="AG4:AJ4"/>
    <mergeCell ref="B9:J9"/>
    <mergeCell ref="K9:V9"/>
    <mergeCell ref="W9:AD9"/>
    <mergeCell ref="AE9:AK9"/>
    <mergeCell ref="B10:J10"/>
    <mergeCell ref="K10:V10"/>
    <mergeCell ref="W10:AD10"/>
    <mergeCell ref="AE10:AK10"/>
    <mergeCell ref="AH14:AK14"/>
    <mergeCell ref="B16:B17"/>
    <mergeCell ref="AH16:AH17"/>
    <mergeCell ref="AI16:AI17"/>
    <mergeCell ref="AJ16:AJ17"/>
    <mergeCell ref="AK16:AK17"/>
    <mergeCell ref="B20:B21"/>
    <mergeCell ref="AH20:AH21"/>
    <mergeCell ref="AI20:AI21"/>
    <mergeCell ref="AJ20:AJ21"/>
    <mergeCell ref="AK20:AK21"/>
    <mergeCell ref="B18:B19"/>
    <mergeCell ref="AH18:AH19"/>
    <mergeCell ref="AI18:AI19"/>
    <mergeCell ref="AJ18:AJ19"/>
    <mergeCell ref="AK18:AK19"/>
    <mergeCell ref="B24:B25"/>
    <mergeCell ref="AH24:AH25"/>
    <mergeCell ref="AI24:AI25"/>
    <mergeCell ref="AJ24:AJ25"/>
    <mergeCell ref="AK24:AK25"/>
    <mergeCell ref="B22:B23"/>
    <mergeCell ref="AH22:AH23"/>
    <mergeCell ref="AI22:AI23"/>
    <mergeCell ref="AJ22:AJ23"/>
    <mergeCell ref="AK22:AK23"/>
    <mergeCell ref="B28:B29"/>
    <mergeCell ref="AH28:AH29"/>
    <mergeCell ref="AI28:AI29"/>
    <mergeCell ref="AJ28:AJ29"/>
    <mergeCell ref="AK28:AK29"/>
    <mergeCell ref="B26:B27"/>
    <mergeCell ref="AH26:AH27"/>
    <mergeCell ref="AI26:AI27"/>
    <mergeCell ref="AJ26:AJ27"/>
    <mergeCell ref="AK26:AK27"/>
    <mergeCell ref="B32:B33"/>
    <mergeCell ref="AH32:AH33"/>
    <mergeCell ref="AI32:AI33"/>
    <mergeCell ref="AJ32:AJ33"/>
    <mergeCell ref="AK32:AK33"/>
    <mergeCell ref="B30:B31"/>
    <mergeCell ref="AH30:AH31"/>
    <mergeCell ref="AI30:AI31"/>
    <mergeCell ref="AJ30:AJ31"/>
    <mergeCell ref="AK30:AK31"/>
    <mergeCell ref="AK38:AK39"/>
    <mergeCell ref="AE40:AG40"/>
    <mergeCell ref="B34:B35"/>
    <mergeCell ref="AH34:AH35"/>
    <mergeCell ref="AI34:AI35"/>
    <mergeCell ref="AJ34:AJ35"/>
    <mergeCell ref="B38:B39"/>
    <mergeCell ref="AH38:AH39"/>
    <mergeCell ref="AI38:AI39"/>
    <mergeCell ref="AJ38:AJ39"/>
    <mergeCell ref="AK34:AK35"/>
    <mergeCell ref="B36:B37"/>
    <mergeCell ref="AH36:AH37"/>
    <mergeCell ref="AI36:AI37"/>
    <mergeCell ref="AJ36:AJ37"/>
    <mergeCell ref="AK36:AK37"/>
  </mergeCells>
  <phoneticPr fontId="9" type="noConversion"/>
  <conditionalFormatting sqref="C17:AG17 C21:AG21 C23:AF23 C25:AG25 C27:AG27 C31:AG31 C33:AF33 C35:AG35 C37:AG37 C39:AG39 C29:AG29 C19:AG19">
    <cfRule type="expression" dxfId="5" priority="150">
      <formula>C17=Code1</formula>
    </cfRule>
  </conditionalFormatting>
  <conditionalFormatting sqref="C17:AG17 C21:AG21 C23:AF23 C25:AG25 C27:AG27 C31:AG31 C33:AF33 C35:AG35 C37:AG37 C39:AG39 C29:AG29 C19:AG19">
    <cfRule type="expression" dxfId="4" priority="162">
      <formula>C17=Code2</formula>
    </cfRule>
  </conditionalFormatting>
  <conditionalFormatting sqref="C17:AG17 C21:AG21 C23:AF23 C25:AG25 C27:AG27 C31:AG31 C33:AF33 C35:AG35 C37:AG37 C39:AG39 C29:AG29 C19:AG19">
    <cfRule type="expression" dxfId="3" priority="174">
      <formula>C17=Code3</formula>
    </cfRule>
  </conditionalFormatting>
  <conditionalFormatting sqref="C17:AG17 C21:AG21 C23:AF23 C25:AG25 C27:AG27 C31:AG31 C33:AF33 C35:AG35 C37:AG37 C39:AG39 C29:AG29 C19:AG19">
    <cfRule type="expression" dxfId="2" priority="186">
      <formula>C17=Code4</formula>
    </cfRule>
  </conditionalFormatting>
  <conditionalFormatting sqref="C17:AG17 C21:AG21 C23:AF23 C25:AG25 C27:AG27 C31:AG31 C33:AF33 C35:AG35 C37:AG37 C39:AG39 C29:AG29 C19:AG19">
    <cfRule type="expression" dxfId="1" priority="199">
      <formula>C17=Code5</formula>
    </cfRule>
  </conditionalFormatting>
  <conditionalFormatting sqref="AE28">
    <cfRule type="expression" dxfId="0" priority="200">
      <formula>DATE(CalendarYear+1,2,AE28)&gt;EOMONTH(DATE(CalendarYear+1,1,1),1)</formula>
    </cfRule>
  </conditionalFormatting>
  <dataValidations count="2">
    <dataValidation type="list" errorStyle="warning" allowBlank="1" showInputMessage="1" showErrorMessage="1" errorTitle="Whoops!" error="In order to see attendance details for a specific student you need to select a Student ID# from the drop down list. You can click Yes to use your entry but the most of student details and attendance will be blank. " sqref="B4:C4">
      <formula1>StudentID</formula1>
    </dataValidation>
    <dataValidation allowBlank="1" showInputMessage="1" showErrorMessage="1" errorTitle="Unknown Student Name" error="Please select student from list. You can add or remove names from this list on the Student List worksheet." sqref="D4"/>
  </dataValidations>
  <printOptions horizontalCentered="1"/>
  <pageMargins left="0.25" right="0.25" top="0.75" bottom="0.75" header="0.3" footer="0.3"/>
  <pageSetup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S245"/>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defaultRowHeight="16.5"/>
  <cols>
    <col min="1" max="1" width="2.7109375" style="4" customWidth="1"/>
    <col min="2" max="2" width="14.42578125" style="4" customWidth="1"/>
    <col min="3" max="3" width="22.42578125" style="4" customWidth="1"/>
    <col min="4" max="4" width="18" style="4" customWidth="1"/>
    <col min="5" max="5" width="12.7109375" style="4" customWidth="1"/>
    <col min="6" max="6" width="22.7109375" style="4" customWidth="1"/>
    <col min="7" max="7" width="20.28515625" style="4" customWidth="1"/>
    <col min="8" max="8" width="20.5703125" style="4" customWidth="1"/>
    <col min="9" max="10" width="22" style="4" customWidth="1"/>
    <col min="11" max="12" width="20.5703125" style="4" customWidth="1"/>
    <col min="13" max="13" width="21.85546875" style="4" customWidth="1"/>
    <col min="14" max="14" width="22.42578125" style="4" customWidth="1"/>
    <col min="15" max="17" width="20.5703125" style="4" customWidth="1"/>
    <col min="18" max="19" width="22.140625" style="4" customWidth="1"/>
    <col min="20" max="16384" width="9.140625" style="4"/>
  </cols>
  <sheetData>
    <row r="1" spans="1:19" ht="42" customHeight="1">
      <c r="A1" s="1" t="s">
        <v>66</v>
      </c>
      <c r="B1" s="57"/>
      <c r="C1" s="57"/>
      <c r="D1" s="57"/>
      <c r="E1" s="57"/>
      <c r="F1" s="57"/>
      <c r="G1" s="57"/>
      <c r="H1" s="57"/>
      <c r="I1" s="57"/>
      <c r="J1" s="57"/>
      <c r="K1" s="57"/>
      <c r="L1" s="57"/>
      <c r="M1" s="57"/>
      <c r="N1" s="57"/>
      <c r="O1" s="57"/>
      <c r="P1" s="57"/>
      <c r="Q1" s="57"/>
      <c r="R1" s="57"/>
      <c r="S1" s="2"/>
    </row>
    <row r="3" spans="1:19" s="58" customFormat="1" ht="36" customHeight="1">
      <c r="B3" s="59" t="s">
        <v>67</v>
      </c>
      <c r="C3" s="60" t="s">
        <v>68</v>
      </c>
      <c r="D3" s="60" t="s">
        <v>71</v>
      </c>
      <c r="E3" s="59" t="s">
        <v>73</v>
      </c>
      <c r="F3" s="59" t="s">
        <v>75</v>
      </c>
      <c r="G3" s="60" t="s">
        <v>76</v>
      </c>
      <c r="H3" s="59" t="s">
        <v>77</v>
      </c>
      <c r="I3" s="59" t="s">
        <v>90</v>
      </c>
      <c r="J3" s="59" t="s">
        <v>79</v>
      </c>
      <c r="K3" s="59" t="s">
        <v>80</v>
      </c>
      <c r="L3" s="59" t="s">
        <v>78</v>
      </c>
      <c r="M3" s="59" t="s">
        <v>91</v>
      </c>
      <c r="N3" s="59" t="s">
        <v>92</v>
      </c>
      <c r="O3" s="60" t="s">
        <v>35</v>
      </c>
      <c r="P3" s="59" t="s">
        <v>83</v>
      </c>
      <c r="Q3" s="59" t="s">
        <v>86</v>
      </c>
      <c r="R3" s="59" t="s">
        <v>87</v>
      </c>
      <c r="S3" s="60" t="s">
        <v>88</v>
      </c>
    </row>
    <row r="4" spans="1:19" ht="15.75" customHeight="1">
      <c r="B4" s="61" t="s">
        <v>37</v>
      </c>
      <c r="C4" s="4" t="s">
        <v>69</v>
      </c>
      <c r="D4" s="61" t="s">
        <v>72</v>
      </c>
      <c r="E4" s="62" t="s">
        <v>74</v>
      </c>
      <c r="F4" s="63">
        <v>35517</v>
      </c>
      <c r="G4" s="61" t="s">
        <v>136</v>
      </c>
      <c r="H4" s="61" t="s">
        <v>137</v>
      </c>
      <c r="I4" s="64">
        <v>1235550134</v>
      </c>
      <c r="J4" s="64">
        <v>2345550134</v>
      </c>
      <c r="K4" s="65" t="s">
        <v>81</v>
      </c>
      <c r="L4" s="65" t="s">
        <v>82</v>
      </c>
      <c r="M4" s="64">
        <v>1235550134</v>
      </c>
      <c r="N4" s="64">
        <v>2345550134</v>
      </c>
      <c r="O4" s="61" t="s">
        <v>84</v>
      </c>
      <c r="P4" s="61" t="s">
        <v>85</v>
      </c>
      <c r="Q4" s="64">
        <v>7895550189</v>
      </c>
      <c r="R4" s="64">
        <v>7895550134</v>
      </c>
      <c r="S4" s="4" t="str">
        <f>StudentList[[#This Row],[学生姓氏]]&amp;"" &amp;StudentList[[#This Row],[学生名字]]</f>
        <v>贾卫国</v>
      </c>
    </row>
    <row r="5" spans="1:19" ht="15.75" customHeight="1">
      <c r="B5" s="61" t="s">
        <v>38</v>
      </c>
      <c r="C5" s="4" t="s">
        <v>70</v>
      </c>
      <c r="D5" s="61">
        <v>2</v>
      </c>
      <c r="E5" s="62"/>
      <c r="F5" s="63"/>
      <c r="G5" s="61"/>
      <c r="H5" s="61"/>
      <c r="I5" s="64"/>
      <c r="J5" s="64"/>
      <c r="K5" s="65"/>
      <c r="L5" s="65"/>
      <c r="M5" s="64"/>
      <c r="N5" s="64"/>
      <c r="O5" s="61"/>
      <c r="P5" s="61"/>
      <c r="Q5" s="64"/>
      <c r="R5" s="64"/>
      <c r="S5" s="4" t="str">
        <f>StudentList[[#This Row],[学生姓氏]]&amp;"" &amp;StudentList[[#This Row],[学生名字]]</f>
        <v>2学生</v>
      </c>
    </row>
    <row r="6" spans="1:19" ht="15.75" customHeight="1">
      <c r="B6" s="61" t="s">
        <v>39</v>
      </c>
      <c r="C6" s="4" t="s">
        <v>70</v>
      </c>
      <c r="D6" s="61">
        <v>3</v>
      </c>
      <c r="E6" s="62"/>
      <c r="F6" s="63"/>
      <c r="G6" s="61"/>
      <c r="H6" s="61"/>
      <c r="I6" s="64"/>
      <c r="J6" s="64"/>
      <c r="K6" s="65"/>
      <c r="L6" s="65"/>
      <c r="M6" s="64"/>
      <c r="N6" s="64"/>
      <c r="O6" s="61"/>
      <c r="P6" s="61"/>
      <c r="Q6" s="64"/>
      <c r="R6" s="64"/>
      <c r="S6" s="4" t="str">
        <f>StudentList[[#This Row],[学生姓氏]]&amp;"" &amp;StudentList[[#This Row],[学生名字]]</f>
        <v>3学生</v>
      </c>
    </row>
    <row r="7" spans="1:19" ht="15.75" customHeight="1">
      <c r="B7" s="61" t="s">
        <v>40</v>
      </c>
      <c r="C7" s="4" t="s">
        <v>70</v>
      </c>
      <c r="D7" s="61">
        <v>4</v>
      </c>
      <c r="E7" s="62"/>
      <c r="F7" s="63"/>
      <c r="G7" s="61"/>
      <c r="H7" s="61"/>
      <c r="I7" s="64"/>
      <c r="J7" s="64"/>
      <c r="K7" s="65"/>
      <c r="L7" s="65"/>
      <c r="M7" s="64"/>
      <c r="N7" s="64"/>
      <c r="O7" s="61"/>
      <c r="P7" s="61"/>
      <c r="Q7" s="64"/>
      <c r="R7" s="64"/>
      <c r="S7" s="4" t="str">
        <f>StudentList[[#This Row],[学生姓氏]]&amp;"" &amp;StudentList[[#This Row],[学生名字]]</f>
        <v>4学生</v>
      </c>
    </row>
    <row r="8" spans="1:19" ht="15.75" customHeight="1">
      <c r="B8" s="61" t="s">
        <v>41</v>
      </c>
      <c r="C8" s="4" t="s">
        <v>70</v>
      </c>
      <c r="D8" s="61">
        <v>5</v>
      </c>
      <c r="E8" s="62"/>
      <c r="F8" s="63"/>
      <c r="G8" s="61"/>
      <c r="H8" s="61"/>
      <c r="I8" s="64"/>
      <c r="J8" s="64"/>
      <c r="K8" s="65"/>
      <c r="L8" s="65"/>
      <c r="M8" s="64"/>
      <c r="N8" s="64"/>
      <c r="O8" s="61"/>
      <c r="P8" s="61"/>
      <c r="Q8" s="64"/>
      <c r="R8" s="64"/>
      <c r="S8" s="66" t="str">
        <f>StudentList[[#This Row],[学生姓氏]]&amp;"" &amp;StudentList[[#This Row],[学生名字]]</f>
        <v>5学生</v>
      </c>
    </row>
    <row r="9" spans="1:19" ht="15.75" customHeight="1"/>
    <row r="10" spans="1:19" ht="15.75" customHeight="1"/>
    <row r="11" spans="1:19" ht="15.75" customHeight="1"/>
    <row r="12" spans="1:19" ht="15.75" customHeight="1"/>
    <row r="13" spans="1:19" ht="15.75" customHeight="1"/>
    <row r="14" spans="1:19" ht="15.75" customHeight="1"/>
    <row r="15" spans="1:19" ht="15.75" customHeight="1"/>
    <row r="16" spans="1:19"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phoneticPr fontId="9" type="noConversion"/>
  <pageMargins left="0.25" right="0.25" top="0.75" bottom="0.75" header="0.3" footer="0.3"/>
  <pageSetup scale="85" fitToWidth="0" fitToHeight="0"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499984740745262"/>
    <pageSetUpPr fitToPage="1"/>
  </sheetPr>
  <dimension ref="A1:AN346"/>
  <sheetViews>
    <sheetView showGridLines="0" zoomScaleNormal="100" workbookViewId="0">
      <pane xSplit="3" ySplit="6" topLeftCell="G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40" s="20" customFormat="1" ht="42" customHeight="1">
      <c r="A1" s="13"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v>2011</v>
      </c>
    </row>
    <row r="2" spans="1:40" s="4" customFormat="1" ht="16.5"/>
    <row r="3" spans="1:40" s="20" customFormat="1" ht="12.75" customHeight="1">
      <c r="C3" s="21" t="s">
        <v>93</v>
      </c>
      <c r="D3" s="22" t="s">
        <v>32</v>
      </c>
      <c r="E3" s="23" t="s">
        <v>100</v>
      </c>
      <c r="F3" s="24"/>
      <c r="H3" s="25" t="s">
        <v>34</v>
      </c>
      <c r="I3" s="26" t="s">
        <v>101</v>
      </c>
      <c r="L3" s="27" t="s">
        <v>33</v>
      </c>
      <c r="M3" s="26" t="s">
        <v>102</v>
      </c>
      <c r="P3" s="28" t="s">
        <v>31</v>
      </c>
      <c r="Q3" s="26" t="s">
        <v>103</v>
      </c>
      <c r="T3" s="29" t="s">
        <v>36</v>
      </c>
      <c r="U3" s="26" t="s">
        <v>104</v>
      </c>
      <c r="W3" s="4"/>
      <c r="X3" s="4"/>
      <c r="Y3" s="4"/>
      <c r="AD3" s="30"/>
      <c r="AE3" s="30"/>
      <c r="AH3" s="31"/>
      <c r="AI3" s="32"/>
      <c r="AK3" s="33"/>
    </row>
    <row r="4" spans="1:40" s="4" customFormat="1" ht="16.5" customHeight="1"/>
    <row r="5" spans="1:40" s="34" customFormat="1" ht="18" customHeight="1">
      <c r="B5" s="112">
        <f>DATE(CalendarYear,8,1)</f>
        <v>40756</v>
      </c>
      <c r="C5" s="35"/>
      <c r="D5" s="36" t="str">
        <f>TEXT(WEEKDAY(DATE(CalendarYear,8,1),1),"[$-804]aaa")</f>
        <v>周一</v>
      </c>
      <c r="E5" s="36" t="str">
        <f>TEXT(WEEKDAY(DATE(CalendarYear,8,2),1),"[$-804]aaa")</f>
        <v>周二</v>
      </c>
      <c r="F5" s="36" t="str">
        <f>TEXT(WEEKDAY(DATE(CalendarYear,8,3),1),"[$-804]aaa")</f>
        <v>周三</v>
      </c>
      <c r="G5" s="36" t="str">
        <f>TEXT(WEEKDAY(DATE(CalendarYear,8,4),1),"[$-804]aaa")</f>
        <v>周四</v>
      </c>
      <c r="H5" s="36" t="str">
        <f>TEXT(WEEKDAY(DATE(CalendarYear,8,5),1),"[$-804]aaa")</f>
        <v>周五</v>
      </c>
      <c r="I5" s="36" t="str">
        <f>TEXT(WEEKDAY(DATE(CalendarYear,8,6),1),"[$-804]aaa")</f>
        <v>周六</v>
      </c>
      <c r="J5" s="36" t="str">
        <f>TEXT(WEEKDAY(DATE(CalendarYear,8,7),1),"[$-804]aaa")</f>
        <v>周日</v>
      </c>
      <c r="K5" s="36" t="str">
        <f>TEXT(WEEKDAY(DATE(CalendarYear,8,8),1),"[$-804]aaa")</f>
        <v>周一</v>
      </c>
      <c r="L5" s="36" t="str">
        <f>TEXT(WEEKDAY(DATE(CalendarYear,8,9),1),"[$-804]aaa")</f>
        <v>周二</v>
      </c>
      <c r="M5" s="36" t="str">
        <f>TEXT(WEEKDAY(DATE(CalendarYear,8,10),1),"[$-804]aaa")</f>
        <v>周三</v>
      </c>
      <c r="N5" s="36" t="str">
        <f>TEXT(WEEKDAY(DATE(CalendarYear,8,11),1),"[$-804]aaa")</f>
        <v>周四</v>
      </c>
      <c r="O5" s="36" t="str">
        <f>TEXT(WEEKDAY(DATE(CalendarYear,8,12),1),"[$-804]aaa")</f>
        <v>周五</v>
      </c>
      <c r="P5" s="36" t="str">
        <f>TEXT(WEEKDAY(DATE(CalendarYear,8,13),1),"[$-804]aaa")</f>
        <v>周六</v>
      </c>
      <c r="Q5" s="36" t="str">
        <f>TEXT(WEEKDAY(DATE(CalendarYear,8,14),1),"[$-804]aaa")</f>
        <v>周日</v>
      </c>
      <c r="R5" s="36" t="str">
        <f>TEXT(WEEKDAY(DATE(CalendarYear,8,15),1),"[$-804]aaa")</f>
        <v>周一</v>
      </c>
      <c r="S5" s="36" t="str">
        <f>TEXT(WEEKDAY(DATE(CalendarYear,8,16),1),"[$-804]aaa")</f>
        <v>周二</v>
      </c>
      <c r="T5" s="36" t="str">
        <f>TEXT(WEEKDAY(DATE(CalendarYear,8,17),1),"[$-804]aaa")</f>
        <v>周三</v>
      </c>
      <c r="U5" s="36" t="str">
        <f>TEXT(WEEKDAY(DATE(CalendarYear,8,18),1),"[$-804]aaa")</f>
        <v>周四</v>
      </c>
      <c r="V5" s="36" t="str">
        <f>TEXT(WEEKDAY(DATE(CalendarYear,8,19),1),"[$-804]aaa")</f>
        <v>周五</v>
      </c>
      <c r="W5" s="36" t="str">
        <f>TEXT(WEEKDAY(DATE(CalendarYear,8,20),1),"[$-804]aaa")</f>
        <v>周六</v>
      </c>
      <c r="X5" s="36" t="str">
        <f>TEXT(WEEKDAY(DATE(CalendarYear,8,21),1),"[$-804]aaa")</f>
        <v>周日</v>
      </c>
      <c r="Y5" s="36" t="str">
        <f>TEXT(WEEKDAY(DATE(CalendarYear,8,22),1),"[$-804]aaa")</f>
        <v>周一</v>
      </c>
      <c r="Z5" s="36" t="str">
        <f>TEXT(WEEKDAY(DATE(CalendarYear,8,23),1),"[$-804]aaa")</f>
        <v>周二</v>
      </c>
      <c r="AA5" s="36" t="str">
        <f>TEXT(WEEKDAY(DATE(CalendarYear,8,24),1),"[$-804]aaa")</f>
        <v>周三</v>
      </c>
      <c r="AB5" s="36" t="str">
        <f>TEXT(WEEKDAY(DATE(CalendarYear,8,25),1),"[$-804]aaa")</f>
        <v>周四</v>
      </c>
      <c r="AC5" s="36" t="str">
        <f>TEXT(WEEKDAY(DATE(CalendarYear,8,26),1),"[$-804]aaa")</f>
        <v>周五</v>
      </c>
      <c r="AD5" s="36" t="str">
        <f>TEXT(WEEKDAY(DATE(CalendarYear,8,27),1),"[$-804]aaa")</f>
        <v>周六</v>
      </c>
      <c r="AE5" s="36" t="str">
        <f>TEXT(WEEKDAY(DATE(CalendarYear,8,28),1),"[$-804]aaa")</f>
        <v>周日</v>
      </c>
      <c r="AF5" s="36" t="str">
        <f>TEXT(WEEKDAY(DATE(CalendarYear,8,29),1),"[$-804]aaa")</f>
        <v>周一</v>
      </c>
      <c r="AG5" s="36" t="str">
        <f>TEXT(WEEKDAY(DATE(CalendarYear,8,30),1),"[$-804]aaa")</f>
        <v>周二</v>
      </c>
      <c r="AH5" s="36" t="str">
        <f>TEXT(WEEKDAY(DATE(CalendarYear,8,31),1),"[$-804]aaa")</f>
        <v>周三</v>
      </c>
      <c r="AI5" s="118" t="s">
        <v>96</v>
      </c>
      <c r="AJ5" s="119"/>
      <c r="AK5" s="119"/>
      <c r="AL5" s="119"/>
      <c r="AM5" s="120"/>
    </row>
    <row r="6" spans="1:40" s="37" customFormat="1"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30</v>
      </c>
      <c r="AI6" s="41" t="s">
        <v>32</v>
      </c>
      <c r="AJ6" s="42" t="s">
        <v>34</v>
      </c>
      <c r="AK6" s="43" t="s">
        <v>33</v>
      </c>
      <c r="AL6" s="44" t="s">
        <v>31</v>
      </c>
      <c r="AM6" s="45" t="s">
        <v>97</v>
      </c>
      <c r="AN6" s="46"/>
    </row>
    <row r="7" spans="1:40" s="37" customFormat="1" ht="16.5" customHeight="1">
      <c r="B7" s="47" t="s">
        <v>37</v>
      </c>
      <c r="C7" s="4" t="str">
        <f>IFERROR(VLOOKUP(AugustAttendance[[#This Row],[学生 ID]],StudentList[],18,FALSE),"")</f>
        <v>贾卫国</v>
      </c>
      <c r="D7" s="48" t="s">
        <v>31</v>
      </c>
      <c r="E7" s="48" t="s">
        <v>31</v>
      </c>
      <c r="F7" s="48" t="s">
        <v>32</v>
      </c>
      <c r="G7" s="48" t="s">
        <v>32</v>
      </c>
      <c r="H7" s="48" t="s">
        <v>31</v>
      </c>
      <c r="I7" s="48" t="s">
        <v>36</v>
      </c>
      <c r="J7" s="48" t="s">
        <v>36</v>
      </c>
      <c r="K7" s="48" t="s">
        <v>31</v>
      </c>
      <c r="L7" s="48" t="s">
        <v>31</v>
      </c>
      <c r="M7" s="48" t="s">
        <v>34</v>
      </c>
      <c r="N7" s="48" t="s">
        <v>31</v>
      </c>
      <c r="O7" s="48" t="s">
        <v>31</v>
      </c>
      <c r="P7" s="48" t="s">
        <v>36</v>
      </c>
      <c r="Q7" s="48" t="s">
        <v>36</v>
      </c>
      <c r="R7" s="48" t="s">
        <v>31</v>
      </c>
      <c r="S7" s="48" t="s">
        <v>31</v>
      </c>
      <c r="T7" s="48" t="s">
        <v>31</v>
      </c>
      <c r="U7" s="48" t="s">
        <v>31</v>
      </c>
      <c r="V7" s="48" t="s">
        <v>31</v>
      </c>
      <c r="W7" s="48" t="s">
        <v>36</v>
      </c>
      <c r="X7" s="48" t="s">
        <v>36</v>
      </c>
      <c r="Y7" s="48" t="s">
        <v>31</v>
      </c>
      <c r="Z7" s="48" t="s">
        <v>31</v>
      </c>
      <c r="AA7" s="48" t="s">
        <v>31</v>
      </c>
      <c r="AB7" s="48" t="s">
        <v>31</v>
      </c>
      <c r="AC7" s="48" t="s">
        <v>31</v>
      </c>
      <c r="AD7" s="48" t="s">
        <v>36</v>
      </c>
      <c r="AE7" s="48" t="s">
        <v>36</v>
      </c>
      <c r="AF7" s="48" t="s">
        <v>31</v>
      </c>
      <c r="AG7" s="48" t="s">
        <v>31</v>
      </c>
      <c r="AH7" s="48" t="s">
        <v>31</v>
      </c>
      <c r="AI7" s="49">
        <f>COUNTIF(AugustAttendance[[#This Row],[1]:[31]],Code1)</f>
        <v>2</v>
      </c>
      <c r="AJ7" s="50">
        <f>COUNTIF(AugustAttendance[[#This Row],[1]:[31]],Code2)</f>
        <v>1</v>
      </c>
      <c r="AK7" s="50">
        <f>COUNTIF(AugustAttendance[[#This Row],[1]:[31]],Code3)</f>
        <v>0</v>
      </c>
      <c r="AL7" s="50">
        <f>COUNTIF(AugustAttendance[[#This Row],[1]:[31]],Code4)</f>
        <v>20</v>
      </c>
      <c r="AM7" s="49">
        <f>SUM(AugustAttendance[[#This Row],[E]:[U]])</f>
        <v>1</v>
      </c>
      <c r="AN7" s="46"/>
    </row>
    <row r="8" spans="1:40" s="37" customFormat="1" ht="16.5" customHeight="1">
      <c r="B8" s="47" t="s">
        <v>38</v>
      </c>
      <c r="C8" s="4" t="str">
        <f>IFERROR(VLOOKUP(AugustAttendance[[#This Row],[学生 ID]],StudentList[],18,FALSE),"")</f>
        <v>2学生</v>
      </c>
      <c r="D8" s="48" t="s">
        <v>31</v>
      </c>
      <c r="E8" s="48" t="s">
        <v>33</v>
      </c>
      <c r="F8" s="48" t="s">
        <v>31</v>
      </c>
      <c r="G8" s="48" t="s">
        <v>31</v>
      </c>
      <c r="H8" s="48" t="s">
        <v>31</v>
      </c>
      <c r="I8" s="48" t="s">
        <v>36</v>
      </c>
      <c r="J8" s="48" t="s">
        <v>36</v>
      </c>
      <c r="K8" s="48" t="s">
        <v>31</v>
      </c>
      <c r="L8" s="48" t="s">
        <v>34</v>
      </c>
      <c r="M8" s="48" t="s">
        <v>34</v>
      </c>
      <c r="N8" s="48" t="s">
        <v>34</v>
      </c>
      <c r="O8" s="48" t="s">
        <v>34</v>
      </c>
      <c r="P8" s="48" t="s">
        <v>36</v>
      </c>
      <c r="Q8" s="48" t="s">
        <v>36</v>
      </c>
      <c r="R8" s="48" t="s">
        <v>31</v>
      </c>
      <c r="S8" s="48" t="s">
        <v>31</v>
      </c>
      <c r="T8" s="48" t="s">
        <v>31</v>
      </c>
      <c r="U8" s="48" t="s">
        <v>31</v>
      </c>
      <c r="V8" s="48" t="s">
        <v>31</v>
      </c>
      <c r="W8" s="48" t="s">
        <v>36</v>
      </c>
      <c r="X8" s="48" t="s">
        <v>36</v>
      </c>
      <c r="Y8" s="48" t="s">
        <v>31</v>
      </c>
      <c r="Z8" s="48" t="s">
        <v>31</v>
      </c>
      <c r="AA8" s="48" t="s">
        <v>31</v>
      </c>
      <c r="AB8" s="48" t="s">
        <v>32</v>
      </c>
      <c r="AC8" s="48" t="s">
        <v>32</v>
      </c>
      <c r="AD8" s="48" t="s">
        <v>36</v>
      </c>
      <c r="AE8" s="48" t="s">
        <v>36</v>
      </c>
      <c r="AF8" s="48" t="s">
        <v>31</v>
      </c>
      <c r="AG8" s="48" t="s">
        <v>31</v>
      </c>
      <c r="AH8" s="48" t="s">
        <v>31</v>
      </c>
      <c r="AI8" s="49">
        <f>COUNTIF(AugustAttendance[[#This Row],[1]:[31]],Code1)</f>
        <v>2</v>
      </c>
      <c r="AJ8" s="50">
        <f>COUNTIF(AugustAttendance[[#This Row],[1]:[31]],Code2)</f>
        <v>4</v>
      </c>
      <c r="AK8" s="50">
        <f>COUNTIF(AugustAttendance[[#This Row],[1]:[31]],Code3)</f>
        <v>1</v>
      </c>
      <c r="AL8" s="50">
        <f>COUNTIF(AugustAttendance[[#This Row],[1]:[31]],Code4)</f>
        <v>16</v>
      </c>
      <c r="AM8" s="49">
        <f>SUM(AugustAttendance[[#This Row],[E]:[U]])</f>
        <v>5</v>
      </c>
      <c r="AN8" s="46"/>
    </row>
    <row r="9" spans="1:40" s="51" customFormat="1" ht="16.5" customHeight="1">
      <c r="B9" s="47" t="s">
        <v>39</v>
      </c>
      <c r="C9" s="4" t="str">
        <f>IFERROR(VLOOKUP(AugustAttendance[[#This Row],[学生 ID]],StudentList[],18,FALSE),"")</f>
        <v>3学生</v>
      </c>
      <c r="D9" s="48" t="s">
        <v>31</v>
      </c>
      <c r="E9" s="48" t="s">
        <v>34</v>
      </c>
      <c r="F9" s="48" t="s">
        <v>31</v>
      </c>
      <c r="G9" s="48" t="s">
        <v>31</v>
      </c>
      <c r="H9" s="48" t="s">
        <v>31</v>
      </c>
      <c r="I9" s="48" t="s">
        <v>36</v>
      </c>
      <c r="J9" s="48" t="s">
        <v>36</v>
      </c>
      <c r="K9" s="48" t="s">
        <v>31</v>
      </c>
      <c r="L9" s="48" t="s">
        <v>31</v>
      </c>
      <c r="M9" s="48" t="s">
        <v>33</v>
      </c>
      <c r="N9" s="48" t="s">
        <v>31</v>
      </c>
      <c r="O9" s="48" t="s">
        <v>31</v>
      </c>
      <c r="P9" s="48" t="s">
        <v>36</v>
      </c>
      <c r="Q9" s="48" t="s">
        <v>36</v>
      </c>
      <c r="R9" s="48" t="s">
        <v>31</v>
      </c>
      <c r="S9" s="48" t="s">
        <v>31</v>
      </c>
      <c r="T9" s="48" t="s">
        <v>31</v>
      </c>
      <c r="U9" s="48" t="s">
        <v>31</v>
      </c>
      <c r="V9" s="48" t="s">
        <v>31</v>
      </c>
      <c r="W9" s="48" t="s">
        <v>36</v>
      </c>
      <c r="X9" s="48" t="s">
        <v>36</v>
      </c>
      <c r="Y9" s="48" t="s">
        <v>31</v>
      </c>
      <c r="Z9" s="48" t="s">
        <v>31</v>
      </c>
      <c r="AA9" s="48" t="s">
        <v>34</v>
      </c>
      <c r="AB9" s="48" t="s">
        <v>34</v>
      </c>
      <c r="AC9" s="48" t="s">
        <v>31</v>
      </c>
      <c r="AD9" s="48" t="s">
        <v>36</v>
      </c>
      <c r="AE9" s="48" t="s">
        <v>36</v>
      </c>
      <c r="AF9" s="48" t="s">
        <v>31</v>
      </c>
      <c r="AG9" s="48" t="s">
        <v>31</v>
      </c>
      <c r="AH9" s="48" t="s">
        <v>31</v>
      </c>
      <c r="AI9" s="49">
        <f>COUNTIF(AugustAttendance[[#This Row],[1]:[31]],Code1)</f>
        <v>0</v>
      </c>
      <c r="AJ9" s="50">
        <f>COUNTIF(AugustAttendance[[#This Row],[1]:[31]],Code2)</f>
        <v>3</v>
      </c>
      <c r="AK9" s="50">
        <f>COUNTIF(AugustAttendance[[#This Row],[1]:[31]],Code3)</f>
        <v>1</v>
      </c>
      <c r="AL9" s="50">
        <f>COUNTIF(AugustAttendance[[#This Row],[1]:[31]],Code4)</f>
        <v>19</v>
      </c>
      <c r="AM9" s="49">
        <f>SUM(AugustAttendance[[#This Row],[E]:[U]])</f>
        <v>4</v>
      </c>
      <c r="AN9" s="52"/>
    </row>
    <row r="10" spans="1:40" ht="16.5" customHeight="1">
      <c r="B10" s="47" t="s">
        <v>40</v>
      </c>
      <c r="C10" s="4" t="str">
        <f>IFERROR(VLOOKUP(AugustAttendance[[#This Row],[学生 ID]],StudentList[],18,FALSE),"")</f>
        <v>4学生</v>
      </c>
      <c r="D10" s="48" t="s">
        <v>31</v>
      </c>
      <c r="E10" s="48" t="s">
        <v>31</v>
      </c>
      <c r="F10" s="48" t="s">
        <v>31</v>
      </c>
      <c r="G10" s="48" t="s">
        <v>31</v>
      </c>
      <c r="H10" s="48" t="s">
        <v>31</v>
      </c>
      <c r="I10" s="48" t="s">
        <v>36</v>
      </c>
      <c r="J10" s="48" t="s">
        <v>36</v>
      </c>
      <c r="K10" s="48" t="s">
        <v>31</v>
      </c>
      <c r="L10" s="48" t="s">
        <v>31</v>
      </c>
      <c r="M10" s="48" t="s">
        <v>31</v>
      </c>
      <c r="N10" s="48" t="s">
        <v>31</v>
      </c>
      <c r="O10" s="48" t="s">
        <v>31</v>
      </c>
      <c r="P10" s="48" t="s">
        <v>36</v>
      </c>
      <c r="Q10" s="48" t="s">
        <v>36</v>
      </c>
      <c r="R10" s="48" t="s">
        <v>31</v>
      </c>
      <c r="S10" s="48" t="s">
        <v>31</v>
      </c>
      <c r="T10" s="48" t="s">
        <v>31</v>
      </c>
      <c r="U10" s="48" t="s">
        <v>31</v>
      </c>
      <c r="V10" s="48" t="s">
        <v>31</v>
      </c>
      <c r="W10" s="48" t="s">
        <v>36</v>
      </c>
      <c r="X10" s="48" t="s">
        <v>36</v>
      </c>
      <c r="Y10" s="48" t="s">
        <v>31</v>
      </c>
      <c r="Z10" s="48" t="s">
        <v>33</v>
      </c>
      <c r="AA10" s="48" t="s">
        <v>31</v>
      </c>
      <c r="AB10" s="48" t="s">
        <v>31</v>
      </c>
      <c r="AC10" s="48" t="s">
        <v>34</v>
      </c>
      <c r="AD10" s="48" t="s">
        <v>36</v>
      </c>
      <c r="AE10" s="48" t="s">
        <v>36</v>
      </c>
      <c r="AF10" s="48" t="s">
        <v>31</v>
      </c>
      <c r="AG10" s="48" t="s">
        <v>34</v>
      </c>
      <c r="AH10" s="48" t="s">
        <v>31</v>
      </c>
      <c r="AI10" s="49">
        <f>COUNTIF(AugustAttendance[[#This Row],[1]:[31]],Code1)</f>
        <v>0</v>
      </c>
      <c r="AJ10" s="50">
        <f>COUNTIF(AugustAttendance[[#This Row],[1]:[31]],Code2)</f>
        <v>2</v>
      </c>
      <c r="AK10" s="50">
        <f>COUNTIF(AugustAttendance[[#This Row],[1]:[31]],Code3)</f>
        <v>1</v>
      </c>
      <c r="AL10" s="50">
        <f>COUNTIF(AugustAttendance[[#This Row],[1]:[31]],Code4)</f>
        <v>20</v>
      </c>
      <c r="AM10" s="49">
        <f>SUM(AugustAttendance[[#This Row],[E]:[U]])</f>
        <v>3</v>
      </c>
      <c r="AN10" s="54"/>
    </row>
    <row r="11" spans="1:40" ht="16.5" customHeight="1">
      <c r="B11" s="47" t="s">
        <v>41</v>
      </c>
      <c r="C11" s="4" t="str">
        <f>IFERROR(VLOOKUP(AugustAttendance[[#This Row],[学生 ID]],StudentList[],18,FALSE),"")</f>
        <v>5学生</v>
      </c>
      <c r="D11" s="48" t="s">
        <v>31</v>
      </c>
      <c r="E11" s="48" t="s">
        <v>31</v>
      </c>
      <c r="F11" s="48" t="s">
        <v>31</v>
      </c>
      <c r="G11" s="48" t="s">
        <v>31</v>
      </c>
      <c r="H11" s="48" t="s">
        <v>31</v>
      </c>
      <c r="I11" s="48" t="s">
        <v>36</v>
      </c>
      <c r="J11" s="48" t="s">
        <v>36</v>
      </c>
      <c r="K11" s="48" t="s">
        <v>31</v>
      </c>
      <c r="L11" s="48" t="s">
        <v>31</v>
      </c>
      <c r="M11" s="48" t="s">
        <v>31</v>
      </c>
      <c r="N11" s="48" t="s">
        <v>31</v>
      </c>
      <c r="O11" s="48" t="s">
        <v>31</v>
      </c>
      <c r="P11" s="48" t="s">
        <v>36</v>
      </c>
      <c r="Q11" s="48" t="s">
        <v>36</v>
      </c>
      <c r="R11" s="48" t="s">
        <v>31</v>
      </c>
      <c r="S11" s="48" t="s">
        <v>31</v>
      </c>
      <c r="T11" s="48" t="s">
        <v>31</v>
      </c>
      <c r="U11" s="48" t="s">
        <v>31</v>
      </c>
      <c r="V11" s="48" t="s">
        <v>31</v>
      </c>
      <c r="W11" s="48" t="s">
        <v>36</v>
      </c>
      <c r="X11" s="48" t="s">
        <v>36</v>
      </c>
      <c r="Y11" s="48" t="s">
        <v>31</v>
      </c>
      <c r="Z11" s="48" t="s">
        <v>31</v>
      </c>
      <c r="AA11" s="48" t="s">
        <v>31</v>
      </c>
      <c r="AB11" s="48" t="s">
        <v>31</v>
      </c>
      <c r="AC11" s="48" t="s">
        <v>31</v>
      </c>
      <c r="AD11" s="48" t="s">
        <v>36</v>
      </c>
      <c r="AE11" s="48" t="s">
        <v>36</v>
      </c>
      <c r="AF11" s="48" t="s">
        <v>31</v>
      </c>
      <c r="AG11" s="48" t="s">
        <v>31</v>
      </c>
      <c r="AH11" s="48" t="s">
        <v>31</v>
      </c>
      <c r="AI11" s="49">
        <f>COUNTIF(AugustAttendance[[#This Row],[1]:[31]],Code1)</f>
        <v>0</v>
      </c>
      <c r="AJ11" s="50">
        <f>COUNTIF(AugustAttendance[[#This Row],[1]:[31]],Code2)</f>
        <v>0</v>
      </c>
      <c r="AK11" s="50">
        <f>COUNTIF(AugustAttendance[[#This Row],[1]:[31]],Code3)</f>
        <v>0</v>
      </c>
      <c r="AL11" s="50">
        <f>COUNTIF(AugustAttendance[[#This Row],[1]:[31]],Code4)</f>
        <v>23</v>
      </c>
      <c r="AM11" s="49">
        <f>SUM(AugustAttendance[[#This Row],[E]:[U]])</f>
        <v>0</v>
      </c>
      <c r="AN11" s="54"/>
    </row>
    <row r="12" spans="1:40" ht="16.5" customHeight="1">
      <c r="B12" s="40"/>
      <c r="C12" s="45" t="s">
        <v>99</v>
      </c>
      <c r="D12" s="49">
        <f>COUNTIF(AugustAttendance[1],"U")+COUNTIF(AugustAttendance[1],"E")</f>
        <v>0</v>
      </c>
      <c r="E12" s="49">
        <f>COUNTIF(AugustAttendance[2],"U")+COUNTIF(AugustAttendance[2],"E")</f>
        <v>2</v>
      </c>
      <c r="F12" s="49">
        <f>COUNTIF(AugustAttendance[3],"U")+COUNTIF(AugustAttendance[3],"E")</f>
        <v>0</v>
      </c>
      <c r="G12" s="49">
        <f>COUNTIF(AugustAttendance[4],"U")+COUNTIF(AugustAttendance[4],"E")</f>
        <v>0</v>
      </c>
      <c r="H12" s="49">
        <f>COUNTIF(AugustAttendance[5],"U")+COUNTIF(AugustAttendance[5],"E")</f>
        <v>0</v>
      </c>
      <c r="I12" s="49">
        <f>COUNTIF(AugustAttendance[6],"U")+COUNTIF(AugustAttendance[6],"E")</f>
        <v>0</v>
      </c>
      <c r="J12" s="49">
        <f>COUNTIF(AugustAttendance[7],"U")+COUNTIF(AugustAttendance[7],"E")</f>
        <v>0</v>
      </c>
      <c r="K12" s="49">
        <f>COUNTIF(AugustAttendance[8],"U")+COUNTIF(AugustAttendance[8],"E")</f>
        <v>0</v>
      </c>
      <c r="L12" s="49">
        <f>COUNTIF(AugustAttendance[9],"U")+COUNTIF(AugustAttendance[9],"E")</f>
        <v>1</v>
      </c>
      <c r="M12" s="49">
        <f>COUNTIF(AugustAttendance[10],"U")+COUNTIF(AugustAttendance[10],"E")</f>
        <v>3</v>
      </c>
      <c r="N12" s="49">
        <f>COUNTIF(AugustAttendance[11],"U")+COUNTIF(AugustAttendance[11],"E")</f>
        <v>1</v>
      </c>
      <c r="O12" s="49">
        <f>COUNTIF(AugustAttendance[12],"U")+COUNTIF(AugustAttendance[12],"E")</f>
        <v>1</v>
      </c>
      <c r="P12" s="49">
        <f>COUNTIF(AugustAttendance[13],"U")+COUNTIF(AugustAttendance[13],"E")</f>
        <v>0</v>
      </c>
      <c r="Q12" s="49">
        <f>COUNTIF(AugustAttendance[14],"U")+COUNTIF(AugustAttendance[14],"E")</f>
        <v>0</v>
      </c>
      <c r="R12" s="49">
        <f>COUNTIF(AugustAttendance[15],"U")+COUNTIF(AugustAttendance[15],"E")</f>
        <v>0</v>
      </c>
      <c r="S12" s="49">
        <f>COUNTIF(AugustAttendance[16],"U")+COUNTIF(AugustAttendance[16],"E")</f>
        <v>0</v>
      </c>
      <c r="T12" s="49">
        <f>COUNTIF(AugustAttendance[17],"U")+COUNTIF(AugustAttendance[17],"E")</f>
        <v>0</v>
      </c>
      <c r="U12" s="49">
        <f>COUNTIF(AugustAttendance[18],"U")+COUNTIF(AugustAttendance[18],"E")</f>
        <v>0</v>
      </c>
      <c r="V12" s="49">
        <f>COUNTIF(AugustAttendance[19],"U")+COUNTIF(AugustAttendance[19],"E")</f>
        <v>0</v>
      </c>
      <c r="W12" s="49">
        <f>COUNTIF(AugustAttendance[20],"U")+COUNTIF(AugustAttendance[20],"E")</f>
        <v>0</v>
      </c>
      <c r="X12" s="49">
        <f>COUNTIF(AugustAttendance[21],"U")+COUNTIF(AugustAttendance[21],"E")</f>
        <v>0</v>
      </c>
      <c r="Y12" s="49">
        <f>COUNTIF(AugustAttendance[22],"U")+COUNTIF(AugustAttendance[22],"E")</f>
        <v>0</v>
      </c>
      <c r="Z12" s="49">
        <f>COUNTIF(AugustAttendance[23],"U")+COUNTIF(AugustAttendance[23],"E")</f>
        <v>1</v>
      </c>
      <c r="AA12" s="49">
        <f>COUNTIF(AugustAttendance[24],"U")+COUNTIF(AugustAttendance[24],"E")</f>
        <v>1</v>
      </c>
      <c r="AB12" s="49">
        <f>COUNTIF(AugustAttendance[25],"U")+COUNTIF(AugustAttendance[25],"E")</f>
        <v>1</v>
      </c>
      <c r="AC12" s="49">
        <f>COUNTIF(AugustAttendance[26],"U")+COUNTIF(AugustAttendance[26],"E")</f>
        <v>1</v>
      </c>
      <c r="AD12" s="49">
        <f>COUNTIF(AugustAttendance[27],"U")+COUNTIF(AugustAttendance[27],"E")</f>
        <v>0</v>
      </c>
      <c r="AE12" s="49">
        <f>COUNTIF(AugustAttendance[28],"U")+COUNTIF(AugustAttendance[28],"E")</f>
        <v>0</v>
      </c>
      <c r="AF12" s="49">
        <f>COUNTIF(AugustAttendance[29],"U")+COUNTIF(AugustAttendance[29],"E")</f>
        <v>0</v>
      </c>
      <c r="AG12" s="49">
        <f>COUNTIF(AugustAttendance[30],"U")+COUNTIF(AugustAttendance[30],"E")</f>
        <v>1</v>
      </c>
      <c r="AH12" s="49">
        <f>COUNTIF(AugustAttendance[31],"U")+COUNTIF(AugustAttendance[31],"E")</f>
        <v>0</v>
      </c>
      <c r="AI12" s="49">
        <f>SUBTOTAL(109,AugustAttendance[T])</f>
        <v>4</v>
      </c>
      <c r="AJ12" s="49">
        <f>SUBTOTAL(109,AugustAttendance[E])</f>
        <v>10</v>
      </c>
      <c r="AK12" s="49">
        <f>SUBTOTAL(109,AugustAttendance[U])</f>
        <v>3</v>
      </c>
      <c r="AL12" s="49">
        <f>SUBTOTAL(109,AugustAttendance[P])</f>
        <v>98</v>
      </c>
      <c r="AM12" s="49">
        <f>SUBTOTAL(109,AugustAttendance[缺席天数])</f>
        <v>13</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D7:AI11">
    <cfRule type="expression" dxfId="1035" priority="137" stopIfTrue="1">
      <formula>D7=Code2</formula>
    </cfRule>
  </conditionalFormatting>
  <conditionalFormatting sqref="D7:AH11">
    <cfRule type="expression" dxfId="1034" priority="146" stopIfTrue="1">
      <formula>D7=Code5</formula>
    </cfRule>
    <cfRule type="expression" dxfId="1033" priority="147" stopIfTrue="1">
      <formula>D7=Code4</formula>
    </cfRule>
    <cfRule type="expression" dxfId="1032" priority="148" stopIfTrue="1">
      <formula>D7=Code3</formula>
    </cfRule>
    <cfRule type="expression" dxfId="1031" priority="149" stopIfTrue="1">
      <formula>D7=Code1</formula>
    </cfRule>
  </conditionalFormatting>
  <conditionalFormatting sqref="AM7:AM11">
    <cfRule type="dataBar" priority="202">
      <dataBar>
        <cfvo type="min"/>
        <cfvo type="num" val="31"/>
        <color theme="4"/>
      </dataBar>
      <extLst>
        <ext xmlns:x14="http://schemas.microsoft.com/office/spreadsheetml/2009/9/main" uri="{B025F937-C7B1-47D3-B67F-A62EFF666E3E}">
          <x14:id>{ECCE2C3C-1B01-4700-B60E-DAAAB19A9C1A}</x14:id>
        </ext>
      </extLst>
    </cfRule>
  </conditionalFormatting>
  <dataValidations disablePrompts="1"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pinner 1">
              <controlPr defaultSize="0" print="0" autoPict="0" altText="Calendar Year Spinner. Click the spinner to change the school calendar year or type the year in cell AM.">
                <anchor moveWithCells="1" sizeWithCells="1">
                  <from>
                    <xdr:col>39</xdr:col>
                    <xdr:colOff>38100</xdr:colOff>
                    <xdr:row>0</xdr:row>
                    <xdr:rowOff>104775</xdr:rowOff>
                  </from>
                  <to>
                    <xdr:col>39</xdr:col>
                    <xdr:colOff>209550</xdr:colOff>
                    <xdr:row>0</xdr:row>
                    <xdr:rowOff>419100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40"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40" s="4" customFormat="1" ht="16.5"/>
    <row r="3" spans="1:40"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40" s="4" customFormat="1" ht="16.5" customHeight="1"/>
    <row r="5" spans="1:40" s="34" customFormat="1" ht="18" customHeight="1">
      <c r="B5" s="112">
        <f>DATE(CalendarYear,9,1)</f>
        <v>40787</v>
      </c>
      <c r="C5" s="35"/>
      <c r="D5" s="36" t="str">
        <f>TEXT(WEEKDAY(DATE(CalendarYear,9,1),1),"[$-804]aaa")</f>
        <v>周四</v>
      </c>
      <c r="E5" s="36" t="str">
        <f>TEXT(WEEKDAY(DATE(CalendarYear,9,2),1),"[$-804]aaa")</f>
        <v>周五</v>
      </c>
      <c r="F5" s="36" t="str">
        <f>TEXT(WEEKDAY(DATE(CalendarYear,9,3),1),"[$-804]aaa")</f>
        <v>周六</v>
      </c>
      <c r="G5" s="36" t="str">
        <f>TEXT(WEEKDAY(DATE(CalendarYear,9,4),1),"[$-804]aaa")</f>
        <v>周日</v>
      </c>
      <c r="H5" s="36" t="str">
        <f>TEXT(WEEKDAY(DATE(CalendarYear,9,5),1),"[$-804]aaa")</f>
        <v>周一</v>
      </c>
      <c r="I5" s="36" t="str">
        <f>TEXT(WEEKDAY(DATE(CalendarYear,9,6),1),"[$-804]aaa")</f>
        <v>周二</v>
      </c>
      <c r="J5" s="36" t="str">
        <f>TEXT(WEEKDAY(DATE(CalendarYear,9,7),1),"[$-804]aaa")</f>
        <v>周三</v>
      </c>
      <c r="K5" s="36" t="str">
        <f>TEXT(WEEKDAY(DATE(CalendarYear,9,8),1),"[$-804]aaa")</f>
        <v>周四</v>
      </c>
      <c r="L5" s="36" t="str">
        <f>TEXT(WEEKDAY(DATE(CalendarYear,9,9),1),"[$-804]aaa")</f>
        <v>周五</v>
      </c>
      <c r="M5" s="36" t="str">
        <f>TEXT(WEEKDAY(DATE(CalendarYear,9,10),1),"[$-804]aaa")</f>
        <v>周六</v>
      </c>
      <c r="N5" s="36" t="str">
        <f>TEXT(WEEKDAY(DATE(CalendarYear,9,11),1),"[$-804]aaa")</f>
        <v>周日</v>
      </c>
      <c r="O5" s="36" t="str">
        <f>TEXT(WEEKDAY(DATE(CalendarYear,9,12),1),"[$-804]aaa")</f>
        <v>周一</v>
      </c>
      <c r="P5" s="36" t="str">
        <f>TEXT(WEEKDAY(DATE(CalendarYear,9,13),1),"[$-804]aaa")</f>
        <v>周二</v>
      </c>
      <c r="Q5" s="36" t="str">
        <f>TEXT(WEEKDAY(DATE(CalendarYear,9,14),1),"[$-804]aaa")</f>
        <v>周三</v>
      </c>
      <c r="R5" s="36" t="str">
        <f>TEXT(WEEKDAY(DATE(CalendarYear,9,15),1),"[$-804]aaa")</f>
        <v>周四</v>
      </c>
      <c r="S5" s="36" t="str">
        <f>TEXT(WEEKDAY(DATE(CalendarYear,9,16),1),"[$-804]aaa")</f>
        <v>周五</v>
      </c>
      <c r="T5" s="36" t="str">
        <f>TEXT(WEEKDAY(DATE(CalendarYear,9,17),1),"[$-804]aaa")</f>
        <v>周六</v>
      </c>
      <c r="U5" s="36" t="str">
        <f>TEXT(WEEKDAY(DATE(CalendarYear,9,18),1),"[$-804]aaa")</f>
        <v>周日</v>
      </c>
      <c r="V5" s="36" t="str">
        <f>TEXT(WEEKDAY(DATE(CalendarYear,9,19),1),"[$-804]aaa")</f>
        <v>周一</v>
      </c>
      <c r="W5" s="36" t="str">
        <f>TEXT(WEEKDAY(DATE(CalendarYear,9,20),1),"[$-804]aaa")</f>
        <v>周二</v>
      </c>
      <c r="X5" s="36" t="str">
        <f>TEXT(WEEKDAY(DATE(CalendarYear,9,21),1),"[$-804]aaa")</f>
        <v>周三</v>
      </c>
      <c r="Y5" s="36" t="str">
        <f>TEXT(WEEKDAY(DATE(CalendarYear,9,22),1),"[$-804]aaa")</f>
        <v>周四</v>
      </c>
      <c r="Z5" s="36" t="str">
        <f>TEXT(WEEKDAY(DATE(CalendarYear,9,23),1),"[$-804]aaa")</f>
        <v>周五</v>
      </c>
      <c r="AA5" s="36" t="str">
        <f>TEXT(WEEKDAY(DATE(CalendarYear,9,24),1),"[$-804]aaa")</f>
        <v>周六</v>
      </c>
      <c r="AB5" s="36" t="str">
        <f>TEXT(WEEKDAY(DATE(CalendarYear,9,25),1),"[$-804]aaa")</f>
        <v>周日</v>
      </c>
      <c r="AC5" s="36" t="str">
        <f>TEXT(WEEKDAY(DATE(CalendarYear,9,26),1),"[$-804]aaa")</f>
        <v>周一</v>
      </c>
      <c r="AD5" s="36" t="str">
        <f>TEXT(WEEKDAY(DATE(CalendarYear,9,27),1),"[$-804]aaa")</f>
        <v>周二</v>
      </c>
      <c r="AE5" s="36" t="str">
        <f>TEXT(WEEKDAY(DATE(CalendarYear,9,28),1),"[$-804]aaa")</f>
        <v>周三</v>
      </c>
      <c r="AF5" s="36" t="str">
        <f>TEXT(WEEKDAY(DATE(CalendarYear,9,29),1),"[$-804]aaa")</f>
        <v>周四</v>
      </c>
      <c r="AG5" s="36" t="str">
        <f>TEXT(WEEKDAY(DATE(CalendarYear,9,30),1),"[$-804]aaa")</f>
        <v>周五</v>
      </c>
      <c r="AH5" s="36"/>
      <c r="AI5" s="118" t="s">
        <v>96</v>
      </c>
      <c r="AJ5" s="119"/>
      <c r="AK5" s="119"/>
      <c r="AL5" s="119"/>
      <c r="AM5" s="120"/>
    </row>
    <row r="6" spans="1:40" s="37" customFormat="1"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46</v>
      </c>
      <c r="AI6" s="41" t="s">
        <v>32</v>
      </c>
      <c r="AJ6" s="42" t="s">
        <v>34</v>
      </c>
      <c r="AK6" s="43" t="s">
        <v>33</v>
      </c>
      <c r="AL6" s="44" t="s">
        <v>31</v>
      </c>
      <c r="AM6" s="45" t="s">
        <v>97</v>
      </c>
      <c r="AN6" s="46"/>
    </row>
    <row r="7" spans="1:40" s="37" customFormat="1" ht="16.5" customHeight="1">
      <c r="B7" s="47"/>
      <c r="C7" s="68" t="str">
        <f>IFERROR(VLOOKUP(SeptemberAttendance[[#This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8"/>
      <c r="AH7" s="48"/>
      <c r="AI7" s="49">
        <f>COUNTIF(SeptemberAttendance[[#This Row],[1]:[ ]],Code1)</f>
        <v>0</v>
      </c>
      <c r="AJ7" s="50">
        <f>COUNTIF(SeptemberAttendance[[#This Row],[1]:[ ]],Code2)</f>
        <v>0</v>
      </c>
      <c r="AK7" s="50">
        <f>COUNTIF(SeptemberAttendance[[#This Row],[1]:[ ]],Code3)</f>
        <v>0</v>
      </c>
      <c r="AL7" s="50">
        <f>COUNTIF(SeptemberAttendance[[#This Row],[1]:[ ]],Code4)</f>
        <v>0</v>
      </c>
      <c r="AM7" s="49">
        <f>SUM(SeptemberAttendance[[#This Row],[E]:[U]])</f>
        <v>0</v>
      </c>
      <c r="AN7" s="46"/>
    </row>
    <row r="8" spans="1:40" s="37" customFormat="1" ht="16.5" customHeight="1">
      <c r="B8" s="47"/>
      <c r="C8" s="71" t="str">
        <f>IFERROR(VLOOKUP(SeptemberAttendance[[#This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8"/>
      <c r="AH8" s="48"/>
      <c r="AI8" s="49">
        <f>COUNTIF(SeptemberAttendance[[#This Row],[1]:[ ]],Code1)</f>
        <v>0</v>
      </c>
      <c r="AJ8" s="50">
        <f>COUNTIF(SeptemberAttendance[[#This Row],[1]:[ ]],Code2)</f>
        <v>0</v>
      </c>
      <c r="AK8" s="50">
        <f>COUNTIF(SeptemberAttendance[[#This Row],[1]:[ ]],Code3)</f>
        <v>0</v>
      </c>
      <c r="AL8" s="50">
        <f>COUNTIF(SeptemberAttendance[[#This Row],[1]:[ ]],Code4)</f>
        <v>0</v>
      </c>
      <c r="AM8" s="49">
        <f>SUM(SeptemberAttendance[[#This Row],[E]:[U]])</f>
        <v>0</v>
      </c>
      <c r="AN8" s="46"/>
    </row>
    <row r="9" spans="1:40" s="51" customFormat="1" ht="16.5" customHeight="1">
      <c r="B9" s="47"/>
      <c r="C9" s="71" t="str">
        <f>IFERROR(VLOOKUP(SeptemberAttendance[[#This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8"/>
      <c r="AH9" s="48"/>
      <c r="AI9" s="49">
        <f>COUNTIF(SeptemberAttendance[[#This Row],[1]:[ ]],Code1)</f>
        <v>0</v>
      </c>
      <c r="AJ9" s="50">
        <f>COUNTIF(SeptemberAttendance[[#This Row],[1]:[ ]],Code2)</f>
        <v>0</v>
      </c>
      <c r="AK9" s="50">
        <f>COUNTIF(SeptemberAttendance[[#This Row],[1]:[ ]],Code3)</f>
        <v>0</v>
      </c>
      <c r="AL9" s="50">
        <f>COUNTIF(SeptemberAttendance[[#This Row],[1]:[ ]],Code4)</f>
        <v>0</v>
      </c>
      <c r="AM9" s="49">
        <f>SUM(SeptemberAttendance[[#This Row],[E]:[U]])</f>
        <v>0</v>
      </c>
      <c r="AN9" s="52"/>
    </row>
    <row r="10" spans="1:40" ht="16.5" customHeight="1">
      <c r="B10" s="47"/>
      <c r="C10" s="71" t="str">
        <f>IFERROR(VLOOKUP(SeptemberAttendance[[#This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8"/>
      <c r="AH10" s="48"/>
      <c r="AI10" s="49">
        <f>COUNTIF(SeptemberAttendance[[#This Row],[1]:[ ]],Code1)</f>
        <v>0</v>
      </c>
      <c r="AJ10" s="50">
        <f>COUNTIF(SeptemberAttendance[[#This Row],[1]:[ ]],Code2)</f>
        <v>0</v>
      </c>
      <c r="AK10" s="50">
        <f>COUNTIF(SeptemberAttendance[[#This Row],[1]:[ ]],Code3)</f>
        <v>0</v>
      </c>
      <c r="AL10" s="50">
        <f>COUNTIF(SeptemberAttendance[[#This Row],[1]:[ ]],Code4)</f>
        <v>0</v>
      </c>
      <c r="AM10" s="49">
        <f>SUM(SeptemberAttendance[[#This Row],[E]:[U]])</f>
        <v>0</v>
      </c>
      <c r="AN10" s="54"/>
    </row>
    <row r="11" spans="1:40" ht="16.5" customHeight="1">
      <c r="B11" s="47"/>
      <c r="C11" s="71" t="str">
        <f>IFERROR(VLOOKUP(SeptemberAttendance[[#This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8"/>
      <c r="AH11" s="48"/>
      <c r="AI11" s="49">
        <f>COUNTIF(SeptemberAttendance[[#This Row],[1]:[ ]],Code1)</f>
        <v>0</v>
      </c>
      <c r="AJ11" s="50">
        <f>COUNTIF(SeptemberAttendance[[#This Row],[1]:[ ]],Code2)</f>
        <v>0</v>
      </c>
      <c r="AK11" s="50">
        <f>COUNTIF(SeptemberAttendance[[#This Row],[1]:[ ]],Code3)</f>
        <v>0</v>
      </c>
      <c r="AL11" s="50">
        <f>COUNTIF(SeptemberAttendance[[#This Row],[1]:[ ]],Code4)</f>
        <v>0</v>
      </c>
      <c r="AM11" s="49">
        <f>SUM(SeptemberAttendance[[#This Row],[E]:[U]])</f>
        <v>0</v>
      </c>
      <c r="AN11" s="54"/>
    </row>
    <row r="12" spans="1:40" ht="16.5" customHeight="1">
      <c r="B12" s="40"/>
      <c r="C12" s="45" t="s">
        <v>98</v>
      </c>
      <c r="D12" s="49">
        <f>COUNTIF(SeptemberAttendance[1],"U")+COUNTIF(SeptemberAttendance[1],"E")</f>
        <v>0</v>
      </c>
      <c r="E12" s="49">
        <f>COUNTIF(SeptemberAttendance[2],"U")+COUNTIF(SeptemberAttendance[2],"E")</f>
        <v>0</v>
      </c>
      <c r="F12" s="49">
        <f>COUNTIF(SeptemberAttendance[3],"U")+COUNTIF(SeptemberAttendance[3],"E")</f>
        <v>0</v>
      </c>
      <c r="G12" s="49">
        <f>COUNTIF(SeptemberAttendance[4],"U")+COUNTIF(SeptemberAttendance[4],"E")</f>
        <v>0</v>
      </c>
      <c r="H12" s="49">
        <f>COUNTIF(SeptemberAttendance[5],"U")+COUNTIF(SeptemberAttendance[5],"E")</f>
        <v>0</v>
      </c>
      <c r="I12" s="49">
        <f>COUNTIF(SeptemberAttendance[6],"U")+COUNTIF(SeptemberAttendance[6],"E")</f>
        <v>0</v>
      </c>
      <c r="J12" s="49">
        <f>COUNTIF(SeptemberAttendance[7],"U")+COUNTIF(SeptemberAttendance[7],"E")</f>
        <v>0</v>
      </c>
      <c r="K12" s="49">
        <f>COUNTIF(SeptemberAttendance[8],"U")+COUNTIF(SeptemberAttendance[8],"E")</f>
        <v>0</v>
      </c>
      <c r="L12" s="49">
        <f>COUNTIF(SeptemberAttendance[9],"U")+COUNTIF(SeptemberAttendance[9],"E")</f>
        <v>0</v>
      </c>
      <c r="M12" s="49">
        <f>COUNTIF(SeptemberAttendance[10],"U")+COUNTIF(SeptemberAttendance[10],"E")</f>
        <v>0</v>
      </c>
      <c r="N12" s="49">
        <f>COUNTIF(SeptemberAttendance[11],"U")+COUNTIF(SeptemberAttendance[11],"E")</f>
        <v>0</v>
      </c>
      <c r="O12" s="49">
        <f>COUNTIF(SeptemberAttendance[12],"U")+COUNTIF(SeptemberAttendance[12],"E")</f>
        <v>0</v>
      </c>
      <c r="P12" s="49">
        <f>COUNTIF(SeptemberAttendance[13],"U")+COUNTIF(SeptemberAttendance[13],"E")</f>
        <v>0</v>
      </c>
      <c r="Q12" s="49">
        <f>COUNTIF(SeptemberAttendance[14],"U")+COUNTIF(SeptemberAttendance[14],"E")</f>
        <v>0</v>
      </c>
      <c r="R12" s="49">
        <f>COUNTIF(SeptemberAttendance[15],"U")+COUNTIF(SeptemberAttendance[15],"E")</f>
        <v>0</v>
      </c>
      <c r="S12" s="49">
        <f>COUNTIF(SeptemberAttendance[16],"U")+COUNTIF(SeptemberAttendance[16],"E")</f>
        <v>0</v>
      </c>
      <c r="T12" s="49">
        <f>COUNTIF(SeptemberAttendance[17],"U")+COUNTIF(SeptemberAttendance[17],"E")</f>
        <v>0</v>
      </c>
      <c r="U12" s="49">
        <f>COUNTIF(SeptemberAttendance[18],"U")+COUNTIF(SeptemberAttendance[18],"E")</f>
        <v>0</v>
      </c>
      <c r="V12" s="49">
        <f>COUNTIF(SeptemberAttendance[19],"U")+COUNTIF(SeptemberAttendance[19],"E")</f>
        <v>0</v>
      </c>
      <c r="W12" s="49">
        <f>COUNTIF(SeptemberAttendance[20],"U")+COUNTIF(SeptemberAttendance[20],"E")</f>
        <v>0</v>
      </c>
      <c r="X12" s="49">
        <f>COUNTIF(SeptemberAttendance[21],"U")+COUNTIF(SeptemberAttendance[21],"E")</f>
        <v>0</v>
      </c>
      <c r="Y12" s="49">
        <f>COUNTIF(SeptemberAttendance[22],"U")+COUNTIF(SeptemberAttendance[22],"E")</f>
        <v>0</v>
      </c>
      <c r="Z12" s="49">
        <f>COUNTIF(SeptemberAttendance[23],"U")+COUNTIF(SeptemberAttendance[23],"E")</f>
        <v>0</v>
      </c>
      <c r="AA12" s="49">
        <f>COUNTIF(SeptemberAttendance[24],"U")+COUNTIF(SeptemberAttendance[24],"E")</f>
        <v>0</v>
      </c>
      <c r="AB12" s="49">
        <f>COUNTIF(SeptemberAttendance[25],"U")+COUNTIF(SeptemberAttendance[25],"E")</f>
        <v>0</v>
      </c>
      <c r="AC12" s="49">
        <f>COUNTIF(SeptemberAttendance[26],"U")+COUNTIF(SeptemberAttendance[26],"E")</f>
        <v>0</v>
      </c>
      <c r="AD12" s="49">
        <f>COUNTIF(SeptemberAttendance[27],"U")+COUNTIF(SeptemberAttendance[27],"E")</f>
        <v>0</v>
      </c>
      <c r="AE12" s="49">
        <f>COUNTIF(SeptemberAttendance[28],"U")+COUNTIF(SeptemberAttendance[28],"E")</f>
        <v>0</v>
      </c>
      <c r="AF12" s="49">
        <f>COUNTIF(SeptemberAttendance[29],"U")+COUNTIF(SeptemberAttendance[29],"E")</f>
        <v>0</v>
      </c>
      <c r="AG12" s="49">
        <f>COUNTIF(SeptemberAttendance[30],"U")+COUNTIF(SeptemberAttendance[30],"E")</f>
        <v>0</v>
      </c>
      <c r="AH12" s="49">
        <f>COUNTIF(SeptemberAttendance[[ ]],"U")+COUNTIF(SeptemberAttendance[[ ]],"E")</f>
        <v>0</v>
      </c>
      <c r="AI12" s="49">
        <f>SUBTOTAL(109,SeptemberAttendance[T])</f>
        <v>0</v>
      </c>
      <c r="AJ12" s="49">
        <f>SUBTOTAL(109,SeptemberAttendance[E])</f>
        <v>0</v>
      </c>
      <c r="AK12" s="49">
        <f>SUBTOTAL(109,SeptemberAttendance[U])</f>
        <v>0</v>
      </c>
      <c r="AL12" s="49">
        <f>SUBTOTAL(109,SeptemberAttendance[P])</f>
        <v>0</v>
      </c>
      <c r="AM12" s="49">
        <f>SUBTOTAL(109,SeptemberAttendance[缺席天数])</f>
        <v>0</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6">
      <dataBar>
        <cfvo type="min"/>
        <cfvo type="num" val="31"/>
        <color theme="4"/>
      </dataBar>
      <extLst>
        <ext xmlns:x14="http://schemas.microsoft.com/office/spreadsheetml/2009/9/main" uri="{B025F937-C7B1-47D3-B67F-A62EFF666E3E}">
          <x14:id>{FCDE13DD-578E-4A81-A4F7-3A892C41EF0D}</x14:id>
        </ext>
      </extLst>
    </cfRule>
  </conditionalFormatting>
  <conditionalFormatting sqref="AG7:AI11">
    <cfRule type="expression" dxfId="951" priority="7" stopIfTrue="1">
      <formula>AG7=Code2</formula>
    </cfRule>
  </conditionalFormatting>
  <conditionalFormatting sqref="AG7:AH11">
    <cfRule type="expression" dxfId="950" priority="8" stopIfTrue="1">
      <formula>AG7=Code5</formula>
    </cfRule>
    <cfRule type="expression" dxfId="949" priority="9" stopIfTrue="1">
      <formula>AG7=Code4</formula>
    </cfRule>
    <cfRule type="expression" dxfId="948" priority="10" stopIfTrue="1">
      <formula>AG7=Code3</formula>
    </cfRule>
    <cfRule type="expression" dxfId="947" priority="11" stopIfTrue="1">
      <formula>AG7=Code1</formula>
    </cfRule>
  </conditionalFormatting>
  <conditionalFormatting sqref="D7:AF11">
    <cfRule type="expression" dxfId="946" priority="1" stopIfTrue="1">
      <formula>D7=Code2</formula>
    </cfRule>
  </conditionalFormatting>
  <conditionalFormatting sqref="D7:AF11">
    <cfRule type="expression" dxfId="945" priority="2" stopIfTrue="1">
      <formula>D7=Code5</formula>
    </cfRule>
    <cfRule type="expression" dxfId="944" priority="3" stopIfTrue="1">
      <formula>D7=Code4</formula>
    </cfRule>
    <cfRule type="expression" dxfId="943" priority="4" stopIfTrue="1">
      <formula>D7=Code3</formula>
    </cfRule>
    <cfRule type="expression" dxfId="942" priority="5"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CDE13DD-578E-4A81-A4F7-3A892C41EF0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40"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40" s="4" customFormat="1" ht="16.5"/>
    <row r="3" spans="1:40"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40" s="4" customFormat="1" ht="16.5" customHeight="1"/>
    <row r="5" spans="1:40" s="34" customFormat="1" ht="18" customHeight="1">
      <c r="B5" s="112">
        <f>DATE(CalendarYear,10,1)</f>
        <v>40817</v>
      </c>
      <c r="C5" s="35"/>
      <c r="D5" s="36" t="str">
        <f>TEXT(WEEKDAY(DATE(CalendarYear,10,1),1),"[$-804]aaa")</f>
        <v>周六</v>
      </c>
      <c r="E5" s="36" t="str">
        <f>TEXT(WEEKDAY(DATE(CalendarYear,10,2),1),"[$-804]aaa")</f>
        <v>周日</v>
      </c>
      <c r="F5" s="36" t="str">
        <f>TEXT(WEEKDAY(DATE(CalendarYear,10,3),1),"[$-804]aaa")</f>
        <v>周一</v>
      </c>
      <c r="G5" s="36" t="str">
        <f>TEXT(WEEKDAY(DATE(CalendarYear,10,4),1),"[$-804]aaa")</f>
        <v>周二</v>
      </c>
      <c r="H5" s="36" t="str">
        <f>TEXT(WEEKDAY(DATE(CalendarYear,10,5),1),"[$-804]aaa")</f>
        <v>周三</v>
      </c>
      <c r="I5" s="36" t="str">
        <f>TEXT(WEEKDAY(DATE(CalendarYear,10,6),1),"[$-804]aaa")</f>
        <v>周四</v>
      </c>
      <c r="J5" s="36" t="str">
        <f>TEXT(WEEKDAY(DATE(CalendarYear,10,7),1),"[$-804]aaa")</f>
        <v>周五</v>
      </c>
      <c r="K5" s="36" t="str">
        <f>TEXT(WEEKDAY(DATE(CalendarYear,10,8),1),"[$-804]aaa")</f>
        <v>周六</v>
      </c>
      <c r="L5" s="36" t="str">
        <f>TEXT(WEEKDAY(DATE(CalendarYear,10,9),1),"[$-804]aaa")</f>
        <v>周日</v>
      </c>
      <c r="M5" s="36" t="str">
        <f>TEXT(WEEKDAY(DATE(CalendarYear,10,10),1),"[$-804]aaa")</f>
        <v>周一</v>
      </c>
      <c r="N5" s="36" t="str">
        <f>TEXT(WEEKDAY(DATE(CalendarYear,10,11),1),"[$-804]aaa")</f>
        <v>周二</v>
      </c>
      <c r="O5" s="36" t="str">
        <f>TEXT(WEEKDAY(DATE(CalendarYear,10,12),1),"[$-804]aaa")</f>
        <v>周三</v>
      </c>
      <c r="P5" s="36" t="str">
        <f>TEXT(WEEKDAY(DATE(CalendarYear,10,13),1),"[$-804]aaa")</f>
        <v>周四</v>
      </c>
      <c r="Q5" s="36" t="str">
        <f>TEXT(WEEKDAY(DATE(CalendarYear,10,14),1),"[$-804]aaa")</f>
        <v>周五</v>
      </c>
      <c r="R5" s="36" t="str">
        <f>TEXT(WEEKDAY(DATE(CalendarYear,10,15),1),"[$-804]aaa")</f>
        <v>周六</v>
      </c>
      <c r="S5" s="36" t="str">
        <f>TEXT(WEEKDAY(DATE(CalendarYear,10,16),1),"[$-804]aaa")</f>
        <v>周日</v>
      </c>
      <c r="T5" s="36" t="str">
        <f>TEXT(WEEKDAY(DATE(CalendarYear,10,17),1),"[$-804]aaa")</f>
        <v>周一</v>
      </c>
      <c r="U5" s="36" t="str">
        <f>TEXT(WEEKDAY(DATE(CalendarYear,10,18),1),"[$-804]aaa")</f>
        <v>周二</v>
      </c>
      <c r="V5" s="36" t="str">
        <f>TEXT(WEEKDAY(DATE(CalendarYear,10,19),1),"[$-804]aaa")</f>
        <v>周三</v>
      </c>
      <c r="W5" s="36" t="str">
        <f>TEXT(WEEKDAY(DATE(CalendarYear,10,20),1),"[$-804]aaa")</f>
        <v>周四</v>
      </c>
      <c r="X5" s="36" t="str">
        <f>TEXT(WEEKDAY(DATE(CalendarYear,10,21),1),"[$-804]aaa")</f>
        <v>周五</v>
      </c>
      <c r="Y5" s="36" t="str">
        <f>TEXT(WEEKDAY(DATE(CalendarYear,10,22),1),"[$-804]aaa")</f>
        <v>周六</v>
      </c>
      <c r="Z5" s="36" t="str">
        <f>TEXT(WEEKDAY(DATE(CalendarYear,10,23),1),"[$-804]aaa")</f>
        <v>周日</v>
      </c>
      <c r="AA5" s="36" t="str">
        <f>TEXT(WEEKDAY(DATE(CalendarYear,10,24),1),"[$-804]aaa")</f>
        <v>周一</v>
      </c>
      <c r="AB5" s="36" t="str">
        <f>TEXT(WEEKDAY(DATE(CalendarYear,10,25),1),"[$-804]aaa")</f>
        <v>周二</v>
      </c>
      <c r="AC5" s="36" t="str">
        <f>TEXT(WEEKDAY(DATE(CalendarYear,10,26),1),"[$-804]aaa")</f>
        <v>周三</v>
      </c>
      <c r="AD5" s="36" t="str">
        <f>TEXT(WEEKDAY(DATE(CalendarYear,10,27),1),"[$-804]aaa")</f>
        <v>周四</v>
      </c>
      <c r="AE5" s="36" t="str">
        <f>TEXT(WEEKDAY(DATE(CalendarYear,10,28),1),"[$-804]aaa")</f>
        <v>周五</v>
      </c>
      <c r="AF5" s="36" t="str">
        <f>TEXT(WEEKDAY(DATE(CalendarYear,10,29),1),"[$-804]aaa")</f>
        <v>周六</v>
      </c>
      <c r="AG5" s="36" t="str">
        <f>TEXT(WEEKDAY(DATE(CalendarYear,10,30),1),"[$-804]aaa")</f>
        <v>周日</v>
      </c>
      <c r="AH5" s="36" t="str">
        <f>TEXT(WEEKDAY(DATE(CalendarYear,10,31),1),"[$-804]aaa")</f>
        <v>周一</v>
      </c>
      <c r="AI5" s="118" t="s">
        <v>96</v>
      </c>
      <c r="AJ5" s="119"/>
      <c r="AK5" s="119"/>
      <c r="AL5" s="119"/>
      <c r="AM5" s="120"/>
    </row>
    <row r="6" spans="1:40" s="37" customFormat="1"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30</v>
      </c>
      <c r="AI6" s="41" t="s">
        <v>32</v>
      </c>
      <c r="AJ6" s="42" t="s">
        <v>34</v>
      </c>
      <c r="AK6" s="43" t="s">
        <v>33</v>
      </c>
      <c r="AL6" s="44" t="s">
        <v>31</v>
      </c>
      <c r="AM6" s="45" t="s">
        <v>97</v>
      </c>
      <c r="AN6" s="46"/>
    </row>
    <row r="7" spans="1:40" s="37" customFormat="1" ht="16.5" customHeight="1">
      <c r="B7" s="47"/>
      <c r="C7" s="68" t="str">
        <f>IFERROR(VLOOKUP(OctoberAttendance[[#This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8"/>
      <c r="AH7" s="48"/>
      <c r="AI7" s="49">
        <f>COUNTIF(OctoberAttendance[[#This Row],[1]:[31]],Code1)</f>
        <v>0</v>
      </c>
      <c r="AJ7" s="50">
        <f>COUNTIF(OctoberAttendance[[#This Row],[1]:[31]],Code2)</f>
        <v>0</v>
      </c>
      <c r="AK7" s="50">
        <f>COUNTIF(OctoberAttendance[[#This Row],[1]:[31]],Code3)</f>
        <v>0</v>
      </c>
      <c r="AL7" s="50">
        <f>COUNTIF(OctoberAttendance[[#This Row],[1]:[31]],Code4)</f>
        <v>0</v>
      </c>
      <c r="AM7" s="49">
        <f>SUM(OctoberAttendance[[#This Row],[E]:[U]])</f>
        <v>0</v>
      </c>
      <c r="AN7" s="46"/>
    </row>
    <row r="8" spans="1:40" s="37" customFormat="1" ht="16.5" customHeight="1">
      <c r="B8" s="47"/>
      <c r="C8" s="71" t="str">
        <f>IFERROR(VLOOKUP(OctoberAttendance[[#This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8"/>
      <c r="AH8" s="48"/>
      <c r="AI8" s="49">
        <f>COUNTIF(OctoberAttendance[[#This Row],[1]:[31]],Code1)</f>
        <v>0</v>
      </c>
      <c r="AJ8" s="50">
        <f>COUNTIF(OctoberAttendance[[#This Row],[1]:[31]],Code2)</f>
        <v>0</v>
      </c>
      <c r="AK8" s="50">
        <f>COUNTIF(OctoberAttendance[[#This Row],[1]:[31]],Code3)</f>
        <v>0</v>
      </c>
      <c r="AL8" s="50">
        <f>COUNTIF(OctoberAttendance[[#This Row],[1]:[31]],Code4)</f>
        <v>0</v>
      </c>
      <c r="AM8" s="49">
        <f>SUM(OctoberAttendance[[#This Row],[E]:[U]])</f>
        <v>0</v>
      </c>
      <c r="AN8" s="46"/>
    </row>
    <row r="9" spans="1:40" s="51" customFormat="1" ht="16.5" customHeight="1">
      <c r="B9" s="47"/>
      <c r="C9" s="71" t="str">
        <f>IFERROR(VLOOKUP(OctoberAttendance[[#This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8"/>
      <c r="AH9" s="48"/>
      <c r="AI9" s="49">
        <f>COUNTIF(OctoberAttendance[[#This Row],[1]:[31]],Code1)</f>
        <v>0</v>
      </c>
      <c r="AJ9" s="50">
        <f>COUNTIF(OctoberAttendance[[#This Row],[1]:[31]],Code2)</f>
        <v>0</v>
      </c>
      <c r="AK9" s="50">
        <f>COUNTIF(OctoberAttendance[[#This Row],[1]:[31]],Code3)</f>
        <v>0</v>
      </c>
      <c r="AL9" s="50">
        <f>COUNTIF(OctoberAttendance[[#This Row],[1]:[31]],Code4)</f>
        <v>0</v>
      </c>
      <c r="AM9" s="49">
        <f>SUM(OctoberAttendance[[#This Row],[E]:[U]])</f>
        <v>0</v>
      </c>
      <c r="AN9" s="52"/>
    </row>
    <row r="10" spans="1:40" ht="16.5" customHeight="1">
      <c r="B10" s="47"/>
      <c r="C10" s="71" t="str">
        <f>IFERROR(VLOOKUP(OctoberAttendance[[#This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8"/>
      <c r="AH10" s="48"/>
      <c r="AI10" s="49">
        <f>COUNTIF(OctoberAttendance[[#This Row],[1]:[31]],Code1)</f>
        <v>0</v>
      </c>
      <c r="AJ10" s="50">
        <f>COUNTIF(OctoberAttendance[[#This Row],[1]:[31]],Code2)</f>
        <v>0</v>
      </c>
      <c r="AK10" s="50">
        <f>COUNTIF(OctoberAttendance[[#This Row],[1]:[31]],Code3)</f>
        <v>0</v>
      </c>
      <c r="AL10" s="50">
        <f>COUNTIF(OctoberAttendance[[#This Row],[1]:[31]],Code4)</f>
        <v>0</v>
      </c>
      <c r="AM10" s="49">
        <f>SUM(OctoberAttendance[[#This Row],[E]:[U]])</f>
        <v>0</v>
      </c>
      <c r="AN10" s="54"/>
    </row>
    <row r="11" spans="1:40" ht="16.5" customHeight="1">
      <c r="B11" s="47"/>
      <c r="C11" s="71" t="str">
        <f>IFERROR(VLOOKUP(OctoberAttendance[[#This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8"/>
      <c r="AH11" s="48"/>
      <c r="AI11" s="49">
        <f>COUNTIF(OctoberAttendance[[#This Row],[1]:[31]],Code1)</f>
        <v>0</v>
      </c>
      <c r="AJ11" s="50">
        <f>COUNTIF(OctoberAttendance[[#This Row],[1]:[31]],Code2)</f>
        <v>0</v>
      </c>
      <c r="AK11" s="50">
        <f>COUNTIF(OctoberAttendance[[#This Row],[1]:[31]],Code3)</f>
        <v>0</v>
      </c>
      <c r="AL11" s="50">
        <f>COUNTIF(OctoberAttendance[[#This Row],[1]:[31]],Code4)</f>
        <v>0</v>
      </c>
      <c r="AM11" s="49">
        <f>SUM(OctoberAttendance[[#This Row],[E]:[U]])</f>
        <v>0</v>
      </c>
      <c r="AN11" s="54"/>
    </row>
    <row r="12" spans="1:40" ht="16.5" customHeight="1">
      <c r="B12" s="40"/>
      <c r="C12" s="45" t="s">
        <v>98</v>
      </c>
      <c r="D12" s="49">
        <f>COUNTIF(OctoberAttendance[1],"U")+COUNTIF(OctoberAttendance[1],"E")</f>
        <v>0</v>
      </c>
      <c r="E12" s="49">
        <f>COUNTIF(OctoberAttendance[2],"U")+COUNTIF(OctoberAttendance[2],"E")</f>
        <v>0</v>
      </c>
      <c r="F12" s="49">
        <f>COUNTIF(OctoberAttendance[3],"U")+COUNTIF(OctoberAttendance[3],"E")</f>
        <v>0</v>
      </c>
      <c r="G12" s="49">
        <f>COUNTIF(OctoberAttendance[4],"U")+COUNTIF(OctoberAttendance[4],"E")</f>
        <v>0</v>
      </c>
      <c r="H12" s="49">
        <f>COUNTIF(OctoberAttendance[5],"U")+COUNTIF(OctoberAttendance[5],"E")</f>
        <v>0</v>
      </c>
      <c r="I12" s="49">
        <f>COUNTIF(OctoberAttendance[6],"U")+COUNTIF(OctoberAttendance[6],"E")</f>
        <v>0</v>
      </c>
      <c r="J12" s="49">
        <f>COUNTIF(OctoberAttendance[7],"U")+COUNTIF(OctoberAttendance[7],"E")</f>
        <v>0</v>
      </c>
      <c r="K12" s="49">
        <f>COUNTIF(OctoberAttendance[8],"U")+COUNTIF(OctoberAttendance[8],"E")</f>
        <v>0</v>
      </c>
      <c r="L12" s="49">
        <f>COUNTIF(OctoberAttendance[9],"U")+COUNTIF(OctoberAttendance[9],"E")</f>
        <v>0</v>
      </c>
      <c r="M12" s="49">
        <f>COUNTIF(OctoberAttendance[10],"U")+COUNTIF(OctoberAttendance[10],"E")</f>
        <v>0</v>
      </c>
      <c r="N12" s="49">
        <f>COUNTIF(OctoberAttendance[11],"U")+COUNTIF(OctoberAttendance[11],"E")</f>
        <v>0</v>
      </c>
      <c r="O12" s="49">
        <f>COUNTIF(OctoberAttendance[12],"U")+COUNTIF(OctoberAttendance[12],"E")</f>
        <v>0</v>
      </c>
      <c r="P12" s="49">
        <f>COUNTIF(OctoberAttendance[13],"U")+COUNTIF(OctoberAttendance[13],"E")</f>
        <v>0</v>
      </c>
      <c r="Q12" s="49">
        <f>COUNTIF(OctoberAttendance[14],"U")+COUNTIF(OctoberAttendance[14],"E")</f>
        <v>0</v>
      </c>
      <c r="R12" s="49">
        <f>COUNTIF(OctoberAttendance[15],"U")+COUNTIF(OctoberAttendance[15],"E")</f>
        <v>0</v>
      </c>
      <c r="S12" s="49">
        <f>COUNTIF(OctoberAttendance[16],"U")+COUNTIF(OctoberAttendance[16],"E")</f>
        <v>0</v>
      </c>
      <c r="T12" s="49">
        <f>COUNTIF(OctoberAttendance[17],"U")+COUNTIF(OctoberAttendance[17],"E")</f>
        <v>0</v>
      </c>
      <c r="U12" s="49">
        <f>COUNTIF(OctoberAttendance[18],"U")+COUNTIF(OctoberAttendance[18],"E")</f>
        <v>0</v>
      </c>
      <c r="V12" s="49">
        <f>COUNTIF(OctoberAttendance[19],"U")+COUNTIF(OctoberAttendance[19],"E")</f>
        <v>0</v>
      </c>
      <c r="W12" s="49">
        <f>COUNTIF(OctoberAttendance[20],"U")+COUNTIF(OctoberAttendance[20],"E")</f>
        <v>0</v>
      </c>
      <c r="X12" s="49">
        <f>COUNTIF(OctoberAttendance[21],"U")+COUNTIF(OctoberAttendance[21],"E")</f>
        <v>0</v>
      </c>
      <c r="Y12" s="49">
        <f>COUNTIF(OctoberAttendance[22],"U")+COUNTIF(OctoberAttendance[22],"E")</f>
        <v>0</v>
      </c>
      <c r="Z12" s="49">
        <f>COUNTIF(OctoberAttendance[23],"U")+COUNTIF(OctoberAttendance[23],"E")</f>
        <v>0</v>
      </c>
      <c r="AA12" s="49">
        <f>COUNTIF(OctoberAttendance[24],"U")+COUNTIF(OctoberAttendance[24],"E")</f>
        <v>0</v>
      </c>
      <c r="AB12" s="49">
        <f>COUNTIF(OctoberAttendance[25],"U")+COUNTIF(OctoberAttendance[25],"E")</f>
        <v>0</v>
      </c>
      <c r="AC12" s="49">
        <f>COUNTIF(OctoberAttendance[26],"U")+COUNTIF(OctoberAttendance[26],"E")</f>
        <v>0</v>
      </c>
      <c r="AD12" s="49">
        <f>COUNTIF(OctoberAttendance[27],"U")+COUNTIF(OctoberAttendance[27],"E")</f>
        <v>0</v>
      </c>
      <c r="AE12" s="49">
        <f>COUNTIF(OctoberAttendance[28],"U")+COUNTIF(OctoberAttendance[28],"E")</f>
        <v>0</v>
      </c>
      <c r="AF12" s="49">
        <f>COUNTIF(OctoberAttendance[29],"U")+COUNTIF(OctoberAttendance[29],"E")</f>
        <v>0</v>
      </c>
      <c r="AG12" s="49">
        <f>COUNTIF(OctoberAttendance[30],"U")+COUNTIF(OctoberAttendance[30],"E")</f>
        <v>0</v>
      </c>
      <c r="AH12" s="49">
        <f>COUNTIF(OctoberAttendance[31],"U")+COUNTIF(OctoberAttendance[31],"E")</f>
        <v>0</v>
      </c>
      <c r="AI12" s="49">
        <f>SUBTOTAL(109,OctoberAttendance[T])</f>
        <v>0</v>
      </c>
      <c r="AJ12" s="49">
        <f>SUBTOTAL(109,OctoberAttendance[E])</f>
        <v>0</v>
      </c>
      <c r="AK12" s="49">
        <f>SUBTOTAL(109,OctoberAttendance[U])</f>
        <v>0</v>
      </c>
      <c r="AL12" s="49">
        <f>SUBTOTAL(109,OctoberAttendance[P])</f>
        <v>0</v>
      </c>
      <c r="AM12" s="49">
        <f>SUBTOTAL(109,OctoberAttendance[缺席天数])</f>
        <v>0</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6">
      <dataBar>
        <cfvo type="min"/>
        <cfvo type="num" val="31"/>
        <color theme="4"/>
      </dataBar>
      <extLst>
        <ext xmlns:x14="http://schemas.microsoft.com/office/spreadsheetml/2009/9/main" uri="{B025F937-C7B1-47D3-B67F-A62EFF666E3E}">
          <x14:id>{6EA17848-2AAC-40C7-98F3-52AFCDA9173D}</x14:id>
        </ext>
      </extLst>
    </cfRule>
  </conditionalFormatting>
  <conditionalFormatting sqref="AG7:AI11">
    <cfRule type="expression" dxfId="862" priority="7" stopIfTrue="1">
      <formula>AG7=Code2</formula>
    </cfRule>
  </conditionalFormatting>
  <conditionalFormatting sqref="AG7:AH11">
    <cfRule type="expression" dxfId="861" priority="8" stopIfTrue="1">
      <formula>AG7=Code5</formula>
    </cfRule>
    <cfRule type="expression" dxfId="860" priority="9" stopIfTrue="1">
      <formula>AG7=Code4</formula>
    </cfRule>
    <cfRule type="expression" dxfId="859" priority="10" stopIfTrue="1">
      <formula>AG7=Code3</formula>
    </cfRule>
    <cfRule type="expression" dxfId="858" priority="11" stopIfTrue="1">
      <formula>AG7=Code1</formula>
    </cfRule>
  </conditionalFormatting>
  <conditionalFormatting sqref="D7:AF11">
    <cfRule type="expression" dxfId="857" priority="1" stopIfTrue="1">
      <formula>D7=Code2</formula>
    </cfRule>
  </conditionalFormatting>
  <conditionalFormatting sqref="D7:AF11">
    <cfRule type="expression" dxfId="856" priority="2" stopIfTrue="1">
      <formula>D7=Code5</formula>
    </cfRule>
    <cfRule type="expression" dxfId="855" priority="3" stopIfTrue="1">
      <formula>D7=Code4</formula>
    </cfRule>
    <cfRule type="expression" dxfId="854" priority="4" stopIfTrue="1">
      <formula>D7=Code3</formula>
    </cfRule>
    <cfRule type="expression" dxfId="853" priority="5"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EA17848-2AAC-40C7-98F3-52AFCDA9173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40"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40" s="4" customFormat="1" ht="16.5"/>
    <row r="3" spans="1:40"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40" s="4" customFormat="1" ht="16.5" customHeight="1"/>
    <row r="5" spans="1:40" s="34" customFormat="1" ht="18" customHeight="1">
      <c r="B5" s="112">
        <f>DATE(CalendarYear,11,1)</f>
        <v>40848</v>
      </c>
      <c r="C5" s="35"/>
      <c r="D5" s="36" t="str">
        <f>TEXT(WEEKDAY(DATE(CalendarYear,11,1),1),"[$-804]aaa")</f>
        <v>周二</v>
      </c>
      <c r="E5" s="36" t="str">
        <f>TEXT(WEEKDAY(DATE(CalendarYear,11,2),1),"[$-804]aaa")</f>
        <v>周三</v>
      </c>
      <c r="F5" s="36" t="str">
        <f>TEXT(WEEKDAY(DATE(CalendarYear,11,3),1),"[$-804]aaa")</f>
        <v>周四</v>
      </c>
      <c r="G5" s="36" t="str">
        <f>TEXT(WEEKDAY(DATE(CalendarYear,11,4),1),"[$-804]aaa")</f>
        <v>周五</v>
      </c>
      <c r="H5" s="36" t="str">
        <f>TEXT(WEEKDAY(DATE(CalendarYear,11,5),1),"[$-804]aaa")</f>
        <v>周六</v>
      </c>
      <c r="I5" s="36" t="str">
        <f>TEXT(WEEKDAY(DATE(CalendarYear,11,6),1),"[$-804]aaa")</f>
        <v>周日</v>
      </c>
      <c r="J5" s="36" t="str">
        <f>TEXT(WEEKDAY(DATE(CalendarYear,11,7),1),"[$-804]aaa")</f>
        <v>周一</v>
      </c>
      <c r="K5" s="36" t="str">
        <f>TEXT(WEEKDAY(DATE(CalendarYear,11,8),1),"[$-804]aaa")</f>
        <v>周二</v>
      </c>
      <c r="L5" s="36" t="str">
        <f>TEXT(WEEKDAY(DATE(CalendarYear,11,9),1),"[$-804]aaa")</f>
        <v>周三</v>
      </c>
      <c r="M5" s="36" t="str">
        <f>TEXT(WEEKDAY(DATE(CalendarYear,11,10),1),"[$-804]aaa")</f>
        <v>周四</v>
      </c>
      <c r="N5" s="36" t="str">
        <f>TEXT(WEEKDAY(DATE(CalendarYear,11,11),1),"[$-804]aaa")</f>
        <v>周五</v>
      </c>
      <c r="O5" s="36" t="str">
        <f>TEXT(WEEKDAY(DATE(CalendarYear,11,12),1),"[$-804]aaa")</f>
        <v>周六</v>
      </c>
      <c r="P5" s="36" t="str">
        <f>TEXT(WEEKDAY(DATE(CalendarYear,11,13),1),"[$-804]aaa")</f>
        <v>周日</v>
      </c>
      <c r="Q5" s="36" t="str">
        <f>TEXT(WEEKDAY(DATE(CalendarYear,11,14),1),"[$-804]aaa")</f>
        <v>周一</v>
      </c>
      <c r="R5" s="36" t="str">
        <f>TEXT(WEEKDAY(DATE(CalendarYear,11,15),1),"[$-804]aaa")</f>
        <v>周二</v>
      </c>
      <c r="S5" s="36" t="str">
        <f>TEXT(WEEKDAY(DATE(CalendarYear,11,16),1),"[$-804]aaa")</f>
        <v>周三</v>
      </c>
      <c r="T5" s="36" t="str">
        <f>TEXT(WEEKDAY(DATE(CalendarYear,11,17),1),"[$-804]aaa")</f>
        <v>周四</v>
      </c>
      <c r="U5" s="36" t="str">
        <f>TEXT(WEEKDAY(DATE(CalendarYear,11,18),1),"[$-804]aaa")</f>
        <v>周五</v>
      </c>
      <c r="V5" s="36" t="str">
        <f>TEXT(WEEKDAY(DATE(CalendarYear,11,19),1),"[$-804]aaa")</f>
        <v>周六</v>
      </c>
      <c r="W5" s="36" t="str">
        <f>TEXT(WEEKDAY(DATE(CalendarYear,11,20),1),"[$-804]aaa")</f>
        <v>周日</v>
      </c>
      <c r="X5" s="36" t="str">
        <f>TEXT(WEEKDAY(DATE(CalendarYear,11,21),1),"[$-804]aaa")</f>
        <v>周一</v>
      </c>
      <c r="Y5" s="36" t="str">
        <f>TEXT(WEEKDAY(DATE(CalendarYear,11,22),1),"[$-804]aaa")</f>
        <v>周二</v>
      </c>
      <c r="Z5" s="36" t="str">
        <f>TEXT(WEEKDAY(DATE(CalendarYear,11,23),1),"[$-804]aaa")</f>
        <v>周三</v>
      </c>
      <c r="AA5" s="36" t="str">
        <f>TEXT(WEEKDAY(DATE(CalendarYear,11,24),1),"[$-804]aaa")</f>
        <v>周四</v>
      </c>
      <c r="AB5" s="36" t="str">
        <f>TEXT(WEEKDAY(DATE(CalendarYear,11,25),1),"[$-804]aaa")</f>
        <v>周五</v>
      </c>
      <c r="AC5" s="36" t="str">
        <f>TEXT(WEEKDAY(DATE(CalendarYear,11,26),1),"[$-804]aaa")</f>
        <v>周六</v>
      </c>
      <c r="AD5" s="36" t="str">
        <f>TEXT(WEEKDAY(DATE(CalendarYear,11,27),1),"[$-804]aaa")</f>
        <v>周日</v>
      </c>
      <c r="AE5" s="36" t="str">
        <f>TEXT(WEEKDAY(DATE(CalendarYear,11,28),1),"[$-804]aaa")</f>
        <v>周一</v>
      </c>
      <c r="AF5" s="36" t="str">
        <f>TEXT(WEEKDAY(DATE(CalendarYear,11,29),1),"[$-804]aaa")</f>
        <v>周二</v>
      </c>
      <c r="AG5" s="36" t="str">
        <f>TEXT(WEEKDAY(DATE(CalendarYear,11,30),1),"[$-804]aaa")</f>
        <v>周三</v>
      </c>
      <c r="AH5" s="36"/>
      <c r="AI5" s="118" t="s">
        <v>96</v>
      </c>
      <c r="AJ5" s="119"/>
      <c r="AK5" s="119"/>
      <c r="AL5" s="119"/>
      <c r="AM5" s="120"/>
    </row>
    <row r="6" spans="1:40" s="37" customFormat="1"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46</v>
      </c>
      <c r="AI6" s="41" t="s">
        <v>32</v>
      </c>
      <c r="AJ6" s="42" t="s">
        <v>34</v>
      </c>
      <c r="AK6" s="43" t="s">
        <v>33</v>
      </c>
      <c r="AL6" s="44" t="s">
        <v>31</v>
      </c>
      <c r="AM6" s="45" t="s">
        <v>97</v>
      </c>
      <c r="AN6" s="46"/>
    </row>
    <row r="7" spans="1:40" s="37" customFormat="1" ht="16.5" customHeight="1">
      <c r="B7" s="47"/>
      <c r="C7" s="68" t="str">
        <f>IFERROR(VLOOKUP(NovemberAttendance[[#This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8"/>
      <c r="AH7" s="48"/>
      <c r="AI7" s="49">
        <f>COUNTIF(NovemberAttendance[[#This Row],[1]:[ ]],Code1)</f>
        <v>0</v>
      </c>
      <c r="AJ7" s="50">
        <f>COUNTIF(NovemberAttendance[[#This Row],[1]:[ ]],Code2)</f>
        <v>0</v>
      </c>
      <c r="AK7" s="50">
        <f>COUNTIF(NovemberAttendance[[#This Row],[1]:[ ]],Code3)</f>
        <v>0</v>
      </c>
      <c r="AL7" s="50">
        <f>COUNTIF(NovemberAttendance[[#This Row],[1]:[ ]],Code4)</f>
        <v>0</v>
      </c>
      <c r="AM7" s="49">
        <f>SUM(NovemberAttendance[[#This Row],[E]:[U]])</f>
        <v>0</v>
      </c>
      <c r="AN7" s="46"/>
    </row>
    <row r="8" spans="1:40" s="37" customFormat="1" ht="16.5" customHeight="1">
      <c r="B8" s="47"/>
      <c r="C8" s="71" t="str">
        <f>IFERROR(VLOOKUP(NovemberAttendance[[#This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8"/>
      <c r="AH8" s="48"/>
      <c r="AI8" s="49">
        <f>COUNTIF(NovemberAttendance[[#This Row],[1]:[ ]],Code1)</f>
        <v>0</v>
      </c>
      <c r="AJ8" s="50">
        <f>COUNTIF(NovemberAttendance[[#This Row],[1]:[ ]],Code2)</f>
        <v>0</v>
      </c>
      <c r="AK8" s="50">
        <f>COUNTIF(NovemberAttendance[[#This Row],[1]:[ ]],Code3)</f>
        <v>0</v>
      </c>
      <c r="AL8" s="50">
        <f>COUNTIF(NovemberAttendance[[#This Row],[1]:[ ]],Code4)</f>
        <v>0</v>
      </c>
      <c r="AM8" s="49">
        <f>SUM(NovemberAttendance[[#This Row],[E]:[U]])</f>
        <v>0</v>
      </c>
      <c r="AN8" s="46"/>
    </row>
    <row r="9" spans="1:40" s="51" customFormat="1" ht="16.5" customHeight="1">
      <c r="B9" s="47"/>
      <c r="C9" s="71" t="str">
        <f>IFERROR(VLOOKUP(NovemberAttendance[[#This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8"/>
      <c r="AH9" s="48"/>
      <c r="AI9" s="49">
        <f>COUNTIF(NovemberAttendance[[#This Row],[1]:[ ]],Code1)</f>
        <v>0</v>
      </c>
      <c r="AJ9" s="50">
        <f>COUNTIF(NovemberAttendance[[#This Row],[1]:[ ]],Code2)</f>
        <v>0</v>
      </c>
      <c r="AK9" s="50">
        <f>COUNTIF(NovemberAttendance[[#This Row],[1]:[ ]],Code3)</f>
        <v>0</v>
      </c>
      <c r="AL9" s="50">
        <f>COUNTIF(NovemberAttendance[[#This Row],[1]:[ ]],Code4)</f>
        <v>0</v>
      </c>
      <c r="AM9" s="49">
        <f>SUM(NovemberAttendance[[#This Row],[E]:[U]])</f>
        <v>0</v>
      </c>
      <c r="AN9" s="52"/>
    </row>
    <row r="10" spans="1:40" ht="16.5" customHeight="1">
      <c r="B10" s="47"/>
      <c r="C10" s="71" t="str">
        <f>IFERROR(VLOOKUP(NovemberAttendance[[#This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8"/>
      <c r="AH10" s="48"/>
      <c r="AI10" s="49">
        <f>COUNTIF(NovemberAttendance[[#This Row],[1]:[ ]],Code1)</f>
        <v>0</v>
      </c>
      <c r="AJ10" s="50">
        <f>COUNTIF(NovemberAttendance[[#This Row],[1]:[ ]],Code2)</f>
        <v>0</v>
      </c>
      <c r="AK10" s="50">
        <f>COUNTIF(NovemberAttendance[[#This Row],[1]:[ ]],Code3)</f>
        <v>0</v>
      </c>
      <c r="AL10" s="50">
        <f>COUNTIF(NovemberAttendance[[#This Row],[1]:[ ]],Code4)</f>
        <v>0</v>
      </c>
      <c r="AM10" s="49">
        <f>SUM(NovemberAttendance[[#This Row],[E]:[U]])</f>
        <v>0</v>
      </c>
      <c r="AN10" s="54"/>
    </row>
    <row r="11" spans="1:40" ht="16.5" customHeight="1">
      <c r="B11" s="47"/>
      <c r="C11" s="71" t="str">
        <f>IFERROR(VLOOKUP(NovemberAttendance[[#This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8"/>
      <c r="AH11" s="48"/>
      <c r="AI11" s="49">
        <f>COUNTIF(NovemberAttendance[[#This Row],[1]:[ ]],Code1)</f>
        <v>0</v>
      </c>
      <c r="AJ11" s="50">
        <f>COUNTIF(NovemberAttendance[[#This Row],[1]:[ ]],Code2)</f>
        <v>0</v>
      </c>
      <c r="AK11" s="50">
        <f>COUNTIF(NovemberAttendance[[#This Row],[1]:[ ]],Code3)</f>
        <v>0</v>
      </c>
      <c r="AL11" s="50">
        <f>COUNTIF(NovemberAttendance[[#This Row],[1]:[ ]],Code4)</f>
        <v>0</v>
      </c>
      <c r="AM11" s="49">
        <f>SUM(NovemberAttendance[[#This Row],[E]:[U]])</f>
        <v>0</v>
      </c>
      <c r="AN11" s="54"/>
    </row>
    <row r="12" spans="1:40" ht="16.5" customHeight="1">
      <c r="B12" s="40"/>
      <c r="C12" s="45" t="s">
        <v>98</v>
      </c>
      <c r="D12" s="49">
        <f>COUNTIF(NovemberAttendance[1],"U")+COUNTIF(NovemberAttendance[1],"E")</f>
        <v>0</v>
      </c>
      <c r="E12" s="49">
        <f>COUNTIF(NovemberAttendance[2],"U")+COUNTIF(NovemberAttendance[2],"E")</f>
        <v>0</v>
      </c>
      <c r="F12" s="49">
        <f>COUNTIF(NovemberAttendance[3],"U")+COUNTIF(NovemberAttendance[3],"E")</f>
        <v>0</v>
      </c>
      <c r="G12" s="49">
        <f>COUNTIF(NovemberAttendance[4],"U")+COUNTIF(NovemberAttendance[4],"E")</f>
        <v>0</v>
      </c>
      <c r="H12" s="49">
        <f>COUNTIF(NovemberAttendance[5],"U")+COUNTIF(NovemberAttendance[5],"E")</f>
        <v>0</v>
      </c>
      <c r="I12" s="49">
        <f>COUNTIF(NovemberAttendance[6],"U")+COUNTIF(NovemberAttendance[6],"E")</f>
        <v>0</v>
      </c>
      <c r="J12" s="49">
        <f>COUNTIF(NovemberAttendance[7],"U")+COUNTIF(NovemberAttendance[7],"E")</f>
        <v>0</v>
      </c>
      <c r="K12" s="49">
        <f>COUNTIF(NovemberAttendance[8],"U")+COUNTIF(NovemberAttendance[8],"E")</f>
        <v>0</v>
      </c>
      <c r="L12" s="49">
        <f>COUNTIF(NovemberAttendance[9],"U")+COUNTIF(NovemberAttendance[9],"E")</f>
        <v>0</v>
      </c>
      <c r="M12" s="49">
        <f>COUNTIF(NovemberAttendance[10],"U")+COUNTIF(NovemberAttendance[10],"E")</f>
        <v>0</v>
      </c>
      <c r="N12" s="49">
        <f>COUNTIF(NovemberAttendance[11],"U")+COUNTIF(NovemberAttendance[11],"E")</f>
        <v>0</v>
      </c>
      <c r="O12" s="49">
        <f>COUNTIF(NovemberAttendance[12],"U")+COUNTIF(NovemberAttendance[12],"E")</f>
        <v>0</v>
      </c>
      <c r="P12" s="49">
        <f>COUNTIF(NovemberAttendance[13],"U")+COUNTIF(NovemberAttendance[13],"E")</f>
        <v>0</v>
      </c>
      <c r="Q12" s="49">
        <f>COUNTIF(NovemberAttendance[14],"U")+COUNTIF(NovemberAttendance[14],"E")</f>
        <v>0</v>
      </c>
      <c r="R12" s="49">
        <f>COUNTIF(NovemberAttendance[15],"U")+COUNTIF(NovemberAttendance[15],"E")</f>
        <v>0</v>
      </c>
      <c r="S12" s="49">
        <f>COUNTIF(NovemberAttendance[16],"U")+COUNTIF(NovemberAttendance[16],"E")</f>
        <v>0</v>
      </c>
      <c r="T12" s="49">
        <f>COUNTIF(NovemberAttendance[17],"U")+COUNTIF(NovemberAttendance[17],"E")</f>
        <v>0</v>
      </c>
      <c r="U12" s="49">
        <f>COUNTIF(NovemberAttendance[18],"U")+COUNTIF(NovemberAttendance[18],"E")</f>
        <v>0</v>
      </c>
      <c r="V12" s="49">
        <f>COUNTIF(NovemberAttendance[19],"U")+COUNTIF(NovemberAttendance[19],"E")</f>
        <v>0</v>
      </c>
      <c r="W12" s="49">
        <f>COUNTIF(NovemberAttendance[20],"U")+COUNTIF(NovemberAttendance[20],"E")</f>
        <v>0</v>
      </c>
      <c r="X12" s="49">
        <f>COUNTIF(NovemberAttendance[21],"U")+COUNTIF(NovemberAttendance[21],"E")</f>
        <v>0</v>
      </c>
      <c r="Y12" s="49">
        <f>COUNTIF(NovemberAttendance[22],"U")+COUNTIF(NovemberAttendance[22],"E")</f>
        <v>0</v>
      </c>
      <c r="Z12" s="49">
        <f>COUNTIF(NovemberAttendance[23],"U")+COUNTIF(NovemberAttendance[23],"E")</f>
        <v>0</v>
      </c>
      <c r="AA12" s="49">
        <f>COUNTIF(NovemberAttendance[24],"U")+COUNTIF(NovemberAttendance[24],"E")</f>
        <v>0</v>
      </c>
      <c r="AB12" s="49">
        <f>COUNTIF(NovemberAttendance[25],"U")+COUNTIF(NovemberAttendance[25],"E")</f>
        <v>0</v>
      </c>
      <c r="AC12" s="49">
        <f>COUNTIF(NovemberAttendance[26],"U")+COUNTIF(NovemberAttendance[26],"E")</f>
        <v>0</v>
      </c>
      <c r="AD12" s="49">
        <f>COUNTIF(NovemberAttendance[27],"U")+COUNTIF(NovemberAttendance[27],"E")</f>
        <v>0</v>
      </c>
      <c r="AE12" s="49">
        <f>COUNTIF(NovemberAttendance[28],"U")+COUNTIF(NovemberAttendance[28],"E")</f>
        <v>0</v>
      </c>
      <c r="AF12" s="49">
        <f>COUNTIF(NovemberAttendance[29],"U")+COUNTIF(NovemberAttendance[29],"E")</f>
        <v>0</v>
      </c>
      <c r="AG12" s="49">
        <f>COUNTIF(NovemberAttendance[30],"U")+COUNTIF(NovemberAttendance[30],"E")</f>
        <v>0</v>
      </c>
      <c r="AH12" s="49">
        <f>COUNTIF(NovemberAttendance[[ ]],"U")+COUNTIF(NovemberAttendance[[ ]],"E")</f>
        <v>0</v>
      </c>
      <c r="AI12" s="49">
        <f>SUBTOTAL(109,NovemberAttendance[T])</f>
        <v>0</v>
      </c>
      <c r="AJ12" s="49">
        <f>SUBTOTAL(109,NovemberAttendance[E])</f>
        <v>0</v>
      </c>
      <c r="AK12" s="49">
        <f>SUBTOTAL(109,NovemberAttendance[U])</f>
        <v>0</v>
      </c>
      <c r="AL12" s="49">
        <f>SUBTOTAL(109,NovemberAttendance[P])</f>
        <v>0</v>
      </c>
      <c r="AM12" s="49">
        <f>SUBTOTAL(109,NovemberAttendance[缺席天数])</f>
        <v>0</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6">
      <dataBar>
        <cfvo type="min"/>
        <cfvo type="num" val="31"/>
        <color theme="4"/>
      </dataBar>
      <extLst>
        <ext xmlns:x14="http://schemas.microsoft.com/office/spreadsheetml/2009/9/main" uri="{B025F937-C7B1-47D3-B67F-A62EFF666E3E}">
          <x14:id>{4EF7D5CF-EA6D-4C42-92A1-96F3633946CC}</x14:id>
        </ext>
      </extLst>
    </cfRule>
  </conditionalFormatting>
  <conditionalFormatting sqref="AG7:AI11">
    <cfRule type="expression" dxfId="773" priority="7" stopIfTrue="1">
      <formula>AG7=Code2</formula>
    </cfRule>
  </conditionalFormatting>
  <conditionalFormatting sqref="AG7:AH11">
    <cfRule type="expression" dxfId="772" priority="8" stopIfTrue="1">
      <formula>AG7=Code5</formula>
    </cfRule>
    <cfRule type="expression" dxfId="771" priority="9" stopIfTrue="1">
      <formula>AG7=Code4</formula>
    </cfRule>
    <cfRule type="expression" dxfId="770" priority="10" stopIfTrue="1">
      <formula>AG7=Code3</formula>
    </cfRule>
    <cfRule type="expression" dxfId="769" priority="11" stopIfTrue="1">
      <formula>AG7=Code1</formula>
    </cfRule>
  </conditionalFormatting>
  <conditionalFormatting sqref="D7:AF11">
    <cfRule type="expression" dxfId="768" priority="1" stopIfTrue="1">
      <formula>D7=Code2</formula>
    </cfRule>
  </conditionalFormatting>
  <conditionalFormatting sqref="D7:AF11">
    <cfRule type="expression" dxfId="767" priority="2" stopIfTrue="1">
      <formula>D7=Code5</formula>
    </cfRule>
    <cfRule type="expression" dxfId="766" priority="3" stopIfTrue="1">
      <formula>D7=Code4</formula>
    </cfRule>
    <cfRule type="expression" dxfId="765" priority="4" stopIfTrue="1">
      <formula>D7=Code3</formula>
    </cfRule>
    <cfRule type="expression" dxfId="764" priority="5"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EF7D5CF-EA6D-4C42-92A1-96F3633946CC}">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40" s="20" customFormat="1" ht="42" customHeight="1">
      <c r="A1" s="67" t="s">
        <v>89</v>
      </c>
      <c r="B1" s="111"/>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40" s="4" customFormat="1" ht="16.5"/>
    <row r="3" spans="1:40"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40" s="4" customFormat="1" ht="16.5" customHeight="1"/>
    <row r="5" spans="1:40" s="34" customFormat="1" ht="18" customHeight="1">
      <c r="B5" s="112">
        <f>DATE(CalendarYear,12,1)</f>
        <v>40878</v>
      </c>
      <c r="C5" s="35"/>
      <c r="D5" s="36" t="str">
        <f>TEXT(WEEKDAY(DATE(CalendarYear,12,1),1),"[$-804]aaa")</f>
        <v>周四</v>
      </c>
      <c r="E5" s="36" t="str">
        <f>TEXT(WEEKDAY(DATE(CalendarYear,12,2),1),"[$-804]aaa")</f>
        <v>周五</v>
      </c>
      <c r="F5" s="36" t="str">
        <f>TEXT(WEEKDAY(DATE(CalendarYear,12,3),1),"[$-804]aaa")</f>
        <v>周六</v>
      </c>
      <c r="G5" s="36" t="str">
        <f>TEXT(WEEKDAY(DATE(CalendarYear,12,4),1),"[$-804]aaa")</f>
        <v>周日</v>
      </c>
      <c r="H5" s="36" t="str">
        <f>TEXT(WEEKDAY(DATE(CalendarYear,12,5),1),"[$-804]aaa")</f>
        <v>周一</v>
      </c>
      <c r="I5" s="36" t="str">
        <f>TEXT(WEEKDAY(DATE(CalendarYear,12,6),1),"[$-804]aaa")</f>
        <v>周二</v>
      </c>
      <c r="J5" s="36" t="str">
        <f>TEXT(WEEKDAY(DATE(CalendarYear,12,7),1),"[$-804]aaa")</f>
        <v>周三</v>
      </c>
      <c r="K5" s="36" t="str">
        <f>TEXT(WEEKDAY(DATE(CalendarYear,12,8),1),"[$-804]aaa")</f>
        <v>周四</v>
      </c>
      <c r="L5" s="36" t="str">
        <f>TEXT(WEEKDAY(DATE(CalendarYear,12,9),1),"[$-804]aaa")</f>
        <v>周五</v>
      </c>
      <c r="M5" s="36" t="str">
        <f>TEXT(WEEKDAY(DATE(CalendarYear,12,10),1),"[$-804]aaa")</f>
        <v>周六</v>
      </c>
      <c r="N5" s="36" t="str">
        <f>TEXT(WEEKDAY(DATE(CalendarYear,12,11),1),"[$-804]aaa")</f>
        <v>周日</v>
      </c>
      <c r="O5" s="36" t="str">
        <f>TEXT(WEEKDAY(DATE(CalendarYear,12,12),1),"[$-804]aaa")</f>
        <v>周一</v>
      </c>
      <c r="P5" s="36" t="str">
        <f>TEXT(WEEKDAY(DATE(CalendarYear,12,13),1),"[$-804]aaa")</f>
        <v>周二</v>
      </c>
      <c r="Q5" s="36" t="str">
        <f>TEXT(WEEKDAY(DATE(CalendarYear,12,14),1),"[$-804]aaa")</f>
        <v>周三</v>
      </c>
      <c r="R5" s="36" t="str">
        <f>TEXT(WEEKDAY(DATE(CalendarYear,12,15),1),"[$-804]aaa")</f>
        <v>周四</v>
      </c>
      <c r="S5" s="36" t="str">
        <f>TEXT(WEEKDAY(DATE(CalendarYear,12,16),1),"[$-804]aaa")</f>
        <v>周五</v>
      </c>
      <c r="T5" s="36" t="str">
        <f>TEXT(WEEKDAY(DATE(CalendarYear,12,17),1),"[$-804]aaa")</f>
        <v>周六</v>
      </c>
      <c r="U5" s="36" t="str">
        <f>TEXT(WEEKDAY(DATE(CalendarYear,12,18),1),"[$-804]aaa")</f>
        <v>周日</v>
      </c>
      <c r="V5" s="36" t="str">
        <f>TEXT(WEEKDAY(DATE(CalendarYear,12,19),1),"[$-804]aaa")</f>
        <v>周一</v>
      </c>
      <c r="W5" s="36" t="str">
        <f>TEXT(WEEKDAY(DATE(CalendarYear,12,20),1),"[$-804]aaa")</f>
        <v>周二</v>
      </c>
      <c r="X5" s="36" t="str">
        <f>TEXT(WEEKDAY(DATE(CalendarYear,12,21),1),"[$-804]aaa")</f>
        <v>周三</v>
      </c>
      <c r="Y5" s="36" t="str">
        <f>TEXT(WEEKDAY(DATE(CalendarYear,12,22),1),"[$-804]aaa")</f>
        <v>周四</v>
      </c>
      <c r="Z5" s="36" t="str">
        <f>TEXT(WEEKDAY(DATE(CalendarYear,12,23),1),"[$-804]aaa")</f>
        <v>周五</v>
      </c>
      <c r="AA5" s="36" t="str">
        <f>TEXT(WEEKDAY(DATE(CalendarYear,12,24),1),"[$-804]aaa")</f>
        <v>周六</v>
      </c>
      <c r="AB5" s="36" t="str">
        <f>TEXT(WEEKDAY(DATE(CalendarYear,12,25),1),"[$-804]aaa")</f>
        <v>周日</v>
      </c>
      <c r="AC5" s="36" t="str">
        <f>TEXT(WEEKDAY(DATE(CalendarYear,12,26),1),"[$-804]aaa")</f>
        <v>周一</v>
      </c>
      <c r="AD5" s="36" t="str">
        <f>TEXT(WEEKDAY(DATE(CalendarYear,12,27),1),"[$-804]aaa")</f>
        <v>周二</v>
      </c>
      <c r="AE5" s="36" t="str">
        <f>TEXT(WEEKDAY(DATE(CalendarYear,12,28),1),"[$-804]aaa")</f>
        <v>周三</v>
      </c>
      <c r="AF5" s="36" t="str">
        <f>TEXT(WEEKDAY(DATE(CalendarYear,12,29),1),"[$-804]aaa")</f>
        <v>周四</v>
      </c>
      <c r="AG5" s="36" t="str">
        <f>TEXT(WEEKDAY(DATE(CalendarYear,12,30),1),"[$-804]aaa")</f>
        <v>周五</v>
      </c>
      <c r="AH5" s="36" t="str">
        <f>TEXT(WEEKDAY(DATE(CalendarYear,12,31),1),"[$-804]aaa")</f>
        <v>周六</v>
      </c>
      <c r="AI5" s="118" t="s">
        <v>96</v>
      </c>
      <c r="AJ5" s="119"/>
      <c r="AK5" s="119"/>
      <c r="AL5" s="119"/>
      <c r="AM5" s="120"/>
    </row>
    <row r="6" spans="1:40" s="37" customFormat="1"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30</v>
      </c>
      <c r="AI6" s="41" t="s">
        <v>32</v>
      </c>
      <c r="AJ6" s="42" t="s">
        <v>34</v>
      </c>
      <c r="AK6" s="43" t="s">
        <v>33</v>
      </c>
      <c r="AL6" s="44" t="s">
        <v>31</v>
      </c>
      <c r="AM6" s="45" t="s">
        <v>97</v>
      </c>
      <c r="AN6" s="46"/>
    </row>
    <row r="7" spans="1:40" s="37" customFormat="1" ht="16.5" customHeight="1">
      <c r="B7" s="47"/>
      <c r="C7" s="68" t="str">
        <f>IFERROR(VLOOKUP(DecemberAttendance[[#This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8"/>
      <c r="AH7" s="48"/>
      <c r="AI7" s="49">
        <f>COUNTIF(DecemberAttendance[[#This Row],[1]:[31]],Code1)</f>
        <v>0</v>
      </c>
      <c r="AJ7" s="50">
        <f>COUNTIF(DecemberAttendance[[#This Row],[1]:[31]],Code2)</f>
        <v>0</v>
      </c>
      <c r="AK7" s="50">
        <f>COUNTIF(DecemberAttendance[[#This Row],[1]:[31]],Code3)</f>
        <v>0</v>
      </c>
      <c r="AL7" s="50">
        <f>COUNTIF(DecemberAttendance[[#This Row],[1]:[31]],Code4)</f>
        <v>0</v>
      </c>
      <c r="AM7" s="49">
        <f>SUM(DecemberAttendance[[#This Row],[E]:[U]])</f>
        <v>0</v>
      </c>
      <c r="AN7" s="46"/>
    </row>
    <row r="8" spans="1:40" s="37" customFormat="1" ht="16.5" customHeight="1">
      <c r="B8" s="47"/>
      <c r="C8" s="71" t="str">
        <f>IFERROR(VLOOKUP(DecemberAttendance[[#This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8"/>
      <c r="AH8" s="48"/>
      <c r="AI8" s="49">
        <f>COUNTIF(DecemberAttendance[[#This Row],[1]:[31]],Code1)</f>
        <v>0</v>
      </c>
      <c r="AJ8" s="50">
        <f>COUNTIF(DecemberAttendance[[#This Row],[1]:[31]],Code2)</f>
        <v>0</v>
      </c>
      <c r="AK8" s="50">
        <f>COUNTIF(DecemberAttendance[[#This Row],[1]:[31]],Code3)</f>
        <v>0</v>
      </c>
      <c r="AL8" s="50">
        <f>COUNTIF(DecemberAttendance[[#This Row],[1]:[31]],Code4)</f>
        <v>0</v>
      </c>
      <c r="AM8" s="49">
        <f>SUM(DecemberAttendance[[#This Row],[E]:[U]])</f>
        <v>0</v>
      </c>
      <c r="AN8" s="46"/>
    </row>
    <row r="9" spans="1:40" s="51" customFormat="1" ht="16.5" customHeight="1">
      <c r="B9" s="47"/>
      <c r="C9" s="71" t="str">
        <f>IFERROR(VLOOKUP(DecemberAttendance[[#This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8"/>
      <c r="AH9" s="48"/>
      <c r="AI9" s="49">
        <f>COUNTIF(DecemberAttendance[[#This Row],[1]:[31]],Code1)</f>
        <v>0</v>
      </c>
      <c r="AJ9" s="50">
        <f>COUNTIF(DecemberAttendance[[#This Row],[1]:[31]],Code2)</f>
        <v>0</v>
      </c>
      <c r="AK9" s="50">
        <f>COUNTIF(DecemberAttendance[[#This Row],[1]:[31]],Code3)</f>
        <v>0</v>
      </c>
      <c r="AL9" s="50">
        <f>COUNTIF(DecemberAttendance[[#This Row],[1]:[31]],Code4)</f>
        <v>0</v>
      </c>
      <c r="AM9" s="49">
        <f>SUM(DecemberAttendance[[#This Row],[E]:[U]])</f>
        <v>0</v>
      </c>
      <c r="AN9" s="52"/>
    </row>
    <row r="10" spans="1:40" ht="16.5" customHeight="1">
      <c r="B10" s="47"/>
      <c r="C10" s="71" t="str">
        <f>IFERROR(VLOOKUP(DecemberAttendance[[#This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8"/>
      <c r="AH10" s="48"/>
      <c r="AI10" s="49">
        <f>COUNTIF(DecemberAttendance[[#This Row],[1]:[31]],Code1)</f>
        <v>0</v>
      </c>
      <c r="AJ10" s="50">
        <f>COUNTIF(DecemberAttendance[[#This Row],[1]:[31]],Code2)</f>
        <v>0</v>
      </c>
      <c r="AK10" s="50">
        <f>COUNTIF(DecemberAttendance[[#This Row],[1]:[31]],Code3)</f>
        <v>0</v>
      </c>
      <c r="AL10" s="50">
        <f>COUNTIF(DecemberAttendance[[#This Row],[1]:[31]],Code4)</f>
        <v>0</v>
      </c>
      <c r="AM10" s="49">
        <f>SUM(DecemberAttendance[[#This Row],[E]:[U]])</f>
        <v>0</v>
      </c>
      <c r="AN10" s="54"/>
    </row>
    <row r="11" spans="1:40" ht="16.5" customHeight="1">
      <c r="B11" s="47"/>
      <c r="C11" s="71" t="str">
        <f>IFERROR(VLOOKUP(DecemberAttendance[[#This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8"/>
      <c r="AH11" s="48"/>
      <c r="AI11" s="49">
        <f>COUNTIF(DecemberAttendance[[#This Row],[1]:[31]],Code1)</f>
        <v>0</v>
      </c>
      <c r="AJ11" s="50">
        <f>COUNTIF(DecemberAttendance[[#This Row],[1]:[31]],Code2)</f>
        <v>0</v>
      </c>
      <c r="AK11" s="50">
        <f>COUNTIF(DecemberAttendance[[#This Row],[1]:[31]],Code3)</f>
        <v>0</v>
      </c>
      <c r="AL11" s="50">
        <f>COUNTIF(DecemberAttendance[[#This Row],[1]:[31]],Code4)</f>
        <v>0</v>
      </c>
      <c r="AM11" s="49">
        <f>SUM(DecemberAttendance[[#This Row],[E]:[U]])</f>
        <v>0</v>
      </c>
      <c r="AN11" s="54"/>
    </row>
    <row r="12" spans="1:40" ht="16.5" customHeight="1">
      <c r="B12" s="40"/>
      <c r="C12" s="45" t="s">
        <v>98</v>
      </c>
      <c r="D12" s="49">
        <f>COUNTIF(DecemberAttendance[1],"U")+COUNTIF(DecemberAttendance[1],"E")</f>
        <v>0</v>
      </c>
      <c r="E12" s="49">
        <f>COUNTIF(DecemberAttendance[2],"U")+COUNTIF(DecemberAttendance[2],"E")</f>
        <v>0</v>
      </c>
      <c r="F12" s="49">
        <f>COUNTIF(DecemberAttendance[3],"U")+COUNTIF(DecemberAttendance[3],"E")</f>
        <v>0</v>
      </c>
      <c r="G12" s="49">
        <f>COUNTIF(DecemberAttendance[4],"U")+COUNTIF(DecemberAttendance[4],"E")</f>
        <v>0</v>
      </c>
      <c r="H12" s="49">
        <f>COUNTIF(DecemberAttendance[5],"U")+COUNTIF(DecemberAttendance[5],"E")</f>
        <v>0</v>
      </c>
      <c r="I12" s="49">
        <f>COUNTIF(DecemberAttendance[6],"U")+COUNTIF(DecemberAttendance[6],"E")</f>
        <v>0</v>
      </c>
      <c r="J12" s="49">
        <f>COUNTIF(DecemberAttendance[7],"U")+COUNTIF(DecemberAttendance[7],"E")</f>
        <v>0</v>
      </c>
      <c r="K12" s="49">
        <f>COUNTIF(DecemberAttendance[8],"U")+COUNTIF(DecemberAttendance[8],"E")</f>
        <v>0</v>
      </c>
      <c r="L12" s="49">
        <f>COUNTIF(DecemberAttendance[9],"U")+COUNTIF(DecemberAttendance[9],"E")</f>
        <v>0</v>
      </c>
      <c r="M12" s="49">
        <f>COUNTIF(DecemberAttendance[10],"U")+COUNTIF(DecemberAttendance[10],"E")</f>
        <v>0</v>
      </c>
      <c r="N12" s="49">
        <f>COUNTIF(DecemberAttendance[11],"U")+COUNTIF(DecemberAttendance[11],"E")</f>
        <v>0</v>
      </c>
      <c r="O12" s="49">
        <f>COUNTIF(DecemberAttendance[12],"U")+COUNTIF(DecemberAttendance[12],"E")</f>
        <v>0</v>
      </c>
      <c r="P12" s="49">
        <f>COUNTIF(DecemberAttendance[13],"U")+COUNTIF(DecemberAttendance[13],"E")</f>
        <v>0</v>
      </c>
      <c r="Q12" s="49">
        <f>COUNTIF(DecemberAttendance[14],"U")+COUNTIF(DecemberAttendance[14],"E")</f>
        <v>0</v>
      </c>
      <c r="R12" s="49">
        <f>COUNTIF(DecemberAttendance[15],"U")+COUNTIF(DecemberAttendance[15],"E")</f>
        <v>0</v>
      </c>
      <c r="S12" s="49">
        <f>COUNTIF(DecemberAttendance[16],"U")+COUNTIF(DecemberAttendance[16],"E")</f>
        <v>0</v>
      </c>
      <c r="T12" s="49">
        <f>COUNTIF(DecemberAttendance[17],"U")+COUNTIF(DecemberAttendance[17],"E")</f>
        <v>0</v>
      </c>
      <c r="U12" s="49">
        <f>COUNTIF(DecemberAttendance[18],"U")+COUNTIF(DecemberAttendance[18],"E")</f>
        <v>0</v>
      </c>
      <c r="V12" s="49">
        <f>COUNTIF(DecemberAttendance[19],"U")+COUNTIF(DecemberAttendance[19],"E")</f>
        <v>0</v>
      </c>
      <c r="W12" s="49">
        <f>COUNTIF(DecemberAttendance[20],"U")+COUNTIF(DecemberAttendance[20],"E")</f>
        <v>0</v>
      </c>
      <c r="X12" s="49">
        <f>COUNTIF(DecemberAttendance[21],"U")+COUNTIF(DecemberAttendance[21],"E")</f>
        <v>0</v>
      </c>
      <c r="Y12" s="49">
        <f>COUNTIF(DecemberAttendance[22],"U")+COUNTIF(DecemberAttendance[22],"E")</f>
        <v>0</v>
      </c>
      <c r="Z12" s="49">
        <f>COUNTIF(DecemberAttendance[23],"U")+COUNTIF(DecemberAttendance[23],"E")</f>
        <v>0</v>
      </c>
      <c r="AA12" s="49">
        <f>COUNTIF(DecemberAttendance[24],"U")+COUNTIF(DecemberAttendance[24],"E")</f>
        <v>0</v>
      </c>
      <c r="AB12" s="49">
        <f>COUNTIF(DecemberAttendance[25],"U")+COUNTIF(DecemberAttendance[25],"E")</f>
        <v>0</v>
      </c>
      <c r="AC12" s="49">
        <f>COUNTIF(DecemberAttendance[26],"U")+COUNTIF(DecemberAttendance[26],"E")</f>
        <v>0</v>
      </c>
      <c r="AD12" s="49">
        <f>COUNTIF(DecemberAttendance[27],"U")+COUNTIF(DecemberAttendance[27],"E")</f>
        <v>0</v>
      </c>
      <c r="AE12" s="49">
        <f>COUNTIF(DecemberAttendance[28],"U")+COUNTIF(DecemberAttendance[28],"E")</f>
        <v>0</v>
      </c>
      <c r="AF12" s="49">
        <f>COUNTIF(DecemberAttendance[29],"U")+COUNTIF(DecemberAttendance[29],"E")</f>
        <v>0</v>
      </c>
      <c r="AG12" s="49">
        <f>COUNTIF(DecemberAttendance[30],"U")+COUNTIF(DecemberAttendance[30],"E")</f>
        <v>0</v>
      </c>
      <c r="AH12" s="49">
        <f>COUNTIF(DecemberAttendance[31],"U")+COUNTIF(DecemberAttendance[31],"E")</f>
        <v>0</v>
      </c>
      <c r="AI12" s="49">
        <f>SUBTOTAL(109,DecemberAttendance[T])</f>
        <v>0</v>
      </c>
      <c r="AJ12" s="49">
        <f>SUBTOTAL(109,DecemberAttendance[E])</f>
        <v>0</v>
      </c>
      <c r="AK12" s="49">
        <f>SUBTOTAL(109,DecemberAttendance[U])</f>
        <v>0</v>
      </c>
      <c r="AL12" s="49">
        <f>SUBTOTAL(109,DecemberAttendance[P])</f>
        <v>0</v>
      </c>
      <c r="AM12" s="49">
        <f>SUBTOTAL(109,DecemberAttendance[缺席天数])</f>
        <v>0</v>
      </c>
    </row>
    <row r="13" spans="1:40" ht="16.5" customHeight="1"/>
    <row r="14" spans="1:40" ht="16.5" customHeight="1"/>
    <row r="15" spans="1:40" ht="16.5" customHeight="1"/>
    <row r="16" spans="1:40"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6">
      <dataBar>
        <cfvo type="min"/>
        <cfvo type="num" val="31"/>
        <color theme="4"/>
      </dataBar>
      <extLst>
        <ext xmlns:x14="http://schemas.microsoft.com/office/spreadsheetml/2009/9/main" uri="{B025F937-C7B1-47D3-B67F-A62EFF666E3E}">
          <x14:id>{F1B3F415-3C3C-4616-B9AA-9BBD8C09A1CE}</x14:id>
        </ext>
      </extLst>
    </cfRule>
  </conditionalFormatting>
  <conditionalFormatting sqref="AG7:AI11">
    <cfRule type="expression" dxfId="684" priority="7" stopIfTrue="1">
      <formula>AG7=Code2</formula>
    </cfRule>
  </conditionalFormatting>
  <conditionalFormatting sqref="AG7:AH11">
    <cfRule type="expression" dxfId="683" priority="8" stopIfTrue="1">
      <formula>AG7=Code5</formula>
    </cfRule>
    <cfRule type="expression" dxfId="682" priority="9" stopIfTrue="1">
      <formula>AG7=Code4</formula>
    </cfRule>
    <cfRule type="expression" dxfId="681" priority="10" stopIfTrue="1">
      <formula>AG7=Code3</formula>
    </cfRule>
    <cfRule type="expression" dxfId="680" priority="11" stopIfTrue="1">
      <formula>AG7=Code1</formula>
    </cfRule>
  </conditionalFormatting>
  <conditionalFormatting sqref="D7:AF11">
    <cfRule type="expression" dxfId="679" priority="1" stopIfTrue="1">
      <formula>D7=Code2</formula>
    </cfRule>
  </conditionalFormatting>
  <conditionalFormatting sqref="D7:AF11">
    <cfRule type="expression" dxfId="678" priority="2" stopIfTrue="1">
      <formula>D7=Code5</formula>
    </cfRule>
    <cfRule type="expression" dxfId="677" priority="3" stopIfTrue="1">
      <formula>D7=Code4</formula>
    </cfRule>
    <cfRule type="expression" dxfId="676" priority="4" stopIfTrue="1">
      <formula>D7=Code3</formula>
    </cfRule>
    <cfRule type="expression" dxfId="675" priority="5"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B3F415-3C3C-4616-B9AA-9BBD8C09A1CE}">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39"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39" s="4" customFormat="1" ht="16.5"/>
    <row r="3" spans="1:39"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39" s="4" customFormat="1" ht="16.5" customHeight="1"/>
    <row r="5" spans="1:39" s="34" customFormat="1" ht="18" customHeight="1">
      <c r="B5" s="112">
        <f>DATE(CalendarYear+1,1,1)</f>
        <v>40909</v>
      </c>
      <c r="C5" s="35"/>
      <c r="D5" s="36" t="str">
        <f>TEXT(WEEKDAY(DATE(CalendarYear+1,1,1),1),"[$-804]aaa")</f>
        <v>周日</v>
      </c>
      <c r="E5" s="36" t="str">
        <f>TEXT(WEEKDAY(DATE(CalendarYear+1,1,2),1),"[$-804]aaa")</f>
        <v>周一</v>
      </c>
      <c r="F5" s="36" t="str">
        <f>TEXT(WEEKDAY(DATE(CalendarYear+1,1,3),1),"[$-804]aaa")</f>
        <v>周二</v>
      </c>
      <c r="G5" s="36" t="str">
        <f>TEXT(WEEKDAY(DATE(CalendarYear+1,1,4),1),"[$-804]aaa")</f>
        <v>周三</v>
      </c>
      <c r="H5" s="36" t="str">
        <f>TEXT(WEEKDAY(DATE(CalendarYear+1,1,5),1),"[$-804]aaa")</f>
        <v>周四</v>
      </c>
      <c r="I5" s="36" t="str">
        <f>TEXT(WEEKDAY(DATE(CalendarYear+1,1,6),1),"[$-804]aaa")</f>
        <v>周五</v>
      </c>
      <c r="J5" s="36" t="str">
        <f>TEXT(WEEKDAY(DATE(CalendarYear+1,1,7),1),"[$-804]aaa")</f>
        <v>周六</v>
      </c>
      <c r="K5" s="36" t="str">
        <f>TEXT(WEEKDAY(DATE(CalendarYear+1,1,8),1),"[$-804]aaa")</f>
        <v>周日</v>
      </c>
      <c r="L5" s="36" t="str">
        <f>TEXT(WEEKDAY(DATE(CalendarYear+1,1,9),1),"[$-804]aaa")</f>
        <v>周一</v>
      </c>
      <c r="M5" s="36" t="str">
        <f>TEXT(WEEKDAY(DATE(CalendarYear+1,1,10),1),"[$-804]aaa")</f>
        <v>周二</v>
      </c>
      <c r="N5" s="36" t="str">
        <f>TEXT(WEEKDAY(DATE(CalendarYear+1,1,11),1),"[$-804]aaa")</f>
        <v>周三</v>
      </c>
      <c r="O5" s="36" t="str">
        <f>TEXT(WEEKDAY(DATE(CalendarYear+1,1,12),1),"[$-804]aaa")</f>
        <v>周四</v>
      </c>
      <c r="P5" s="36" t="str">
        <f>TEXT(WEEKDAY(DATE(CalendarYear+1,1,13),1),"[$-804]aaa")</f>
        <v>周五</v>
      </c>
      <c r="Q5" s="36" t="str">
        <f>TEXT(WEEKDAY(DATE(CalendarYear+1,1,14),1),"[$-804]aaa")</f>
        <v>周六</v>
      </c>
      <c r="R5" s="36" t="str">
        <f>TEXT(WEEKDAY(DATE(CalendarYear+1,1,15),1),"[$-804]aaa")</f>
        <v>周日</v>
      </c>
      <c r="S5" s="36" t="str">
        <f>TEXT(WEEKDAY(DATE(CalendarYear+1,1,16),1),"[$-804]aaa")</f>
        <v>周一</v>
      </c>
      <c r="T5" s="36" t="str">
        <f>TEXT(WEEKDAY(DATE(CalendarYear+1,1,17),1),"[$-804]aaa")</f>
        <v>周二</v>
      </c>
      <c r="U5" s="36" t="str">
        <f>TEXT(WEEKDAY(DATE(CalendarYear+1,1,18),1),"[$-804]aaa")</f>
        <v>周三</v>
      </c>
      <c r="V5" s="36" t="str">
        <f>TEXT(WEEKDAY(DATE(CalendarYear+1,1,19),1),"[$-804]aaa")</f>
        <v>周四</v>
      </c>
      <c r="W5" s="36" t="str">
        <f>TEXT(WEEKDAY(DATE(CalendarYear+1,1,20),1),"[$-804]aaa")</f>
        <v>周五</v>
      </c>
      <c r="X5" s="36" t="str">
        <f>TEXT(WEEKDAY(DATE(CalendarYear+1,1,21),1),"[$-804]aaa")</f>
        <v>周六</v>
      </c>
      <c r="Y5" s="36" t="str">
        <f>TEXT(WEEKDAY(DATE(CalendarYear+1,1,22),1),"[$-804]aaa")</f>
        <v>周日</v>
      </c>
      <c r="Z5" s="36" t="str">
        <f>TEXT(WEEKDAY(DATE(CalendarYear+1,1,23),1),"[$-804]aaa")</f>
        <v>周一</v>
      </c>
      <c r="AA5" s="36" t="str">
        <f>TEXT(WEEKDAY(DATE(CalendarYear+1,1,24),1),"[$-804]aaa")</f>
        <v>周二</v>
      </c>
      <c r="AB5" s="36" t="str">
        <f>TEXT(WEEKDAY(DATE(CalendarYear+1,1,25),1),"[$-804]aaa")</f>
        <v>周三</v>
      </c>
      <c r="AC5" s="36" t="str">
        <f>TEXT(WEEKDAY(DATE(CalendarYear+1,1,26),1),"[$-804]aaa")</f>
        <v>周四</v>
      </c>
      <c r="AD5" s="36" t="str">
        <f>TEXT(WEEKDAY(DATE(CalendarYear+1,1,27),1),"[$-804]aaa")</f>
        <v>周五</v>
      </c>
      <c r="AE5" s="36" t="str">
        <f>TEXT(WEEKDAY(DATE(CalendarYear+1,1,28),1),"[$-804]aaa")</f>
        <v>周六</v>
      </c>
      <c r="AF5" s="36" t="str">
        <f>TEXT(WEEKDAY(DATE(CalendarYear+1,1,29),1),"[$-804]aaa")</f>
        <v>周日</v>
      </c>
      <c r="AG5" s="36" t="str">
        <f>TEXT(WEEKDAY(DATE(CalendarYear+1,1,30),1),"[$-804]aaa")</f>
        <v>周一</v>
      </c>
      <c r="AH5" s="36" t="str">
        <f>TEXT(WEEKDAY(DATE(CalendarYear+1,1,31),1),"[$-804]aaa")</f>
        <v>周二</v>
      </c>
      <c r="AI5" s="121" t="s">
        <v>96</v>
      </c>
      <c r="AJ5" s="121"/>
      <c r="AK5" s="121"/>
      <c r="AL5" s="121"/>
      <c r="AM5" s="121"/>
    </row>
    <row r="6" spans="1:39"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30</v>
      </c>
      <c r="AI6" s="72" t="s">
        <v>32</v>
      </c>
      <c r="AJ6" s="73" t="s">
        <v>34</v>
      </c>
      <c r="AK6" s="74" t="s">
        <v>33</v>
      </c>
      <c r="AL6" s="75" t="s">
        <v>31</v>
      </c>
      <c r="AM6" s="4" t="s">
        <v>97</v>
      </c>
    </row>
    <row r="7" spans="1:39" ht="16.5" customHeight="1">
      <c r="B7" s="76"/>
      <c r="C7" s="77" t="str">
        <f>IFERROR(VLOOKUP(JanuaryAttendance[[#This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0"/>
      <c r="AH7" s="40"/>
      <c r="AI7" s="78">
        <f>COUNTIF(JanuaryAttendance[[#This Row],[1]:[31]],Code1)</f>
        <v>0</v>
      </c>
      <c r="AJ7" s="78">
        <f>COUNTIF(JanuaryAttendance[[#This Row],[1]:[31]],Code2)</f>
        <v>0</v>
      </c>
      <c r="AK7" s="78">
        <f>COUNTIF(JanuaryAttendance[[#This Row],[1]:[31]],Code3)</f>
        <v>0</v>
      </c>
      <c r="AL7" s="78">
        <f>COUNTIF(JanuaryAttendance[[#This Row],[1]:[31]],Code4)</f>
        <v>0</v>
      </c>
      <c r="AM7" s="49">
        <f>SUM(JanuaryAttendance[[#This Row],[E]:[U]])</f>
        <v>0</v>
      </c>
    </row>
    <row r="8" spans="1:39" ht="16.5" customHeight="1">
      <c r="B8" s="76"/>
      <c r="C8" s="79" t="str">
        <f>IFERROR(VLOOKUP(JanuaryAttendance[[#This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0"/>
      <c r="AH8" s="40"/>
      <c r="AI8" s="78">
        <f>COUNTIF(JanuaryAttendance[[#This Row],[1]:[31]],Code1)</f>
        <v>0</v>
      </c>
      <c r="AJ8" s="78">
        <f>COUNTIF(JanuaryAttendance[[#This Row],[1]:[31]],Code2)</f>
        <v>0</v>
      </c>
      <c r="AK8" s="78">
        <f>COUNTIF(JanuaryAttendance[[#This Row],[1]:[31]],Code3)</f>
        <v>0</v>
      </c>
      <c r="AL8" s="78">
        <f>COUNTIF(JanuaryAttendance[[#This Row],[1]:[31]],Code4)</f>
        <v>0</v>
      </c>
      <c r="AM8" s="49">
        <f>SUM(JanuaryAttendance[[#This Row],[E]:[U]])</f>
        <v>0</v>
      </c>
    </row>
    <row r="9" spans="1:39" ht="16.5" customHeight="1">
      <c r="B9" s="76"/>
      <c r="C9" s="79" t="str">
        <f>IFERROR(VLOOKUP(JanuaryAttendance[[#This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0"/>
      <c r="AH9" s="40"/>
      <c r="AI9" s="78">
        <f>COUNTIF(JanuaryAttendance[[#This Row],[1]:[31]],Code1)</f>
        <v>0</v>
      </c>
      <c r="AJ9" s="78">
        <f>COUNTIF(JanuaryAttendance[[#This Row],[1]:[31]],Code2)</f>
        <v>0</v>
      </c>
      <c r="AK9" s="78">
        <f>COUNTIF(JanuaryAttendance[[#This Row],[1]:[31]],Code3)</f>
        <v>0</v>
      </c>
      <c r="AL9" s="78">
        <f>COUNTIF(JanuaryAttendance[[#This Row],[1]:[31]],Code4)</f>
        <v>0</v>
      </c>
      <c r="AM9" s="49">
        <f>SUM(JanuaryAttendance[[#This Row],[E]:[U]])</f>
        <v>0</v>
      </c>
    </row>
    <row r="10" spans="1:39" ht="16.5" customHeight="1">
      <c r="B10" s="76"/>
      <c r="C10" s="79" t="str">
        <f>IFERROR(VLOOKUP(JanuaryAttendance[[#This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0"/>
      <c r="AH10" s="40"/>
      <c r="AI10" s="78">
        <f>COUNTIF(JanuaryAttendance[[#This Row],[1]:[31]],Code1)</f>
        <v>0</v>
      </c>
      <c r="AJ10" s="78">
        <f>COUNTIF(JanuaryAttendance[[#This Row],[1]:[31]],Code2)</f>
        <v>0</v>
      </c>
      <c r="AK10" s="78">
        <f>COUNTIF(JanuaryAttendance[[#This Row],[1]:[31]],Code3)</f>
        <v>0</v>
      </c>
      <c r="AL10" s="78">
        <f>COUNTIF(JanuaryAttendance[[#This Row],[1]:[31]],Code4)</f>
        <v>0</v>
      </c>
      <c r="AM10" s="49">
        <f>SUM(JanuaryAttendance[[#This Row],[E]:[U]])</f>
        <v>0</v>
      </c>
    </row>
    <row r="11" spans="1:39" ht="16.5" customHeight="1">
      <c r="B11" s="76"/>
      <c r="C11" s="79" t="str">
        <f>IFERROR(VLOOKUP(JanuaryAttendance[[#This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0"/>
      <c r="AH11" s="40"/>
      <c r="AI11" s="78">
        <f>COUNTIF(JanuaryAttendance[[#This Row],[1]:[31]],Code1)</f>
        <v>0</v>
      </c>
      <c r="AJ11" s="78">
        <f>COUNTIF(JanuaryAttendance[[#This Row],[1]:[31]],Code2)</f>
        <v>0</v>
      </c>
      <c r="AK11" s="78">
        <f>COUNTIF(JanuaryAttendance[[#This Row],[1]:[31]],Code3)</f>
        <v>0</v>
      </c>
      <c r="AL11" s="78">
        <f>COUNTIF(JanuaryAttendance[[#This Row],[1]:[31]],Code4)</f>
        <v>0</v>
      </c>
      <c r="AM11" s="49">
        <f>SUM(JanuaryAttendance[[#This Row],[E]:[U]])</f>
        <v>0</v>
      </c>
    </row>
    <row r="12" spans="1:39" ht="16.5" customHeight="1">
      <c r="B12" s="40"/>
      <c r="C12" s="45" t="s">
        <v>98</v>
      </c>
      <c r="D12" s="49">
        <f>COUNTIF(JanuaryAttendance[1],"U")+COUNTIF(JanuaryAttendance[1],"E")</f>
        <v>0</v>
      </c>
      <c r="E12" s="49">
        <f>COUNTIF(JanuaryAttendance[2],"U")+COUNTIF(JanuaryAttendance[2],"E")</f>
        <v>0</v>
      </c>
      <c r="F12" s="49">
        <f>COUNTIF(JanuaryAttendance[3],"U")+COUNTIF(JanuaryAttendance[3],"E")</f>
        <v>0</v>
      </c>
      <c r="G12" s="49">
        <f>COUNTIF(JanuaryAttendance[4],"U")+COUNTIF(JanuaryAttendance[4],"E")</f>
        <v>0</v>
      </c>
      <c r="H12" s="49">
        <f>COUNTIF(JanuaryAttendance[5],"U")+COUNTIF(JanuaryAttendance[5],"E")</f>
        <v>0</v>
      </c>
      <c r="I12" s="49">
        <f>COUNTIF(JanuaryAttendance[6],"U")+COUNTIF(JanuaryAttendance[6],"E")</f>
        <v>0</v>
      </c>
      <c r="J12" s="49">
        <f>COUNTIF(JanuaryAttendance[7],"U")+COUNTIF(JanuaryAttendance[7],"E")</f>
        <v>0</v>
      </c>
      <c r="K12" s="49">
        <f>COUNTIF(JanuaryAttendance[8],"U")+COUNTIF(JanuaryAttendance[8],"E")</f>
        <v>0</v>
      </c>
      <c r="L12" s="49">
        <f>COUNTIF(JanuaryAttendance[9],"U")+COUNTIF(JanuaryAttendance[9],"E")</f>
        <v>0</v>
      </c>
      <c r="M12" s="49">
        <f>COUNTIF(JanuaryAttendance[10],"U")+COUNTIF(JanuaryAttendance[10],"E")</f>
        <v>0</v>
      </c>
      <c r="N12" s="49">
        <f>COUNTIF(JanuaryAttendance[11],"U")+COUNTIF(JanuaryAttendance[11],"E")</f>
        <v>0</v>
      </c>
      <c r="O12" s="49">
        <f>COUNTIF(JanuaryAttendance[12],"U")+COUNTIF(JanuaryAttendance[12],"E")</f>
        <v>0</v>
      </c>
      <c r="P12" s="49">
        <f>COUNTIF(JanuaryAttendance[13],"U")+COUNTIF(JanuaryAttendance[13],"E")</f>
        <v>0</v>
      </c>
      <c r="Q12" s="49">
        <f>COUNTIF(JanuaryAttendance[14],"U")+COUNTIF(JanuaryAttendance[14],"E")</f>
        <v>0</v>
      </c>
      <c r="R12" s="49">
        <f>COUNTIF(JanuaryAttendance[15],"U")+COUNTIF(JanuaryAttendance[15],"E")</f>
        <v>0</v>
      </c>
      <c r="S12" s="49">
        <f>COUNTIF(JanuaryAttendance[16],"U")+COUNTIF(JanuaryAttendance[16],"E")</f>
        <v>0</v>
      </c>
      <c r="T12" s="49">
        <f>COUNTIF(JanuaryAttendance[17],"U")+COUNTIF(JanuaryAttendance[17],"E")</f>
        <v>0</v>
      </c>
      <c r="U12" s="49">
        <f>COUNTIF(JanuaryAttendance[18],"U")+COUNTIF(JanuaryAttendance[18],"E")</f>
        <v>0</v>
      </c>
      <c r="V12" s="49">
        <f>COUNTIF(JanuaryAttendance[19],"U")+COUNTIF(JanuaryAttendance[19],"E")</f>
        <v>0</v>
      </c>
      <c r="W12" s="49">
        <f>COUNTIF(JanuaryAttendance[20],"U")+COUNTIF(JanuaryAttendance[20],"E")</f>
        <v>0</v>
      </c>
      <c r="X12" s="49">
        <f>COUNTIF(JanuaryAttendance[21],"U")+COUNTIF(JanuaryAttendance[21],"E")</f>
        <v>0</v>
      </c>
      <c r="Y12" s="49">
        <f>COUNTIF(JanuaryAttendance[22],"U")+COUNTIF(JanuaryAttendance[22],"E")</f>
        <v>0</v>
      </c>
      <c r="Z12" s="49">
        <f>COUNTIF(JanuaryAttendance[23],"U")+COUNTIF(JanuaryAttendance[23],"E")</f>
        <v>0</v>
      </c>
      <c r="AA12" s="49">
        <f>COUNTIF(JanuaryAttendance[24],"U")+COUNTIF(JanuaryAttendance[24],"E")</f>
        <v>0</v>
      </c>
      <c r="AB12" s="49">
        <f>COUNTIF(JanuaryAttendance[25],"U")+COUNTIF(JanuaryAttendance[25],"E")</f>
        <v>0</v>
      </c>
      <c r="AC12" s="49">
        <f>COUNTIF(JanuaryAttendance[26],"U")+COUNTIF(JanuaryAttendance[26],"E")</f>
        <v>0</v>
      </c>
      <c r="AD12" s="49">
        <f>COUNTIF(JanuaryAttendance[27],"U")+COUNTIF(JanuaryAttendance[27],"E")</f>
        <v>0</v>
      </c>
      <c r="AE12" s="49">
        <f>COUNTIF(JanuaryAttendance[28],"U")+COUNTIF(JanuaryAttendance[28],"E")</f>
        <v>0</v>
      </c>
      <c r="AF12" s="49">
        <f>COUNTIF(JanuaryAttendance[29],"U")+COUNTIF(JanuaryAttendance[29],"E")</f>
        <v>0</v>
      </c>
      <c r="AG12" s="49"/>
      <c r="AH12" s="49"/>
      <c r="AI12" s="49">
        <f>SUBTOTAL(109,JanuaryAttendance[T])</f>
        <v>0</v>
      </c>
      <c r="AJ12" s="49">
        <f>SUBTOTAL(109,JanuaryAttendance[E])</f>
        <v>0</v>
      </c>
      <c r="AK12" s="49">
        <f>SUBTOTAL(109,JanuaryAttendance[U])</f>
        <v>0</v>
      </c>
      <c r="AL12" s="49">
        <f>SUBTOTAL(109,JanuaryAttendance[P])</f>
        <v>0</v>
      </c>
      <c r="AM12" s="49">
        <f>SUBTOTAL(109,JanuaryAttendance[缺席天数])</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3">
      <dataBar>
        <cfvo type="min"/>
        <cfvo type="num" val="DATEDIF(DATE(CalendarYear,2,1),DATE(CalendarYear,3,1),&quot;d&quot;)"/>
        <color theme="4"/>
      </dataBar>
      <extLst>
        <ext xmlns:x14="http://schemas.microsoft.com/office/spreadsheetml/2009/9/main" uri="{B025F937-C7B1-47D3-B67F-A62EFF666E3E}">
          <x14:id>{14404821-1BA2-401A-A36D-E7C5CA142FF7}</x14:id>
        </ext>
      </extLst>
    </cfRule>
  </conditionalFormatting>
  <conditionalFormatting sqref="D7:AF11">
    <cfRule type="expression" dxfId="595" priority="4" stopIfTrue="1">
      <formula>D7=Code2</formula>
    </cfRule>
  </conditionalFormatting>
  <conditionalFormatting sqref="D7:AF11">
    <cfRule type="expression" dxfId="594" priority="5" stopIfTrue="1">
      <formula>D7=Code5</formula>
    </cfRule>
    <cfRule type="expression" dxfId="593" priority="6" stopIfTrue="1">
      <formula>D7=Code4</formula>
    </cfRule>
    <cfRule type="expression" dxfId="592" priority="7" stopIfTrue="1">
      <formula>D7=Code3</formula>
    </cfRule>
    <cfRule type="expression" dxfId="591" priority="8" stopIfTrue="1">
      <formula>D7=Code1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404821-1BA2-401A-A36D-E7C5CA142FF7}">
            <x14:dataBar minLength="0" maxLength="100" border="1" negativeBarBorderColorSameAsPositive="0">
              <x14:cfvo type="autoMin"/>
              <x14:cfvo type="num">
                <xm:f>DATEDIF(DATE(CalendarYear,2,1),DATE(CalendarYear,3,1),"d")</xm:f>
              </x14:cfvo>
              <x14:borderColor theme="4"/>
              <x14:negativeFillColor rgb="FFFF0000"/>
              <x14:negativeBorderColor rgb="FFFF0000"/>
              <x14:axisColor rgb="FF000000"/>
            </x14:dataBar>
          </x14:cfRule>
          <xm:sqref>AM7:AM11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cols>
    <col min="1" max="1" width="2.7109375" style="53" customWidth="1"/>
    <col min="2" max="2" width="10.85546875" style="53" customWidth="1"/>
    <col min="3" max="3" width="28.85546875" style="55" customWidth="1"/>
    <col min="4" max="34" width="5" style="54" customWidth="1"/>
    <col min="35" max="35" width="4.7109375" style="56" customWidth="1"/>
    <col min="36" max="36" width="4.7109375" style="54" customWidth="1"/>
    <col min="37" max="38" width="4.7109375" style="53" customWidth="1"/>
    <col min="39" max="39" width="12.7109375" style="53" customWidth="1"/>
    <col min="40" max="16384" width="9.140625" style="53"/>
  </cols>
  <sheetData>
    <row r="1" spans="1:39" s="20" customFormat="1" ht="42" customHeight="1">
      <c r="A1" s="67" t="s">
        <v>89</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4"/>
      <c r="AD1" s="14"/>
      <c r="AE1" s="14"/>
      <c r="AF1" s="14"/>
      <c r="AG1" s="16"/>
      <c r="AH1" s="14"/>
      <c r="AI1" s="14"/>
      <c r="AJ1" s="17"/>
      <c r="AK1" s="14"/>
      <c r="AL1" s="18" t="s">
        <v>105</v>
      </c>
      <c r="AM1" s="19">
        <f>CalendarYear</f>
        <v>2011</v>
      </c>
    </row>
    <row r="2" spans="1:39" s="4" customFormat="1" ht="16.5"/>
    <row r="3" spans="1:39" s="20" customFormat="1" ht="12.75" customHeight="1">
      <c r="C3" s="21" t="str">
        <f>ColorKeyText</f>
        <v>颜色键</v>
      </c>
      <c r="D3" s="22" t="str">
        <f>Code1</f>
        <v>T</v>
      </c>
      <c r="E3" s="23" t="str">
        <f>Code1Text</f>
        <v>迟到</v>
      </c>
      <c r="F3" s="24"/>
      <c r="H3" s="25" t="str">
        <f>Code2</f>
        <v>E</v>
      </c>
      <c r="I3" s="26" t="str">
        <f>Code2Text</f>
        <v>请假</v>
      </c>
      <c r="L3" s="27" t="str">
        <f>Code3</f>
        <v>U</v>
      </c>
      <c r="M3" s="26" t="str">
        <f>Code3Text</f>
        <v>无故缺席</v>
      </c>
      <c r="P3" s="28" t="str">
        <f>Code4</f>
        <v>P</v>
      </c>
      <c r="Q3" s="26" t="str">
        <f>Code4Text</f>
        <v>到场</v>
      </c>
      <c r="T3" s="29" t="str">
        <f>Code5</f>
        <v>N</v>
      </c>
      <c r="U3" s="26" t="str">
        <f>Code5Text</f>
        <v>停课</v>
      </c>
      <c r="W3" s="4"/>
      <c r="X3" s="4"/>
      <c r="Y3" s="4"/>
      <c r="AD3" s="30"/>
      <c r="AE3" s="30"/>
      <c r="AH3" s="31"/>
      <c r="AI3" s="32"/>
      <c r="AK3" s="33"/>
    </row>
    <row r="4" spans="1:39" s="4" customFormat="1" ht="16.5" customHeight="1"/>
    <row r="5" spans="1:39" s="34" customFormat="1" ht="18" customHeight="1">
      <c r="B5" s="112">
        <f>DATE(CalendarYear+1,2,1)</f>
        <v>40940</v>
      </c>
      <c r="C5" s="35"/>
      <c r="D5" s="36" t="str">
        <f>TEXT(WEEKDAY(DATE(CalendarYear+1,2,1),1),"[$-804]aaa")</f>
        <v>周三</v>
      </c>
      <c r="E5" s="36" t="str">
        <f>TEXT(WEEKDAY(DATE(CalendarYear+1,2,2),1),"[$-804]aaa")</f>
        <v>周四</v>
      </c>
      <c r="F5" s="36" t="str">
        <f>TEXT(WEEKDAY(DATE(CalendarYear+1,2,3),1),"[$-804]aaa")</f>
        <v>周五</v>
      </c>
      <c r="G5" s="36" t="str">
        <f>TEXT(WEEKDAY(DATE(CalendarYear+1,2,4),1),"[$-804]aaa")</f>
        <v>周六</v>
      </c>
      <c r="H5" s="36" t="str">
        <f>TEXT(WEEKDAY(DATE(CalendarYear+1,2,5),1),"[$-804]aaa")</f>
        <v>周日</v>
      </c>
      <c r="I5" s="36" t="str">
        <f>TEXT(WEEKDAY(DATE(CalendarYear+1,2,6),1),"[$-804]aaa")</f>
        <v>周一</v>
      </c>
      <c r="J5" s="36" t="str">
        <f>TEXT(WEEKDAY(DATE(CalendarYear+1,2,7),1),"[$-804]aaa")</f>
        <v>周二</v>
      </c>
      <c r="K5" s="36" t="str">
        <f>TEXT(WEEKDAY(DATE(CalendarYear+1,2,8),1),"[$-804]aaa")</f>
        <v>周三</v>
      </c>
      <c r="L5" s="36" t="str">
        <f>TEXT(WEEKDAY(DATE(CalendarYear+1,2,9),1),"[$-804]aaa")</f>
        <v>周四</v>
      </c>
      <c r="M5" s="36" t="str">
        <f>TEXT(WEEKDAY(DATE(CalendarYear+1,2,10),1),"[$-804]aaa")</f>
        <v>周五</v>
      </c>
      <c r="N5" s="36" t="str">
        <f>TEXT(WEEKDAY(DATE(CalendarYear+1,2,11),1),"[$-804]aaa")</f>
        <v>周六</v>
      </c>
      <c r="O5" s="36" t="str">
        <f>TEXT(WEEKDAY(DATE(CalendarYear+1,2,12),1),"[$-804]aaa")</f>
        <v>周日</v>
      </c>
      <c r="P5" s="36" t="str">
        <f>TEXT(WEEKDAY(DATE(CalendarYear+1,2,13),1),"[$-804]aaa")</f>
        <v>周一</v>
      </c>
      <c r="Q5" s="36" t="str">
        <f>TEXT(WEEKDAY(DATE(CalendarYear+1,2,14),1),"[$-804]aaa")</f>
        <v>周二</v>
      </c>
      <c r="R5" s="36" t="str">
        <f>TEXT(WEEKDAY(DATE(CalendarYear+1,2,15),1),"[$-804]aaa")</f>
        <v>周三</v>
      </c>
      <c r="S5" s="36" t="str">
        <f>TEXT(WEEKDAY(DATE(CalendarYear+1,2,16),1),"[$-804]aaa")</f>
        <v>周四</v>
      </c>
      <c r="T5" s="36" t="str">
        <f>TEXT(WEEKDAY(DATE(CalendarYear+1,2,17),1),"[$-804]aaa")</f>
        <v>周五</v>
      </c>
      <c r="U5" s="36" t="str">
        <f>TEXT(WEEKDAY(DATE(CalendarYear+1,2,18),1),"[$-804]aaa")</f>
        <v>周六</v>
      </c>
      <c r="V5" s="36" t="str">
        <f>TEXT(WEEKDAY(DATE(CalendarYear+1,2,19),1),"[$-804]aaa")</f>
        <v>周日</v>
      </c>
      <c r="W5" s="36" t="str">
        <f>TEXT(WEEKDAY(DATE(CalendarYear+1,2,20),1),"[$-804]aaa")</f>
        <v>周一</v>
      </c>
      <c r="X5" s="36" t="str">
        <f>TEXT(WEEKDAY(DATE(CalendarYear+1,2,21),1),"[$-804]aaa")</f>
        <v>周二</v>
      </c>
      <c r="Y5" s="36" t="str">
        <f>TEXT(WEEKDAY(DATE(CalendarYear+1,2,22),1),"[$-804]aaa")</f>
        <v>周三</v>
      </c>
      <c r="Z5" s="36" t="str">
        <f>TEXT(WEEKDAY(DATE(CalendarYear+1,2,23),1),"[$-804]aaa")</f>
        <v>周四</v>
      </c>
      <c r="AA5" s="36" t="str">
        <f>TEXT(WEEKDAY(DATE(CalendarYear+1,2,24),1),"[$-804]aaa")</f>
        <v>周五</v>
      </c>
      <c r="AB5" s="36" t="str">
        <f>TEXT(WEEKDAY(DATE(CalendarYear+1,2,25),1),"[$-804]aaa")</f>
        <v>周六</v>
      </c>
      <c r="AC5" s="36" t="str">
        <f>TEXT(WEEKDAY(DATE(CalendarYear+1,2,26),1),"[$-804]aaa")</f>
        <v>周日</v>
      </c>
      <c r="AD5" s="36" t="str">
        <f>TEXT(WEEKDAY(DATE(CalendarYear+1,2,27),1),"[$-804]aaa")</f>
        <v>周一</v>
      </c>
      <c r="AE5" s="36" t="str">
        <f>TEXT(WEEKDAY(DATE(CalendarYear+1,2,28),1),"[$-804]aaa")</f>
        <v>周二</v>
      </c>
      <c r="AF5" s="36" t="str">
        <f>TEXT(WEEKDAY(DATE(CalendarYear+1,2,29),1),"[$-804]aaa")</f>
        <v>周三</v>
      </c>
      <c r="AG5" s="36"/>
      <c r="AH5" s="36"/>
      <c r="AI5" s="121" t="s">
        <v>96</v>
      </c>
      <c r="AJ5" s="121"/>
      <c r="AK5" s="121"/>
      <c r="AL5" s="121"/>
      <c r="AM5" s="121"/>
    </row>
    <row r="6" spans="1:39" ht="14.25" customHeight="1">
      <c r="B6" s="38" t="s">
        <v>67</v>
      </c>
      <c r="C6" s="39" t="s">
        <v>94</v>
      </c>
      <c r="D6" s="40" t="s">
        <v>0</v>
      </c>
      <c r="E6" s="40" t="s">
        <v>1</v>
      </c>
      <c r="F6" s="40" t="s">
        <v>2</v>
      </c>
      <c r="G6" s="40" t="s">
        <v>3</v>
      </c>
      <c r="H6" s="40" t="s">
        <v>4</v>
      </c>
      <c r="I6" s="40" t="s">
        <v>5</v>
      </c>
      <c r="J6" s="40" t="s">
        <v>6</v>
      </c>
      <c r="K6" s="40" t="s">
        <v>7</v>
      </c>
      <c r="L6" s="40" t="s">
        <v>8</v>
      </c>
      <c r="M6" s="40" t="s">
        <v>9</v>
      </c>
      <c r="N6" s="40" t="s">
        <v>10</v>
      </c>
      <c r="O6" s="40" t="s">
        <v>11</v>
      </c>
      <c r="P6" s="40" t="s">
        <v>12</v>
      </c>
      <c r="Q6" s="40" t="s">
        <v>13</v>
      </c>
      <c r="R6" s="40" t="s">
        <v>14</v>
      </c>
      <c r="S6" s="40" t="s">
        <v>15</v>
      </c>
      <c r="T6" s="40" t="s">
        <v>16</v>
      </c>
      <c r="U6" s="40" t="s">
        <v>17</v>
      </c>
      <c r="V6" s="40" t="s">
        <v>18</v>
      </c>
      <c r="W6" s="40" t="s">
        <v>19</v>
      </c>
      <c r="X6" s="40" t="s">
        <v>20</v>
      </c>
      <c r="Y6" s="40" t="s">
        <v>21</v>
      </c>
      <c r="Z6" s="40" t="s">
        <v>22</v>
      </c>
      <c r="AA6" s="40" t="s">
        <v>23</v>
      </c>
      <c r="AB6" s="40" t="s">
        <v>24</v>
      </c>
      <c r="AC6" s="40" t="s">
        <v>25</v>
      </c>
      <c r="AD6" s="40" t="s">
        <v>26</v>
      </c>
      <c r="AE6" s="40" t="s">
        <v>27</v>
      </c>
      <c r="AF6" s="40" t="s">
        <v>28</v>
      </c>
      <c r="AG6" s="40" t="s">
        <v>29</v>
      </c>
      <c r="AH6" s="40" t="s">
        <v>30</v>
      </c>
      <c r="AI6" s="72" t="s">
        <v>32</v>
      </c>
      <c r="AJ6" s="73" t="s">
        <v>34</v>
      </c>
      <c r="AK6" s="74" t="s">
        <v>33</v>
      </c>
      <c r="AL6" s="75" t="s">
        <v>31</v>
      </c>
      <c r="AM6" s="4" t="s">
        <v>97</v>
      </c>
    </row>
    <row r="7" spans="1:39" ht="16.5" customHeight="1">
      <c r="B7" s="76"/>
      <c r="C7" s="77" t="str">
        <f>IFERROR(VLOOKUP(FebruaryAttendance[[#This Row],[学生 ID]],StudentList[],18,FALSE),"")</f>
        <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c r="AG7" s="40"/>
      <c r="AH7" s="40"/>
      <c r="AI7" s="78">
        <f>COUNTIF(FebruaryAttendance[[#This Row],[1]:[31]],Code1)</f>
        <v>0</v>
      </c>
      <c r="AJ7" s="78">
        <f>COUNTIF(FebruaryAttendance[[#This Row],[1]:[31]],Code2)</f>
        <v>0</v>
      </c>
      <c r="AK7" s="78">
        <f>COUNTIF(FebruaryAttendance[[#This Row],[1]:[31]],Code3)</f>
        <v>0</v>
      </c>
      <c r="AL7" s="78">
        <f>COUNTIF(FebruaryAttendance[[#This Row],[1]:[31]],Code4)</f>
        <v>0</v>
      </c>
      <c r="AM7" s="49">
        <f>SUM(FebruaryAttendance[[#This Row],[E]:[U]])</f>
        <v>0</v>
      </c>
    </row>
    <row r="8" spans="1:39" ht="16.5" customHeight="1">
      <c r="B8" s="76"/>
      <c r="C8" s="79" t="str">
        <f>IFERROR(VLOOKUP(FebruaryAttendance[[#This Row],[学生 ID]],StudentList[],18,FALSE),"")</f>
        <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70"/>
      <c r="AG8" s="40"/>
      <c r="AH8" s="40"/>
      <c r="AI8" s="78">
        <f>COUNTIF(FebruaryAttendance[[#This Row],[1]:[31]],Code1)</f>
        <v>0</v>
      </c>
      <c r="AJ8" s="78">
        <f>COUNTIF(FebruaryAttendance[[#This Row],[1]:[31]],Code2)</f>
        <v>0</v>
      </c>
      <c r="AK8" s="78">
        <f>COUNTIF(FebruaryAttendance[[#This Row],[1]:[31]],Code3)</f>
        <v>0</v>
      </c>
      <c r="AL8" s="78">
        <f>COUNTIF(FebruaryAttendance[[#This Row],[1]:[31]],Code4)</f>
        <v>0</v>
      </c>
      <c r="AM8" s="49">
        <f>SUM(FebruaryAttendance[[#This Row],[E]:[U]])</f>
        <v>0</v>
      </c>
    </row>
    <row r="9" spans="1:39" ht="16.5" customHeight="1">
      <c r="B9" s="76"/>
      <c r="C9" s="79" t="str">
        <f>IFERROR(VLOOKUP(FebruaryAttendance[[#This Row],[学生 ID]],StudentList[],18,FALSE),"")</f>
        <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0"/>
      <c r="AG9" s="40"/>
      <c r="AH9" s="40"/>
      <c r="AI9" s="78">
        <f>COUNTIF(FebruaryAttendance[[#This Row],[1]:[31]],Code1)</f>
        <v>0</v>
      </c>
      <c r="AJ9" s="78">
        <f>COUNTIF(FebruaryAttendance[[#This Row],[1]:[31]],Code2)</f>
        <v>0</v>
      </c>
      <c r="AK9" s="78">
        <f>COUNTIF(FebruaryAttendance[[#This Row],[1]:[31]],Code3)</f>
        <v>0</v>
      </c>
      <c r="AL9" s="78">
        <f>COUNTIF(FebruaryAttendance[[#This Row],[1]:[31]],Code4)</f>
        <v>0</v>
      </c>
      <c r="AM9" s="49">
        <f>SUM(FebruaryAttendance[[#This Row],[E]:[U]])</f>
        <v>0</v>
      </c>
    </row>
    <row r="10" spans="1:39" ht="16.5" customHeight="1">
      <c r="B10" s="76"/>
      <c r="C10" s="79" t="str">
        <f>IFERROR(VLOOKUP(FebruaryAttendance[[#This Row],[学生 ID]],StudentList[],18,FALSE),"")</f>
        <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70"/>
      <c r="AG10" s="40"/>
      <c r="AH10" s="40"/>
      <c r="AI10" s="78">
        <f>COUNTIF(FebruaryAttendance[[#This Row],[1]:[31]],Code1)</f>
        <v>0</v>
      </c>
      <c r="AJ10" s="78">
        <f>COUNTIF(FebruaryAttendance[[#This Row],[1]:[31]],Code2)</f>
        <v>0</v>
      </c>
      <c r="AK10" s="78">
        <f>COUNTIF(FebruaryAttendance[[#This Row],[1]:[31]],Code3)</f>
        <v>0</v>
      </c>
      <c r="AL10" s="78">
        <f>COUNTIF(FebruaryAttendance[[#This Row],[1]:[31]],Code4)</f>
        <v>0</v>
      </c>
      <c r="AM10" s="49">
        <f>SUM(FebruaryAttendance[[#This Row],[E]:[U]])</f>
        <v>0</v>
      </c>
    </row>
    <row r="11" spans="1:39" ht="16.5" customHeight="1">
      <c r="B11" s="76"/>
      <c r="C11" s="79" t="str">
        <f>IFERROR(VLOOKUP(FebruaryAttendance[[#This Row],[学生 ID]],StudentList[],18,FALSE),"")</f>
        <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40"/>
      <c r="AH11" s="40"/>
      <c r="AI11" s="78">
        <f>COUNTIF(FebruaryAttendance[[#This Row],[1]:[31]],Code1)</f>
        <v>0</v>
      </c>
      <c r="AJ11" s="78">
        <f>COUNTIF(FebruaryAttendance[[#This Row],[1]:[31]],Code2)</f>
        <v>0</v>
      </c>
      <c r="AK11" s="78">
        <f>COUNTIF(FebruaryAttendance[[#This Row],[1]:[31]],Code3)</f>
        <v>0</v>
      </c>
      <c r="AL11" s="78">
        <f>COUNTIF(FebruaryAttendance[[#This Row],[1]:[31]],Code4)</f>
        <v>0</v>
      </c>
      <c r="AM11" s="49">
        <f>SUM(FebruaryAttendance[[#This Row],[E]:[U]])</f>
        <v>0</v>
      </c>
    </row>
    <row r="12" spans="1:39" ht="16.5" customHeight="1">
      <c r="B12" s="40"/>
      <c r="C12" s="45" t="s">
        <v>98</v>
      </c>
      <c r="D12" s="49">
        <f>COUNTIF(FebruaryAttendance[1],"U")+COUNTIF(FebruaryAttendance[1],"E")</f>
        <v>0</v>
      </c>
      <c r="E12" s="49">
        <f>COUNTIF(FebruaryAttendance[2],"U")+COUNTIF(FebruaryAttendance[2],"E")</f>
        <v>0</v>
      </c>
      <c r="F12" s="49">
        <f>COUNTIF(FebruaryAttendance[3],"U")+COUNTIF(FebruaryAttendance[3],"E")</f>
        <v>0</v>
      </c>
      <c r="G12" s="49">
        <f>COUNTIF(FebruaryAttendance[4],"U")+COUNTIF(FebruaryAttendance[4],"E")</f>
        <v>0</v>
      </c>
      <c r="H12" s="49">
        <f>COUNTIF(FebruaryAttendance[5],"U")+COUNTIF(FebruaryAttendance[5],"E")</f>
        <v>0</v>
      </c>
      <c r="I12" s="49">
        <f>COUNTIF(FebruaryAttendance[6],"U")+COUNTIF(FebruaryAttendance[6],"E")</f>
        <v>0</v>
      </c>
      <c r="J12" s="49">
        <f>COUNTIF(FebruaryAttendance[7],"U")+COUNTIF(FebruaryAttendance[7],"E")</f>
        <v>0</v>
      </c>
      <c r="K12" s="49">
        <f>COUNTIF(FebruaryAttendance[8],"U")+COUNTIF(FebruaryAttendance[8],"E")</f>
        <v>0</v>
      </c>
      <c r="L12" s="49">
        <f>COUNTIF(FebruaryAttendance[9],"U")+COUNTIF(FebruaryAttendance[9],"E")</f>
        <v>0</v>
      </c>
      <c r="M12" s="49">
        <f>COUNTIF(FebruaryAttendance[10],"U")+COUNTIF(FebruaryAttendance[10],"E")</f>
        <v>0</v>
      </c>
      <c r="N12" s="49">
        <f>COUNTIF(FebruaryAttendance[11],"U")+COUNTIF(FebruaryAttendance[11],"E")</f>
        <v>0</v>
      </c>
      <c r="O12" s="49">
        <f>COUNTIF(FebruaryAttendance[12],"U")+COUNTIF(FebruaryAttendance[12],"E")</f>
        <v>0</v>
      </c>
      <c r="P12" s="49">
        <f>COUNTIF(FebruaryAttendance[13],"U")+COUNTIF(FebruaryAttendance[13],"E")</f>
        <v>0</v>
      </c>
      <c r="Q12" s="49">
        <f>COUNTIF(FebruaryAttendance[14],"U")+COUNTIF(FebruaryAttendance[14],"E")</f>
        <v>0</v>
      </c>
      <c r="R12" s="49">
        <f>COUNTIF(FebruaryAttendance[15],"U")+COUNTIF(FebruaryAttendance[15],"E")</f>
        <v>0</v>
      </c>
      <c r="S12" s="49">
        <f>COUNTIF(FebruaryAttendance[16],"U")+COUNTIF(FebruaryAttendance[16],"E")</f>
        <v>0</v>
      </c>
      <c r="T12" s="49">
        <f>COUNTIF(FebruaryAttendance[17],"U")+COUNTIF(FebruaryAttendance[17],"E")</f>
        <v>0</v>
      </c>
      <c r="U12" s="49">
        <f>COUNTIF(FebruaryAttendance[18],"U")+COUNTIF(FebruaryAttendance[18],"E")</f>
        <v>0</v>
      </c>
      <c r="V12" s="49">
        <f>COUNTIF(FebruaryAttendance[19],"U")+COUNTIF(FebruaryAttendance[19],"E")</f>
        <v>0</v>
      </c>
      <c r="W12" s="49">
        <f>COUNTIF(FebruaryAttendance[20],"U")+COUNTIF(FebruaryAttendance[20],"E")</f>
        <v>0</v>
      </c>
      <c r="X12" s="49">
        <f>COUNTIF(FebruaryAttendance[21],"U")+COUNTIF(FebruaryAttendance[21],"E")</f>
        <v>0</v>
      </c>
      <c r="Y12" s="49">
        <f>COUNTIF(FebruaryAttendance[22],"U")+COUNTIF(FebruaryAttendance[22],"E")</f>
        <v>0</v>
      </c>
      <c r="Z12" s="49">
        <f>COUNTIF(FebruaryAttendance[23],"U")+COUNTIF(FebruaryAttendance[23],"E")</f>
        <v>0</v>
      </c>
      <c r="AA12" s="49">
        <f>COUNTIF(FebruaryAttendance[24],"U")+COUNTIF(FebruaryAttendance[24],"E")</f>
        <v>0</v>
      </c>
      <c r="AB12" s="49">
        <f>COUNTIF(FebruaryAttendance[25],"U")+COUNTIF(FebruaryAttendance[25],"E")</f>
        <v>0</v>
      </c>
      <c r="AC12" s="49">
        <f>COUNTIF(FebruaryAttendance[26],"U")+COUNTIF(FebruaryAttendance[26],"E")</f>
        <v>0</v>
      </c>
      <c r="AD12" s="49">
        <f>COUNTIF(FebruaryAttendance[27],"U")+COUNTIF(FebruaryAttendance[27],"E")</f>
        <v>0</v>
      </c>
      <c r="AE12" s="49">
        <f>COUNTIF(FebruaryAttendance[28],"U")+COUNTIF(FebruaryAttendance[28],"E")</f>
        <v>0</v>
      </c>
      <c r="AF12" s="49">
        <f>COUNTIF(FebruaryAttendance[29],"U")+COUNTIF(FebruaryAttendance[29],"E")</f>
        <v>0</v>
      </c>
      <c r="AG12" s="49"/>
      <c r="AH12" s="49"/>
      <c r="AI12" s="49">
        <f>SUBTOTAL(109,FebruaryAttendance[T])</f>
        <v>0</v>
      </c>
      <c r="AJ12" s="49">
        <f>SUBTOTAL(109,FebruaryAttendance[E])</f>
        <v>0</v>
      </c>
      <c r="AK12" s="49">
        <f>SUBTOTAL(109,FebruaryAttendance[U])</f>
        <v>0</v>
      </c>
      <c r="AL12" s="49">
        <f>SUBTOTAL(109,FebruaryAttendance[P])</f>
        <v>0</v>
      </c>
      <c r="AM12" s="49">
        <f>SUBTOTAL(109,FebruaryAttendance[缺席天数])</f>
        <v>0</v>
      </c>
    </row>
    <row r="13" spans="1:39" ht="16.5" customHeight="1"/>
    <row r="14" spans="1:39" ht="16.5" customHeight="1"/>
    <row r="15" spans="1:39" ht="16.5" customHeight="1"/>
    <row r="16" spans="1:39"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sheetData>
  <sheetProtection formatCells="0" formatColumns="0" formatRows="0" insertColumns="0" insertRows="0" insertHyperlinks="0" deleteColumns="0" deleteRows="0" sort="0" autoFilter="0" pivotTables="0"/>
  <mergeCells count="1">
    <mergeCell ref="AI5:AM5"/>
  </mergeCells>
  <phoneticPr fontId="9" type="noConversion"/>
  <conditionalFormatting sqref="AM7:AM11">
    <cfRule type="dataBar" priority="3">
      <dataBar>
        <cfvo type="min"/>
        <cfvo type="num" val="DATEDIF(DATE(CalendarYear,2,1),DATE(CalendarYear,3,1),&quot;d&quot;)"/>
        <color theme="4"/>
      </dataBar>
      <extLst>
        <ext xmlns:x14="http://schemas.microsoft.com/office/spreadsheetml/2009/9/main" uri="{B025F937-C7B1-47D3-B67F-A62EFF666E3E}">
          <x14:id>{AB18F5F5-27F6-438D-8C1C-359FFE3EF7E4}</x14:id>
        </ext>
      </extLst>
    </cfRule>
  </conditionalFormatting>
  <conditionalFormatting sqref="AF5:AH5">
    <cfRule type="expression" dxfId="511" priority="2">
      <formula>DATE(CalendarYear+1,2,AF6)&gt;EOMONTH(DATE(CalendarYear+1,1,1),1)</formula>
    </cfRule>
  </conditionalFormatting>
  <conditionalFormatting sqref="D7:AF11">
    <cfRule type="expression" dxfId="510" priority="5" stopIfTrue="1">
      <formula>D7=Code2</formula>
    </cfRule>
  </conditionalFormatting>
  <conditionalFormatting sqref="D7:AF11">
    <cfRule type="expression" dxfId="509" priority="6" stopIfTrue="1">
      <formula>D7=Code5</formula>
    </cfRule>
    <cfRule type="expression" dxfId="508" priority="7" stopIfTrue="1">
      <formula>D7=Code4</formula>
    </cfRule>
    <cfRule type="expression" dxfId="507" priority="8" stopIfTrue="1">
      <formula>D7=Code3</formula>
    </cfRule>
    <cfRule type="expression" dxfId="506" priority="9" stopIfTrue="1">
      <formula>D7=Code1</formula>
    </cfRule>
  </conditionalFormatting>
  <conditionalFormatting sqref="AF6:AH6">
    <cfRule type="expression" dxfId="505" priority="1">
      <formula>DATE(CalendarYear+1,2,AF6)&gt;EOMONTH(DATE(CalendarYear+1,1,1),1)</formula>
    </cfRule>
  </conditionalFormatting>
  <dataValidations count="1">
    <dataValidation type="list" errorStyle="warning" allowBlank="1" showInputMessage="1" showErrorMessage="1" errorTitle="Whoops!" error="The Student ID you entered isn't on the Student List sheet. You can click Yes to use what you entered but that Student ID won't be available on the Student Attendance Report sheet." sqref="B7:B11">
      <formula1>StudentID</formula1>
    </dataValidation>
  </dataValidations>
  <printOptions horizontalCentered="1"/>
  <pageMargins left="0.5" right="0.5" top="0.75" bottom="0.75" header="0.3" footer="0.3"/>
  <pageSetup scale="56" fitToHeight="0" orientation="landscape" verticalDpi="0"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B18F5F5-27F6-438D-8C1C-359FFE3EF7E4}">
            <x14:dataBar minLength="0" maxLength="100" border="1" negativeBarBorderColorSameAsPositive="0">
              <x14:cfvo type="autoMin"/>
              <x14:cfvo type="num">
                <xm:f>DATEDIF(DATE(CalendarYear,2,1),DATE(CalendarYear,3,1),"d")</xm:f>
              </x14:cfvo>
              <x14:borderColor theme="4"/>
              <x14:negativeFillColor rgb="FFFF0000"/>
              <x14:negativeBorderColor rgb="FFFF0000"/>
              <x14:axisColor rgb="FF000000"/>
            </x14:dataBar>
          </x14:cfRule>
          <xm:sqref>AM7:AM11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rectSourceMarket xmlns="905c3888-6285-45d0-bd76-60a9ac2d738c">english</DirectSourceMarket>
    <ApprovalStatus xmlns="905c3888-6285-45d0-bd76-60a9ac2d738c">InProgress</ApprovalStatus>
    <MarketSpecific xmlns="905c3888-6285-45d0-bd76-60a9ac2d738c">false</MarketSpecific>
    <LocComments xmlns="905c3888-6285-45d0-bd76-60a9ac2d738c" xsi:nil="true"/>
    <ThumbnailAssetId xmlns="905c3888-6285-45d0-bd76-60a9ac2d738c" xsi:nil="true"/>
    <PrimaryImageGen xmlns="905c3888-6285-45d0-bd76-60a9ac2d738c">true</PrimaryImageGen>
    <LegacyData xmlns="905c3888-6285-45d0-bd76-60a9ac2d738c" xsi:nil="true"/>
    <LocRecommendedHandoff xmlns="905c3888-6285-45d0-bd76-60a9ac2d738c" xsi:nil="true"/>
    <BusinessGroup xmlns="905c3888-6285-45d0-bd76-60a9ac2d738c" xsi:nil="true"/>
    <BlockPublish xmlns="905c3888-6285-45d0-bd76-60a9ac2d738c">false</BlockPublish>
    <TPFriendlyName xmlns="905c3888-6285-45d0-bd76-60a9ac2d738c" xsi:nil="true"/>
    <NumericId xmlns="905c3888-6285-45d0-bd76-60a9ac2d738c" xsi:nil="true"/>
    <APEditor xmlns="905c3888-6285-45d0-bd76-60a9ac2d738c">
      <UserInfo>
        <DisplayName/>
        <AccountId xsi:nil="true"/>
        <AccountType/>
      </UserInfo>
    </APEditor>
    <SourceTitle xmlns="905c3888-6285-45d0-bd76-60a9ac2d738c" xsi:nil="true"/>
    <OpenTemplate xmlns="905c3888-6285-45d0-bd76-60a9ac2d738c">true</OpenTemplate>
    <UALocComments xmlns="905c3888-6285-45d0-bd76-60a9ac2d738c" xsi:nil="true"/>
    <ParentAssetId xmlns="905c3888-6285-45d0-bd76-60a9ac2d738c" xsi:nil="true"/>
    <IntlLangReviewDate xmlns="905c3888-6285-45d0-bd76-60a9ac2d738c" xsi:nil="true"/>
    <FeatureTagsTaxHTField0 xmlns="905c3888-6285-45d0-bd76-60a9ac2d738c">
      <Terms xmlns="http://schemas.microsoft.com/office/infopath/2007/PartnerControls"/>
    </FeatureTagsTaxHTField0>
    <PublishStatusLookup xmlns="905c3888-6285-45d0-bd76-60a9ac2d738c">
      <Value>450241</Value>
    </PublishStatusLookup>
    <Providers xmlns="905c3888-6285-45d0-bd76-60a9ac2d738c" xsi:nil="true"/>
    <MachineTranslated xmlns="905c3888-6285-45d0-bd76-60a9ac2d738c">false</MachineTranslated>
    <OriginalSourceMarket xmlns="905c3888-6285-45d0-bd76-60a9ac2d738c">english</OriginalSourceMarket>
    <APDescription xmlns="905c3888-6285-45d0-bd76-60a9ac2d738c">教师可以使用这个方便实用的模板按年和月跟踪所有学生的出勤情况。 包括详细的说明。</APDescription>
    <ClipArtFilename xmlns="905c3888-6285-45d0-bd76-60a9ac2d738c" xsi:nil="true"/>
    <ContentItem xmlns="905c3888-6285-45d0-bd76-60a9ac2d738c" xsi:nil="true"/>
    <TPInstallLocation xmlns="905c3888-6285-45d0-bd76-60a9ac2d738c" xsi:nil="true"/>
    <PublishTargets xmlns="905c3888-6285-45d0-bd76-60a9ac2d738c">OfficeOnlineVNext</PublishTargets>
    <TimesCloned xmlns="905c3888-6285-45d0-bd76-60a9ac2d738c" xsi:nil="true"/>
    <AssetStart xmlns="905c3888-6285-45d0-bd76-60a9ac2d738c">2011-12-15T00:32:00+00:00</AssetStart>
    <Provider xmlns="905c3888-6285-45d0-bd76-60a9ac2d738c" xsi:nil="true"/>
    <AcquiredFrom xmlns="905c3888-6285-45d0-bd76-60a9ac2d738c">Internal MS</AcquiredFrom>
    <FriendlyTitle xmlns="905c3888-6285-45d0-bd76-60a9ac2d738c" xsi:nil="true"/>
    <LastHandOff xmlns="905c3888-6285-45d0-bd76-60a9ac2d738c" xsi:nil="true"/>
    <TPClientViewer xmlns="905c3888-6285-45d0-bd76-60a9ac2d738c" xsi:nil="true"/>
    <UACurrentWords xmlns="905c3888-6285-45d0-bd76-60a9ac2d738c" xsi:nil="true"/>
    <ArtSampleDocs xmlns="905c3888-6285-45d0-bd76-60a9ac2d738c" xsi:nil="true"/>
    <UALocRecommendation xmlns="905c3888-6285-45d0-bd76-60a9ac2d738c">Localize</UALocRecommendation>
    <Manager xmlns="905c3888-6285-45d0-bd76-60a9ac2d738c" xsi:nil="true"/>
    <ShowIn xmlns="905c3888-6285-45d0-bd76-60a9ac2d738c">Show everywhere</ShowIn>
    <UANotes xmlns="905c3888-6285-45d0-bd76-60a9ac2d738c" xsi:nil="true"/>
    <TemplateStatus xmlns="905c3888-6285-45d0-bd76-60a9ac2d738c">Complete</TemplateStatus>
    <InternalTagsTaxHTField0 xmlns="905c3888-6285-45d0-bd76-60a9ac2d738c">
      <Terms xmlns="http://schemas.microsoft.com/office/infopath/2007/PartnerControls"/>
    </InternalTagsTaxHTField0>
    <CSXHash xmlns="905c3888-6285-45d0-bd76-60a9ac2d738c" xsi:nil="true"/>
    <Downloads xmlns="905c3888-6285-45d0-bd76-60a9ac2d738c">0</Downloads>
    <VoteCount xmlns="905c3888-6285-45d0-bd76-60a9ac2d738c" xsi:nil="true"/>
    <OOCacheId xmlns="905c3888-6285-45d0-bd76-60a9ac2d738c" xsi:nil="true"/>
    <IsDeleted xmlns="905c3888-6285-45d0-bd76-60a9ac2d738c">false</IsDeleted>
    <AssetExpire xmlns="905c3888-6285-45d0-bd76-60a9ac2d738c">2035-01-01T08:00:00+00:00</AssetExpire>
    <DSATActionTaken xmlns="905c3888-6285-45d0-bd76-60a9ac2d738c" xsi:nil="true"/>
    <CSXSubmissionMarket xmlns="905c3888-6285-45d0-bd76-60a9ac2d738c" xsi:nil="true"/>
    <TPExecutable xmlns="905c3888-6285-45d0-bd76-60a9ac2d738c" xsi:nil="true"/>
    <SubmitterId xmlns="905c3888-6285-45d0-bd76-60a9ac2d738c" xsi:nil="true"/>
    <EditorialTags xmlns="905c3888-6285-45d0-bd76-60a9ac2d738c" xsi:nil="true"/>
    <ApprovalLog xmlns="905c3888-6285-45d0-bd76-60a9ac2d738c" xsi:nil="true"/>
    <AssetType xmlns="905c3888-6285-45d0-bd76-60a9ac2d738c">TP</AssetType>
    <BugNumber xmlns="905c3888-6285-45d0-bd76-60a9ac2d738c" xsi:nil="true"/>
    <CSXSubmissionDate xmlns="905c3888-6285-45d0-bd76-60a9ac2d738c" xsi:nil="true"/>
    <CSXUpdate xmlns="905c3888-6285-45d0-bd76-60a9ac2d738c">false</CSXUpdate>
    <Milestone xmlns="905c3888-6285-45d0-bd76-60a9ac2d738c" xsi:nil="true"/>
    <RecommendationsModifier xmlns="905c3888-6285-45d0-bd76-60a9ac2d738c" xsi:nil="true"/>
    <OriginAsset xmlns="905c3888-6285-45d0-bd76-60a9ac2d738c" xsi:nil="true"/>
    <TPComponent xmlns="905c3888-6285-45d0-bd76-60a9ac2d738c" xsi:nil="true"/>
    <AssetId xmlns="905c3888-6285-45d0-bd76-60a9ac2d738c">TP102802368</AssetId>
    <IntlLocPriority xmlns="905c3888-6285-45d0-bd76-60a9ac2d738c" xsi:nil="true"/>
    <PolicheckWords xmlns="905c3888-6285-45d0-bd76-60a9ac2d738c" xsi:nil="true"/>
    <TPLaunchHelpLink xmlns="905c3888-6285-45d0-bd76-60a9ac2d738c" xsi:nil="true"/>
    <TPApplication xmlns="905c3888-6285-45d0-bd76-60a9ac2d738c" xsi:nil="true"/>
    <CrawlForDependencies xmlns="905c3888-6285-45d0-bd76-60a9ac2d738c">false</CrawlForDependencies>
    <HandoffToMSDN xmlns="905c3888-6285-45d0-bd76-60a9ac2d738c" xsi:nil="true"/>
    <PlannedPubDate xmlns="905c3888-6285-45d0-bd76-60a9ac2d738c" xsi:nil="true"/>
    <IntlLangReviewer xmlns="905c3888-6285-45d0-bd76-60a9ac2d738c" xsi:nil="true"/>
    <TrustLevel xmlns="905c3888-6285-45d0-bd76-60a9ac2d738c">1 Microsoft Managed Content</TrustLevel>
    <LocLastLocAttemptVersionLookup xmlns="905c3888-6285-45d0-bd76-60a9ac2d738c">712809</LocLastLocAttemptVersionLookup>
    <IsSearchable xmlns="905c3888-6285-45d0-bd76-60a9ac2d738c">true</IsSearchable>
    <TemplateTemplateType xmlns="905c3888-6285-45d0-bd76-60a9ac2d738c">Excel 2007 Default</TemplateTemplateType>
    <CampaignTagsTaxHTField0 xmlns="905c3888-6285-45d0-bd76-60a9ac2d738c">
      <Terms xmlns="http://schemas.microsoft.com/office/infopath/2007/PartnerControls"/>
    </CampaignTagsTaxHTField0>
    <TPNamespace xmlns="905c3888-6285-45d0-bd76-60a9ac2d738c" xsi:nil="true"/>
    <TaxCatchAll xmlns="905c3888-6285-45d0-bd76-60a9ac2d738c"/>
    <Markets xmlns="905c3888-6285-45d0-bd76-60a9ac2d738c"/>
    <UAProjectedTotalWords xmlns="905c3888-6285-45d0-bd76-60a9ac2d738c" xsi:nil="true"/>
    <IntlLangReview xmlns="905c3888-6285-45d0-bd76-60a9ac2d738c">false</IntlLangReview>
    <OutputCachingOn xmlns="905c3888-6285-45d0-bd76-60a9ac2d738c">false</OutputCachingOn>
    <AverageRating xmlns="905c3888-6285-45d0-bd76-60a9ac2d738c" xsi:nil="true"/>
    <APAuthor xmlns="905c3888-6285-45d0-bd76-60a9ac2d738c">
      <UserInfo>
        <DisplayName>REDMOND\v-aptall</DisplayName>
        <AccountId>2566</AccountId>
        <AccountType/>
      </UserInfo>
    </APAuthor>
    <LocManualTestRequired xmlns="905c3888-6285-45d0-bd76-60a9ac2d738c">false</LocManualTestRequired>
    <TPCommandLine xmlns="905c3888-6285-45d0-bd76-60a9ac2d738c" xsi:nil="true"/>
    <TPAppVersion xmlns="905c3888-6285-45d0-bd76-60a9ac2d738c" xsi:nil="true"/>
    <EditorialStatus xmlns="905c3888-6285-45d0-bd76-60a9ac2d738c">Complete</EditorialStatus>
    <LastModifiedDateTime xmlns="905c3888-6285-45d0-bd76-60a9ac2d738c" xsi:nil="true"/>
    <ScenarioTagsTaxHTField0 xmlns="905c3888-6285-45d0-bd76-60a9ac2d738c">
      <Terms xmlns="http://schemas.microsoft.com/office/infopath/2007/PartnerControls"/>
    </ScenarioTagsTaxHTField0>
    <OriginalRelease xmlns="905c3888-6285-45d0-bd76-60a9ac2d738c">14</OriginalRelease>
    <TPLaunchHelpLinkType xmlns="905c3888-6285-45d0-bd76-60a9ac2d738c">Template</TPLaunchHelpLinkType>
    <LocalizationTagsTaxHTField0 xmlns="905c3888-6285-45d0-bd76-60a9ac2d738c">
      <Terms xmlns="http://schemas.microsoft.com/office/infopath/2007/PartnerControls"/>
    </LocalizationTagsTaxHTField0>
    <Description0 xmlns="a0b64b53-fba7-43ca-b952-90e5e74773dd" xsi:nil="true"/>
    <Component0 xmlns="a0b64b53-fba7-43ca-b952-90e5e74773dd" xsi:nil="true"/>
    <LocMarketGroupTiers2 xmlns="905c3888-6285-45d0-bd76-60a9ac2d73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8D8B3457135D67479991424C624CBB4704002439B9162B2E88498A324BEFF3815221" ma:contentTypeVersion="55" ma:contentTypeDescription="Create a new document." ma:contentTypeScope="" ma:versionID="a7e4f43ee53fc86ae1dd6272262eb9fb">
  <xsd:schema xmlns:xsd="http://www.w3.org/2001/XMLSchema" xmlns:xs="http://www.w3.org/2001/XMLSchema" xmlns:p="http://schemas.microsoft.com/office/2006/metadata/properties" xmlns:ns2="905c3888-6285-45d0-bd76-60a9ac2d738c" xmlns:ns3="a0b64b53-fba7-43ca-b952-90e5e74773dd" targetNamespace="http://schemas.microsoft.com/office/2006/metadata/properties" ma:root="true" ma:fieldsID="12cd52f9b34cd953802493d919c383c5" ns2:_="" ns3:_="">
    <xsd:import namespace="905c3888-6285-45d0-bd76-60a9ac2d738c"/>
    <xsd:import namespace="a0b64b53-fba7-43ca-b952-90e5e74773dd"/>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c3888-6285-45d0-bd76-60a9ac2d738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2fd52ad2-63b0-4f05-b7aa-a17a1c48ca4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5FC5A58-2851-427E-95B4-AFAF1C73BA4D}" ma:internalName="CSXSubmissionMarket" ma:readOnly="false" ma:showField="MarketName" ma:web="905c3888-6285-45d0-bd76-60a9ac2d738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d402824c-da96-4981-b598-df734aacbc3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F948D4D-A57E-4E3F-87E9-0ABE9F2D748E}" ma:internalName="InProjectListLookup" ma:readOnly="true" ma:showField="InProjectList"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b8eee2a3-2d4f-4b12-b229-9e667c371718}"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F948D4D-A57E-4E3F-87E9-0ABE9F2D748E}" ma:internalName="LastCompleteVersionLookup" ma:readOnly="true" ma:showField="LastCompleteVersion"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F948D4D-A57E-4E3F-87E9-0ABE9F2D748E}" ma:internalName="LastPreviewErrorLookup" ma:readOnly="true" ma:showField="LastPreviewError"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F948D4D-A57E-4E3F-87E9-0ABE9F2D748E}" ma:internalName="LastPreviewResultLookup" ma:readOnly="true" ma:showField="LastPreviewResult"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F948D4D-A57E-4E3F-87E9-0ABE9F2D748E}" ma:internalName="LastPreviewAttemptDateLookup" ma:readOnly="true" ma:showField="LastPreviewAttemptDat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F948D4D-A57E-4E3F-87E9-0ABE9F2D748E}" ma:internalName="LastPreviewedByLookup" ma:readOnly="true" ma:showField="LastPreviewedBy"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F948D4D-A57E-4E3F-87E9-0ABE9F2D748E}" ma:internalName="LastPreviewTimeLookup" ma:readOnly="true" ma:showField="LastPreviewTim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F948D4D-A57E-4E3F-87E9-0ABE9F2D748E}" ma:internalName="LastPreviewVersionLookup" ma:readOnly="true" ma:showField="LastPreviewVersion"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F948D4D-A57E-4E3F-87E9-0ABE9F2D748E}" ma:internalName="LastPublishErrorLookup" ma:readOnly="true" ma:showField="LastPublishError"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F948D4D-A57E-4E3F-87E9-0ABE9F2D748E}" ma:internalName="LastPublishResultLookup" ma:readOnly="true" ma:showField="LastPublishResult"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F948D4D-A57E-4E3F-87E9-0ABE9F2D748E}" ma:internalName="LastPublishAttemptDateLookup" ma:readOnly="true" ma:showField="LastPublishAttemptDat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F948D4D-A57E-4E3F-87E9-0ABE9F2D748E}" ma:internalName="LastPublishedByLookup" ma:readOnly="true" ma:showField="LastPublishedBy"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F948D4D-A57E-4E3F-87E9-0ABE9F2D748E}" ma:internalName="LastPublishTimeLookup" ma:readOnly="true" ma:showField="LastPublishTim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F948D4D-A57E-4E3F-87E9-0ABE9F2D748E}" ma:internalName="LastPublishVersionLookup" ma:readOnly="true" ma:showField="LastPublishVersion"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1EFB310-8154-40EE-A736-2FF11D479763}" ma:internalName="LocLastLocAttemptVersionLookup" ma:readOnly="false" ma:showField="LastLocAttemptVersion" ma:web="905c3888-6285-45d0-bd76-60a9ac2d738c">
      <xsd:simpleType>
        <xsd:restriction base="dms:Lookup"/>
      </xsd:simpleType>
    </xsd:element>
    <xsd:element name="LocLastLocAttemptVersionTypeLookup" ma:index="72" nillable="true" ma:displayName="Loc Last Loc Attempt Version Type" ma:default="" ma:list="{B1EFB310-8154-40EE-A736-2FF11D479763}" ma:internalName="LocLastLocAttemptVersionTypeLookup" ma:readOnly="true" ma:showField="LastLocAttemptVersionType" ma:web="905c3888-6285-45d0-bd76-60a9ac2d738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1EFB310-8154-40EE-A736-2FF11D479763}" ma:internalName="LocNewPublishedVersionLookup" ma:readOnly="true" ma:showField="NewPublishedVersion" ma:web="905c3888-6285-45d0-bd76-60a9ac2d738c">
      <xsd:simpleType>
        <xsd:restriction base="dms:Lookup"/>
      </xsd:simpleType>
    </xsd:element>
    <xsd:element name="LocOverallHandbackStatusLookup" ma:index="76" nillable="true" ma:displayName="Loc Overall Handback Status" ma:default="" ma:list="{B1EFB310-8154-40EE-A736-2FF11D479763}" ma:internalName="LocOverallHandbackStatusLookup" ma:readOnly="true" ma:showField="OverallHandbackStatus" ma:web="905c3888-6285-45d0-bd76-60a9ac2d738c">
      <xsd:simpleType>
        <xsd:restriction base="dms:Lookup"/>
      </xsd:simpleType>
    </xsd:element>
    <xsd:element name="LocOverallLocStatusLookup" ma:index="77" nillable="true" ma:displayName="Loc Overall Localize Status" ma:default="" ma:list="{B1EFB310-8154-40EE-A736-2FF11D479763}" ma:internalName="LocOverallLocStatusLookup" ma:readOnly="true" ma:showField="OverallLocStatus" ma:web="905c3888-6285-45d0-bd76-60a9ac2d738c">
      <xsd:simpleType>
        <xsd:restriction base="dms:Lookup"/>
      </xsd:simpleType>
    </xsd:element>
    <xsd:element name="LocOverallPreviewStatusLookup" ma:index="78" nillable="true" ma:displayName="Loc Overall Preview Status" ma:default="" ma:list="{B1EFB310-8154-40EE-A736-2FF11D479763}" ma:internalName="LocOverallPreviewStatusLookup" ma:readOnly="true" ma:showField="OverallPreviewStatus" ma:web="905c3888-6285-45d0-bd76-60a9ac2d738c">
      <xsd:simpleType>
        <xsd:restriction base="dms:Lookup"/>
      </xsd:simpleType>
    </xsd:element>
    <xsd:element name="LocOverallPublishStatusLookup" ma:index="79" nillable="true" ma:displayName="Loc Overall Publish Status" ma:default="" ma:list="{B1EFB310-8154-40EE-A736-2FF11D479763}" ma:internalName="LocOverallPublishStatusLookup" ma:readOnly="true" ma:showField="OverallPublishStatus" ma:web="905c3888-6285-45d0-bd76-60a9ac2d738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1EFB310-8154-40EE-A736-2FF11D479763}" ma:internalName="LocProcessedForHandoffsLookup" ma:readOnly="true" ma:showField="ProcessedForHandoffs" ma:web="905c3888-6285-45d0-bd76-60a9ac2d738c">
      <xsd:simpleType>
        <xsd:restriction base="dms:Lookup"/>
      </xsd:simpleType>
    </xsd:element>
    <xsd:element name="LocProcessedForMarketsLookup" ma:index="82" nillable="true" ma:displayName="Loc Processed For Markets" ma:default="" ma:list="{B1EFB310-8154-40EE-A736-2FF11D479763}" ma:internalName="LocProcessedForMarketsLookup" ma:readOnly="true" ma:showField="ProcessedForMarkets" ma:web="905c3888-6285-45d0-bd76-60a9ac2d738c">
      <xsd:simpleType>
        <xsd:restriction base="dms:Lookup"/>
      </xsd:simpleType>
    </xsd:element>
    <xsd:element name="LocPublishedDependentAssetsLookup" ma:index="83" nillable="true" ma:displayName="Loc Published Dependent Assets" ma:default="" ma:list="{B1EFB310-8154-40EE-A736-2FF11D479763}" ma:internalName="LocPublishedDependentAssetsLookup" ma:readOnly="true" ma:showField="PublishedDependentAssets" ma:web="905c3888-6285-45d0-bd76-60a9ac2d738c">
      <xsd:simpleType>
        <xsd:restriction base="dms:Lookup"/>
      </xsd:simpleType>
    </xsd:element>
    <xsd:element name="LocPublishedLinkedAssetsLookup" ma:index="84" nillable="true" ma:displayName="Loc Published Linked Assets" ma:default="" ma:list="{B1EFB310-8154-40EE-A736-2FF11D479763}" ma:internalName="LocPublishedLinkedAssetsLookup" ma:readOnly="true" ma:showField="PublishedLinkedAssets" ma:web="905c3888-6285-45d0-bd76-60a9ac2d738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726a1ece-9747-4e7d-9113-bc8295fd2c1d}"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5FC5A58-2851-427E-95B4-AFAF1C73BA4D}" ma:internalName="Markets" ma:readOnly="false" ma:showField="MarketName"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F948D4D-A57E-4E3F-87E9-0ABE9F2D748E}" ma:internalName="NumOfRatingsLookup" ma:readOnly="true" ma:showField="NumOfRatings"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F948D4D-A57E-4E3F-87E9-0ABE9F2D748E}" ma:internalName="PublishStatusLookup" ma:readOnly="false" ma:showField="PublishStatus"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cba8db9d-85f8-47e4-85af-46018813972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72161567-9e55-4761-b65c-3c8149bfc4ca}" ma:internalName="TaxCatchAll" ma:showField="CatchAllData"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72161567-9e55-4761-b65c-3c8149bfc4ca}" ma:internalName="TaxCatchAllLabel" ma:readOnly="true" ma:showField="CatchAllDataLabel" ma:web="905c3888-6285-45d0-bd76-60a9ac2d738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b64b53-fba7-43ca-b952-90e5e74773dd"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0" ma:index="135" nillable="true" ma:displayName="Component" ma:internalName="Component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CD18CD-13F4-472B-B1AB-DDBE2AC449C0}"/>
</file>

<file path=customXml/itemProps2.xml><?xml version="1.0" encoding="utf-8"?>
<ds:datastoreItem xmlns:ds="http://schemas.openxmlformats.org/officeDocument/2006/customXml" ds:itemID="{E8F49177-07E4-4945-8B2E-E6385401DEBD}"/>
</file>

<file path=customXml/itemProps3.xml><?xml version="1.0" encoding="utf-8"?>
<ds:datastoreItem xmlns:ds="http://schemas.openxmlformats.org/officeDocument/2006/customXml" ds:itemID="{F65FB240-15D0-4BB3-BF77-D65500BD5D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如何使用此模板</vt:lpstr>
      <vt:lpstr>学生列表</vt:lpstr>
      <vt:lpstr>八月</vt:lpstr>
      <vt:lpstr>九月</vt:lpstr>
      <vt:lpstr>十月</vt:lpstr>
      <vt:lpstr>十一月</vt:lpstr>
      <vt:lpstr>十二月</vt:lpstr>
      <vt:lpstr>一月</vt:lpstr>
      <vt:lpstr>二月</vt:lpstr>
      <vt:lpstr>三月</vt:lpstr>
      <vt:lpstr>四月</vt:lpstr>
      <vt:lpstr>五月</vt:lpstr>
      <vt:lpstr>六月</vt:lpstr>
      <vt:lpstr>七月</vt:lpstr>
      <vt:lpstr>学生出勤报告</vt:lpstr>
      <vt:lpstr>CalendarYear</vt:lpstr>
      <vt:lpstr>Code1</vt:lpstr>
      <vt:lpstr>Code1Text</vt:lpstr>
      <vt:lpstr>Code2</vt:lpstr>
      <vt:lpstr>Code2Text</vt:lpstr>
      <vt:lpstr>Code3</vt:lpstr>
      <vt:lpstr>Code3Text</vt:lpstr>
      <vt:lpstr>Code4</vt:lpstr>
      <vt:lpstr>Code4Text</vt:lpstr>
      <vt:lpstr>Code5</vt:lpstr>
      <vt:lpstr>Code5Text</vt:lpstr>
      <vt:lpstr>ColorKeyText</vt:lpstr>
      <vt:lpstr>学生列表!Print_Titles</vt:lpstr>
      <vt:lpstr>StudentID</vt:lpstr>
      <vt:lpstr>StudentLookup</vt:lpstr>
      <vt:lpstr>StudentName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Hosek</dc:creator>
  <cp:lastModifiedBy>Nattawut Leelavijit</cp:lastModifiedBy>
  <dcterms:created xsi:type="dcterms:W3CDTF">2011-04-01T16:06:21Z</dcterms:created>
  <dcterms:modified xsi:type="dcterms:W3CDTF">2012-05-30T03:48:14Z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0x0101008D8B3457135D67479991424C624CBB4704002439B9162B2E88498A324BEFF3815221</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