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0A2AD18-6D99-4B77-9A7E-3088D77C0740}" xr6:coauthVersionLast="44" xr6:coauthVersionMax="44" xr10:uidLastSave="{00000000-0000-0000-0000-000000000000}"/>
  <bookViews>
    <workbookView xWindow="-120" yWindow="-120" windowWidth="28980" windowHeight="14415" tabRatio="686" xr2:uid="{00000000-000D-0000-FFFF-FFFF00000000}"/>
  </bookViews>
  <sheets>
    <sheet name="Січень" sheetId="4" r:id="rId1"/>
    <sheet name="Лютий" sheetId="5" r:id="rId2"/>
    <sheet name="Березень" sheetId="17" r:id="rId3"/>
    <sheet name="Квітень" sheetId="18" r:id="rId4"/>
    <sheet name="Травень" sheetId="19" r:id="rId5"/>
    <sheet name="Червень" sheetId="20" r:id="rId6"/>
    <sheet name="Липень" sheetId="21" r:id="rId7"/>
    <sheet name="Серпень" sheetId="22" r:id="rId8"/>
    <sheet name="Вересень" sheetId="23" r:id="rId9"/>
    <sheet name="Жовтень" sheetId="24" r:id="rId10"/>
    <sheet name="Листопад" sheetId="25" r:id="rId11"/>
    <sheet name="Грудень" sheetId="15" r:id="rId12"/>
    <sheet name="Імена працівників" sheetId="16" r:id="rId13"/>
  </sheets>
  <definedNames>
    <definedName name="_xlnm.Print_Titles" localSheetId="2">Березень!$4:$6</definedName>
    <definedName name="_xlnm.Print_Titles" localSheetId="8">Вересень!$4:$6</definedName>
    <definedName name="_xlnm.Print_Titles" localSheetId="11">Грудень!$4:$6</definedName>
    <definedName name="_xlnm.Print_Titles" localSheetId="9">Жовтень!$4:$6</definedName>
    <definedName name="_xlnm.Print_Titles" localSheetId="3">Квітень!$4:$6</definedName>
    <definedName name="_xlnm.Print_Titles" localSheetId="6">Липень!$4:$6</definedName>
    <definedName name="_xlnm.Print_Titles" localSheetId="10">Листопад!$4:$6</definedName>
    <definedName name="_xlnm.Print_Titles" localSheetId="1">Лютий!$4:$6</definedName>
    <definedName name="_xlnm.Print_Titles" localSheetId="7">Серпень!$4:$6</definedName>
    <definedName name="_xlnm.Print_Titles" localSheetId="0">Січень!$4:$6</definedName>
    <definedName name="_xlnm.Print_Titles" localSheetId="4">Травень!$4:$6</definedName>
    <definedName name="_xlnm.Print_Titles" localSheetId="5">Червень!$4:$6</definedName>
    <definedName name="Заголовок_відсутності_працівника">Січень!$B$1</definedName>
    <definedName name="Заголовок1">Січень[[#Headers],[Ім’я працівника]]</definedName>
    <definedName name="Заголовок10">Жовтень[[#Headers],[Ім’я працівника]]</definedName>
    <definedName name="Заголовок11">Листопад[[#Headers],[Ім’я працівника]]</definedName>
    <definedName name="Заголовок12">Грудень[[#Headers],[Ім’я працівника]]</definedName>
    <definedName name="Заголовок2">Лютий[[#Headers],[Ім’я працівника]]</definedName>
    <definedName name="Заголовок3">Березень[[#Headers],[Ім’я працівника]]</definedName>
    <definedName name="Заголовок4">Квітень[[#Headers],[Ім’я працівника]]</definedName>
    <definedName name="Заголовок5">Травень[[#Headers],[Ім’я працівника]]</definedName>
    <definedName name="Заголовок6">Червень[[#Headers],[Ім’я працівника]]</definedName>
    <definedName name="Заголовок7">Липень[[#Headers],[Ім’я працівника]]</definedName>
    <definedName name="Заголовок8">Серпень[[#Headers],[Ім’я працівника]]</definedName>
    <definedName name="Заголовок9">Вересень[[#Headers],[Ім’я працівника]]</definedName>
    <definedName name="ЗаголовокСтовпця13">Ім’яПрацівника[[#Headers],[Імена працівників]]</definedName>
    <definedName name="Назва_умовної_позначки">Січень!$B$2</definedName>
    <definedName name="НазваМісяця" localSheetId="2">Березень!$B$4</definedName>
    <definedName name="НазваМісяця" localSheetId="8">Вересень!$B$4</definedName>
    <definedName name="НазваМісяця" localSheetId="11">Грудень!$B$4</definedName>
    <definedName name="НазваМісяця" localSheetId="9">Жовтень!$B$4</definedName>
    <definedName name="НазваМісяця" localSheetId="3">Квітень!$B$4</definedName>
    <definedName name="НазваМісяця" localSheetId="6">Липень!$B$4</definedName>
    <definedName name="НазваМісяця" localSheetId="10">Листопад!$B$4</definedName>
    <definedName name="НазваМісяця" localSheetId="1">Лютий!$B$4</definedName>
    <definedName name="НазваМісяця" localSheetId="7">Серпень!$B$4</definedName>
    <definedName name="НазваМісяця" localSheetId="0">Січень!$B$4</definedName>
    <definedName name="НазваМісяця" localSheetId="4">Травень!$B$4</definedName>
    <definedName name="НазваМісяця" localSheetId="5">Червень!$B$4</definedName>
    <definedName name="ПідписСпеціальноїУмовноїПозначки1">Січень!$P$2</definedName>
    <definedName name="ПідписСпеціальноїУмовноїПозначки2">Січень!$U$2</definedName>
    <definedName name="ПідписУмовноїПозначкиВідпустка">Січень!$D$2</definedName>
    <definedName name="ПідписУмовноїПозначкиЛікарняне">Січень!$L$2</definedName>
    <definedName name="ПідписУмовноїПозначкиОсобисте">Січень!$H$2</definedName>
    <definedName name="РікКалендаря">Січень!$AH$4</definedName>
    <definedName name="СпеціальнаУмовнаПозначка1">Січень!$O$2</definedName>
    <definedName name="СпеціальнаУмовнаПозначка2">Січень!$T$2</definedName>
    <definedName name="УмовнаПозначкаВідпустка">Січень!$C$2</definedName>
    <definedName name="УмовнаПозначкаЛікарняне">Січень!$K$2</definedName>
    <definedName name="УмовнаПозначкаОсобисте">Січень!$G$2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<sst xmlns="http://schemas.openxmlformats.org/spreadsheetml/2006/main" count="643" uniqueCount="65">
  <si>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Графік відсутності працівників</t>
  </si>
  <si>
    <t>Умовна позначка причини відсутності</t>
  </si>
  <si>
    <t>Січень</t>
  </si>
  <si>
    <t>Ім’я працівника</t>
  </si>
  <si>
    <t>Працівник 1</t>
  </si>
  <si>
    <t>Працівник 2</t>
  </si>
  <si>
    <t>Працівник 3</t>
  </si>
  <si>
    <t>Працівник 4</t>
  </si>
  <si>
    <t>В</t>
  </si>
  <si>
    <t>Дати відсутності</t>
  </si>
  <si>
    <t>1</t>
  </si>
  <si>
    <t>Відпустка</t>
  </si>
  <si>
    <t>2</t>
  </si>
  <si>
    <t>3</t>
  </si>
  <si>
    <t>О</t>
  </si>
  <si>
    <t>4</t>
  </si>
  <si>
    <t>Л</t>
  </si>
  <si>
    <t>5</t>
  </si>
  <si>
    <t>Особисте</t>
  </si>
  <si>
    <t>6</t>
  </si>
  <si>
    <t>7</t>
  </si>
  <si>
    <t>8</t>
  </si>
  <si>
    <t>9</t>
  </si>
  <si>
    <t>Лікарняне</t>
  </si>
  <si>
    <t>10</t>
  </si>
  <si>
    <t>11</t>
  </si>
  <si>
    <t>12</t>
  </si>
  <si>
    <t>Спеціальний 1</t>
  </si>
  <si>
    <t>13</t>
  </si>
  <si>
    <t>14</t>
  </si>
  <si>
    <t>15</t>
  </si>
  <si>
    <t>16</t>
  </si>
  <si>
    <t>Спеціальний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</si>
  <si>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</si>
  <si>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</si>
  <si>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</si>
  <si>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</si>
  <si>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</si>
  <si>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</si>
  <si>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</si>
  <si>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</si>
  <si>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</si>
  <si>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</si>
  <si>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</si>
  <si>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</si>
  <si>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</si>
  <si>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</si>
  <si>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</si>
  <si>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Введіть рік:</t>
  </si>
  <si>
    <t>Усього днів</t>
  </si>
  <si>
    <t>Лютий</t>
  </si>
  <si>
    <t xml:space="preserve"> </t>
  </si>
  <si>
    <t xml:space="preserve">  </t>
  </si>
  <si>
    <t>Березень</t>
  </si>
  <si>
    <t>Квітень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</si>
  <si>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</si>
  <si>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</si>
  <si>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</si>
  <si>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</si>
  <si>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</si>
  <si>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</si>
  <si>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</si>
  <si>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Імена працівників</t>
  </si>
  <si>
    <t>Працівник 5</t>
  </si>
  <si>
    <t>Травень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</si>
</sst>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20% – колірна тема 1" xfId="15" builtinId="30" customBuiltin="1"/>
    <cellStyle name="20% – колірна тема 2" xfId="44" builtinId="34" customBuiltin="1"/>
    <cellStyle name="20% – колірна тема 3" xfId="21" builtinId="38" customBuiltin="1"/>
    <cellStyle name="20% – колірна тема 4" xfId="7" builtinId="42" customBuiltin="1"/>
    <cellStyle name="20% – колірна тема 5" xfId="47" builtinId="46" customBuiltin="1"/>
    <cellStyle name="20% – колірна тема 6" xfId="11" builtinId="50" customBuiltin="1"/>
    <cellStyle name="40% – колірна тема 1" xfId="16" builtinId="31" customBuiltin="1"/>
    <cellStyle name="40% – колірна тема 2" xfId="19" builtinId="35" customBuiltin="1"/>
    <cellStyle name="40% – колірна тема 3" xfId="22" builtinId="39" customBuiltin="1"/>
    <cellStyle name="40% – колірна тема 4" xfId="8" builtinId="43" customBuiltin="1"/>
    <cellStyle name="40% – колірна тема 5" xfId="24" builtinId="47" customBuiltin="1"/>
    <cellStyle name="40% – колірна тема 6" xfId="12" builtinId="51" customBuiltin="1"/>
    <cellStyle name="60% – колірна тема 1" xfId="17" builtinId="32" customBuiltin="1"/>
    <cellStyle name="60% – колірна тема 2" xfId="45" builtinId="36" customBuiltin="1"/>
    <cellStyle name="60% – колірна тема 3" xfId="23" builtinId="40" customBuiltin="1"/>
    <cellStyle name="60% – колірна тема 4" xfId="9" builtinId="44" customBuiltin="1"/>
    <cellStyle name="60% – колірна тема 5" xfId="48" builtinId="48" customBuiltin="1"/>
    <cellStyle name="60% – колірна тема 6" xfId="13" builtinId="52" customBuiltin="1"/>
    <cellStyle name="Ввід" xfId="36" builtinId="20" customBuiltin="1"/>
    <cellStyle name="Відсотковий" xfId="32" builtinId="5" customBuiltin="1"/>
    <cellStyle name="Гарний" xfId="33" builtinId="26" customBuiltin="1"/>
    <cellStyle name="Грошовий" xfId="30" builtinId="4" customBuiltin="1"/>
    <cellStyle name="Грошовий [0]" xfId="31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39" builtinId="24" customBuiltin="1"/>
    <cellStyle name="Колірна тема 1" xfId="14" builtinId="29" customBuiltin="1"/>
    <cellStyle name="Колірна тема 2" xfId="18" builtinId="33" customBuiltin="1"/>
    <cellStyle name="Колірна тема 3" xfId="20" builtinId="37" customBuiltin="1"/>
    <cellStyle name="Колірна тема 4" xfId="6" builtinId="41" customBuiltin="1"/>
    <cellStyle name="Колірна тема 5" xfId="46" builtinId="45" customBuiltin="1"/>
    <cellStyle name="Колірна тема 6" xfId="10" builtinId="49" customBuiltin="1"/>
    <cellStyle name="Контрольна клітинка" xfId="40" builtinId="23" customBuiltin="1"/>
    <cellStyle name="Назва" xfId="1" builtinId="15" customBuiltin="1"/>
    <cellStyle name="Нейтральний" xfId="35" builtinId="28" customBuiltin="1"/>
    <cellStyle name="Обчислення" xfId="38" builtinId="22" customBuiltin="1"/>
    <cellStyle name="Підпис" xfId="27" xr:uid="{00000000-0005-0000-0000-000018000000}"/>
    <cellStyle name="Підсумок" xfId="25" builtinId="25" customBuiltin="1"/>
    <cellStyle name="Поганий" xfId="34" builtinId="27" customBuiltin="1"/>
    <cellStyle name="Працівник" xfId="26" xr:uid="{00000000-0005-0000-0000-000013000000}"/>
    <cellStyle name="Примітка" xfId="42" builtinId="10" customBuiltin="1"/>
    <cellStyle name="Результат" xfId="37" builtinId="21" customBuiltin="1"/>
    <cellStyle name="Текст попередження" xfId="41" builtinId="11" customBuiltin="1"/>
    <cellStyle name="Текст пояснення" xfId="43" builtinId="53" customBuiltin="1"/>
    <cellStyle name="Фінансовий" xfId="28" builtinId="3" customBuiltin="1"/>
    <cellStyle name="Фінансовий [0]" xfId="29" builtinId="6" customBuiltin="1"/>
  </cellStyles>
  <dxfs count="902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Таблиця відсутності працівників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Січень" displayName="Січень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Ім’я працівника" totalsRowFunction="custom" dataDxfId="885" totalsRowDxfId="457" dataCellStyle="Працівник">
      <totalsRowFormula>НазваМісяця&amp;" Підсумок"</totalsRowFormula>
    </tableColumn>
    <tableColumn id="2" xr3:uid="{00000000-0010-0000-0000-000002000000}" name="1" totalsRowFunction="custom" dataDxfId="884" totalsRowDxfId="456">
      <totalsRowFormula>SUBTOTAL(103,Січень!$C$7:$C$11)</totalsRowFormula>
    </tableColumn>
    <tableColumn id="3" xr3:uid="{00000000-0010-0000-0000-000003000000}" name="2" totalsRowFunction="custom" dataDxfId="883" totalsRowDxfId="455">
      <totalsRowFormula>SUBTOTAL(103,Січень!$D$7:$D$11)</totalsRowFormula>
    </tableColumn>
    <tableColumn id="4" xr3:uid="{00000000-0010-0000-0000-000004000000}" name="3" totalsRowFunction="custom" dataDxfId="882" totalsRowDxfId="454">
      <totalsRowFormula>SUBTOTAL(103,Січень!$E$7:$E$11)</totalsRowFormula>
    </tableColumn>
    <tableColumn id="5" xr3:uid="{00000000-0010-0000-0000-000005000000}" name="4" totalsRowFunction="custom" dataDxfId="881" totalsRowDxfId="453">
      <totalsRowFormula>SUBTOTAL(103,Січень!$F$7:$F$11)</totalsRowFormula>
    </tableColumn>
    <tableColumn id="6" xr3:uid="{00000000-0010-0000-0000-000006000000}" name="5" totalsRowFunction="custom" totalsRowDxfId="452">
      <totalsRowFormula>SUBTOTAL(103,Січень!$G$7:$G$11)</totalsRowFormula>
    </tableColumn>
    <tableColumn id="7" xr3:uid="{00000000-0010-0000-0000-000007000000}" name="6" totalsRowFunction="custom" dataDxfId="880" totalsRowDxfId="451">
      <totalsRowFormula>SUBTOTAL(103,Січень!$H$7:$H$11)</totalsRowFormula>
    </tableColumn>
    <tableColumn id="8" xr3:uid="{00000000-0010-0000-0000-000008000000}" name="7" totalsRowFunction="custom" dataDxfId="879" totalsRowDxfId="450">
      <totalsRowFormula>SUBTOTAL(103,Січень!$I$7:$I$11)</totalsRowFormula>
    </tableColumn>
    <tableColumn id="9" xr3:uid="{00000000-0010-0000-0000-000009000000}" name="8" totalsRowFunction="custom" dataDxfId="878" totalsRowDxfId="449">
      <totalsRowFormula>SUBTOTAL(103,Січень!$J$7:$J$11)</totalsRowFormula>
    </tableColumn>
    <tableColumn id="10" xr3:uid="{00000000-0010-0000-0000-00000A000000}" name="9" totalsRowFunction="custom" dataDxfId="877" totalsRowDxfId="448">
      <totalsRowFormula>SUBTOTAL(103,Січень!$K$7:$K$11)</totalsRowFormula>
    </tableColumn>
    <tableColumn id="11" xr3:uid="{00000000-0010-0000-0000-00000B000000}" name="10" totalsRowFunction="custom" dataDxfId="876" totalsRowDxfId="447">
      <totalsRowFormula>SUBTOTAL(103,Січень!$L$7:$L$11)</totalsRowFormula>
    </tableColumn>
    <tableColumn id="12" xr3:uid="{00000000-0010-0000-0000-00000C000000}" name="11" totalsRowFunction="custom" dataDxfId="875" totalsRowDxfId="446">
      <totalsRowFormula>SUBTOTAL(103,Січень!$M$7:$M$11)</totalsRowFormula>
    </tableColumn>
    <tableColumn id="13" xr3:uid="{00000000-0010-0000-0000-00000D000000}" name="12" totalsRowFunction="custom" dataDxfId="874" totalsRowDxfId="445">
      <totalsRowFormula>SUBTOTAL(103,Січень!$N$7:$N$11)</totalsRowFormula>
    </tableColumn>
    <tableColumn id="14" xr3:uid="{00000000-0010-0000-0000-00000E000000}" name="13" totalsRowFunction="custom" dataDxfId="873" totalsRowDxfId="444">
      <totalsRowFormula>SUBTOTAL(103,Січень!$O$7:$O$11)</totalsRowFormula>
    </tableColumn>
    <tableColumn id="15" xr3:uid="{00000000-0010-0000-0000-00000F000000}" name="14" totalsRowFunction="custom" dataDxfId="872" totalsRowDxfId="443">
      <totalsRowFormula>SUBTOTAL(103,Січень!$P$7:$P$11)</totalsRowFormula>
    </tableColumn>
    <tableColumn id="16" xr3:uid="{00000000-0010-0000-0000-000010000000}" name="15" totalsRowFunction="custom" dataDxfId="871" totalsRowDxfId="442">
      <totalsRowFormula>SUBTOTAL(103,Січень!$Q$7:$Q$11)</totalsRowFormula>
    </tableColumn>
    <tableColumn id="17" xr3:uid="{00000000-0010-0000-0000-000011000000}" name="16" totalsRowFunction="custom" dataDxfId="870" totalsRowDxfId="441">
      <totalsRowFormula>SUBTOTAL(103,Січень!$R$7:$R$11)</totalsRowFormula>
    </tableColumn>
    <tableColumn id="18" xr3:uid="{00000000-0010-0000-0000-000012000000}" name="17" totalsRowFunction="custom" dataDxfId="869" totalsRowDxfId="440">
      <totalsRowFormula>SUBTOTAL(103,Січень!$S$7:$S$11)</totalsRowFormula>
    </tableColumn>
    <tableColumn id="19" xr3:uid="{00000000-0010-0000-0000-000013000000}" name="18" totalsRowFunction="custom" dataDxfId="868" totalsRowDxfId="439">
      <totalsRowFormula>SUBTOTAL(103,Січень!$T$7:$T$11)</totalsRowFormula>
    </tableColumn>
    <tableColumn id="20" xr3:uid="{00000000-0010-0000-0000-000014000000}" name="19" totalsRowFunction="custom" dataDxfId="867" totalsRowDxfId="438">
      <totalsRowFormula>SUBTOTAL(103,Січень!$U$7:$U$11)</totalsRowFormula>
    </tableColumn>
    <tableColumn id="21" xr3:uid="{00000000-0010-0000-0000-000015000000}" name="20" totalsRowFunction="custom" dataDxfId="866" totalsRowDxfId="437">
      <totalsRowFormula>SUBTOTAL(103,Січень!$V$7:$V$11)</totalsRowFormula>
    </tableColumn>
    <tableColumn id="22" xr3:uid="{00000000-0010-0000-0000-000016000000}" name="21" totalsRowFunction="custom" dataDxfId="865" totalsRowDxfId="436">
      <totalsRowFormula>SUBTOTAL(103,Січень!$W$7:$W$11)</totalsRowFormula>
    </tableColumn>
    <tableColumn id="23" xr3:uid="{00000000-0010-0000-0000-000017000000}" name="22" totalsRowFunction="custom" dataDxfId="864" totalsRowDxfId="435">
      <totalsRowFormula>SUBTOTAL(103,Січень!$X$7:$X$11)</totalsRowFormula>
    </tableColumn>
    <tableColumn id="24" xr3:uid="{00000000-0010-0000-0000-000018000000}" name="23" totalsRowFunction="custom" dataDxfId="863" totalsRowDxfId="434">
      <totalsRowFormula>SUBTOTAL(103,Січень!$Y$7:$Y$11)</totalsRowFormula>
    </tableColumn>
    <tableColumn id="25" xr3:uid="{00000000-0010-0000-0000-000019000000}" name="24" totalsRowFunction="custom" dataDxfId="862" totalsRowDxfId="433">
      <totalsRowFormula>SUBTOTAL(103,Січень!$Z$7:$Z$11)</totalsRowFormula>
    </tableColumn>
    <tableColumn id="26" xr3:uid="{00000000-0010-0000-0000-00001A000000}" name="25" totalsRowFunction="custom" dataDxfId="861" totalsRowDxfId="432">
      <totalsRowFormula>SUBTOTAL(103,Січень!$AA$7:$AA$11)</totalsRowFormula>
    </tableColumn>
    <tableColumn id="27" xr3:uid="{00000000-0010-0000-0000-00001B000000}" name="26" totalsRowFunction="custom" dataDxfId="860" totalsRowDxfId="431">
      <totalsRowFormula>SUBTOTAL(103,Січень!$AB$7:$AB$11)</totalsRowFormula>
    </tableColumn>
    <tableColumn id="28" xr3:uid="{00000000-0010-0000-0000-00001C000000}" name="27" totalsRowFunction="custom" dataDxfId="859" totalsRowDxfId="430">
      <totalsRowFormula>SUBTOTAL(103,Січень!$AC$7:$AC$11)</totalsRowFormula>
    </tableColumn>
    <tableColumn id="29" xr3:uid="{00000000-0010-0000-0000-00001D000000}" name="28" totalsRowFunction="custom" dataDxfId="858" totalsRowDxfId="429">
      <totalsRowFormula>SUBTOTAL(103,Січень!$AD$7:$AD$11)</totalsRowFormula>
    </tableColumn>
    <tableColumn id="30" xr3:uid="{00000000-0010-0000-0000-00001E000000}" name="29" totalsRowFunction="custom" dataDxfId="857" totalsRowDxfId="428">
      <totalsRowFormula>SUBTOTAL(103,Січень!$AE$7:$AE$11)</totalsRowFormula>
    </tableColumn>
    <tableColumn id="31" xr3:uid="{00000000-0010-0000-0000-00001F000000}" name="30" totalsRowFunction="custom" dataDxfId="856" totalsRowDxfId="427">
      <totalsRowFormula>SUBTOTAL(103,Січень!$AF$7:$AF$11)</totalsRowFormula>
    </tableColumn>
    <tableColumn id="32" xr3:uid="{00000000-0010-0000-0000-000020000000}" name="31" totalsRowFunction="custom" dataDxfId="855" totalsRowDxfId="426">
      <totalsRowFormula>SUBTOTAL(103,Січень!$AG$7:$AG$11)</totalsRowFormula>
    </tableColumn>
    <tableColumn id="33" xr3:uid="{00000000-0010-0000-0000-000021000000}" name="Усього днів" totalsRowFunction="sum" dataDxfId="854" totalsRowDxfId="425">
      <calculatedColumnFormula>COUNTA(Січень!$C7:$AG7)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Жовтень" displayName="Жовтень" ref="B6:AH12" totalsRowCount="1" headerRowDxfId="565" dataDxfId="564" totalsRowDxfId="563">
  <tableColumns count="33">
    <tableColumn id="1" xr3:uid="{00000000-0010-0000-0900-000001000000}" name="Ім’я працівника" totalsRowFunction="custom" dataDxfId="562" totalsRowDxfId="160" dataCellStyle="Працівник">
      <totalsRowFormula>НазваМісяця&amp;" Підсумок"</totalsRowFormula>
    </tableColumn>
    <tableColumn id="2" xr3:uid="{00000000-0010-0000-0900-000002000000}" name="1" totalsRowFunction="count" dataDxfId="561" totalsRowDxfId="159"/>
    <tableColumn id="3" xr3:uid="{00000000-0010-0000-0900-000003000000}" name="2" totalsRowFunction="count" dataDxfId="560" totalsRowDxfId="158"/>
    <tableColumn id="4" xr3:uid="{00000000-0010-0000-0900-000004000000}" name="3" totalsRowFunction="count" dataDxfId="559" totalsRowDxfId="157"/>
    <tableColumn id="5" xr3:uid="{00000000-0010-0000-0900-000005000000}" name="4" totalsRowFunction="count" dataDxfId="558" totalsRowDxfId="156"/>
    <tableColumn id="6" xr3:uid="{00000000-0010-0000-0900-000006000000}" name="5" totalsRowFunction="count" dataDxfId="557" totalsRowDxfId="155"/>
    <tableColumn id="7" xr3:uid="{00000000-0010-0000-0900-000007000000}" name="6" totalsRowFunction="count" dataDxfId="556" totalsRowDxfId="154"/>
    <tableColumn id="8" xr3:uid="{00000000-0010-0000-0900-000008000000}" name="7" totalsRowFunction="count" dataDxfId="555" totalsRowDxfId="153"/>
    <tableColumn id="9" xr3:uid="{00000000-0010-0000-0900-000009000000}" name="8" totalsRowFunction="count" dataDxfId="554" totalsRowDxfId="152"/>
    <tableColumn id="10" xr3:uid="{00000000-0010-0000-0900-00000A000000}" name="9" totalsRowFunction="count" dataDxfId="553" totalsRowDxfId="151"/>
    <tableColumn id="11" xr3:uid="{00000000-0010-0000-0900-00000B000000}" name="10" totalsRowFunction="count" dataDxfId="552" totalsRowDxfId="150"/>
    <tableColumn id="12" xr3:uid="{00000000-0010-0000-0900-00000C000000}" name="11" totalsRowFunction="count" dataDxfId="551" totalsRowDxfId="149"/>
    <tableColumn id="13" xr3:uid="{00000000-0010-0000-0900-00000D000000}" name="12" totalsRowFunction="count" dataDxfId="550" totalsRowDxfId="148"/>
    <tableColumn id="14" xr3:uid="{00000000-0010-0000-0900-00000E000000}" name="13" totalsRowFunction="count" dataDxfId="549" totalsRowDxfId="147"/>
    <tableColumn id="15" xr3:uid="{00000000-0010-0000-0900-00000F000000}" name="14" totalsRowFunction="count" dataDxfId="548" totalsRowDxfId="146"/>
    <tableColumn id="16" xr3:uid="{00000000-0010-0000-0900-000010000000}" name="15" totalsRowFunction="count" dataDxfId="547" totalsRowDxfId="145"/>
    <tableColumn id="17" xr3:uid="{00000000-0010-0000-0900-000011000000}" name="16" totalsRowFunction="count" dataDxfId="546" totalsRowDxfId="144"/>
    <tableColumn id="18" xr3:uid="{00000000-0010-0000-0900-000012000000}" name="17" totalsRowFunction="count" dataDxfId="545" totalsRowDxfId="143"/>
    <tableColumn id="19" xr3:uid="{00000000-0010-0000-0900-000013000000}" name="18" totalsRowFunction="count" dataDxfId="544" totalsRowDxfId="142"/>
    <tableColumn id="20" xr3:uid="{00000000-0010-0000-0900-000014000000}" name="19" totalsRowFunction="count" dataDxfId="543" totalsRowDxfId="141"/>
    <tableColumn id="21" xr3:uid="{00000000-0010-0000-0900-000015000000}" name="20" totalsRowFunction="count" dataDxfId="542" totalsRowDxfId="140"/>
    <tableColumn id="22" xr3:uid="{00000000-0010-0000-0900-000016000000}" name="21" totalsRowFunction="count" dataDxfId="541" totalsRowDxfId="139"/>
    <tableColumn id="23" xr3:uid="{00000000-0010-0000-0900-000017000000}" name="22" totalsRowFunction="count" dataDxfId="540" totalsRowDxfId="138"/>
    <tableColumn id="24" xr3:uid="{00000000-0010-0000-0900-000018000000}" name="23" totalsRowFunction="count" dataDxfId="539" totalsRowDxfId="137"/>
    <tableColumn id="25" xr3:uid="{00000000-0010-0000-0900-000019000000}" name="24" totalsRowFunction="count" dataDxfId="538" totalsRowDxfId="136"/>
    <tableColumn id="26" xr3:uid="{00000000-0010-0000-0900-00001A000000}" name="25" totalsRowFunction="count" dataDxfId="537" totalsRowDxfId="135"/>
    <tableColumn id="27" xr3:uid="{00000000-0010-0000-0900-00001B000000}" name="26" totalsRowFunction="count" dataDxfId="536" totalsRowDxfId="134"/>
    <tableColumn id="28" xr3:uid="{00000000-0010-0000-0900-00001C000000}" name="27" totalsRowFunction="count" dataDxfId="535" totalsRowDxfId="133"/>
    <tableColumn id="29" xr3:uid="{00000000-0010-0000-0900-00001D000000}" name="28" totalsRowFunction="count" dataDxfId="534" totalsRowDxfId="132"/>
    <tableColumn id="30" xr3:uid="{00000000-0010-0000-0900-00001E000000}" name="29" totalsRowFunction="count" dataDxfId="533" totalsRowDxfId="131"/>
    <tableColumn id="31" xr3:uid="{00000000-0010-0000-0900-00001F000000}" name="30" totalsRowFunction="count" dataDxfId="532" totalsRowDxfId="130"/>
    <tableColumn id="32" xr3:uid="{00000000-0010-0000-0900-000020000000}" name="31" totalsRowFunction="count" dataDxfId="531" totalsRowDxfId="129"/>
    <tableColumn id="33" xr3:uid="{00000000-0010-0000-0900-000021000000}" name="Усього днів" totalsRowFunction="sum" dataDxfId="530" totalsRowDxfId="128">
      <calculatedColumnFormula>COUNTA(Жовтень[[#This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Листопад" displayName="Листопад" ref="B6:AH12" totalsRowCount="1" headerRowDxfId="529" dataDxfId="528" totalsRowDxfId="527">
  <tableColumns count="33">
    <tableColumn id="1" xr3:uid="{00000000-0010-0000-0A00-000001000000}" name="Ім’я працівника" totalsRowFunction="custom" dataDxfId="526" totalsRowDxfId="127" dataCellStyle="Працівник">
      <totalsRowFormula>НазваМісяця&amp;" Підсумок"</totalsRowFormula>
    </tableColumn>
    <tableColumn id="2" xr3:uid="{00000000-0010-0000-0A00-000002000000}" name="1" totalsRowFunction="count" dataDxfId="525" totalsRowDxfId="126"/>
    <tableColumn id="3" xr3:uid="{00000000-0010-0000-0A00-000003000000}" name="2" totalsRowFunction="count" dataDxfId="524" totalsRowDxfId="125"/>
    <tableColumn id="4" xr3:uid="{00000000-0010-0000-0A00-000004000000}" name="3" totalsRowFunction="count" dataDxfId="523" totalsRowDxfId="124"/>
    <tableColumn id="5" xr3:uid="{00000000-0010-0000-0A00-000005000000}" name="4" totalsRowFunction="count" dataDxfId="522" totalsRowDxfId="123"/>
    <tableColumn id="6" xr3:uid="{00000000-0010-0000-0A00-000006000000}" name="5" totalsRowFunction="count" dataDxfId="521" totalsRowDxfId="122"/>
    <tableColumn id="7" xr3:uid="{00000000-0010-0000-0A00-000007000000}" name="6" totalsRowFunction="count" dataDxfId="520" totalsRowDxfId="121"/>
    <tableColumn id="8" xr3:uid="{00000000-0010-0000-0A00-000008000000}" name="7" totalsRowFunction="count" dataDxfId="519" totalsRowDxfId="120"/>
    <tableColumn id="9" xr3:uid="{00000000-0010-0000-0A00-000009000000}" name="8" totalsRowFunction="count" dataDxfId="518" totalsRowDxfId="119"/>
    <tableColumn id="10" xr3:uid="{00000000-0010-0000-0A00-00000A000000}" name="9" totalsRowFunction="count" dataDxfId="517" totalsRowDxfId="118"/>
    <tableColumn id="11" xr3:uid="{00000000-0010-0000-0A00-00000B000000}" name="10" totalsRowFunction="count" dataDxfId="516" totalsRowDxfId="117"/>
    <tableColumn id="12" xr3:uid="{00000000-0010-0000-0A00-00000C000000}" name="11" totalsRowFunction="count" dataDxfId="515" totalsRowDxfId="116"/>
    <tableColumn id="13" xr3:uid="{00000000-0010-0000-0A00-00000D000000}" name="12" totalsRowFunction="count" dataDxfId="514" totalsRowDxfId="115"/>
    <tableColumn id="14" xr3:uid="{00000000-0010-0000-0A00-00000E000000}" name="13" totalsRowFunction="count" dataDxfId="513" totalsRowDxfId="114"/>
    <tableColumn id="15" xr3:uid="{00000000-0010-0000-0A00-00000F000000}" name="14" totalsRowFunction="count" dataDxfId="512" totalsRowDxfId="113"/>
    <tableColumn id="16" xr3:uid="{00000000-0010-0000-0A00-000010000000}" name="15" totalsRowFunction="count" dataDxfId="511" totalsRowDxfId="112"/>
    <tableColumn id="17" xr3:uid="{00000000-0010-0000-0A00-000011000000}" name="16" totalsRowFunction="count" dataDxfId="510" totalsRowDxfId="111"/>
    <tableColumn id="18" xr3:uid="{00000000-0010-0000-0A00-000012000000}" name="17" totalsRowFunction="count" dataDxfId="509" totalsRowDxfId="110"/>
    <tableColumn id="19" xr3:uid="{00000000-0010-0000-0A00-000013000000}" name="18" totalsRowFunction="count" dataDxfId="508" totalsRowDxfId="109"/>
    <tableColumn id="20" xr3:uid="{00000000-0010-0000-0A00-000014000000}" name="19" totalsRowFunction="count" dataDxfId="507" totalsRowDxfId="108"/>
    <tableColumn id="21" xr3:uid="{00000000-0010-0000-0A00-000015000000}" name="20" totalsRowFunction="count" dataDxfId="506" totalsRowDxfId="107"/>
    <tableColumn id="22" xr3:uid="{00000000-0010-0000-0A00-000016000000}" name="21" totalsRowFunction="count" dataDxfId="505" totalsRowDxfId="106"/>
    <tableColumn id="23" xr3:uid="{00000000-0010-0000-0A00-000017000000}" name="22" totalsRowFunction="count" dataDxfId="504" totalsRowDxfId="105"/>
    <tableColumn id="24" xr3:uid="{00000000-0010-0000-0A00-000018000000}" name="23" totalsRowFunction="count" dataDxfId="503" totalsRowDxfId="104"/>
    <tableColumn id="25" xr3:uid="{00000000-0010-0000-0A00-000019000000}" name="24" totalsRowFunction="count" dataDxfId="502" totalsRowDxfId="103"/>
    <tableColumn id="26" xr3:uid="{00000000-0010-0000-0A00-00001A000000}" name="25" totalsRowFunction="count" dataDxfId="501" totalsRowDxfId="102"/>
    <tableColumn id="27" xr3:uid="{00000000-0010-0000-0A00-00001B000000}" name="26" totalsRowFunction="count" dataDxfId="500" totalsRowDxfId="101"/>
    <tableColumn id="28" xr3:uid="{00000000-0010-0000-0A00-00001C000000}" name="27" totalsRowFunction="count" dataDxfId="499" totalsRowDxfId="100"/>
    <tableColumn id="29" xr3:uid="{00000000-0010-0000-0A00-00001D000000}" name="28" totalsRowFunction="count" dataDxfId="498" totalsRowDxfId="99"/>
    <tableColumn id="30" xr3:uid="{00000000-0010-0000-0A00-00001E000000}" name="29" totalsRowFunction="count" dataDxfId="497" totalsRowDxfId="98"/>
    <tableColumn id="31" xr3:uid="{00000000-0010-0000-0A00-00001F000000}" name="30" totalsRowFunction="count" dataDxfId="496" totalsRowDxfId="97"/>
    <tableColumn id="32" xr3:uid="{00000000-0010-0000-0A00-000020000000}" name=" " totalsRowFunction="count" dataDxfId="495" totalsRowDxfId="96"/>
    <tableColumn id="33" xr3:uid="{00000000-0010-0000-0A00-000021000000}" name="Усього днів" totalsRowFunction="sum" dataDxfId="494" totalsRowDxfId="95">
      <calculatedColumnFormula>COUNTA(Листопад[[#This Row],[1]:[30]])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Грудень" displayName="Грудень" ref="B6:AH12" totalsRowCount="1" headerRowDxfId="493" dataDxfId="492" totalsRowDxfId="491">
  <tableColumns count="33">
    <tableColumn id="1" xr3:uid="{00000000-0010-0000-0B00-000001000000}" name="Ім’я працівника" totalsRowFunction="custom" dataDxfId="490" totalsRowDxfId="94" dataCellStyle="Працівник">
      <totalsRowFormula>НазваМісяця&amp;" Підсумок"</totalsRowFormula>
    </tableColumn>
    <tableColumn id="2" xr3:uid="{00000000-0010-0000-0B00-000002000000}" name="1" totalsRowFunction="count" dataDxfId="489" totalsRowDxfId="93"/>
    <tableColumn id="3" xr3:uid="{00000000-0010-0000-0B00-000003000000}" name="2" totalsRowFunction="count" dataDxfId="488" totalsRowDxfId="92"/>
    <tableColumn id="4" xr3:uid="{00000000-0010-0000-0B00-000004000000}" name="3" totalsRowFunction="count" dataDxfId="487" totalsRowDxfId="91"/>
    <tableColumn id="5" xr3:uid="{00000000-0010-0000-0B00-000005000000}" name="4" totalsRowFunction="count" dataDxfId="486" totalsRowDxfId="90"/>
    <tableColumn id="6" xr3:uid="{00000000-0010-0000-0B00-000006000000}" name="5" totalsRowFunction="count" dataDxfId="485" totalsRowDxfId="89"/>
    <tableColumn id="7" xr3:uid="{00000000-0010-0000-0B00-000007000000}" name="6" totalsRowFunction="count" dataDxfId="484" totalsRowDxfId="88"/>
    <tableColumn id="8" xr3:uid="{00000000-0010-0000-0B00-000008000000}" name="7" totalsRowFunction="count" dataDxfId="483" totalsRowDxfId="87"/>
    <tableColumn id="9" xr3:uid="{00000000-0010-0000-0B00-000009000000}" name="8" totalsRowFunction="count" dataDxfId="482" totalsRowDxfId="86"/>
    <tableColumn id="10" xr3:uid="{00000000-0010-0000-0B00-00000A000000}" name="9" totalsRowFunction="count" dataDxfId="481" totalsRowDxfId="85"/>
    <tableColumn id="11" xr3:uid="{00000000-0010-0000-0B00-00000B000000}" name="10" totalsRowFunction="count" dataDxfId="480" totalsRowDxfId="84"/>
    <tableColumn id="12" xr3:uid="{00000000-0010-0000-0B00-00000C000000}" name="11" totalsRowFunction="count" dataDxfId="479" totalsRowDxfId="83"/>
    <tableColumn id="13" xr3:uid="{00000000-0010-0000-0B00-00000D000000}" name="12" totalsRowFunction="count" dataDxfId="478" totalsRowDxfId="82"/>
    <tableColumn id="14" xr3:uid="{00000000-0010-0000-0B00-00000E000000}" name="13" totalsRowFunction="count" dataDxfId="477" totalsRowDxfId="81"/>
    <tableColumn id="15" xr3:uid="{00000000-0010-0000-0B00-00000F000000}" name="14" totalsRowFunction="count" dataDxfId="476" totalsRowDxfId="80"/>
    <tableColumn id="16" xr3:uid="{00000000-0010-0000-0B00-000010000000}" name="15" totalsRowFunction="count" dataDxfId="475" totalsRowDxfId="79"/>
    <tableColumn id="17" xr3:uid="{00000000-0010-0000-0B00-000011000000}" name="16" totalsRowFunction="count" dataDxfId="474" totalsRowDxfId="78"/>
    <tableColumn id="18" xr3:uid="{00000000-0010-0000-0B00-000012000000}" name="17" totalsRowFunction="count" dataDxfId="473" totalsRowDxfId="77"/>
    <tableColumn id="19" xr3:uid="{00000000-0010-0000-0B00-000013000000}" name="18" totalsRowFunction="count" dataDxfId="472" totalsRowDxfId="76"/>
    <tableColumn id="20" xr3:uid="{00000000-0010-0000-0B00-000014000000}" name="19" totalsRowFunction="count" dataDxfId="471" totalsRowDxfId="75"/>
    <tableColumn id="21" xr3:uid="{00000000-0010-0000-0B00-000015000000}" name="20" totalsRowFunction="count" dataDxfId="470" totalsRowDxfId="74"/>
    <tableColumn id="22" xr3:uid="{00000000-0010-0000-0B00-000016000000}" name="21" totalsRowFunction="count" dataDxfId="469" totalsRowDxfId="73"/>
    <tableColumn id="23" xr3:uid="{00000000-0010-0000-0B00-000017000000}" name="22" totalsRowFunction="count" dataDxfId="468" totalsRowDxfId="72"/>
    <tableColumn id="24" xr3:uid="{00000000-0010-0000-0B00-000018000000}" name="23" totalsRowFunction="count" dataDxfId="467" totalsRowDxfId="71"/>
    <tableColumn id="25" xr3:uid="{00000000-0010-0000-0B00-000019000000}" name="24" totalsRowFunction="count" dataDxfId="466" totalsRowDxfId="70"/>
    <tableColumn id="26" xr3:uid="{00000000-0010-0000-0B00-00001A000000}" name="25" totalsRowFunction="count" dataDxfId="465" totalsRowDxfId="69"/>
    <tableColumn id="27" xr3:uid="{00000000-0010-0000-0B00-00001B000000}" name="26" totalsRowFunction="count" dataDxfId="464" totalsRowDxfId="68"/>
    <tableColumn id="28" xr3:uid="{00000000-0010-0000-0B00-00001C000000}" name="27" totalsRowFunction="count" dataDxfId="463" totalsRowDxfId="67"/>
    <tableColumn id="29" xr3:uid="{00000000-0010-0000-0B00-00001D000000}" name="28" totalsRowFunction="count" dataDxfId="462" totalsRowDxfId="66"/>
    <tableColumn id="30" xr3:uid="{00000000-0010-0000-0B00-00001E000000}" name="29" totalsRowFunction="count" dataDxfId="461" totalsRowDxfId="65"/>
    <tableColumn id="31" xr3:uid="{00000000-0010-0000-0B00-00001F000000}" name="30" totalsRowFunction="count" dataDxfId="460" totalsRowDxfId="64"/>
    <tableColumn id="32" xr3:uid="{00000000-0010-0000-0B00-000020000000}" name="31" totalsRowFunction="count" dataDxfId="459" totalsRowDxfId="63"/>
    <tableColumn id="33" xr3:uid="{00000000-0010-0000-0B00-000021000000}" name="Усього днів" totalsRowFunction="sum" dataDxfId="458" totalsRowDxfId="62">
      <calculatedColumnFormula>COUNTA(Грудень[[#This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Тут міститься список імен і календарні дати, щоб позначати відсутність працівників і причину такої відсутності, як-от В = відпустка, Л = лікарняний, О = особисті причини, а також два покажчика місця заповнення для настроюваних записів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Ім’яПрацівника" displayName="Ім’яПрацівника" ref="B3:B8" totalsRowShown="0">
  <autoFilter ref="B3:B8" xr:uid="{00000000-0009-0000-0100-00000D000000}"/>
  <tableColumns count="1">
    <tableColumn id="1" xr3:uid="{00000000-0010-0000-0C00-000001000000}" name="Імена працівників" dataCellStyle="Працівник"/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Введіть імена працівників у цій таблиці. Вони використовуються в стовпці В графіка відсутності за кожен місяць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Лютий" displayName="Лютий" ref="B6:AH12" totalsRowCount="1" headerRowDxfId="853" dataDxfId="852" totalsRowDxfId="851">
  <tableColumns count="33">
    <tableColumn id="1" xr3:uid="{00000000-0010-0000-0100-000001000000}" name="Ім’я працівника" totalsRowFunction="custom" dataDxfId="850" totalsRowDxfId="424" dataCellStyle="Працівник">
      <totalsRowFormula>НазваМісяця&amp;" Підсумок"</totalsRowFormula>
    </tableColumn>
    <tableColumn id="2" xr3:uid="{00000000-0010-0000-0100-000002000000}" name="1" totalsRowFunction="count" dataDxfId="849" totalsRowDxfId="423"/>
    <tableColumn id="3" xr3:uid="{00000000-0010-0000-0100-000003000000}" name="2" totalsRowFunction="count" dataDxfId="848" totalsRowDxfId="422"/>
    <tableColumn id="4" xr3:uid="{00000000-0010-0000-0100-000004000000}" name="3" totalsRowFunction="count" dataDxfId="847" totalsRowDxfId="421"/>
    <tableColumn id="5" xr3:uid="{00000000-0010-0000-0100-000005000000}" name="4" totalsRowFunction="count" dataDxfId="846" totalsRowDxfId="420"/>
    <tableColumn id="6" xr3:uid="{00000000-0010-0000-0100-000006000000}" name="5" totalsRowFunction="count" dataDxfId="845" totalsRowDxfId="419"/>
    <tableColumn id="7" xr3:uid="{00000000-0010-0000-0100-000007000000}" name="6" totalsRowFunction="count" dataDxfId="844" totalsRowDxfId="418"/>
    <tableColumn id="8" xr3:uid="{00000000-0010-0000-0100-000008000000}" name="7" totalsRowFunction="count" dataDxfId="843" totalsRowDxfId="417"/>
    <tableColumn id="9" xr3:uid="{00000000-0010-0000-0100-000009000000}" name="8" totalsRowFunction="count" dataDxfId="842" totalsRowDxfId="416"/>
    <tableColumn id="10" xr3:uid="{00000000-0010-0000-0100-00000A000000}" name="9" totalsRowFunction="count" dataDxfId="841" totalsRowDxfId="415"/>
    <tableColumn id="11" xr3:uid="{00000000-0010-0000-0100-00000B000000}" name="10" totalsRowFunction="count" dataDxfId="840" totalsRowDxfId="414"/>
    <tableColumn id="12" xr3:uid="{00000000-0010-0000-0100-00000C000000}" name="11" totalsRowFunction="count" dataDxfId="839" totalsRowDxfId="413"/>
    <tableColumn id="13" xr3:uid="{00000000-0010-0000-0100-00000D000000}" name="12" totalsRowFunction="count" dataDxfId="838" totalsRowDxfId="412"/>
    <tableColumn id="14" xr3:uid="{00000000-0010-0000-0100-00000E000000}" name="13" totalsRowFunction="count" dataDxfId="837" totalsRowDxfId="411"/>
    <tableColumn id="15" xr3:uid="{00000000-0010-0000-0100-00000F000000}" name="14" totalsRowFunction="count" dataDxfId="836" totalsRowDxfId="410"/>
    <tableColumn id="16" xr3:uid="{00000000-0010-0000-0100-000010000000}" name="15" totalsRowFunction="count" dataDxfId="835" totalsRowDxfId="409"/>
    <tableColumn id="17" xr3:uid="{00000000-0010-0000-0100-000011000000}" name="16" totalsRowFunction="count" dataDxfId="834" totalsRowDxfId="408"/>
    <tableColumn id="18" xr3:uid="{00000000-0010-0000-0100-000012000000}" name="17" totalsRowFunction="count" dataDxfId="833" totalsRowDxfId="407"/>
    <tableColumn id="19" xr3:uid="{00000000-0010-0000-0100-000013000000}" name="18" totalsRowFunction="count" dataDxfId="832" totalsRowDxfId="406"/>
    <tableColumn id="20" xr3:uid="{00000000-0010-0000-0100-000014000000}" name="19" totalsRowFunction="count" dataDxfId="831" totalsRowDxfId="405"/>
    <tableColumn id="21" xr3:uid="{00000000-0010-0000-0100-000015000000}" name="20" totalsRowFunction="count" dataDxfId="830" totalsRowDxfId="404"/>
    <tableColumn id="22" xr3:uid="{00000000-0010-0000-0100-000016000000}" name="21" totalsRowFunction="count" dataDxfId="829" totalsRowDxfId="403"/>
    <tableColumn id="23" xr3:uid="{00000000-0010-0000-0100-000017000000}" name="22" totalsRowFunction="count" dataDxfId="828" totalsRowDxfId="402"/>
    <tableColumn id="24" xr3:uid="{00000000-0010-0000-0100-000018000000}" name="23" totalsRowFunction="count" dataDxfId="827" totalsRowDxfId="401"/>
    <tableColumn id="25" xr3:uid="{00000000-0010-0000-0100-000019000000}" name="24" totalsRowFunction="count" dataDxfId="826" totalsRowDxfId="400"/>
    <tableColumn id="26" xr3:uid="{00000000-0010-0000-0100-00001A000000}" name="25" totalsRowFunction="count" dataDxfId="825" totalsRowDxfId="399"/>
    <tableColumn id="27" xr3:uid="{00000000-0010-0000-0100-00001B000000}" name="26" totalsRowFunction="count" dataDxfId="824" totalsRowDxfId="398"/>
    <tableColumn id="28" xr3:uid="{00000000-0010-0000-0100-00001C000000}" name="27" totalsRowFunction="count" dataDxfId="823" totalsRowDxfId="397"/>
    <tableColumn id="29" xr3:uid="{00000000-0010-0000-0100-00001D000000}" name="28" totalsRowFunction="count" dataDxfId="822" totalsRowDxfId="396"/>
    <tableColumn id="30" xr3:uid="{00000000-0010-0000-0100-00001E000000}" name="29" totalsRowFunction="count" dataDxfId="821" totalsRowDxfId="395"/>
    <tableColumn id="31" xr3:uid="{00000000-0010-0000-0100-00001F000000}" name=" " dataDxfId="820" totalsRowDxfId="394"/>
    <tableColumn id="32" xr3:uid="{00000000-0010-0000-0100-000020000000}" name="  " dataDxfId="819" totalsRowDxfId="393"/>
    <tableColumn id="33" xr3:uid="{00000000-0010-0000-0100-000021000000}" name="Усього днів" totalsRowFunction="sum" dataDxfId="818" totalsRowDxfId="392">
      <calculatedColumnFormula>COUNTA(Лютий[[#This Row],[1]:[29]])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Березень" displayName="Березень" ref="B6:AH12" totalsRowCount="1" headerRowDxfId="817" dataDxfId="816" totalsRowDxfId="815">
  <tableColumns count="33">
    <tableColumn id="1" xr3:uid="{00000000-0010-0000-0200-000001000000}" name="Ім’я працівника" totalsRowFunction="custom" dataDxfId="814" totalsRowDxfId="391" dataCellStyle="Працівник">
      <totalsRowFormula>НазваМісяця&amp;" Підсумок"</totalsRowFormula>
    </tableColumn>
    <tableColumn id="2" xr3:uid="{00000000-0010-0000-0200-000002000000}" name="1" totalsRowFunction="count" dataDxfId="813" totalsRowDxfId="390"/>
    <tableColumn id="3" xr3:uid="{00000000-0010-0000-0200-000003000000}" name="2" totalsRowFunction="count" dataDxfId="812" totalsRowDxfId="389"/>
    <tableColumn id="4" xr3:uid="{00000000-0010-0000-0200-000004000000}" name="3" totalsRowFunction="count" dataDxfId="811" totalsRowDxfId="388"/>
    <tableColumn id="5" xr3:uid="{00000000-0010-0000-0200-000005000000}" name="4" totalsRowFunction="count" dataDxfId="810" totalsRowDxfId="387"/>
    <tableColumn id="6" xr3:uid="{00000000-0010-0000-0200-000006000000}" name="5" totalsRowFunction="count" dataDxfId="809" totalsRowDxfId="386"/>
    <tableColumn id="7" xr3:uid="{00000000-0010-0000-0200-000007000000}" name="6" totalsRowFunction="count" dataDxfId="808" totalsRowDxfId="385"/>
    <tableColumn id="8" xr3:uid="{00000000-0010-0000-0200-000008000000}" name="7" totalsRowFunction="count" dataDxfId="807" totalsRowDxfId="384"/>
    <tableColumn id="9" xr3:uid="{00000000-0010-0000-0200-000009000000}" name="8" totalsRowFunction="count" dataDxfId="806" totalsRowDxfId="383"/>
    <tableColumn id="10" xr3:uid="{00000000-0010-0000-0200-00000A000000}" name="9" totalsRowFunction="count" dataDxfId="805" totalsRowDxfId="382"/>
    <tableColumn id="11" xr3:uid="{00000000-0010-0000-0200-00000B000000}" name="10" totalsRowFunction="count" dataDxfId="804" totalsRowDxfId="381"/>
    <tableColumn id="12" xr3:uid="{00000000-0010-0000-0200-00000C000000}" name="11" totalsRowFunction="count" dataDxfId="803" totalsRowDxfId="380"/>
    <tableColumn id="13" xr3:uid="{00000000-0010-0000-0200-00000D000000}" name="12" totalsRowFunction="count" dataDxfId="802" totalsRowDxfId="379"/>
    <tableColumn id="14" xr3:uid="{00000000-0010-0000-0200-00000E000000}" name="13" totalsRowFunction="count" dataDxfId="801" totalsRowDxfId="378"/>
    <tableColumn id="15" xr3:uid="{00000000-0010-0000-0200-00000F000000}" name="14" totalsRowFunction="count" dataDxfId="800" totalsRowDxfId="377"/>
    <tableColumn id="16" xr3:uid="{00000000-0010-0000-0200-000010000000}" name="15" totalsRowFunction="count" dataDxfId="799" totalsRowDxfId="376"/>
    <tableColumn id="17" xr3:uid="{00000000-0010-0000-0200-000011000000}" name="16" totalsRowFunction="count" dataDxfId="798" totalsRowDxfId="375"/>
    <tableColumn id="18" xr3:uid="{00000000-0010-0000-0200-000012000000}" name="17" totalsRowFunction="count" dataDxfId="797" totalsRowDxfId="374"/>
    <tableColumn id="19" xr3:uid="{00000000-0010-0000-0200-000013000000}" name="18" totalsRowFunction="count" dataDxfId="796" totalsRowDxfId="373"/>
    <tableColumn id="20" xr3:uid="{00000000-0010-0000-0200-000014000000}" name="19" totalsRowFunction="count" dataDxfId="795" totalsRowDxfId="372"/>
    <tableColumn id="21" xr3:uid="{00000000-0010-0000-0200-000015000000}" name="20" totalsRowFunction="count" dataDxfId="794" totalsRowDxfId="371"/>
    <tableColumn id="22" xr3:uid="{00000000-0010-0000-0200-000016000000}" name="21" totalsRowFunction="count" dataDxfId="793" totalsRowDxfId="370"/>
    <tableColumn id="23" xr3:uid="{00000000-0010-0000-0200-000017000000}" name="22" totalsRowFunction="count" dataDxfId="792" totalsRowDxfId="369"/>
    <tableColumn id="24" xr3:uid="{00000000-0010-0000-0200-000018000000}" name="23" totalsRowFunction="count" dataDxfId="791" totalsRowDxfId="368"/>
    <tableColumn id="25" xr3:uid="{00000000-0010-0000-0200-000019000000}" name="24" totalsRowFunction="count" dataDxfId="790" totalsRowDxfId="367"/>
    <tableColumn id="26" xr3:uid="{00000000-0010-0000-0200-00001A000000}" name="25" totalsRowFunction="count" dataDxfId="789" totalsRowDxfId="366"/>
    <tableColumn id="27" xr3:uid="{00000000-0010-0000-0200-00001B000000}" name="26" totalsRowFunction="count" dataDxfId="788" totalsRowDxfId="365"/>
    <tableColumn id="28" xr3:uid="{00000000-0010-0000-0200-00001C000000}" name="27" totalsRowFunction="count" dataDxfId="787" totalsRowDxfId="364"/>
    <tableColumn id="29" xr3:uid="{00000000-0010-0000-0200-00001D000000}" name="28" totalsRowFunction="count" dataDxfId="786" totalsRowDxfId="363"/>
    <tableColumn id="30" xr3:uid="{00000000-0010-0000-0200-00001E000000}" name="29" totalsRowFunction="count" dataDxfId="785" totalsRowDxfId="362"/>
    <tableColumn id="31" xr3:uid="{00000000-0010-0000-0200-00001F000000}" name="30" totalsRowFunction="count" dataDxfId="784" totalsRowDxfId="361"/>
    <tableColumn id="32" xr3:uid="{00000000-0010-0000-0200-000020000000}" name="31" totalsRowFunction="count" dataDxfId="783" totalsRowDxfId="360"/>
    <tableColumn id="33" xr3:uid="{00000000-0010-0000-0200-000021000000}" name="Усього днів" totalsRowFunction="sum" dataDxfId="782" totalsRowDxfId="359">
      <calculatedColumnFormula>COUNTA(Березень[[#This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Квітень" displayName="Квітень" ref="B6:AH12" totalsRowCount="1" headerRowDxfId="781" dataDxfId="780" totalsRowDxfId="779">
  <tableColumns count="33">
    <tableColumn id="1" xr3:uid="{00000000-0010-0000-0300-000001000000}" name="Ім’я працівника" totalsRowFunction="custom" dataDxfId="778" totalsRowDxfId="358" dataCellStyle="Працівник">
      <totalsRowFormula>НазваМісяця&amp;" Підсумок"</totalsRowFormula>
    </tableColumn>
    <tableColumn id="2" xr3:uid="{00000000-0010-0000-0300-000002000000}" name="1" totalsRowFunction="count" dataDxfId="777" totalsRowDxfId="357"/>
    <tableColumn id="3" xr3:uid="{00000000-0010-0000-0300-000003000000}" name="2" totalsRowFunction="count" dataDxfId="776" totalsRowDxfId="356"/>
    <tableColumn id="4" xr3:uid="{00000000-0010-0000-0300-000004000000}" name="3" totalsRowFunction="count" dataDxfId="775" totalsRowDxfId="355"/>
    <tableColumn id="5" xr3:uid="{00000000-0010-0000-0300-000005000000}" name="4" totalsRowFunction="count" dataDxfId="774" totalsRowDxfId="354"/>
    <tableColumn id="6" xr3:uid="{00000000-0010-0000-0300-000006000000}" name="5" totalsRowFunction="count" dataDxfId="773" totalsRowDxfId="353"/>
    <tableColumn id="7" xr3:uid="{00000000-0010-0000-0300-000007000000}" name="6" totalsRowFunction="count" dataDxfId="772" totalsRowDxfId="352"/>
    <tableColumn id="8" xr3:uid="{00000000-0010-0000-0300-000008000000}" name="7" totalsRowFunction="count" dataDxfId="771" totalsRowDxfId="351"/>
    <tableColumn id="9" xr3:uid="{00000000-0010-0000-0300-000009000000}" name="8" totalsRowFunction="count" dataDxfId="770" totalsRowDxfId="350"/>
    <tableColumn id="10" xr3:uid="{00000000-0010-0000-0300-00000A000000}" name="9" totalsRowFunction="count" dataDxfId="769" totalsRowDxfId="349"/>
    <tableColumn id="11" xr3:uid="{00000000-0010-0000-0300-00000B000000}" name="10" totalsRowFunction="count" dataDxfId="768" totalsRowDxfId="348"/>
    <tableColumn id="12" xr3:uid="{00000000-0010-0000-0300-00000C000000}" name="11" totalsRowFunction="count" dataDxfId="767" totalsRowDxfId="347"/>
    <tableColumn id="13" xr3:uid="{00000000-0010-0000-0300-00000D000000}" name="12" totalsRowFunction="count" dataDxfId="766" totalsRowDxfId="346"/>
    <tableColumn id="14" xr3:uid="{00000000-0010-0000-0300-00000E000000}" name="13" totalsRowFunction="count" dataDxfId="765" totalsRowDxfId="345"/>
    <tableColumn id="15" xr3:uid="{00000000-0010-0000-0300-00000F000000}" name="14" totalsRowFunction="count" dataDxfId="764" totalsRowDxfId="344"/>
    <tableColumn id="16" xr3:uid="{00000000-0010-0000-0300-000010000000}" name="15" totalsRowFunction="count" dataDxfId="763" totalsRowDxfId="343"/>
    <tableColumn id="17" xr3:uid="{00000000-0010-0000-0300-000011000000}" name="16" totalsRowFunction="count" dataDxfId="762" totalsRowDxfId="342"/>
    <tableColumn id="18" xr3:uid="{00000000-0010-0000-0300-000012000000}" name="17" totalsRowFunction="count" dataDxfId="761" totalsRowDxfId="341"/>
    <tableColumn id="19" xr3:uid="{00000000-0010-0000-0300-000013000000}" name="18" totalsRowFunction="count" dataDxfId="760" totalsRowDxfId="340"/>
    <tableColumn id="20" xr3:uid="{00000000-0010-0000-0300-000014000000}" name="19" totalsRowFunction="count" dataDxfId="759" totalsRowDxfId="339"/>
    <tableColumn id="21" xr3:uid="{00000000-0010-0000-0300-000015000000}" name="20" totalsRowFunction="count" dataDxfId="758" totalsRowDxfId="338"/>
    <tableColumn id="22" xr3:uid="{00000000-0010-0000-0300-000016000000}" name="21" totalsRowFunction="count" dataDxfId="757" totalsRowDxfId="337"/>
    <tableColumn id="23" xr3:uid="{00000000-0010-0000-0300-000017000000}" name="22" totalsRowFunction="count" dataDxfId="756" totalsRowDxfId="336"/>
    <tableColumn id="24" xr3:uid="{00000000-0010-0000-0300-000018000000}" name="23" totalsRowFunction="count" dataDxfId="755" totalsRowDxfId="335"/>
    <tableColumn id="25" xr3:uid="{00000000-0010-0000-0300-000019000000}" name="24" totalsRowFunction="count" dataDxfId="754" totalsRowDxfId="334"/>
    <tableColumn id="26" xr3:uid="{00000000-0010-0000-0300-00001A000000}" name="25" totalsRowFunction="count" dataDxfId="753" totalsRowDxfId="333"/>
    <tableColumn id="27" xr3:uid="{00000000-0010-0000-0300-00001B000000}" name="26" totalsRowFunction="count" dataDxfId="752" totalsRowDxfId="332"/>
    <tableColumn id="28" xr3:uid="{00000000-0010-0000-0300-00001C000000}" name="27" totalsRowFunction="count" dataDxfId="751" totalsRowDxfId="331"/>
    <tableColumn id="29" xr3:uid="{00000000-0010-0000-0300-00001D000000}" name="28" totalsRowFunction="count" dataDxfId="750" totalsRowDxfId="330"/>
    <tableColumn id="30" xr3:uid="{00000000-0010-0000-0300-00001E000000}" name="29" totalsRowFunction="count" dataDxfId="749" totalsRowDxfId="329"/>
    <tableColumn id="31" xr3:uid="{00000000-0010-0000-0300-00001F000000}" name="30" totalsRowFunction="count" dataDxfId="748" totalsRowDxfId="328"/>
    <tableColumn id="32" xr3:uid="{00000000-0010-0000-0300-000020000000}" name=" " totalsRowFunction="custom" dataDxfId="747" totalsRowDxfId="327">
      <totalsRowFormula>SUBTOTAL(103,Квітень[30])</totalsRowFormula>
    </tableColumn>
    <tableColumn id="33" xr3:uid="{00000000-0010-0000-0300-000021000000}" name="Усього днів" totalsRowFunction="sum" dataDxfId="746" totalsRowDxfId="326">
      <calculatedColumnFormula>COUNTA(Квітень[[#This Row],[1]:[30]])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Травень" displayName="Травень" ref="B6:AH12" totalsRowCount="1" headerRowDxfId="745" dataDxfId="744" totalsRowDxfId="743">
  <tableColumns count="33">
    <tableColumn id="1" xr3:uid="{00000000-0010-0000-0400-000001000000}" name="Ім’я працівника" totalsRowFunction="custom" dataDxfId="742" totalsRowDxfId="325" dataCellStyle="Працівник">
      <totalsRowFormula>НазваМісяця&amp;" Підсумок"</totalsRowFormula>
    </tableColumn>
    <tableColumn id="2" xr3:uid="{00000000-0010-0000-0400-000002000000}" name="1" totalsRowFunction="count" dataDxfId="741" totalsRowDxfId="324"/>
    <tableColumn id="3" xr3:uid="{00000000-0010-0000-0400-000003000000}" name="2" totalsRowFunction="count" dataDxfId="740" totalsRowDxfId="323"/>
    <tableColumn id="4" xr3:uid="{00000000-0010-0000-0400-000004000000}" name="3" totalsRowFunction="count" dataDxfId="739" totalsRowDxfId="322"/>
    <tableColumn id="5" xr3:uid="{00000000-0010-0000-0400-000005000000}" name="4" totalsRowFunction="count" dataDxfId="738" totalsRowDxfId="321"/>
    <tableColumn id="6" xr3:uid="{00000000-0010-0000-0400-000006000000}" name="5" totalsRowFunction="count" dataDxfId="737" totalsRowDxfId="320"/>
    <tableColumn id="7" xr3:uid="{00000000-0010-0000-0400-000007000000}" name="6" totalsRowFunction="count" dataDxfId="736" totalsRowDxfId="319"/>
    <tableColumn id="8" xr3:uid="{00000000-0010-0000-0400-000008000000}" name="7" totalsRowFunction="count" dataDxfId="735" totalsRowDxfId="318"/>
    <tableColumn id="9" xr3:uid="{00000000-0010-0000-0400-000009000000}" name="8" totalsRowFunction="count" dataDxfId="734" totalsRowDxfId="317"/>
    <tableColumn id="10" xr3:uid="{00000000-0010-0000-0400-00000A000000}" name="9" totalsRowFunction="count" dataDxfId="733" totalsRowDxfId="316"/>
    <tableColumn id="11" xr3:uid="{00000000-0010-0000-0400-00000B000000}" name="10" totalsRowFunction="count" dataDxfId="732" totalsRowDxfId="315"/>
    <tableColumn id="12" xr3:uid="{00000000-0010-0000-0400-00000C000000}" name="11" totalsRowFunction="count" dataDxfId="731" totalsRowDxfId="314"/>
    <tableColumn id="13" xr3:uid="{00000000-0010-0000-0400-00000D000000}" name="12" totalsRowFunction="count" dataDxfId="730" totalsRowDxfId="313"/>
    <tableColumn id="14" xr3:uid="{00000000-0010-0000-0400-00000E000000}" name="13" totalsRowFunction="count" dataDxfId="729" totalsRowDxfId="312"/>
    <tableColumn id="15" xr3:uid="{00000000-0010-0000-0400-00000F000000}" name="14" totalsRowFunction="count" dataDxfId="728" totalsRowDxfId="311"/>
    <tableColumn id="16" xr3:uid="{00000000-0010-0000-0400-000010000000}" name="15" totalsRowFunction="count" dataDxfId="727" totalsRowDxfId="310"/>
    <tableColumn id="17" xr3:uid="{00000000-0010-0000-0400-000011000000}" name="16" totalsRowFunction="count" dataDxfId="726" totalsRowDxfId="309"/>
    <tableColumn id="18" xr3:uid="{00000000-0010-0000-0400-000012000000}" name="17" totalsRowFunction="count" dataDxfId="725" totalsRowDxfId="308"/>
    <tableColumn id="19" xr3:uid="{00000000-0010-0000-0400-000013000000}" name="18" totalsRowFunction="count" dataDxfId="724" totalsRowDxfId="307"/>
    <tableColumn id="20" xr3:uid="{00000000-0010-0000-0400-000014000000}" name="19" totalsRowFunction="count" dataDxfId="723" totalsRowDxfId="306"/>
    <tableColumn id="21" xr3:uid="{00000000-0010-0000-0400-000015000000}" name="20" totalsRowFunction="count" dataDxfId="722" totalsRowDxfId="305"/>
    <tableColumn id="22" xr3:uid="{00000000-0010-0000-0400-000016000000}" name="21" totalsRowFunction="count" dataDxfId="721" totalsRowDxfId="304"/>
    <tableColumn id="23" xr3:uid="{00000000-0010-0000-0400-000017000000}" name="22" totalsRowFunction="count" dataDxfId="720" totalsRowDxfId="303"/>
    <tableColumn id="24" xr3:uid="{00000000-0010-0000-0400-000018000000}" name="23" totalsRowFunction="count" dataDxfId="719" totalsRowDxfId="302"/>
    <tableColumn id="25" xr3:uid="{00000000-0010-0000-0400-000019000000}" name="24" totalsRowFunction="count" dataDxfId="718" totalsRowDxfId="301"/>
    <tableColumn id="26" xr3:uid="{00000000-0010-0000-0400-00001A000000}" name="25" totalsRowFunction="count" dataDxfId="717" totalsRowDxfId="300"/>
    <tableColumn id="27" xr3:uid="{00000000-0010-0000-0400-00001B000000}" name="26" totalsRowFunction="count" dataDxfId="716" totalsRowDxfId="299"/>
    <tableColumn id="28" xr3:uid="{00000000-0010-0000-0400-00001C000000}" name="27" totalsRowFunction="count" dataDxfId="715" totalsRowDxfId="298"/>
    <tableColumn id="29" xr3:uid="{00000000-0010-0000-0400-00001D000000}" name="28" totalsRowFunction="count" dataDxfId="714" totalsRowDxfId="297"/>
    <tableColumn id="30" xr3:uid="{00000000-0010-0000-0400-00001E000000}" name="29" totalsRowFunction="count" dataDxfId="713" totalsRowDxfId="296"/>
    <tableColumn id="31" xr3:uid="{00000000-0010-0000-0400-00001F000000}" name="30" totalsRowFunction="count" dataDxfId="712" totalsRowDxfId="295"/>
    <tableColumn id="32" xr3:uid="{00000000-0010-0000-0400-000020000000}" name="31" totalsRowFunction="count" dataDxfId="711" totalsRowDxfId="294"/>
    <tableColumn id="33" xr3:uid="{00000000-0010-0000-0400-000021000000}" name="Усього днів" totalsRowFunction="sum" dataDxfId="710" totalsRowDxfId="293">
      <calculatedColumnFormula>COUNTA(Травень[[#This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Червень" displayName="Червень" ref="B6:AH12" totalsRowCount="1" headerRowDxfId="709" dataDxfId="708" totalsRowDxfId="707">
  <tableColumns count="33">
    <tableColumn id="1" xr3:uid="{00000000-0010-0000-0500-000001000000}" name="Ім’я працівника" totalsRowFunction="custom" dataDxfId="706" totalsRowDxfId="292" dataCellStyle="Працівник">
      <totalsRowFormula>НазваМісяця&amp;" Підсумок"</totalsRowFormula>
    </tableColumn>
    <tableColumn id="2" xr3:uid="{00000000-0010-0000-0500-000002000000}" name="1" totalsRowFunction="count" dataDxfId="705" totalsRowDxfId="291"/>
    <tableColumn id="3" xr3:uid="{00000000-0010-0000-0500-000003000000}" name="2" totalsRowFunction="count" dataDxfId="704" totalsRowDxfId="290"/>
    <tableColumn id="4" xr3:uid="{00000000-0010-0000-0500-000004000000}" name="3" totalsRowFunction="count" dataDxfId="703" totalsRowDxfId="289"/>
    <tableColumn id="5" xr3:uid="{00000000-0010-0000-0500-000005000000}" name="4" totalsRowFunction="count" dataDxfId="702" totalsRowDxfId="288"/>
    <tableColumn id="6" xr3:uid="{00000000-0010-0000-0500-000006000000}" name="5" totalsRowFunction="count" dataDxfId="701" totalsRowDxfId="287"/>
    <tableColumn id="7" xr3:uid="{00000000-0010-0000-0500-000007000000}" name="6" totalsRowFunction="count" dataDxfId="700" totalsRowDxfId="286"/>
    <tableColumn id="8" xr3:uid="{00000000-0010-0000-0500-000008000000}" name="7" totalsRowFunction="count" dataDxfId="699" totalsRowDxfId="285"/>
    <tableColumn id="9" xr3:uid="{00000000-0010-0000-0500-000009000000}" name="8" totalsRowFunction="count" dataDxfId="698" totalsRowDxfId="284"/>
    <tableColumn id="10" xr3:uid="{00000000-0010-0000-0500-00000A000000}" name="9" totalsRowFunction="count" dataDxfId="697" totalsRowDxfId="283"/>
    <tableColumn id="11" xr3:uid="{00000000-0010-0000-0500-00000B000000}" name="10" totalsRowFunction="count" dataDxfId="696" totalsRowDxfId="282"/>
    <tableColumn id="12" xr3:uid="{00000000-0010-0000-0500-00000C000000}" name="11" totalsRowFunction="count" dataDxfId="695" totalsRowDxfId="281"/>
    <tableColumn id="13" xr3:uid="{00000000-0010-0000-0500-00000D000000}" name="12" totalsRowFunction="count" dataDxfId="694" totalsRowDxfId="280"/>
    <tableColumn id="14" xr3:uid="{00000000-0010-0000-0500-00000E000000}" name="13" totalsRowFunction="count" dataDxfId="693" totalsRowDxfId="279"/>
    <tableColumn id="15" xr3:uid="{00000000-0010-0000-0500-00000F000000}" name="14" totalsRowFunction="count" dataDxfId="692" totalsRowDxfId="278"/>
    <tableColumn id="16" xr3:uid="{00000000-0010-0000-0500-000010000000}" name="15" totalsRowFunction="count" dataDxfId="691" totalsRowDxfId="277"/>
    <tableColumn id="17" xr3:uid="{00000000-0010-0000-0500-000011000000}" name="16" totalsRowFunction="count" dataDxfId="690" totalsRowDxfId="276"/>
    <tableColumn id="18" xr3:uid="{00000000-0010-0000-0500-000012000000}" name="17" totalsRowFunction="count" dataDxfId="689" totalsRowDxfId="275"/>
    <tableColumn id="19" xr3:uid="{00000000-0010-0000-0500-000013000000}" name="18" totalsRowFunction="count" dataDxfId="688" totalsRowDxfId="274"/>
    <tableColumn id="20" xr3:uid="{00000000-0010-0000-0500-000014000000}" name="19" totalsRowFunction="count" dataDxfId="687" totalsRowDxfId="273"/>
    <tableColumn id="21" xr3:uid="{00000000-0010-0000-0500-000015000000}" name="20" totalsRowFunction="count" dataDxfId="686" totalsRowDxfId="272"/>
    <tableColumn id="22" xr3:uid="{00000000-0010-0000-0500-000016000000}" name="21" totalsRowFunction="count" dataDxfId="685" totalsRowDxfId="271"/>
    <tableColumn id="23" xr3:uid="{00000000-0010-0000-0500-000017000000}" name="22" totalsRowFunction="count" dataDxfId="684" totalsRowDxfId="270"/>
    <tableColumn id="24" xr3:uid="{00000000-0010-0000-0500-000018000000}" name="23" totalsRowFunction="count" dataDxfId="683" totalsRowDxfId="269"/>
    <tableColumn id="25" xr3:uid="{00000000-0010-0000-0500-000019000000}" name="24" totalsRowFunction="count" dataDxfId="682" totalsRowDxfId="268"/>
    <tableColumn id="26" xr3:uid="{00000000-0010-0000-0500-00001A000000}" name="25" totalsRowFunction="count" dataDxfId="681" totalsRowDxfId="267"/>
    <tableColumn id="27" xr3:uid="{00000000-0010-0000-0500-00001B000000}" name="26" totalsRowFunction="count" dataDxfId="680" totalsRowDxfId="266"/>
    <tableColumn id="28" xr3:uid="{00000000-0010-0000-0500-00001C000000}" name="27" totalsRowFunction="count" dataDxfId="679" totalsRowDxfId="265"/>
    <tableColumn id="29" xr3:uid="{00000000-0010-0000-0500-00001D000000}" name="28" totalsRowFunction="count" dataDxfId="678" totalsRowDxfId="264"/>
    <tableColumn id="30" xr3:uid="{00000000-0010-0000-0500-00001E000000}" name="29" totalsRowFunction="count" dataDxfId="677" totalsRowDxfId="263"/>
    <tableColumn id="31" xr3:uid="{00000000-0010-0000-0500-00001F000000}" name="30" totalsRowFunction="count" dataDxfId="676" totalsRowDxfId="262"/>
    <tableColumn id="32" xr3:uid="{00000000-0010-0000-0500-000020000000}" name=" " totalsRowFunction="count" dataDxfId="675" totalsRowDxfId="261"/>
    <tableColumn id="33" xr3:uid="{00000000-0010-0000-0500-000021000000}" name="Усього днів" totalsRowFunction="sum" dataDxfId="674" totalsRowDxfId="260">
      <calculatedColumnFormula>COUNTA(Червень[[#This Row],[1]:[30]])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Липень" displayName="Липень" ref="B6:AH12" totalsRowCount="1" headerRowDxfId="673" dataDxfId="672" totalsRowDxfId="671">
  <tableColumns count="33">
    <tableColumn id="1" xr3:uid="{00000000-0010-0000-0600-000001000000}" name="Ім’я працівника" totalsRowFunction="custom" dataDxfId="670" totalsRowDxfId="259" dataCellStyle="Працівник">
      <totalsRowFormula>НазваМісяця&amp;" Підсумок"</totalsRowFormula>
    </tableColumn>
    <tableColumn id="2" xr3:uid="{00000000-0010-0000-0600-000002000000}" name="1" totalsRowFunction="count" dataDxfId="669" totalsRowDxfId="258"/>
    <tableColumn id="3" xr3:uid="{00000000-0010-0000-0600-000003000000}" name="2" totalsRowFunction="count" dataDxfId="668" totalsRowDxfId="257"/>
    <tableColumn id="4" xr3:uid="{00000000-0010-0000-0600-000004000000}" name="3" totalsRowFunction="count" dataDxfId="667" totalsRowDxfId="256"/>
    <tableColumn id="5" xr3:uid="{00000000-0010-0000-0600-000005000000}" name="4" totalsRowFunction="count" dataDxfId="666" totalsRowDxfId="255"/>
    <tableColumn id="6" xr3:uid="{00000000-0010-0000-0600-000006000000}" name="5" totalsRowFunction="count" dataDxfId="665" totalsRowDxfId="254"/>
    <tableColumn id="7" xr3:uid="{00000000-0010-0000-0600-000007000000}" name="6" totalsRowFunction="count" dataDxfId="664" totalsRowDxfId="253"/>
    <tableColumn id="8" xr3:uid="{00000000-0010-0000-0600-000008000000}" name="7" totalsRowFunction="count" dataDxfId="663" totalsRowDxfId="252"/>
    <tableColumn id="9" xr3:uid="{00000000-0010-0000-0600-000009000000}" name="8" totalsRowFunction="count" dataDxfId="662" totalsRowDxfId="251"/>
    <tableColumn id="10" xr3:uid="{00000000-0010-0000-0600-00000A000000}" name="9" totalsRowFunction="count" dataDxfId="661" totalsRowDxfId="250"/>
    <tableColumn id="11" xr3:uid="{00000000-0010-0000-0600-00000B000000}" name="10" totalsRowFunction="count" dataDxfId="660" totalsRowDxfId="249"/>
    <tableColumn id="12" xr3:uid="{00000000-0010-0000-0600-00000C000000}" name="11" totalsRowFunction="count" dataDxfId="659" totalsRowDxfId="248"/>
    <tableColumn id="13" xr3:uid="{00000000-0010-0000-0600-00000D000000}" name="12" totalsRowFunction="count" dataDxfId="658" totalsRowDxfId="247"/>
    <tableColumn id="14" xr3:uid="{00000000-0010-0000-0600-00000E000000}" name="13" totalsRowFunction="count" dataDxfId="657" totalsRowDxfId="246"/>
    <tableColumn id="15" xr3:uid="{00000000-0010-0000-0600-00000F000000}" name="14" totalsRowFunction="count" dataDxfId="656" totalsRowDxfId="245"/>
    <tableColumn id="16" xr3:uid="{00000000-0010-0000-0600-000010000000}" name="15" totalsRowFunction="count" dataDxfId="655" totalsRowDxfId="244"/>
    <tableColumn id="17" xr3:uid="{00000000-0010-0000-0600-000011000000}" name="16" totalsRowFunction="count" dataDxfId="654" totalsRowDxfId="243"/>
    <tableColumn id="18" xr3:uid="{00000000-0010-0000-0600-000012000000}" name="17" totalsRowFunction="count" dataDxfId="653" totalsRowDxfId="242"/>
    <tableColumn id="19" xr3:uid="{00000000-0010-0000-0600-000013000000}" name="18" totalsRowFunction="count" dataDxfId="652" totalsRowDxfId="241"/>
    <tableColumn id="20" xr3:uid="{00000000-0010-0000-0600-000014000000}" name="19" totalsRowFunction="count" dataDxfId="651" totalsRowDxfId="240"/>
    <tableColumn id="21" xr3:uid="{00000000-0010-0000-0600-000015000000}" name="20" totalsRowFunction="count" dataDxfId="650" totalsRowDxfId="239"/>
    <tableColumn id="22" xr3:uid="{00000000-0010-0000-0600-000016000000}" name="21" totalsRowFunction="count" dataDxfId="649" totalsRowDxfId="238"/>
    <tableColumn id="23" xr3:uid="{00000000-0010-0000-0600-000017000000}" name="22" totalsRowFunction="count" dataDxfId="648" totalsRowDxfId="237"/>
    <tableColumn id="24" xr3:uid="{00000000-0010-0000-0600-000018000000}" name="23" totalsRowFunction="count" dataDxfId="647" totalsRowDxfId="236"/>
    <tableColumn id="25" xr3:uid="{00000000-0010-0000-0600-000019000000}" name="24" totalsRowFunction="count" dataDxfId="646" totalsRowDxfId="235"/>
    <tableColumn id="26" xr3:uid="{00000000-0010-0000-0600-00001A000000}" name="25" totalsRowFunction="count" dataDxfId="645" totalsRowDxfId="234"/>
    <tableColumn id="27" xr3:uid="{00000000-0010-0000-0600-00001B000000}" name="26" totalsRowFunction="count" dataDxfId="644" totalsRowDxfId="233"/>
    <tableColumn id="28" xr3:uid="{00000000-0010-0000-0600-00001C000000}" name="27" totalsRowFunction="count" dataDxfId="643" totalsRowDxfId="232"/>
    <tableColumn id="29" xr3:uid="{00000000-0010-0000-0600-00001D000000}" name="28" totalsRowFunction="count" dataDxfId="642" totalsRowDxfId="231"/>
    <tableColumn id="30" xr3:uid="{00000000-0010-0000-0600-00001E000000}" name="29" totalsRowFunction="count" dataDxfId="641" totalsRowDxfId="230"/>
    <tableColumn id="31" xr3:uid="{00000000-0010-0000-0600-00001F000000}" name="30" totalsRowFunction="count" dataDxfId="640" totalsRowDxfId="229"/>
    <tableColumn id="32" xr3:uid="{00000000-0010-0000-0600-000020000000}" name="31" totalsRowFunction="count" dataDxfId="639" totalsRowDxfId="228"/>
    <tableColumn id="33" xr3:uid="{00000000-0010-0000-0600-000021000000}" name="Усього днів" totalsRowFunction="sum" dataDxfId="638" totalsRowDxfId="227">
      <calculatedColumnFormula>COUNTA(Липень[[#This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Серпень" displayName="Серпень" ref="B6:AH12" totalsRowCount="1" headerRowDxfId="637" dataDxfId="636" totalsRowDxfId="635">
  <tableColumns count="33">
    <tableColumn id="1" xr3:uid="{00000000-0010-0000-0700-000001000000}" name="Ім’я працівника" totalsRowFunction="custom" dataDxfId="634" totalsRowDxfId="226" dataCellStyle="Працівник">
      <totalsRowFormula>НазваМісяця&amp;" Підсумок"</totalsRowFormula>
    </tableColumn>
    <tableColumn id="2" xr3:uid="{00000000-0010-0000-0700-000002000000}" name="1" totalsRowFunction="count" dataDxfId="633" totalsRowDxfId="225"/>
    <tableColumn id="3" xr3:uid="{00000000-0010-0000-0700-000003000000}" name="2" totalsRowFunction="count" dataDxfId="632" totalsRowDxfId="224"/>
    <tableColumn id="4" xr3:uid="{00000000-0010-0000-0700-000004000000}" name="3" totalsRowFunction="count" dataDxfId="631" totalsRowDxfId="223"/>
    <tableColumn id="5" xr3:uid="{00000000-0010-0000-0700-000005000000}" name="4" totalsRowFunction="count" dataDxfId="630" totalsRowDxfId="222"/>
    <tableColumn id="6" xr3:uid="{00000000-0010-0000-0700-000006000000}" name="5" totalsRowFunction="count" dataDxfId="629" totalsRowDxfId="221"/>
    <tableColumn id="7" xr3:uid="{00000000-0010-0000-0700-000007000000}" name="6" totalsRowFunction="count" dataDxfId="628" totalsRowDxfId="220"/>
    <tableColumn id="8" xr3:uid="{00000000-0010-0000-0700-000008000000}" name="7" totalsRowFunction="count" dataDxfId="627" totalsRowDxfId="219"/>
    <tableColumn id="9" xr3:uid="{00000000-0010-0000-0700-000009000000}" name="8" totalsRowFunction="count" dataDxfId="626" totalsRowDxfId="218"/>
    <tableColumn id="10" xr3:uid="{00000000-0010-0000-0700-00000A000000}" name="9" totalsRowFunction="count" dataDxfId="625" totalsRowDxfId="217"/>
    <tableColumn id="11" xr3:uid="{00000000-0010-0000-0700-00000B000000}" name="10" totalsRowFunction="count" dataDxfId="624" totalsRowDxfId="216"/>
    <tableColumn id="12" xr3:uid="{00000000-0010-0000-0700-00000C000000}" name="11" totalsRowFunction="count" dataDxfId="623" totalsRowDxfId="215"/>
    <tableColumn id="13" xr3:uid="{00000000-0010-0000-0700-00000D000000}" name="12" totalsRowFunction="count" dataDxfId="622" totalsRowDxfId="214"/>
    <tableColumn id="14" xr3:uid="{00000000-0010-0000-0700-00000E000000}" name="13" totalsRowFunction="count" dataDxfId="621" totalsRowDxfId="213"/>
    <tableColumn id="15" xr3:uid="{00000000-0010-0000-0700-00000F000000}" name="14" totalsRowFunction="count" dataDxfId="620" totalsRowDxfId="212"/>
    <tableColumn id="16" xr3:uid="{00000000-0010-0000-0700-000010000000}" name="15" totalsRowFunction="count" dataDxfId="619" totalsRowDxfId="211"/>
    <tableColumn id="17" xr3:uid="{00000000-0010-0000-0700-000011000000}" name="16" totalsRowFunction="count" dataDxfId="618" totalsRowDxfId="210"/>
    <tableColumn id="18" xr3:uid="{00000000-0010-0000-0700-000012000000}" name="17" totalsRowFunction="count" dataDxfId="617" totalsRowDxfId="209"/>
    <tableColumn id="19" xr3:uid="{00000000-0010-0000-0700-000013000000}" name="18" totalsRowFunction="count" dataDxfId="616" totalsRowDxfId="208"/>
    <tableColumn id="20" xr3:uid="{00000000-0010-0000-0700-000014000000}" name="19" totalsRowFunction="count" dataDxfId="615" totalsRowDxfId="207"/>
    <tableColumn id="21" xr3:uid="{00000000-0010-0000-0700-000015000000}" name="20" totalsRowFunction="count" dataDxfId="614" totalsRowDxfId="206"/>
    <tableColumn id="22" xr3:uid="{00000000-0010-0000-0700-000016000000}" name="21" totalsRowFunction="count" dataDxfId="613" totalsRowDxfId="205"/>
    <tableColumn id="23" xr3:uid="{00000000-0010-0000-0700-000017000000}" name="22" totalsRowFunction="count" dataDxfId="612" totalsRowDxfId="204"/>
    <tableColumn id="24" xr3:uid="{00000000-0010-0000-0700-000018000000}" name="23" totalsRowFunction="count" dataDxfId="611" totalsRowDxfId="203"/>
    <tableColumn id="25" xr3:uid="{00000000-0010-0000-0700-000019000000}" name="24" totalsRowFunction="count" dataDxfId="610" totalsRowDxfId="202"/>
    <tableColumn id="26" xr3:uid="{00000000-0010-0000-0700-00001A000000}" name="25" totalsRowFunction="count" dataDxfId="609" totalsRowDxfId="201"/>
    <tableColumn id="27" xr3:uid="{00000000-0010-0000-0700-00001B000000}" name="26" totalsRowFunction="count" dataDxfId="608" totalsRowDxfId="200"/>
    <tableColumn id="28" xr3:uid="{00000000-0010-0000-0700-00001C000000}" name="27" totalsRowFunction="count" dataDxfId="607" totalsRowDxfId="199"/>
    <tableColumn id="29" xr3:uid="{00000000-0010-0000-0700-00001D000000}" name="28" totalsRowFunction="count" dataDxfId="606" totalsRowDxfId="198"/>
    <tableColumn id="30" xr3:uid="{00000000-0010-0000-0700-00001E000000}" name="29" totalsRowFunction="count" dataDxfId="605" totalsRowDxfId="197"/>
    <tableColumn id="31" xr3:uid="{00000000-0010-0000-0700-00001F000000}" name="30" totalsRowFunction="count" dataDxfId="604" totalsRowDxfId="196"/>
    <tableColumn id="32" xr3:uid="{00000000-0010-0000-0700-000020000000}" name="31" totalsRowFunction="count" dataDxfId="603" totalsRowDxfId="195"/>
    <tableColumn id="33" xr3:uid="{00000000-0010-0000-0700-000021000000}" name="Усього днів" totalsRowFunction="sum" dataDxfId="602" totalsRowDxfId="194">
      <calculatedColumnFormula>COUNTA(Серпень[[#This Row],[1]:[31]])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Вересень" displayName="Вересень" ref="B6:AH12" totalsRowCount="1" headerRowDxfId="601" dataDxfId="600" totalsRowDxfId="599">
  <tableColumns count="33">
    <tableColumn id="1" xr3:uid="{00000000-0010-0000-0800-000001000000}" name="Ім’я працівника" totalsRowFunction="custom" dataDxfId="598" totalsRowDxfId="193" dataCellStyle="Працівник">
      <totalsRowFormula>НазваМісяця&amp;" Підсумок"</totalsRowFormula>
    </tableColumn>
    <tableColumn id="2" xr3:uid="{00000000-0010-0000-0800-000002000000}" name="1" totalsRowFunction="count" dataDxfId="597" totalsRowDxfId="192"/>
    <tableColumn id="3" xr3:uid="{00000000-0010-0000-0800-000003000000}" name="2" totalsRowFunction="count" dataDxfId="596" totalsRowDxfId="191"/>
    <tableColumn id="4" xr3:uid="{00000000-0010-0000-0800-000004000000}" name="3" totalsRowFunction="count" dataDxfId="595" totalsRowDxfId="190"/>
    <tableColumn id="5" xr3:uid="{00000000-0010-0000-0800-000005000000}" name="4" totalsRowFunction="count" dataDxfId="594" totalsRowDxfId="189"/>
    <tableColumn id="6" xr3:uid="{00000000-0010-0000-0800-000006000000}" name="5" totalsRowFunction="count" dataDxfId="593" totalsRowDxfId="188"/>
    <tableColumn id="7" xr3:uid="{00000000-0010-0000-0800-000007000000}" name="6" totalsRowFunction="count" dataDxfId="592" totalsRowDxfId="187"/>
    <tableColumn id="8" xr3:uid="{00000000-0010-0000-0800-000008000000}" name="7" totalsRowFunction="count" dataDxfId="591" totalsRowDxfId="186"/>
    <tableColumn id="9" xr3:uid="{00000000-0010-0000-0800-000009000000}" name="8" totalsRowFunction="count" dataDxfId="590" totalsRowDxfId="185"/>
    <tableColumn id="10" xr3:uid="{00000000-0010-0000-0800-00000A000000}" name="9" totalsRowFunction="count" dataDxfId="589" totalsRowDxfId="184"/>
    <tableColumn id="11" xr3:uid="{00000000-0010-0000-0800-00000B000000}" name="10" totalsRowFunction="count" dataDxfId="588" totalsRowDxfId="183"/>
    <tableColumn id="12" xr3:uid="{00000000-0010-0000-0800-00000C000000}" name="11" totalsRowFunction="count" dataDxfId="587" totalsRowDxfId="182"/>
    <tableColumn id="13" xr3:uid="{00000000-0010-0000-0800-00000D000000}" name="12" totalsRowFunction="count" dataDxfId="586" totalsRowDxfId="181"/>
    <tableColumn id="14" xr3:uid="{00000000-0010-0000-0800-00000E000000}" name="13" totalsRowFunction="count" dataDxfId="585" totalsRowDxfId="180"/>
    <tableColumn id="15" xr3:uid="{00000000-0010-0000-0800-00000F000000}" name="14" totalsRowFunction="count" dataDxfId="584" totalsRowDxfId="179"/>
    <tableColumn id="16" xr3:uid="{00000000-0010-0000-0800-000010000000}" name="15" totalsRowFunction="count" dataDxfId="583" totalsRowDxfId="178"/>
    <tableColumn id="17" xr3:uid="{00000000-0010-0000-0800-000011000000}" name="16" totalsRowFunction="count" dataDxfId="582" totalsRowDxfId="177"/>
    <tableColumn id="18" xr3:uid="{00000000-0010-0000-0800-000012000000}" name="17" totalsRowFunction="count" dataDxfId="581" totalsRowDxfId="176"/>
    <tableColumn id="19" xr3:uid="{00000000-0010-0000-0800-000013000000}" name="18" totalsRowFunction="count" dataDxfId="580" totalsRowDxfId="175"/>
    <tableColumn id="20" xr3:uid="{00000000-0010-0000-0800-000014000000}" name="19" totalsRowFunction="count" dataDxfId="579" totalsRowDxfId="174"/>
    <tableColumn id="21" xr3:uid="{00000000-0010-0000-0800-000015000000}" name="20" totalsRowFunction="count" dataDxfId="578" totalsRowDxfId="173"/>
    <tableColumn id="22" xr3:uid="{00000000-0010-0000-0800-000016000000}" name="21" totalsRowFunction="count" dataDxfId="577" totalsRowDxfId="172"/>
    <tableColumn id="23" xr3:uid="{00000000-0010-0000-0800-000017000000}" name="22" totalsRowFunction="count" dataDxfId="576" totalsRowDxfId="171"/>
    <tableColumn id="24" xr3:uid="{00000000-0010-0000-0800-000018000000}" name="23" totalsRowFunction="count" dataDxfId="575" totalsRowDxfId="170"/>
    <tableColumn id="25" xr3:uid="{00000000-0010-0000-0800-000019000000}" name="24" totalsRowFunction="count" dataDxfId="574" totalsRowDxfId="169"/>
    <tableColumn id="26" xr3:uid="{00000000-0010-0000-0800-00001A000000}" name="25" totalsRowFunction="count" dataDxfId="573" totalsRowDxfId="168"/>
    <tableColumn id="27" xr3:uid="{00000000-0010-0000-0800-00001B000000}" name="26" totalsRowFunction="count" dataDxfId="572" totalsRowDxfId="167"/>
    <tableColumn id="28" xr3:uid="{00000000-0010-0000-0800-00001C000000}" name="27" totalsRowFunction="count" dataDxfId="571" totalsRowDxfId="166"/>
    <tableColumn id="29" xr3:uid="{00000000-0010-0000-0800-00001D000000}" name="28" totalsRowFunction="count" dataDxfId="570" totalsRowDxfId="165"/>
    <tableColumn id="30" xr3:uid="{00000000-0010-0000-0800-00001E000000}" name="29" totalsRowFunction="count" dataDxfId="569" totalsRowDxfId="164"/>
    <tableColumn id="31" xr3:uid="{00000000-0010-0000-0800-00001F000000}" name="30" totalsRowFunction="count" dataDxfId="568" totalsRowDxfId="163"/>
    <tableColumn id="32" xr3:uid="{00000000-0010-0000-0800-000020000000}" name=" " totalsRowFunction="count" dataDxfId="567" totalsRowDxfId="162"/>
    <tableColumn id="33" xr3:uid="{00000000-0010-0000-0800-000021000000}" name="Усього днів" totalsRowFunction="sum" dataDxfId="566" totalsRowDxfId="161">
      <calculatedColumnFormula>COUNTA(Вересень[[#This Row],[1]:[30]])</calculatedColumnFormula>
    </tableColumn>
  </tableColumns>
  <tableStyleInfo name="Таблиця відсутності працівників" showFirstColumn="1" showLastColumn="1" showRowStripes="1" showColumnStripes="0"/>
  <extLst>
    <ext xmlns:x14="http://schemas.microsoft.com/office/spreadsheetml/2009/9/main" uri="{504A1905-F514-4f6f-8877-14C23A59335A}">
      <x14:table altTextSummary="Укажіть імена працівників і дати відсутності.Позначте причину відсутності умовною позначкою в рядку 12: В = відпустка, Л = лікарняний, О = особисті причини або за допомогою двох покажчиків місця заповнення для настроюваних записів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  <col min="38" max="40" width="1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1:34" ht="15" customHeight="1" x14ac:dyDescent="0.25">
      <c r="AH3" s="20" t="s">
        <v>48</v>
      </c>
    </row>
    <row r="4" spans="1:34" ht="30" customHeight="1" x14ac:dyDescent="0.25">
      <c r="B4" s="12" t="s">
        <v>2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TEXT(WEEKDAY(DATE(РікКалендаря,1,1),1),"aaa")</f>
        <v>Вт</v>
      </c>
      <c r="D5" s="2" t="str">
        <f>TEXT(WEEKDAY(DATE(РікКалендаря,1,2),1),"aaa")</f>
        <v>Ср</v>
      </c>
      <c r="E5" s="2" t="str">
        <f>TEXT(WEEKDAY(DATE(РікКалендаря,1,3),1),"aaa")</f>
        <v>Чт</v>
      </c>
      <c r="F5" s="2" t="str">
        <f>TEXT(WEEKDAY(DATE(РікКалендаря,1,4),1),"aaa")</f>
        <v>Пт</v>
      </c>
      <c r="G5" s="2" t="str">
        <f>TEXT(WEEKDAY(DATE(РікКалендаря,1,5),1),"aaa")</f>
        <v>Сб</v>
      </c>
      <c r="H5" s="2" t="str">
        <f>TEXT(WEEKDAY(DATE(РікКалендаря,1,6),1),"aaa")</f>
        <v>Нд</v>
      </c>
      <c r="I5" s="2" t="str">
        <f>TEXT(WEEKDAY(DATE(РікКалендаря,1,7),1),"aaa")</f>
        <v>Пн</v>
      </c>
      <c r="J5" s="2" t="str">
        <f>TEXT(WEEKDAY(DATE(РікКалендаря,1,8),1),"aaa")</f>
        <v>Вт</v>
      </c>
      <c r="K5" s="2" t="str">
        <f>TEXT(WEEKDAY(DATE(РікКалендаря,1,9),1),"aaa")</f>
        <v>Ср</v>
      </c>
      <c r="L5" s="2" t="str">
        <f>TEXT(WEEKDAY(DATE(РікКалендаря,1,10),1),"aaa")</f>
        <v>Чт</v>
      </c>
      <c r="M5" s="2" t="str">
        <f>TEXT(WEEKDAY(DATE(РікКалендаря,1,11),1),"aaa")</f>
        <v>Пт</v>
      </c>
      <c r="N5" s="2" t="str">
        <f>TEXT(WEEKDAY(DATE(РікКалендаря,1,12),1),"aaa")</f>
        <v>Сб</v>
      </c>
      <c r="O5" s="2" t="str">
        <f>TEXT(WEEKDAY(DATE(РікКалендаря,1,13),1),"aaa")</f>
        <v>Нд</v>
      </c>
      <c r="P5" s="2" t="str">
        <f>TEXT(WEEKDAY(DATE(РікКалендаря,1,14),1),"aaa")</f>
        <v>Пн</v>
      </c>
      <c r="Q5" s="2" t="str">
        <f>TEXT(WEEKDAY(DATE(РікКалендаря,1,15),1),"aaa")</f>
        <v>Вт</v>
      </c>
      <c r="R5" s="2" t="str">
        <f>TEXT(WEEKDAY(DATE(РікКалендаря,1,16),1),"aaa")</f>
        <v>Ср</v>
      </c>
      <c r="S5" s="2" t="str">
        <f>TEXT(WEEKDAY(DATE(РікКалендаря,1,17),1),"aaa")</f>
        <v>Чт</v>
      </c>
      <c r="T5" s="2" t="str">
        <f>TEXT(WEEKDAY(DATE(РікКалендаря,1,18),1),"aaa")</f>
        <v>Пт</v>
      </c>
      <c r="U5" s="2" t="str">
        <f>TEXT(WEEKDAY(DATE(РікКалендаря,1,19),1),"aaa")</f>
        <v>Сб</v>
      </c>
      <c r="V5" s="2" t="str">
        <f>TEXT(WEEKDAY(DATE(РікКалендаря,1,20),1),"aaa")</f>
        <v>Нд</v>
      </c>
      <c r="W5" s="2" t="str">
        <f>TEXT(WEEKDAY(DATE(РікКалендаря,1,21),1),"aaa")</f>
        <v>Пн</v>
      </c>
      <c r="X5" s="2" t="str">
        <f>TEXT(WEEKDAY(DATE(РікКалендаря,1,22),1),"aaa")</f>
        <v>Вт</v>
      </c>
      <c r="Y5" s="2" t="str">
        <f>TEXT(WEEKDAY(DATE(РікКалендаря,1,23),1),"aaa")</f>
        <v>Ср</v>
      </c>
      <c r="Z5" s="2" t="str">
        <f>TEXT(WEEKDAY(DATE(РікКалендаря,1,24),1),"aaa")</f>
        <v>Чт</v>
      </c>
      <c r="AA5" s="2" t="str">
        <f>TEXT(WEEKDAY(DATE(РікКалендаря,1,25),1),"aaa")</f>
        <v>Пт</v>
      </c>
      <c r="AB5" s="2" t="str">
        <f>TEXT(WEEKDAY(DATE(РікКалендаря,1,26),1),"aaa")</f>
        <v>Сб</v>
      </c>
      <c r="AC5" s="2" t="str">
        <f>TEXT(WEEKDAY(DATE(РікКалендаря,1,27),1),"aaa")</f>
        <v>Нд</v>
      </c>
      <c r="AD5" s="2" t="str">
        <f>TEXT(WEEKDAY(DATE(РікКалендаря,1,28),1),"aaa")</f>
        <v>Пн</v>
      </c>
      <c r="AE5" s="2" t="str">
        <f>TEXT(WEEKDAY(DATE(РікКалендаря,1,29),1),"aaa")</f>
        <v>Вт</v>
      </c>
      <c r="AF5" s="2" t="str">
        <f>TEXT(WEEKDAY(DATE(РікКалендаря,1,30),1),"aaa")</f>
        <v>Ср</v>
      </c>
      <c r="AG5" s="2" t="str">
        <f>TEXT(WEEKDAY(DATE(РікКалендаря,1,31),1),"aaa")</f>
        <v>Чт</v>
      </c>
      <c r="AH5" s="12"/>
    </row>
    <row r="6" spans="1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1:34" ht="30" customHeight="1" x14ac:dyDescent="0.25">
      <c r="B7" s="9" t="s">
        <v>4</v>
      </c>
      <c r="C7" s="3"/>
      <c r="D7" s="3"/>
      <c r="E7" s="3" t="s">
        <v>8</v>
      </c>
      <c r="F7" s="3" t="s">
        <v>8</v>
      </c>
      <c r="G7" s="3" t="s">
        <v>8</v>
      </c>
      <c r="H7" s="3" t="s">
        <v>8</v>
      </c>
      <c r="I7" s="3"/>
      <c r="J7" s="3"/>
      <c r="K7" s="3"/>
      <c r="L7" s="3"/>
      <c r="M7" s="3"/>
      <c r="N7" s="3"/>
      <c r="O7" s="3" t="s">
        <v>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COUNTA(Січень!$C7:$AG7)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8</v>
      </c>
      <c r="AB8" s="3" t="s">
        <v>8</v>
      </c>
      <c r="AC8" s="3" t="s">
        <v>8</v>
      </c>
      <c r="AD8" s="3"/>
      <c r="AE8" s="3"/>
      <c r="AF8" s="3"/>
      <c r="AG8" s="3"/>
      <c r="AH8" s="10">
        <f>COUNTA(Січень!$C8:$AG8)</f>
        <v>7</v>
      </c>
    </row>
    <row r="9" spans="1:34" ht="30" customHeight="1" x14ac:dyDescent="0.25">
      <c r="B9" s="9" t="s">
        <v>6</v>
      </c>
      <c r="C9" s="3"/>
      <c r="D9" s="3"/>
      <c r="E9" s="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16</v>
      </c>
      <c r="AF9" s="3"/>
      <c r="AG9" s="3"/>
      <c r="AH9" s="10">
        <f>COUNTA(Січень!$C9:$AG9)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8</v>
      </c>
      <c r="V10" s="3" t="s">
        <v>8</v>
      </c>
      <c r="W10" s="3" t="s">
        <v>8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COUNTA(Січень!$C10:$AG10)</f>
        <v>4</v>
      </c>
    </row>
    <row r="11" spans="1:34" ht="30" customHeight="1" x14ac:dyDescent="0.25">
      <c r="B11" s="9" t="s">
        <v>63</v>
      </c>
      <c r="C11" s="3"/>
      <c r="D11" s="3"/>
      <c r="E11" s="3"/>
      <c r="F11" s="3" t="s">
        <v>16</v>
      </c>
      <c r="G11" s="3" t="s">
        <v>8</v>
      </c>
      <c r="H11" s="3" t="s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16</v>
      </c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 t="s">
        <v>8</v>
      </c>
      <c r="AH11" s="10">
        <f>COUNTA(Січень!$C11:$AG11)</f>
        <v>6</v>
      </c>
    </row>
    <row r="12" spans="1:34" ht="30" customHeight="1" x14ac:dyDescent="0.25">
      <c r="B12" s="21" t="str">
        <f>НазваМісяця&amp;" Підсумок"</f>
        <v>Січень Підсумок</v>
      </c>
      <c r="C12" s="13">
        <f>SUBTOTAL(103,Січень!$C$7:$C$11)</f>
        <v>0</v>
      </c>
      <c r="D12" s="13">
        <f>SUBTOTAL(103,Січень!$D$7:$D$11)</f>
        <v>0</v>
      </c>
      <c r="E12" s="13">
        <f>SUBTOTAL(103,Січень!$E$7:$E$11)</f>
        <v>2</v>
      </c>
      <c r="F12" s="13">
        <f>SUBTOTAL(103,Січень!$F$7:$F$11)</f>
        <v>2</v>
      </c>
      <c r="G12" s="13">
        <f>SUBTOTAL(103,Січень!$G$7:$G$11)</f>
        <v>3</v>
      </c>
      <c r="H12" s="13">
        <f>SUBTOTAL(103,Січень!$H$7:$H$11)</f>
        <v>3</v>
      </c>
      <c r="I12" s="13">
        <f>SUBTOTAL(103,Січень!$I$7:$I$11)</f>
        <v>1</v>
      </c>
      <c r="J12" s="13">
        <f>SUBTOTAL(103,Січень!$J$7:$J$11)</f>
        <v>0</v>
      </c>
      <c r="K12" s="13">
        <f>SUBTOTAL(103,Січень!$K$7:$K$11)</f>
        <v>0</v>
      </c>
      <c r="L12" s="13">
        <f>SUBTOTAL(103,Січень!$L$7:$L$11)</f>
        <v>0</v>
      </c>
      <c r="M12" s="13">
        <f>SUBTOTAL(103,Січень!$M$7:$M$11)</f>
        <v>1</v>
      </c>
      <c r="N12" s="13">
        <f>SUBTOTAL(103,Січень!$N$7:$N$11)</f>
        <v>0</v>
      </c>
      <c r="O12" s="13">
        <f>SUBTOTAL(103,Січень!$O$7:$O$11)</f>
        <v>1</v>
      </c>
      <c r="P12" s="13">
        <f>SUBTOTAL(103,Січень!$P$7:$P$11)</f>
        <v>1</v>
      </c>
      <c r="Q12" s="13">
        <f>SUBTOTAL(103,Січень!$Q$7:$Q$11)</f>
        <v>0</v>
      </c>
      <c r="R12" s="13">
        <f>SUBTOTAL(103,Січень!$R$7:$R$11)</f>
        <v>0</v>
      </c>
      <c r="S12" s="13">
        <f>SUBTOTAL(103,Січень!$S$7:$S$11)</f>
        <v>1</v>
      </c>
      <c r="T12" s="13">
        <f>SUBTOTAL(103,Січень!$T$7:$T$11)</f>
        <v>0</v>
      </c>
      <c r="U12" s="13">
        <f>SUBTOTAL(103,Січень!$U$7:$U$11)</f>
        <v>1</v>
      </c>
      <c r="V12" s="13">
        <f>SUBTOTAL(103,Січень!$V$7:$V$11)</f>
        <v>2</v>
      </c>
      <c r="W12" s="13">
        <f>SUBTOTAL(103,Січень!$W$7:$W$11)</f>
        <v>1</v>
      </c>
      <c r="X12" s="13">
        <f>SUBTOTAL(103,Січень!$X$7:$X$11)</f>
        <v>0</v>
      </c>
      <c r="Y12" s="13">
        <f>SUBTOTAL(103,Січень!$Y$7:$Y$11)</f>
        <v>0</v>
      </c>
      <c r="Z12" s="13">
        <f>SUBTOTAL(103,Січень!$Z$7:$Z$11)</f>
        <v>1</v>
      </c>
      <c r="AA12" s="13">
        <f>SUBTOTAL(103,Січень!$AA$7:$AA$11)</f>
        <v>1</v>
      </c>
      <c r="AB12" s="13">
        <f>SUBTOTAL(103,Січень!$AB$7:$AB$11)</f>
        <v>1</v>
      </c>
      <c r="AC12" s="13">
        <f>SUBTOTAL(103,Січень!$AC$7:$AC$11)</f>
        <v>1</v>
      </c>
      <c r="AD12" s="13">
        <f>SUBTOTAL(103,Січень!$AD$7:$AD$11)</f>
        <v>0</v>
      </c>
      <c r="AE12" s="13">
        <f>SUBTOTAL(103,Січень!$AE$7:$AE$11)</f>
        <v>1</v>
      </c>
      <c r="AF12" s="13">
        <f>SUBTOTAL(103,Січень!$AF$7:$AF$11)</f>
        <v>0</v>
      </c>
      <c r="AG12" s="13">
        <f>SUBTOTAL(103,Січень!$AG$7:$AG$11)</f>
        <v>1</v>
      </c>
      <c r="AH12" s="13">
        <f>SUBTOTAL(109,Січень[Усього днів])</f>
        <v>25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  <cfRule type="expression" dxfId="61" priority="6" stopIfTrue="1">
      <formula>C7=СпеціальнаУмовнаПозначка2</formula>
    </cfRule>
    <cfRule type="expression" dxfId="60" priority="7" stopIfTrue="1">
      <formula>C7=СпеціальнаУмовнаПозначка1</formula>
    </cfRule>
    <cfRule type="expression" dxfId="59" priority="8" stopIfTrue="1">
      <formula>C7=УмовнаПозначкаЛікарняне</formula>
    </cfRule>
    <cfRule type="expression" dxfId="58" priority="9" stopIfTrue="1">
      <formula>C7=УмовнаПозначкаОсобисте</formula>
    </cfRule>
    <cfRule type="expression" dxfId="57" priority="10" stopIfTrue="1">
      <formula>C7=УмовнаПозначкаВідпустка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У цій клітинці введіть рік" sqref="AH4" xr:uid="{00000000-0002-0000-0000-000000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000-000001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000-000002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000-000003000000}"/>
    <dataValidation allowBlank="1" showInputMessage="1" showErrorMessage="1" prompt="Тут автоматично підраховується загальна кількість днів на місяць, коли працівник був відсутній" sqref="AH6" xr:uid="{00000000-0002-0000-0000-000004000000}"/>
    <dataValidation allowBlank="1" showInputMessage="1" showErrorMessage="1" prompt="У цій клітинці міститься заголовок аркуша. Якщо змінити заголовок, це автоматично відобразиться на кожному аркуші" sqref="B1" xr:uid="{00000000-0002-0000-0000-000005000000}"/>
    <dataValidation allowBlank="1" showInputMessage="1" showErrorMessage="1" prompt="Місячний графік відсутності працівників. Оновіть рік у клітинці AH4. Відстежуйте підсумки місяця в останній клітинці таблиці. Введіть імена працівників у стовпці B" sqref="B4" xr:uid="{00000000-0002-0000-0000-000006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000-000007000000}"/>
    <dataValidation allowBlank="1" showInputMessage="1" showErrorMessage="1" prompt="Буква &quot;В&quot; вказує на відсутність через відпустку" sqref="C2" xr:uid="{00000000-0002-0000-0000-000008000000}"/>
    <dataValidation allowBlank="1" showInputMessage="1" showErrorMessage="1" prompt="Буква &quot;О&quot; вказує на відсутність з особистих причин" sqref="G2" xr:uid="{00000000-0002-0000-0000-000009000000}"/>
    <dataValidation allowBlank="1" showInputMessage="1" showErrorMessage="1" prompt="Буква &quot;Л&quot; вказує на відсутність через хворобу" sqref="K2" xr:uid="{00000000-0002-0000-0000-00000A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000-00000B000000}"/>
    <dataValidation allowBlank="1" showInputMessage="1" showErrorMessage="1" prompt="Введіть підпис, щоб описати спеціальну умовну позначку ліворуч" sqref="P2 U2" xr:uid="{00000000-0002-0000-0000-00000C000000}"/>
    <dataValidation allowBlank="1" showInputMessage="1" showErrorMessage="1" prompt="За допомогою графіка відсутності працівників можна відстежити відсутність працівників по днях кожного місяця. Аркушів всього 13: 12 – на кожен місяць і один – з іменами працівників. Відстежуйте відсутність працівників у січні, використовуючи цей аркуш" sqref="A1" xr:uid="{00000000-0002-0000-0000-00000D000000}"/>
    <dataValidation allowBlank="1" showInputMessage="1" showErrorMessage="1" prompt="Введіть рік у клітинці нижче" sqref="AH3" xr:uid="{00000000-0002-0000-0000-00000E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TEXT(WEEKDAY(DATE(РікКалендаря,10,1),1),"aaa")</f>
        <v>Вт</v>
      </c>
      <c r="D5" s="2" t="str">
        <f>TEXT(WEEKDAY(DATE(РікКалендаря,10,2),1),"aaa")</f>
        <v>Ср</v>
      </c>
      <c r="E5" s="2" t="str">
        <f>TEXT(WEEKDAY(DATE(РікКалендаря,10,3),1),"aaa")</f>
        <v>Чт</v>
      </c>
      <c r="F5" s="2" t="str">
        <f>TEXT(WEEKDAY(DATE(РікКалендаря,10,4),1),"aaa")</f>
        <v>Пт</v>
      </c>
      <c r="G5" s="2" t="str">
        <f>TEXT(WEEKDAY(DATE(РікКалендаря,10,5),1),"aaa")</f>
        <v>Сб</v>
      </c>
      <c r="H5" s="2" t="str">
        <f>TEXT(WEEKDAY(DATE(РікКалендаря,10,6),1),"aaa")</f>
        <v>Нд</v>
      </c>
      <c r="I5" s="2" t="str">
        <f>TEXT(WEEKDAY(DATE(РікКалендаря,10,7),1),"aaa")</f>
        <v>Пн</v>
      </c>
      <c r="J5" s="2" t="str">
        <f>TEXT(WEEKDAY(DATE(РікКалендаря,10,8),1),"aaa")</f>
        <v>Вт</v>
      </c>
      <c r="K5" s="2" t="str">
        <f>TEXT(WEEKDAY(DATE(РікКалендаря,10,9),1),"aaa")</f>
        <v>Ср</v>
      </c>
      <c r="L5" s="2" t="str">
        <f>TEXT(WEEKDAY(DATE(РікКалендаря,10,10),1),"aaa")</f>
        <v>Чт</v>
      </c>
      <c r="M5" s="2" t="str">
        <f>TEXT(WEEKDAY(DATE(РікКалендаря,10,11),1),"aaa")</f>
        <v>Пт</v>
      </c>
      <c r="N5" s="2" t="str">
        <f>TEXT(WEEKDAY(DATE(РікКалендаря,10,12),1),"aaa")</f>
        <v>Сб</v>
      </c>
      <c r="O5" s="2" t="str">
        <f>TEXT(WEEKDAY(DATE(РікКалендаря,10,13),1),"aaa")</f>
        <v>Нд</v>
      </c>
      <c r="P5" s="2" t="str">
        <f>TEXT(WEEKDAY(DATE(РікКалендаря,10,14),1),"aaa")</f>
        <v>Пн</v>
      </c>
      <c r="Q5" s="2" t="str">
        <f>TEXT(WEEKDAY(DATE(РікКалендаря,10,15),1),"aaa")</f>
        <v>Вт</v>
      </c>
      <c r="R5" s="2" t="str">
        <f>TEXT(WEEKDAY(DATE(РікКалендаря,10,16),1),"aaa")</f>
        <v>Ср</v>
      </c>
      <c r="S5" s="2" t="str">
        <f>TEXT(WEEKDAY(DATE(РікКалендаря,10,17),1),"aaa")</f>
        <v>Чт</v>
      </c>
      <c r="T5" s="2" t="str">
        <f>TEXT(WEEKDAY(DATE(РікКалендаря,10,18),1),"aaa")</f>
        <v>Пт</v>
      </c>
      <c r="U5" s="2" t="str">
        <f>TEXT(WEEKDAY(DATE(РікКалендаря,10,19),1),"aaa")</f>
        <v>Сб</v>
      </c>
      <c r="V5" s="2" t="str">
        <f>TEXT(WEEKDAY(DATE(РікКалендаря,10,20),1),"aaa")</f>
        <v>Нд</v>
      </c>
      <c r="W5" s="2" t="str">
        <f>TEXT(WEEKDAY(DATE(РікКалендаря,10,21),1),"aaa")</f>
        <v>Пн</v>
      </c>
      <c r="X5" s="2" t="str">
        <f>TEXT(WEEKDAY(DATE(РікКалендаря,10,22),1),"aaa")</f>
        <v>Вт</v>
      </c>
      <c r="Y5" s="2" t="str">
        <f>TEXT(WEEKDAY(DATE(РікКалендаря,10,23),1),"aaa")</f>
        <v>Ср</v>
      </c>
      <c r="Z5" s="2" t="str">
        <f>TEXT(WEEKDAY(DATE(РікКалендаря,10,24),1),"aaa")</f>
        <v>Чт</v>
      </c>
      <c r="AA5" s="2" t="str">
        <f>TEXT(WEEKDAY(DATE(РікКалендаря,10,25),1),"aaa")</f>
        <v>Пт</v>
      </c>
      <c r="AB5" s="2" t="str">
        <f>TEXT(WEEKDAY(DATE(РікКалендаря,10,26),1),"aaa")</f>
        <v>Сб</v>
      </c>
      <c r="AC5" s="2" t="str">
        <f>TEXT(WEEKDAY(DATE(РікКалендаря,10,27),1),"aaa")</f>
        <v>Нд</v>
      </c>
      <c r="AD5" s="2" t="str">
        <f>TEXT(WEEKDAY(DATE(РікКалендаря,10,28),1),"aaa")</f>
        <v>Пн</v>
      </c>
      <c r="AE5" s="2" t="str">
        <f>TEXT(WEEKDAY(DATE(РікКалендаря,10,29),1),"aaa")</f>
        <v>Вт</v>
      </c>
      <c r="AF5" s="2" t="str">
        <f>TEXT(WEEKDAY(DATE(РікКалендаря,10,30),1),"aaa")</f>
        <v>Ср</v>
      </c>
      <c r="AG5" s="2" t="str">
        <f>TEXT(WEEKDAY(DATE(РікКалендаря,10,31),1),"aaa")</f>
        <v>Чт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COUNTA(Жовтень[[#This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COUNTA(Жовтень[[#This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COUNTA(Жовтень[[#This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COUNTA(Жовтень[[#This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COUNTA(Жовтень[[#This Row],[1]:[31]])</f>
        <v>0</v>
      </c>
    </row>
    <row r="12" spans="2:34" ht="30" customHeight="1" x14ac:dyDescent="0.25">
      <c r="B12" s="21" t="str">
        <f>НазваМісяця&amp;" Підсумок"</f>
        <v>Жовтень Підсумок</v>
      </c>
      <c r="C12" s="13">
        <f>SUBTOTAL(103,Жовтень[1])</f>
        <v>0</v>
      </c>
      <c r="D12" s="13">
        <f>SUBTOTAL(103,Жовтень[2])</f>
        <v>0</v>
      </c>
      <c r="E12" s="13">
        <f>SUBTOTAL(103,Жовтень[3])</f>
        <v>0</v>
      </c>
      <c r="F12" s="13">
        <f>SUBTOTAL(103,Жовтень[4])</f>
        <v>0</v>
      </c>
      <c r="G12" s="13">
        <f>SUBTOTAL(103,Жовтень[5])</f>
        <v>0</v>
      </c>
      <c r="H12" s="13">
        <f>SUBTOTAL(103,Жовтень[6])</f>
        <v>0</v>
      </c>
      <c r="I12" s="13">
        <f>SUBTOTAL(103,Жовтень[7])</f>
        <v>0</v>
      </c>
      <c r="J12" s="13">
        <f>SUBTOTAL(103,Жовтень[8])</f>
        <v>0</v>
      </c>
      <c r="K12" s="13">
        <f>SUBTOTAL(103,Жовтень[9])</f>
        <v>0</v>
      </c>
      <c r="L12" s="13">
        <f>SUBTOTAL(103,Жовтень[10])</f>
        <v>0</v>
      </c>
      <c r="M12" s="13">
        <f>SUBTOTAL(103,Жовтень[11])</f>
        <v>0</v>
      </c>
      <c r="N12" s="13">
        <f>SUBTOTAL(103,Жовтень[12])</f>
        <v>0</v>
      </c>
      <c r="O12" s="13">
        <f>SUBTOTAL(103,Жовтень[13])</f>
        <v>0</v>
      </c>
      <c r="P12" s="13">
        <f>SUBTOTAL(103,Жовтень[14])</f>
        <v>0</v>
      </c>
      <c r="Q12" s="13">
        <f>SUBTOTAL(103,Жовтень[15])</f>
        <v>0</v>
      </c>
      <c r="R12" s="13">
        <f>SUBTOTAL(103,Жовтень[16])</f>
        <v>0</v>
      </c>
      <c r="S12" s="13">
        <f>SUBTOTAL(103,Жовтень[17])</f>
        <v>0</v>
      </c>
      <c r="T12" s="13">
        <f>SUBTOTAL(103,Жовтень[18])</f>
        <v>0</v>
      </c>
      <c r="U12" s="13">
        <f>SUBTOTAL(103,Жовтень[19])</f>
        <v>0</v>
      </c>
      <c r="V12" s="13">
        <f>SUBTOTAL(103,Жовтень[20])</f>
        <v>0</v>
      </c>
      <c r="W12" s="13">
        <f>SUBTOTAL(103,Жовтень[21])</f>
        <v>0</v>
      </c>
      <c r="X12" s="13">
        <f>SUBTOTAL(103,Жовтень[22])</f>
        <v>0</v>
      </c>
      <c r="Y12" s="13">
        <f>SUBTOTAL(103,Жовтень[23])</f>
        <v>0</v>
      </c>
      <c r="Z12" s="13">
        <f>SUBTOTAL(103,Жовтень[24])</f>
        <v>0</v>
      </c>
      <c r="AA12" s="13">
        <f>SUBTOTAL(103,Жовтень[25])</f>
        <v>0</v>
      </c>
      <c r="AB12" s="13">
        <f>SUBTOTAL(103,Жовтень[26])</f>
        <v>0</v>
      </c>
      <c r="AC12" s="13">
        <f>SUBTOTAL(103,Жовтень[27])</f>
        <v>0</v>
      </c>
      <c r="AD12" s="13">
        <f>SUBTOTAL(103,Жовтень[28])</f>
        <v>0</v>
      </c>
      <c r="AE12" s="13">
        <f>SUBTOTAL(103,Жовтень[29])</f>
        <v>0</v>
      </c>
      <c r="AF12" s="13">
        <f>SUBTOTAL(103,Жовтень[30])</f>
        <v>0</v>
      </c>
      <c r="AG12" s="13">
        <f>SUBTOTAL(103,Жовтень[31])</f>
        <v>0</v>
      </c>
      <c r="AH12" s="13">
        <f>SUBTOTAL(109,Жовтень[Усього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14" priority="2" stopIfTrue="1">
      <formula>C7=СпеціальнаУмовнаПозначка2</formula>
    </cfRule>
    <cfRule type="expression" dxfId="13" priority="3" stopIfTrue="1">
      <formula>C7=СпеціальнаУмовнаПозначка1</formula>
    </cfRule>
    <cfRule type="expression" dxfId="12" priority="4" stopIfTrue="1">
      <formula>C7=УмовнаПозначкаЛікарняне</formula>
    </cfRule>
    <cfRule type="expression" dxfId="11" priority="5" stopIfTrue="1">
      <formula>C7=УмовнаПозначкаОсобисте</formula>
    </cfRule>
    <cfRule type="expression" dxfId="10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900-000000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900-000001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900-000002000000}"/>
    <dataValidation allowBlank="1" showInputMessage="1" showErrorMessage="1" prompt="Відстежуйте відсутність працівників у жовтні на цьому аркуші" sqref="A1" xr:uid="{00000000-0002-0000-0900-000003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900-000004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900-000005000000}"/>
    <dataValidation allowBlank="1" showInputMessage="1" showErrorMessage="1" prompt="Буква &quot;В&quot; вказує на відсутність через відпустку" sqref="C2" xr:uid="{00000000-0002-0000-0900-000006000000}"/>
    <dataValidation allowBlank="1" showInputMessage="1" showErrorMessage="1" prompt="Буква &quot;О&quot; вказує на відсутність з особистих причин" sqref="G2" xr:uid="{00000000-0002-0000-0900-000007000000}"/>
    <dataValidation allowBlank="1" showInputMessage="1" showErrorMessage="1" prompt="Буква &quot;Л&quot; вказує на відсутність через хворобу" sqref="K2" xr:uid="{00000000-0002-0000-0900-000008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900-000009000000}"/>
    <dataValidation allowBlank="1" showInputMessage="1" showErrorMessage="1" prompt="Введіть підпис, щоб описати спеціальну умовну позначку ліворуч" sqref="P2 U2" xr:uid="{00000000-0002-0000-0900-00000A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900-00000B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900-00000C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9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TEXT(WEEKDAY(DATE(РікКалендаря,11,1),1),"aaa")</f>
        <v>Пт</v>
      </c>
      <c r="D5" s="2" t="str">
        <f>TEXT(WEEKDAY(DATE(РікКалендаря,11,2),1),"aaa")</f>
        <v>Сб</v>
      </c>
      <c r="E5" s="2" t="str">
        <f>TEXT(WEEKDAY(DATE(РікКалендаря,11,3),1),"aaa")</f>
        <v>Нд</v>
      </c>
      <c r="F5" s="2" t="str">
        <f>TEXT(WEEKDAY(DATE(РікКалендаря,11,4),1),"aaa")</f>
        <v>Пн</v>
      </c>
      <c r="G5" s="2" t="str">
        <f>TEXT(WEEKDAY(DATE(РікКалендаря,11,5),1),"aaa")</f>
        <v>Вт</v>
      </c>
      <c r="H5" s="2" t="str">
        <f>TEXT(WEEKDAY(DATE(РікКалендаря,11,6),1),"aaa")</f>
        <v>Ср</v>
      </c>
      <c r="I5" s="2" t="str">
        <f>TEXT(WEEKDAY(DATE(РікКалендаря,11,7),1),"aaa")</f>
        <v>Чт</v>
      </c>
      <c r="J5" s="2" t="str">
        <f>TEXT(WEEKDAY(DATE(РікКалендаря,11,8),1),"aaa")</f>
        <v>Пт</v>
      </c>
      <c r="K5" s="2" t="str">
        <f>TEXT(WEEKDAY(DATE(РікКалендаря,11,9),1),"aaa")</f>
        <v>Сб</v>
      </c>
      <c r="L5" s="2" t="str">
        <f>TEXT(WEEKDAY(DATE(РікКалендаря,11,10),1),"aaa")</f>
        <v>Нд</v>
      </c>
      <c r="M5" s="2" t="str">
        <f>TEXT(WEEKDAY(DATE(РікКалендаря,11,11),1),"aaa")</f>
        <v>Пн</v>
      </c>
      <c r="N5" s="2" t="str">
        <f>TEXT(WEEKDAY(DATE(РікКалендаря,11,12),1),"aaa")</f>
        <v>Вт</v>
      </c>
      <c r="O5" s="2" t="str">
        <f>TEXT(WEEKDAY(DATE(РікКалендаря,11,13),1),"aaa")</f>
        <v>Ср</v>
      </c>
      <c r="P5" s="2" t="str">
        <f>TEXT(WEEKDAY(DATE(РікКалендаря,11,14),1),"aaa")</f>
        <v>Чт</v>
      </c>
      <c r="Q5" s="2" t="str">
        <f>TEXT(WEEKDAY(DATE(РікКалендаря,11,15),1),"aaa")</f>
        <v>Пт</v>
      </c>
      <c r="R5" s="2" t="str">
        <f>TEXT(WEEKDAY(DATE(РікКалендаря,11,16),1),"aaa")</f>
        <v>Сб</v>
      </c>
      <c r="S5" s="2" t="str">
        <f>TEXT(WEEKDAY(DATE(РікКалендаря,11,17),1),"aaa")</f>
        <v>Нд</v>
      </c>
      <c r="T5" s="2" t="str">
        <f>TEXT(WEEKDAY(DATE(РікКалендаря,11,18),1),"aaa")</f>
        <v>Пн</v>
      </c>
      <c r="U5" s="2" t="str">
        <f>TEXT(WEEKDAY(DATE(РікКалендаря,11,19),1),"aaa")</f>
        <v>Вт</v>
      </c>
      <c r="V5" s="2" t="str">
        <f>TEXT(WEEKDAY(DATE(РікКалендаря,11,20),1),"aaa")</f>
        <v>Ср</v>
      </c>
      <c r="W5" s="2" t="str">
        <f>TEXT(WEEKDAY(DATE(РікКалендаря,11,21),1),"aaa")</f>
        <v>Чт</v>
      </c>
      <c r="X5" s="2" t="str">
        <f>TEXT(WEEKDAY(DATE(РікКалендаря,11,22),1),"aaa")</f>
        <v>Пт</v>
      </c>
      <c r="Y5" s="2" t="str">
        <f>TEXT(WEEKDAY(DATE(РікКалендаря,11,23),1),"aaa")</f>
        <v>Сб</v>
      </c>
      <c r="Z5" s="2" t="str">
        <f>TEXT(WEEKDAY(DATE(РікКалендаря,11,24),1),"aaa")</f>
        <v>Нд</v>
      </c>
      <c r="AA5" s="2" t="str">
        <f>TEXT(WEEKDAY(DATE(РікКалендаря,11,25),1),"aaa")</f>
        <v>Пн</v>
      </c>
      <c r="AB5" s="2" t="str">
        <f>TEXT(WEEKDAY(DATE(РікКалендаря,11,26),1),"aaa")</f>
        <v>Вт</v>
      </c>
      <c r="AC5" s="2" t="str">
        <f>TEXT(WEEKDAY(DATE(РікКалендаря,11,27),1),"aaa")</f>
        <v>Ср</v>
      </c>
      <c r="AD5" s="2" t="str">
        <f>TEXT(WEEKDAY(DATE(РікКалендаря,11,28),1),"aaa")</f>
        <v>Чт</v>
      </c>
      <c r="AE5" s="2" t="str">
        <f>TEXT(WEEKDAY(DATE(РікКалендаря,11,29),1),"aaa")</f>
        <v>Пт</v>
      </c>
      <c r="AF5" s="2" t="str">
        <f>TEXT(WEEKDAY(DATE(РікКалендаря,11,30),1),"aaa")</f>
        <v>Сб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COUNTA(Листопад[[#This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COUNTA(Листопад[[#This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COUNTA(Листопад[[#This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COUNTA(Листопад[[#This Row],[1]:[30]])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COUNTA(Листопад[[#This Row],[1]:[30]])</f>
        <v>0</v>
      </c>
    </row>
    <row r="12" spans="2:34" ht="30" customHeight="1" x14ac:dyDescent="0.25">
      <c r="B12" s="21" t="str">
        <f>НазваМісяця&amp;" Підсумок"</f>
        <v>Листопад Підсумок</v>
      </c>
      <c r="C12" s="13">
        <f>SUBTOTAL(103,Листопад[1])</f>
        <v>0</v>
      </c>
      <c r="D12" s="13">
        <f>SUBTOTAL(103,Листопад[2])</f>
        <v>0</v>
      </c>
      <c r="E12" s="13">
        <f>SUBTOTAL(103,Листопад[3])</f>
        <v>0</v>
      </c>
      <c r="F12" s="13">
        <f>SUBTOTAL(103,Листопад[4])</f>
        <v>0</v>
      </c>
      <c r="G12" s="13">
        <f>SUBTOTAL(103,Листопад[5])</f>
        <v>0</v>
      </c>
      <c r="H12" s="13">
        <f>SUBTOTAL(103,Листопад[6])</f>
        <v>0</v>
      </c>
      <c r="I12" s="13">
        <f>SUBTOTAL(103,Листопад[7])</f>
        <v>0</v>
      </c>
      <c r="J12" s="13">
        <f>SUBTOTAL(103,Листопад[8])</f>
        <v>0</v>
      </c>
      <c r="K12" s="13">
        <f>SUBTOTAL(103,Листопад[9])</f>
        <v>0</v>
      </c>
      <c r="L12" s="13">
        <f>SUBTOTAL(103,Листопад[10])</f>
        <v>0</v>
      </c>
      <c r="M12" s="13">
        <f>SUBTOTAL(103,Листопад[11])</f>
        <v>0</v>
      </c>
      <c r="N12" s="13">
        <f>SUBTOTAL(103,Листопад[12])</f>
        <v>0</v>
      </c>
      <c r="O12" s="13">
        <f>SUBTOTAL(103,Листопад[13])</f>
        <v>0</v>
      </c>
      <c r="P12" s="13">
        <f>SUBTOTAL(103,Листопад[14])</f>
        <v>0</v>
      </c>
      <c r="Q12" s="13">
        <f>SUBTOTAL(103,Листопад[15])</f>
        <v>0</v>
      </c>
      <c r="R12" s="13">
        <f>SUBTOTAL(103,Листопад[16])</f>
        <v>0</v>
      </c>
      <c r="S12" s="13">
        <f>SUBTOTAL(103,Листопад[17])</f>
        <v>0</v>
      </c>
      <c r="T12" s="13">
        <f>SUBTOTAL(103,Листопад[18])</f>
        <v>0</v>
      </c>
      <c r="U12" s="13">
        <f>SUBTOTAL(103,Листопад[19])</f>
        <v>0</v>
      </c>
      <c r="V12" s="13">
        <f>SUBTOTAL(103,Листопад[20])</f>
        <v>0</v>
      </c>
      <c r="W12" s="13">
        <f>SUBTOTAL(103,Листопад[21])</f>
        <v>0</v>
      </c>
      <c r="X12" s="13">
        <f>SUBTOTAL(103,Листопад[22])</f>
        <v>0</v>
      </c>
      <c r="Y12" s="13">
        <f>SUBTOTAL(103,Листопад[23])</f>
        <v>0</v>
      </c>
      <c r="Z12" s="13">
        <f>SUBTOTAL(103,Листопад[24])</f>
        <v>0</v>
      </c>
      <c r="AA12" s="13">
        <f>SUBTOTAL(103,Листопад[25])</f>
        <v>0</v>
      </c>
      <c r="AB12" s="13">
        <f>SUBTOTAL(103,Листопад[26])</f>
        <v>0</v>
      </c>
      <c r="AC12" s="13">
        <f>SUBTOTAL(103,Листопад[27])</f>
        <v>0</v>
      </c>
      <c r="AD12" s="13">
        <f>SUBTOTAL(103,Листопад[28])</f>
        <v>0</v>
      </c>
      <c r="AE12" s="13">
        <f>SUBTOTAL(103,Листопад[29])</f>
        <v>0</v>
      </c>
      <c r="AF12" s="13">
        <f>SUBTOTAL(103,Листопад[30])</f>
        <v>0</v>
      </c>
      <c r="AG12" s="13">
        <f>SUBTOTAL(103,Листопад[[ ]])</f>
        <v>0</v>
      </c>
      <c r="AH12" s="13">
        <f>SUBTOTAL(109,Листопад[Усього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9" priority="2" stopIfTrue="1">
      <formula>C7=СпеціальнаУмовнаПозначка2</formula>
    </cfRule>
    <cfRule type="expression" dxfId="8" priority="3" stopIfTrue="1">
      <formula>C7=СпеціальнаУмовнаПозначка1</formula>
    </cfRule>
    <cfRule type="expression" dxfId="7" priority="4" stopIfTrue="1">
      <formula>C7=УмовнаПозначкаЛікарняне</formula>
    </cfRule>
    <cfRule type="expression" dxfId="6" priority="5" stopIfTrue="1">
      <formula>C7=УмовнаПозначкаОсобисте</formula>
    </cfRule>
    <cfRule type="expression" dxfId="5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A00-000000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A00-000001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A00-000002000000}"/>
    <dataValidation allowBlank="1" showInputMessage="1" showErrorMessage="1" prompt="Введіть підпис, щоб описати спеціальну умовну позначку ліворуч" sqref="P2 U2" xr:uid="{00000000-0002-0000-0A00-000003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A00-000004000000}"/>
    <dataValidation allowBlank="1" showInputMessage="1" showErrorMessage="1" prompt="Буква &quot;Л&quot; вказує на відсутність через хворобу" sqref="K2" xr:uid="{00000000-0002-0000-0A00-000005000000}"/>
    <dataValidation allowBlank="1" showInputMessage="1" showErrorMessage="1" prompt="Буква &quot;О&quot; вказує на відсутність з особистих причин" sqref="G2" xr:uid="{00000000-0002-0000-0A00-000006000000}"/>
    <dataValidation allowBlank="1" showInputMessage="1" showErrorMessage="1" prompt="Буква &quot;В&quot; вказує на відсутність через відпустку" sqref="C2" xr:uid="{00000000-0002-0000-0A00-000007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A00-000008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A00-000009000000}"/>
    <dataValidation allowBlank="1" showInputMessage="1" showErrorMessage="1" prompt="Відстежуйте відсутність працівників у листопаді на цьому аркуші" sqref="A1" xr:uid="{00000000-0002-0000-0A00-00000A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A00-00000B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A00-00000C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A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TEXT(WEEKDAY(DATE(РікКалендаря,12,1),1),"aaa")</f>
        <v>Нд</v>
      </c>
      <c r="D5" s="2" t="str">
        <f>TEXT(WEEKDAY(DATE(РікКалендаря,12,2),1),"aaa")</f>
        <v>Пн</v>
      </c>
      <c r="E5" s="2" t="str">
        <f>TEXT(WEEKDAY(DATE(РікКалендаря,12,3),1),"aaa")</f>
        <v>Вт</v>
      </c>
      <c r="F5" s="2" t="str">
        <f>TEXT(WEEKDAY(DATE(РікКалендаря,12,4),1),"aaa")</f>
        <v>Ср</v>
      </c>
      <c r="G5" s="2" t="str">
        <f>TEXT(WEEKDAY(DATE(РікКалендаря,12,5),1),"aaa")</f>
        <v>Чт</v>
      </c>
      <c r="H5" s="2" t="str">
        <f>TEXT(WEEKDAY(DATE(РікКалендаря,12,6),1),"aaa")</f>
        <v>Пт</v>
      </c>
      <c r="I5" s="2" t="str">
        <f>TEXT(WEEKDAY(DATE(РікКалендаря,12,7),1),"aaa")</f>
        <v>Сб</v>
      </c>
      <c r="J5" s="2" t="str">
        <f>TEXT(WEEKDAY(DATE(РікКалендаря,12,8),1),"aaa")</f>
        <v>Нд</v>
      </c>
      <c r="K5" s="2" t="str">
        <f>TEXT(WEEKDAY(DATE(РікКалендаря,12,9),1),"aaa")</f>
        <v>Пн</v>
      </c>
      <c r="L5" s="2" t="str">
        <f>TEXT(WEEKDAY(DATE(РікКалендаря,12,10),1),"aaa")</f>
        <v>Вт</v>
      </c>
      <c r="M5" s="2" t="str">
        <f>TEXT(WEEKDAY(DATE(РікКалендаря,12,11),1),"aaa")</f>
        <v>Ср</v>
      </c>
      <c r="N5" s="2" t="str">
        <f>TEXT(WEEKDAY(DATE(РікКалендаря,12,12),1),"aaa")</f>
        <v>Чт</v>
      </c>
      <c r="O5" s="2" t="str">
        <f>TEXT(WEEKDAY(DATE(РікКалендаря,12,13),1),"aaa")</f>
        <v>Пт</v>
      </c>
      <c r="P5" s="2" t="str">
        <f>TEXT(WEEKDAY(DATE(РікКалендаря,12,14),1),"aaa")</f>
        <v>Сб</v>
      </c>
      <c r="Q5" s="2" t="str">
        <f>TEXT(WEEKDAY(DATE(РікКалендаря,12,15),1),"aaa")</f>
        <v>Нд</v>
      </c>
      <c r="R5" s="2" t="str">
        <f>TEXT(WEEKDAY(DATE(РікКалендаря,12,16),1),"aaa")</f>
        <v>Пн</v>
      </c>
      <c r="S5" s="2" t="str">
        <f>TEXT(WEEKDAY(DATE(РікКалендаря,12,17),1),"aaa")</f>
        <v>Вт</v>
      </c>
      <c r="T5" s="2" t="str">
        <f>TEXT(WEEKDAY(DATE(РікКалендаря,12,18),1),"aaa")</f>
        <v>Ср</v>
      </c>
      <c r="U5" s="2" t="str">
        <f>TEXT(WEEKDAY(DATE(РікКалендаря,12,19),1),"aaa")</f>
        <v>Чт</v>
      </c>
      <c r="V5" s="2" t="str">
        <f>TEXT(WEEKDAY(DATE(РікКалендаря,12,20),1),"aaa")</f>
        <v>Пт</v>
      </c>
      <c r="W5" s="2" t="str">
        <f>TEXT(WEEKDAY(DATE(РікКалендаря,12,21),1),"aaa")</f>
        <v>Сб</v>
      </c>
      <c r="X5" s="2" t="str">
        <f>TEXT(WEEKDAY(DATE(РікКалендаря,12,22),1),"aaa")</f>
        <v>Нд</v>
      </c>
      <c r="Y5" s="2" t="str">
        <f>TEXT(WEEKDAY(DATE(РікКалендаря,12,23),1),"aaa")</f>
        <v>Пн</v>
      </c>
      <c r="Z5" s="2" t="str">
        <f>TEXT(WEEKDAY(DATE(РікКалендаря,12,24),1),"aaa")</f>
        <v>Вт</v>
      </c>
      <c r="AA5" s="2" t="str">
        <f>TEXT(WEEKDAY(DATE(РікКалендаря,12,25),1),"aaa")</f>
        <v>Ср</v>
      </c>
      <c r="AB5" s="2" t="str">
        <f>TEXT(WEEKDAY(DATE(РікКалендаря,12,26),1),"aaa")</f>
        <v>Чт</v>
      </c>
      <c r="AC5" s="2" t="str">
        <f>TEXT(WEEKDAY(DATE(РікКалендаря,12,27),1),"aaa")</f>
        <v>Пт</v>
      </c>
      <c r="AD5" s="2" t="str">
        <f>TEXT(WEEKDAY(DATE(РікКалендаря,12,28),1),"aaa")</f>
        <v>Сб</v>
      </c>
      <c r="AE5" s="2" t="str">
        <f>TEXT(WEEKDAY(DATE(РікКалендаря,12,29),1),"aaa")</f>
        <v>Нд</v>
      </c>
      <c r="AF5" s="2" t="str">
        <f>TEXT(WEEKDAY(DATE(РікКалендаря,12,30),1),"aaa")</f>
        <v>Пн</v>
      </c>
      <c r="AG5" s="2" t="str">
        <f>TEXT(WEEKDAY(DATE(РікКалендаря,12,31),1),"aaa")</f>
        <v>Вт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COUNTA(Грудень[[#This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COUNTA(Грудень[[#This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COUNTA(Грудень[[#This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COUNTA(Грудень[[#This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COUNTA(Грудень[[#This Row],[1]:[31]])</f>
        <v>0</v>
      </c>
    </row>
    <row r="12" spans="2:34" ht="30" customHeight="1" x14ac:dyDescent="0.25">
      <c r="B12" s="21" t="str">
        <f>НазваМісяця&amp;" Підсумок"</f>
        <v>Грудень Підсумок</v>
      </c>
      <c r="C12" s="13">
        <f>SUBTOTAL(103,Грудень[1])</f>
        <v>0</v>
      </c>
      <c r="D12" s="13">
        <f>SUBTOTAL(103,Грудень[2])</f>
        <v>0</v>
      </c>
      <c r="E12" s="13">
        <f>SUBTOTAL(103,Грудень[3])</f>
        <v>0</v>
      </c>
      <c r="F12" s="13">
        <f>SUBTOTAL(103,Грудень[4])</f>
        <v>0</v>
      </c>
      <c r="G12" s="13">
        <f>SUBTOTAL(103,Грудень[5])</f>
        <v>0</v>
      </c>
      <c r="H12" s="13">
        <f>SUBTOTAL(103,Грудень[6])</f>
        <v>0</v>
      </c>
      <c r="I12" s="13">
        <f>SUBTOTAL(103,Грудень[7])</f>
        <v>0</v>
      </c>
      <c r="J12" s="13">
        <f>SUBTOTAL(103,Грудень[8])</f>
        <v>0</v>
      </c>
      <c r="K12" s="13">
        <f>SUBTOTAL(103,Грудень[9])</f>
        <v>0</v>
      </c>
      <c r="L12" s="13">
        <f>SUBTOTAL(103,Грудень[10])</f>
        <v>0</v>
      </c>
      <c r="M12" s="13">
        <f>SUBTOTAL(103,Грудень[11])</f>
        <v>0</v>
      </c>
      <c r="N12" s="13">
        <f>SUBTOTAL(103,Грудень[12])</f>
        <v>0</v>
      </c>
      <c r="O12" s="13">
        <f>SUBTOTAL(103,Грудень[13])</f>
        <v>0</v>
      </c>
      <c r="P12" s="13">
        <f>SUBTOTAL(103,Грудень[14])</f>
        <v>0</v>
      </c>
      <c r="Q12" s="13">
        <f>SUBTOTAL(103,Грудень[15])</f>
        <v>0</v>
      </c>
      <c r="R12" s="13">
        <f>SUBTOTAL(103,Грудень[16])</f>
        <v>0</v>
      </c>
      <c r="S12" s="13">
        <f>SUBTOTAL(103,Грудень[17])</f>
        <v>0</v>
      </c>
      <c r="T12" s="13">
        <f>SUBTOTAL(103,Грудень[18])</f>
        <v>0</v>
      </c>
      <c r="U12" s="13">
        <f>SUBTOTAL(103,Грудень[19])</f>
        <v>0</v>
      </c>
      <c r="V12" s="13">
        <f>SUBTOTAL(103,Грудень[20])</f>
        <v>0</v>
      </c>
      <c r="W12" s="13">
        <f>SUBTOTAL(103,Грудень[21])</f>
        <v>0</v>
      </c>
      <c r="X12" s="13">
        <f>SUBTOTAL(103,Грудень[22])</f>
        <v>0</v>
      </c>
      <c r="Y12" s="13">
        <f>SUBTOTAL(103,Грудень[23])</f>
        <v>0</v>
      </c>
      <c r="Z12" s="13">
        <f>SUBTOTAL(103,Грудень[24])</f>
        <v>0</v>
      </c>
      <c r="AA12" s="13">
        <f>SUBTOTAL(103,Грудень[25])</f>
        <v>0</v>
      </c>
      <c r="AB12" s="13">
        <f>SUBTOTAL(103,Грудень[26])</f>
        <v>0</v>
      </c>
      <c r="AC12" s="13">
        <f>SUBTOTAL(103,Грудень[27])</f>
        <v>0</v>
      </c>
      <c r="AD12" s="13">
        <f>SUBTOTAL(103,Грудень[28])</f>
        <v>0</v>
      </c>
      <c r="AE12" s="13">
        <f>SUBTOTAL(103,Грудень[29])</f>
        <v>0</v>
      </c>
      <c r="AF12" s="13">
        <f>SUBTOTAL(103,Грудень[30])</f>
        <v>0</v>
      </c>
      <c r="AG12" s="13">
        <f>SUBTOTAL(103,Грудень[31])</f>
        <v>0</v>
      </c>
      <c r="AH12" s="13">
        <f>SUBTOTAL(109,Грудень[Усього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4" priority="2" stopIfTrue="1">
      <formula>C7=СпеціальнаУмовнаПозначка2</formula>
    </cfRule>
    <cfRule type="expression" dxfId="3" priority="3" stopIfTrue="1">
      <formula>C7=СпеціальнаУмовнаПозначка1</formula>
    </cfRule>
    <cfRule type="expression" dxfId="2" priority="4" stopIfTrue="1">
      <formula>C7=УмовнаПозначкаЛікарняне</formula>
    </cfRule>
    <cfRule type="expression" dxfId="1" priority="5" stopIfTrue="1">
      <formula>C7=УмовнаПозначкаОсобисте</formula>
    </cfRule>
    <cfRule type="expression" dxfId="0" priority="6" stopIfTrue="1">
      <formula>C7=УмовнаПозначкаВідпустка</formula>
    </cfRule>
  </conditionalFormatting>
  <conditionalFormatting sqref="AH7:AH11">
    <cfRule type="dataBar" priority="30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B00-000000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B00-000001000000}"/>
    <dataValidation allowBlank="1" showInputMessage="1" showErrorMessage="1" prompt="Відстежуйте відсутність працівників у грудні на цьому аркуші" sqref="A1" xr:uid="{00000000-0002-0000-0B00-000002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B00-000003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B00-000004000000}"/>
    <dataValidation allowBlank="1" showInputMessage="1" showErrorMessage="1" prompt="Буква &quot;В&quot; вказує на відсутність через відпустку" sqref="C2" xr:uid="{00000000-0002-0000-0B00-000005000000}"/>
    <dataValidation allowBlank="1" showInputMessage="1" showErrorMessage="1" prompt="Буква &quot;О&quot; вказує на відсутність з особистих причин" sqref="G2" xr:uid="{00000000-0002-0000-0B00-000006000000}"/>
    <dataValidation allowBlank="1" showInputMessage="1" showErrorMessage="1" prompt="Буква &quot;Л&quot; вказує на відсутність через хворобу" sqref="K2" xr:uid="{00000000-0002-0000-0B00-000007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B00-000008000000}"/>
    <dataValidation allowBlank="1" showInputMessage="1" showErrorMessage="1" prompt="Введіть підпис, щоб описати спеціальну умовну позначку ліворуч" sqref="P2 U2" xr:uid="{00000000-0002-0000-0B00-000009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B00-00000A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B00-00000B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B00-00000C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B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62</v>
      </c>
    </row>
    <row r="2" spans="2:2" ht="15" customHeight="1" x14ac:dyDescent="0.25"/>
    <row r="3" spans="2:2" ht="30" customHeight="1" x14ac:dyDescent="0.25">
      <c r="B3" t="s">
        <v>62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63</v>
      </c>
    </row>
  </sheetData>
  <dataValidations count="3">
    <dataValidation allowBlank="1" showInputMessage="1" showErrorMessage="1" prompt="Заголовок &quot;Імена працівників&quot;" sqref="B1" xr:uid="{00000000-0002-0000-0C00-000000000000}"/>
    <dataValidation allowBlank="1" showInputMessage="1" showErrorMessage="1" prompt="Введіть імена працівників у таблиці &quot;Імена працівників&quot; на цьому аркуші. Вони використовуються в стовпці B таблиці відсутності за кожен місяць" sqref="A1" xr:uid="{00000000-0002-0000-0C00-000001000000}"/>
    <dataValidation allowBlank="1" showInputMessage="1" showErrorMessage="1" prompt="У цьому стовпці введіть імена працівників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/>
    </row>
    <row r="4" spans="2:34" ht="30" customHeight="1" x14ac:dyDescent="0.25">
      <c r="B4" s="12" t="s">
        <v>50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TEXT(WEEKDAY(DATE(РікКалендаря,2,1),1),"aaa")</f>
        <v>Пт</v>
      </c>
      <c r="D5" s="2" t="str">
        <f>TEXT(WEEKDAY(DATE(РікКалендаря,2,2),1),"aaa")</f>
        <v>Сб</v>
      </c>
      <c r="E5" s="2" t="str">
        <f>TEXT(WEEKDAY(DATE(РікКалендаря,2,3),1),"aaa")</f>
        <v>Нд</v>
      </c>
      <c r="F5" s="2" t="str">
        <f>TEXT(WEEKDAY(DATE(РікКалендаря,2,4),1),"aaa")</f>
        <v>Пн</v>
      </c>
      <c r="G5" s="2" t="str">
        <f>TEXT(WEEKDAY(DATE(РікКалендаря,2,5),1),"aaa")</f>
        <v>Вт</v>
      </c>
      <c r="H5" s="2" t="str">
        <f>TEXT(WEEKDAY(DATE(РікКалендаря,2,6),1),"aaa")</f>
        <v>Ср</v>
      </c>
      <c r="I5" s="2" t="str">
        <f>TEXT(WEEKDAY(DATE(РікКалендаря,2,7),1),"aaa")</f>
        <v>Чт</v>
      </c>
      <c r="J5" s="2" t="str">
        <f>TEXT(WEEKDAY(DATE(РікКалендаря,2,8),1),"aaa")</f>
        <v>Пт</v>
      </c>
      <c r="K5" s="2" t="str">
        <f>TEXT(WEEKDAY(DATE(РікКалендаря,2,9),1),"aaa")</f>
        <v>Сб</v>
      </c>
      <c r="L5" s="2" t="str">
        <f>TEXT(WEEKDAY(DATE(РікКалендаря,2,10),1),"aaa")</f>
        <v>Нд</v>
      </c>
      <c r="M5" s="2" t="str">
        <f>TEXT(WEEKDAY(DATE(РікКалендаря,2,11),1),"aaa")</f>
        <v>Пн</v>
      </c>
      <c r="N5" s="2" t="str">
        <f>TEXT(WEEKDAY(DATE(РікКалендаря,2,12),1),"aaa")</f>
        <v>Вт</v>
      </c>
      <c r="O5" s="2" t="str">
        <f>TEXT(WEEKDAY(DATE(РікКалендаря,2,13),1),"aaa")</f>
        <v>Ср</v>
      </c>
      <c r="P5" s="2" t="str">
        <f>TEXT(WEEKDAY(DATE(РікКалендаря,2,14),1),"aaa")</f>
        <v>Чт</v>
      </c>
      <c r="Q5" s="2" t="str">
        <f>TEXT(WEEKDAY(DATE(РікКалендаря,2,15),1),"aaa")</f>
        <v>Пт</v>
      </c>
      <c r="R5" s="2" t="str">
        <f>TEXT(WEEKDAY(DATE(РікКалендаря,2,16),1),"aaa")</f>
        <v>Сб</v>
      </c>
      <c r="S5" s="2" t="str">
        <f>TEXT(WEEKDAY(DATE(РікКалендаря,2,17),1),"aaa")</f>
        <v>Нд</v>
      </c>
      <c r="T5" s="2" t="str">
        <f>TEXT(WEEKDAY(DATE(РікКалендаря,2,18),1),"aaa")</f>
        <v>Пн</v>
      </c>
      <c r="U5" s="2" t="str">
        <f>TEXT(WEEKDAY(DATE(РікКалендаря,2,19),1),"aaa")</f>
        <v>Вт</v>
      </c>
      <c r="V5" s="2" t="str">
        <f>TEXT(WEEKDAY(DATE(РікКалендаря,2,20),1),"aaa")</f>
        <v>Ср</v>
      </c>
      <c r="W5" s="2" t="str">
        <f>TEXT(WEEKDAY(DATE(РікКалендаря,2,21),1),"aaa")</f>
        <v>Чт</v>
      </c>
      <c r="X5" s="2" t="str">
        <f>TEXT(WEEKDAY(DATE(РікКалендаря,2,22),1),"aaa")</f>
        <v>Пт</v>
      </c>
      <c r="Y5" s="2" t="str">
        <f>TEXT(WEEKDAY(DATE(РікКалендаря,2,23),1),"aaa")</f>
        <v>Сб</v>
      </c>
      <c r="Z5" s="2" t="str">
        <f>TEXT(WEEKDAY(DATE(РікКалендаря,2,24),1),"aaa")</f>
        <v>Нд</v>
      </c>
      <c r="AA5" s="2" t="str">
        <f>TEXT(WEEKDAY(DATE(РікКалендаря,2,25),1),"aaa")</f>
        <v>Пн</v>
      </c>
      <c r="AB5" s="2" t="str">
        <f>TEXT(WEEKDAY(DATE(РікКалендаря,2,26),1),"aaa")</f>
        <v>Вт</v>
      </c>
      <c r="AC5" s="2" t="str">
        <f>TEXT(WEEKDAY(DATE(РікКалендаря,2,27),1),"aaa")</f>
        <v>Ср</v>
      </c>
      <c r="AD5" s="2" t="str">
        <f>TEXT(WEEKDAY(DATE(РікКалендаря,2,28),1),"aaa")</f>
        <v>Чт</v>
      </c>
      <c r="AE5" s="2" t="str">
        <f>TEXT(WEEKDAY(DATE(РікКалендаря,2,29),1),"aaa")</f>
        <v>Пт</v>
      </c>
      <c r="AF5" s="2"/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51</v>
      </c>
      <c r="AG6" s="3" t="s">
        <v>52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 t="s">
        <v>8</v>
      </c>
      <c r="F7" s="3" t="s">
        <v>8</v>
      </c>
      <c r="G7" s="3" t="s">
        <v>8</v>
      </c>
      <c r="H7" s="3" t="s">
        <v>8</v>
      </c>
      <c r="I7" s="3"/>
      <c r="J7" s="3"/>
      <c r="K7" s="3"/>
      <c r="L7" s="3"/>
      <c r="M7" s="3"/>
      <c r="N7" s="3"/>
      <c r="O7" s="3" t="s">
        <v>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COUNTA(Лютий[[#This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8</v>
      </c>
      <c r="AB8" s="3" t="s">
        <v>8</v>
      </c>
      <c r="AC8" s="3" t="s">
        <v>8</v>
      </c>
      <c r="AD8" s="3"/>
      <c r="AE8" s="3"/>
      <c r="AF8" s="3"/>
      <c r="AG8" s="3"/>
      <c r="AH8" s="10">
        <f>COUNTA(Лютий[[#This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COUNTA(Лютий[[#This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16</v>
      </c>
      <c r="Q10" s="3"/>
      <c r="R10" s="3"/>
      <c r="S10" s="3"/>
      <c r="T10" s="3" t="s">
        <v>14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16</v>
      </c>
      <c r="AE10" s="3"/>
      <c r="AF10" s="3"/>
      <c r="AG10" s="3"/>
      <c r="AH10" s="10">
        <f>COUNTA(Лютий[[#This Row],[1]:[29]])</f>
        <v>4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 t="s">
        <v>8</v>
      </c>
      <c r="K11" s="3" t="s">
        <v>8</v>
      </c>
      <c r="L11" s="3" t="s">
        <v>8</v>
      </c>
      <c r="M11" s="3" t="s">
        <v>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/>
      <c r="AH11" s="10">
        <f>COUNTA(Лютий[[#This Row],[1]:[29]])</f>
        <v>5</v>
      </c>
    </row>
    <row r="12" spans="2:34" ht="30" customHeight="1" x14ac:dyDescent="0.25">
      <c r="B12" s="21" t="str">
        <f>НазваМісяця&amp;" Підсумок"</f>
        <v>Лютий Підсумок</v>
      </c>
      <c r="C12" s="13">
        <f>SUBTOTAL(103,Лютий[1])</f>
        <v>0</v>
      </c>
      <c r="D12" s="13">
        <f>SUBTOTAL(103,Лютий[2])</f>
        <v>0</v>
      </c>
      <c r="E12" s="13">
        <f>SUBTOTAL(103,Лютий[3])</f>
        <v>2</v>
      </c>
      <c r="F12" s="13">
        <f>SUBTOTAL(103,Лютий[4])</f>
        <v>1</v>
      </c>
      <c r="G12" s="13">
        <f>SUBTOTAL(103,Лютий[5])</f>
        <v>2</v>
      </c>
      <c r="H12" s="13">
        <f>SUBTOTAL(103,Лютий[6])</f>
        <v>2</v>
      </c>
      <c r="I12" s="13">
        <f>SUBTOTAL(103,Лютий[7])</f>
        <v>0</v>
      </c>
      <c r="J12" s="13">
        <f>SUBTOTAL(103,Лютий[8])</f>
        <v>1</v>
      </c>
      <c r="K12" s="13">
        <f>SUBTOTAL(103,Лютий[9])</f>
        <v>1</v>
      </c>
      <c r="L12" s="13">
        <f>SUBTOTAL(103,Лютий[10])</f>
        <v>1</v>
      </c>
      <c r="M12" s="13">
        <f>SUBTOTAL(103,Лютий[11])</f>
        <v>2</v>
      </c>
      <c r="N12" s="13">
        <f>SUBTOTAL(103,Лютий[12])</f>
        <v>0</v>
      </c>
      <c r="O12" s="13">
        <f>SUBTOTAL(103,Лютий[13])</f>
        <v>1</v>
      </c>
      <c r="P12" s="13">
        <f>SUBTOTAL(103,Лютий[14])</f>
        <v>1</v>
      </c>
      <c r="Q12" s="13">
        <f>SUBTOTAL(103,Лютий[15])</f>
        <v>0</v>
      </c>
      <c r="R12" s="13">
        <f>SUBTOTAL(103,Лютий[16])</f>
        <v>0</v>
      </c>
      <c r="S12" s="13">
        <f>SUBTOTAL(103,Лютий[17])</f>
        <v>0</v>
      </c>
      <c r="T12" s="13">
        <f>SUBTOTAL(103,Лютий[18])</f>
        <v>1</v>
      </c>
      <c r="U12" s="13">
        <f>SUBTOTAL(103,Лютий[19])</f>
        <v>0</v>
      </c>
      <c r="V12" s="13">
        <f>SUBTOTAL(103,Лютий[20])</f>
        <v>1</v>
      </c>
      <c r="W12" s="13">
        <f>SUBTOTAL(103,Лютий[21])</f>
        <v>0</v>
      </c>
      <c r="X12" s="13">
        <f>SUBTOTAL(103,Лютий[22])</f>
        <v>0</v>
      </c>
      <c r="Y12" s="13">
        <f>SUBTOTAL(103,Лютий[23])</f>
        <v>0</v>
      </c>
      <c r="Z12" s="13">
        <f>SUBTOTAL(103,Лютий[24])</f>
        <v>1</v>
      </c>
      <c r="AA12" s="13">
        <f>SUBTOTAL(103,Лютий[25])</f>
        <v>1</v>
      </c>
      <c r="AB12" s="13">
        <f>SUBTOTAL(103,Лютий[26])</f>
        <v>1</v>
      </c>
      <c r="AC12" s="13">
        <f>SUBTOTAL(103,Лютий[27])</f>
        <v>1</v>
      </c>
      <c r="AD12" s="13">
        <f>SUBTOTAL(103,Лютий[28])</f>
        <v>1</v>
      </c>
      <c r="AE12" s="13">
        <f>SUBTOTAL(103,Лютий[29])</f>
        <v>0</v>
      </c>
      <c r="AF12" s="13"/>
      <c r="AG12" s="13"/>
      <c r="AH12" s="13">
        <f>SUBTOTAL(109,Лютий[Усього днів])</f>
        <v>21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AE6">
    <cfRule type="expression" dxfId="56" priority="16">
      <formula>MONTH(DATE(РікКалендаря,2,29))&lt;&gt;2</formula>
    </cfRule>
  </conditionalFormatting>
  <conditionalFormatting sqref="AE5">
    <cfRule type="expression" dxfId="55" priority="15">
      <formula>MONTH(DATE(РікКалендаря,2,29))&lt;&gt;2</formula>
    </cfRule>
  </conditionalFormatting>
  <conditionalFormatting sqref="C7:AG11">
    <cfRule type="expression" priority="2" stopIfTrue="1">
      <formula>C7=""</formula>
    </cfRule>
    <cfRule type="expression" dxfId="54" priority="3" stopIfTrue="1">
      <formula>C7=СпеціальнаУмовнаПозначка2</formula>
    </cfRule>
  </conditionalFormatting>
  <conditionalFormatting sqref="C7:AG11">
    <cfRule type="expression" dxfId="53" priority="5" stopIfTrue="1">
      <formula>C7=СпеціальнаУмовнаПозначка1</formula>
    </cfRule>
    <cfRule type="expression" dxfId="52" priority="6" stopIfTrue="1">
      <formula>C7=УмовнаПозначкаЛікарняне</formula>
    </cfRule>
    <cfRule type="expression" dxfId="51" priority="7" stopIfTrue="1">
      <formula>C7=УмовнаПозначкаОсобисте</formula>
    </cfRule>
    <cfRule type="expression" dxfId="50" priority="8" stopIfTrue="1">
      <formula>C7=УмовнаПозначкаВідпустка</formula>
    </cfRule>
  </conditionalFormatting>
  <conditionalFormatting sqref="AH7:AH11">
    <cfRule type="dataBar" priority="153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100-000000000000}"/>
    <dataValidation allowBlank="1" showInputMessage="1" showErrorMessage="1" prompt="На цьому аркуші відстежується відсутність працівників у лютому" sqref="A1" xr:uid="{00000000-0002-0000-0100-000001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100-000002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100-000003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100-000004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100-000005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100-000006000000}"/>
    <dataValidation allowBlank="1" showInputMessage="1" showErrorMessage="1" prompt="Введіть підпис, щоб описати спеціальну умовну позначку ліворуч" sqref="P2 U2" xr:uid="{00000000-0002-0000-0100-000007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100-000008000000}"/>
    <dataValidation allowBlank="1" showInputMessage="1" showErrorMessage="1" prompt="Буква &quot;Л&quot; вказує на відсутність через хворобу" sqref="K2" xr:uid="{00000000-0002-0000-0100-000009000000}"/>
    <dataValidation allowBlank="1" showInputMessage="1" showErrorMessage="1" prompt="Буква &quot;О&quot; вказує на відсутність з особистих причин" sqref="G2" xr:uid="{00000000-0002-0000-0100-00000A000000}"/>
    <dataValidation allowBlank="1" showInputMessage="1" showErrorMessage="1" prompt="Буква &quot;В&quot; вказує на відсутність через відпустку" sqref="C2" xr:uid="{00000000-0002-0000-0100-00000B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100-00000C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1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53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TEXT(WEEKDAY(DATE(РікКалендаря,3,1),1),"aaa")</f>
        <v>Пт</v>
      </c>
      <c r="D5" s="2" t="str">
        <f>TEXT(WEEKDAY(DATE(РікКалендаря,3,2),1),"aaa")</f>
        <v>Сб</v>
      </c>
      <c r="E5" s="2" t="str">
        <f>TEXT(WEEKDAY(DATE(РікКалендаря,3,3),1),"aaa")</f>
        <v>Нд</v>
      </c>
      <c r="F5" s="2" t="str">
        <f>TEXT(WEEKDAY(DATE(РікКалендаря,3,4),1),"aaa")</f>
        <v>Пн</v>
      </c>
      <c r="G5" s="2" t="str">
        <f>TEXT(WEEKDAY(DATE(РікКалендаря,3,5),1),"aaa")</f>
        <v>Вт</v>
      </c>
      <c r="H5" s="2" t="str">
        <f>TEXT(WEEKDAY(DATE(РікКалендаря,3,6),1),"aaa")</f>
        <v>Ср</v>
      </c>
      <c r="I5" s="2" t="str">
        <f>TEXT(WEEKDAY(DATE(РікКалендаря,3,7),1),"aaa")</f>
        <v>Чт</v>
      </c>
      <c r="J5" s="2" t="str">
        <f>TEXT(WEEKDAY(DATE(РікКалендаря,3,8),1),"aaa")</f>
        <v>Пт</v>
      </c>
      <c r="K5" s="2" t="str">
        <f>TEXT(WEEKDAY(DATE(РікКалендаря,3,9),1),"aaa")</f>
        <v>Сб</v>
      </c>
      <c r="L5" s="2" t="str">
        <f>TEXT(WEEKDAY(DATE(РікКалендаря,3,10),1),"aaa")</f>
        <v>Нд</v>
      </c>
      <c r="M5" s="2" t="str">
        <f>TEXT(WEEKDAY(DATE(РікКалендаря,3,11),1),"aaa")</f>
        <v>Пн</v>
      </c>
      <c r="N5" s="2" t="str">
        <f>TEXT(WEEKDAY(DATE(РікКалендаря,3,12),1),"aaa")</f>
        <v>Вт</v>
      </c>
      <c r="O5" s="2" t="str">
        <f>TEXT(WEEKDAY(DATE(РікКалендаря,3,13),1),"aaa")</f>
        <v>Ср</v>
      </c>
      <c r="P5" s="2" t="str">
        <f>TEXT(WEEKDAY(DATE(РікКалендаря,3,14),1),"aaa")</f>
        <v>Чт</v>
      </c>
      <c r="Q5" s="2" t="str">
        <f>TEXT(WEEKDAY(DATE(РікКалендаря,3,15),1),"aaa")</f>
        <v>Пт</v>
      </c>
      <c r="R5" s="2" t="str">
        <f>TEXT(WEEKDAY(DATE(РікКалендаря,3,16),1),"aaa")</f>
        <v>Сб</v>
      </c>
      <c r="S5" s="2" t="str">
        <f>TEXT(WEEKDAY(DATE(РікКалендаря,3,17),1),"aaa")</f>
        <v>Нд</v>
      </c>
      <c r="T5" s="2" t="str">
        <f>TEXT(WEEKDAY(DATE(РікКалендаря,3,18),1),"aaa")</f>
        <v>Пн</v>
      </c>
      <c r="U5" s="2" t="str">
        <f>TEXT(WEEKDAY(DATE(РікКалендаря,3,19),1),"aaa")</f>
        <v>Вт</v>
      </c>
      <c r="V5" s="2" t="str">
        <f>TEXT(WEEKDAY(DATE(РікКалендаря,3,20),1),"aaa")</f>
        <v>Ср</v>
      </c>
      <c r="W5" s="2" t="str">
        <f>TEXT(WEEKDAY(DATE(РікКалендаря,3,21),1),"aaa")</f>
        <v>Чт</v>
      </c>
      <c r="X5" s="2" t="str">
        <f>TEXT(WEEKDAY(DATE(РікКалендаря,3,22),1),"aaa")</f>
        <v>Пт</v>
      </c>
      <c r="Y5" s="2" t="str">
        <f>TEXT(WEEKDAY(DATE(РікКалендаря,3,23),1),"aaa")</f>
        <v>Сб</v>
      </c>
      <c r="Z5" s="2" t="str">
        <f>TEXT(WEEKDAY(DATE(РікКалендаря,3,24),1),"aaa")</f>
        <v>Нд</v>
      </c>
      <c r="AA5" s="2" t="str">
        <f>TEXT(WEEKDAY(DATE(РікКалендаря,3,25),1),"aaa")</f>
        <v>Пн</v>
      </c>
      <c r="AB5" s="2" t="str">
        <f>TEXT(WEEKDAY(DATE(РікКалендаря,3,26),1),"aaa")</f>
        <v>Вт</v>
      </c>
      <c r="AC5" s="2" t="str">
        <f>TEXT(WEEKDAY(DATE(РікКалендаря,3,27),1),"aaa")</f>
        <v>Ср</v>
      </c>
      <c r="AD5" s="2" t="str">
        <f>TEXT(WEEKDAY(DATE(РікКалендаря,3,28),1),"aaa")</f>
        <v>Чт</v>
      </c>
      <c r="AE5" s="2" t="str">
        <f>TEXT(WEEKDAY(DATE(РікКалендаря,3,29),1),"aaa")</f>
        <v>Пт</v>
      </c>
      <c r="AF5" s="2" t="str">
        <f>TEXT(WEEKDAY(DATE(РікКалендаря,3,30),1),"aaa")</f>
        <v>Сб</v>
      </c>
      <c r="AG5" s="2" t="str">
        <f>TEXT(WEEKDAY(DATE(РікКалендаря,3,31),1),"aaa")</f>
        <v>Нд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COUNTA(Березень[[#This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COUNTA(Березень[[#This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COUNTA(Березень[[#This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COUNTA(Березень[[#This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COUNTA(Березень[[#This Row],[1]:[31]])</f>
        <v>0</v>
      </c>
    </row>
    <row r="12" spans="2:34" ht="30" customHeight="1" x14ac:dyDescent="0.25">
      <c r="B12" s="21" t="str">
        <f>НазваМісяця&amp;" Підсумок"</f>
        <v>Березень Підсумок</v>
      </c>
      <c r="C12" s="13">
        <f>SUBTOTAL(103,Березень[1])</f>
        <v>0</v>
      </c>
      <c r="D12" s="13">
        <f>SUBTOTAL(103,Березень[2])</f>
        <v>0</v>
      </c>
      <c r="E12" s="13">
        <f>SUBTOTAL(103,Березень[3])</f>
        <v>0</v>
      </c>
      <c r="F12" s="13">
        <f>SUBTOTAL(103,Березень[4])</f>
        <v>0</v>
      </c>
      <c r="G12" s="13">
        <f>SUBTOTAL(103,Березень[5])</f>
        <v>0</v>
      </c>
      <c r="H12" s="13">
        <f>SUBTOTAL(103,Березень[6])</f>
        <v>0</v>
      </c>
      <c r="I12" s="13">
        <f>SUBTOTAL(103,Березень[7])</f>
        <v>0</v>
      </c>
      <c r="J12" s="13">
        <f>SUBTOTAL(103,Березень[8])</f>
        <v>0</v>
      </c>
      <c r="K12" s="13">
        <f>SUBTOTAL(103,Березень[9])</f>
        <v>0</v>
      </c>
      <c r="L12" s="13">
        <f>SUBTOTAL(103,Березень[10])</f>
        <v>0</v>
      </c>
      <c r="M12" s="13">
        <f>SUBTOTAL(103,Березень[11])</f>
        <v>0</v>
      </c>
      <c r="N12" s="13">
        <f>SUBTOTAL(103,Березень[12])</f>
        <v>0</v>
      </c>
      <c r="O12" s="13">
        <f>SUBTOTAL(103,Березень[13])</f>
        <v>0</v>
      </c>
      <c r="P12" s="13">
        <f>SUBTOTAL(103,Березень[14])</f>
        <v>0</v>
      </c>
      <c r="Q12" s="13">
        <f>SUBTOTAL(103,Березень[15])</f>
        <v>0</v>
      </c>
      <c r="R12" s="13">
        <f>SUBTOTAL(103,Березень[16])</f>
        <v>0</v>
      </c>
      <c r="S12" s="13">
        <f>SUBTOTAL(103,Березень[17])</f>
        <v>0</v>
      </c>
      <c r="T12" s="13">
        <f>SUBTOTAL(103,Березень[18])</f>
        <v>0</v>
      </c>
      <c r="U12" s="13">
        <f>SUBTOTAL(103,Березень[19])</f>
        <v>0</v>
      </c>
      <c r="V12" s="13">
        <f>SUBTOTAL(103,Березень[20])</f>
        <v>0</v>
      </c>
      <c r="W12" s="13">
        <f>SUBTOTAL(103,Березень[21])</f>
        <v>0</v>
      </c>
      <c r="X12" s="13">
        <f>SUBTOTAL(103,Березень[22])</f>
        <v>0</v>
      </c>
      <c r="Y12" s="13">
        <f>SUBTOTAL(103,Березень[23])</f>
        <v>0</v>
      </c>
      <c r="Z12" s="13">
        <f>SUBTOTAL(103,Березень[24])</f>
        <v>0</v>
      </c>
      <c r="AA12" s="13">
        <f>SUBTOTAL(103,Березень[25])</f>
        <v>0</v>
      </c>
      <c r="AB12" s="13">
        <f>SUBTOTAL(103,Березень[26])</f>
        <v>0</v>
      </c>
      <c r="AC12" s="13">
        <f>SUBTOTAL(103,Березень[27])</f>
        <v>0</v>
      </c>
      <c r="AD12" s="13">
        <f>SUBTOTAL(103,Березень[28])</f>
        <v>0</v>
      </c>
      <c r="AE12" s="13">
        <f>SUBTOTAL(103,Березень[29])</f>
        <v>0</v>
      </c>
      <c r="AF12" s="13">
        <f>SUBTOTAL(103,Березень[30])</f>
        <v>0</v>
      </c>
      <c r="AG12" s="13">
        <f>SUBTOTAL(103,Березень[31])</f>
        <v>0</v>
      </c>
      <c r="AH12" s="13">
        <f>SUBTOTAL(109,Березень[Усього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49" priority="2" stopIfTrue="1">
      <formula>C7=СпеціальнаУмовнаПозначка2</formula>
    </cfRule>
    <cfRule type="expression" dxfId="48" priority="3" stopIfTrue="1">
      <formula>C7=СпеціальнаУмовнаПозначка1</formula>
    </cfRule>
    <cfRule type="expression" dxfId="47" priority="4" stopIfTrue="1">
      <formula>C7=УмовнаПозначкаЛікарняне</formula>
    </cfRule>
    <cfRule type="expression" dxfId="46" priority="5" stopIfTrue="1">
      <formula>C7=УмовнаПозначкаОсобисте</formula>
    </cfRule>
    <cfRule type="expression" dxfId="45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200-000000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200-000001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200-000002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200-000003000000}"/>
    <dataValidation allowBlank="1" showInputMessage="1" showErrorMessage="1" prompt="Введіть підпис, щоб описати спеціальну умовну позначку ліворуч" sqref="P2 U2" xr:uid="{00000000-0002-0000-0200-000004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200-000005000000}"/>
    <dataValidation allowBlank="1" showInputMessage="1" showErrorMessage="1" prompt="Буква &quot;Л&quot; вказує на відсутність через хворобу" sqref="K2" xr:uid="{00000000-0002-0000-0200-000006000000}"/>
    <dataValidation allowBlank="1" showInputMessage="1" showErrorMessage="1" prompt="Буква &quot;О&quot; вказує на відсутність з особистих причин" sqref="G2" xr:uid="{00000000-0002-0000-0200-000007000000}"/>
    <dataValidation allowBlank="1" showInputMessage="1" showErrorMessage="1" prompt="Буква &quot;В&quot; вказує на відсутність через відпустку" sqref="C2" xr:uid="{00000000-0002-0000-0200-000008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200-000009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200-00000A000000}"/>
    <dataValidation allowBlank="1" showInputMessage="1" showErrorMessage="1" prompt="Відстежуйте відсутність працівників у березні на цьому аркуші" sqref="A1" xr:uid="{00000000-0002-0000-0200-00000B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200-00000C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2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TEXT(WEEKDAY(DATE(РікКалендаря,4,1),1),"aaa")</f>
        <v>Пн</v>
      </c>
      <c r="D5" s="2" t="str">
        <f>TEXT(WEEKDAY(DATE(РікКалендаря,4,2),1),"aaa")</f>
        <v>Вт</v>
      </c>
      <c r="E5" s="2" t="str">
        <f>TEXT(WEEKDAY(DATE(РікКалендаря,4,3),1),"aaa")</f>
        <v>Ср</v>
      </c>
      <c r="F5" s="2" t="str">
        <f>TEXT(WEEKDAY(DATE(РікКалендаря,4,4),1),"aaa")</f>
        <v>Чт</v>
      </c>
      <c r="G5" s="2" t="str">
        <f>TEXT(WEEKDAY(DATE(РікКалендаря,4,5),1),"aaa")</f>
        <v>Пт</v>
      </c>
      <c r="H5" s="2" t="str">
        <f>TEXT(WEEKDAY(DATE(РікКалендаря,4,6),1),"aaa")</f>
        <v>Сб</v>
      </c>
      <c r="I5" s="2" t="str">
        <f>TEXT(WEEKDAY(DATE(РікКалендаря,4,7),1),"aaa")</f>
        <v>Нд</v>
      </c>
      <c r="J5" s="2" t="str">
        <f>TEXT(WEEKDAY(DATE(РікКалендаря,4,8),1),"aaa")</f>
        <v>Пн</v>
      </c>
      <c r="K5" s="2" t="str">
        <f>TEXT(WEEKDAY(DATE(РікКалендаря,4,9),1),"aaa")</f>
        <v>Вт</v>
      </c>
      <c r="L5" s="2" t="str">
        <f>TEXT(WEEKDAY(DATE(РікКалендаря,4,10),1),"aaa")</f>
        <v>Ср</v>
      </c>
      <c r="M5" s="2" t="str">
        <f>TEXT(WEEKDAY(DATE(РікКалендаря,4,11),1),"aaa")</f>
        <v>Чт</v>
      </c>
      <c r="N5" s="2" t="str">
        <f>TEXT(WEEKDAY(DATE(РікКалендаря,4,12),1),"aaa")</f>
        <v>Пт</v>
      </c>
      <c r="O5" s="2" t="str">
        <f>TEXT(WEEKDAY(DATE(РікКалендаря,4,13),1),"aaa")</f>
        <v>Сб</v>
      </c>
      <c r="P5" s="2" t="str">
        <f>TEXT(WEEKDAY(DATE(РікКалендаря,4,14),1),"aaa")</f>
        <v>Нд</v>
      </c>
      <c r="Q5" s="2" t="str">
        <f>TEXT(WEEKDAY(DATE(РікКалендаря,4,15),1),"aaa")</f>
        <v>Пн</v>
      </c>
      <c r="R5" s="2" t="str">
        <f>TEXT(WEEKDAY(DATE(РікКалендаря,4,16),1),"aaa")</f>
        <v>Вт</v>
      </c>
      <c r="S5" s="2" t="str">
        <f>TEXT(WEEKDAY(DATE(РікКалендаря,4,17),1),"aaa")</f>
        <v>Ср</v>
      </c>
      <c r="T5" s="2" t="str">
        <f>TEXT(WEEKDAY(DATE(РікКалендаря,4,18),1),"aaa")</f>
        <v>Чт</v>
      </c>
      <c r="U5" s="2" t="str">
        <f>TEXT(WEEKDAY(DATE(РікКалендаря,4,19),1),"aaa")</f>
        <v>Пт</v>
      </c>
      <c r="V5" s="2" t="str">
        <f>TEXT(WEEKDAY(DATE(РікКалендаря,4,20),1),"aaa")</f>
        <v>Сб</v>
      </c>
      <c r="W5" s="2" t="str">
        <f>TEXT(WEEKDAY(DATE(РікКалендаря,4,21),1),"aaa")</f>
        <v>Нд</v>
      </c>
      <c r="X5" s="2" t="str">
        <f>TEXT(WEEKDAY(DATE(РікКалендаря,4,22),1),"aaa")</f>
        <v>Пн</v>
      </c>
      <c r="Y5" s="2" t="str">
        <f>TEXT(WEEKDAY(DATE(РікКалендаря,4,23),1),"aaa")</f>
        <v>Вт</v>
      </c>
      <c r="Z5" s="2" t="str">
        <f>TEXT(WEEKDAY(DATE(РікКалендаря,4,24),1),"aaa")</f>
        <v>Ср</v>
      </c>
      <c r="AA5" s="2" t="str">
        <f>TEXT(WEEKDAY(DATE(РікКалендаря,4,25),1),"aaa")</f>
        <v>Чт</v>
      </c>
      <c r="AB5" s="2" t="str">
        <f>TEXT(WEEKDAY(DATE(РікКалендаря,4,26),1),"aaa")</f>
        <v>Пт</v>
      </c>
      <c r="AC5" s="2" t="str">
        <f>TEXT(WEEKDAY(DATE(РікКалендаря,4,27),1),"aaa")</f>
        <v>Сб</v>
      </c>
      <c r="AD5" s="2" t="str">
        <f>TEXT(WEEKDAY(DATE(РікКалендаря,4,28),1),"aaa")</f>
        <v>Нд</v>
      </c>
      <c r="AE5" s="2" t="str">
        <f>TEXT(WEEKDAY(DATE(РікКалендаря,4,29),1),"aaa")</f>
        <v>Пн</v>
      </c>
      <c r="AF5" s="2" t="str">
        <f>TEXT(WEEKDAY(DATE(РікКалендаря,4,30),1),"aaa")</f>
        <v>Вт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2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COUNTA(Квітень[[#This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COUNTA(Квітень[[#This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COUNTA(Квітень[[#This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COUNTA(Квітень[[#This Row],[1]:[30]])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COUNTA(Квітень[[#This Row],[1]:[30]])</f>
        <v>0</v>
      </c>
    </row>
    <row r="12" spans="2:34" ht="30" customHeight="1" x14ac:dyDescent="0.25">
      <c r="B12" s="21" t="str">
        <f>НазваМісяця&amp;" Підсумок"</f>
        <v>Квітень Підсумок</v>
      </c>
      <c r="C12" s="13">
        <f>SUBTOTAL(103,Квітень[1])</f>
        <v>0</v>
      </c>
      <c r="D12" s="13">
        <f>SUBTOTAL(103,Квітень[2])</f>
        <v>0</v>
      </c>
      <c r="E12" s="13">
        <f>SUBTOTAL(103,Квітень[3])</f>
        <v>0</v>
      </c>
      <c r="F12" s="13">
        <f>SUBTOTAL(103,Квітень[4])</f>
        <v>0</v>
      </c>
      <c r="G12" s="13">
        <f>SUBTOTAL(103,Квітень[5])</f>
        <v>0</v>
      </c>
      <c r="H12" s="13">
        <f>SUBTOTAL(103,Квітень[6])</f>
        <v>0</v>
      </c>
      <c r="I12" s="13">
        <f>SUBTOTAL(103,Квітень[7])</f>
        <v>0</v>
      </c>
      <c r="J12" s="13">
        <f>SUBTOTAL(103,Квітень[8])</f>
        <v>0</v>
      </c>
      <c r="K12" s="13">
        <f>SUBTOTAL(103,Квітень[9])</f>
        <v>0</v>
      </c>
      <c r="L12" s="13">
        <f>SUBTOTAL(103,Квітень[10])</f>
        <v>0</v>
      </c>
      <c r="M12" s="13">
        <f>SUBTOTAL(103,Квітень[11])</f>
        <v>0</v>
      </c>
      <c r="N12" s="13">
        <f>SUBTOTAL(103,Квітень[12])</f>
        <v>0</v>
      </c>
      <c r="O12" s="13">
        <f>SUBTOTAL(103,Квітень[13])</f>
        <v>0</v>
      </c>
      <c r="P12" s="13">
        <f>SUBTOTAL(103,Квітень[14])</f>
        <v>0</v>
      </c>
      <c r="Q12" s="13">
        <f>SUBTOTAL(103,Квітень[15])</f>
        <v>0</v>
      </c>
      <c r="R12" s="13">
        <f>SUBTOTAL(103,Квітень[16])</f>
        <v>0</v>
      </c>
      <c r="S12" s="13">
        <f>SUBTOTAL(103,Квітень[17])</f>
        <v>0</v>
      </c>
      <c r="T12" s="13">
        <f>SUBTOTAL(103,Квітень[18])</f>
        <v>0</v>
      </c>
      <c r="U12" s="13">
        <f>SUBTOTAL(103,Квітень[19])</f>
        <v>0</v>
      </c>
      <c r="V12" s="13">
        <f>SUBTOTAL(103,Квітень[20])</f>
        <v>0</v>
      </c>
      <c r="W12" s="13">
        <f>SUBTOTAL(103,Квітень[21])</f>
        <v>0</v>
      </c>
      <c r="X12" s="13">
        <f>SUBTOTAL(103,Квітень[22])</f>
        <v>0</v>
      </c>
      <c r="Y12" s="13">
        <f>SUBTOTAL(103,Квітень[23])</f>
        <v>0</v>
      </c>
      <c r="Z12" s="13">
        <f>SUBTOTAL(103,Квітень[24])</f>
        <v>0</v>
      </c>
      <c r="AA12" s="13">
        <f>SUBTOTAL(103,Квітень[25])</f>
        <v>0</v>
      </c>
      <c r="AB12" s="13">
        <f>SUBTOTAL(103,Квітень[26])</f>
        <v>0</v>
      </c>
      <c r="AC12" s="13">
        <f>SUBTOTAL(103,Квітень[27])</f>
        <v>0</v>
      </c>
      <c r="AD12" s="13">
        <f>SUBTOTAL(103,Квітень[28])</f>
        <v>0</v>
      </c>
      <c r="AE12" s="13">
        <f>SUBTOTAL(103,Квітень[29])</f>
        <v>0</v>
      </c>
      <c r="AF12" s="13">
        <f>SUBTOTAL(103,Квітень[30])</f>
        <v>0</v>
      </c>
      <c r="AG12" s="13">
        <f>SUBTOTAL(103,Квітень[30])</f>
        <v>0</v>
      </c>
      <c r="AH12" s="13">
        <f>SUBTOTAL(109,Квітень[Усього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44" priority="2" stopIfTrue="1">
      <formula>C7=СпеціальнаУмовнаПозначка2</formula>
    </cfRule>
    <cfRule type="expression" dxfId="43" priority="3" stopIfTrue="1">
      <formula>C7=СпеціальнаУмовнаПозначка1</formula>
    </cfRule>
    <cfRule type="expression" dxfId="42" priority="4" stopIfTrue="1">
      <formula>C7=УмовнаПозначкаЛікарняне</formula>
    </cfRule>
    <cfRule type="expression" dxfId="41" priority="5" stopIfTrue="1">
      <formula>C7=УмовнаПозначкаОсобисте</formula>
    </cfRule>
    <cfRule type="expression" dxfId="40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300-000000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300-000001000000}"/>
    <dataValidation allowBlank="1" showInputMessage="1" showErrorMessage="1" prompt="Відстежуйте відсутність працівників у квітні на цьому аркуші" sqref="A1" xr:uid="{00000000-0002-0000-0300-000002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300-000003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300-000004000000}"/>
    <dataValidation allowBlank="1" showInputMessage="1" showErrorMessage="1" prompt="Буква &quot;В&quot; вказує на відсутність через відпустку" sqref="C2" xr:uid="{00000000-0002-0000-0300-000005000000}"/>
    <dataValidation allowBlank="1" showInputMessage="1" showErrorMessage="1" prompt="Буква &quot;О&quot; вказує на відсутність з особистих причин" sqref="G2" xr:uid="{00000000-0002-0000-0300-000006000000}"/>
    <dataValidation allowBlank="1" showInputMessage="1" showErrorMessage="1" prompt="Буква &quot;Л&quot; вказує на відсутність через хворобу" sqref="K2" xr:uid="{00000000-0002-0000-0300-000007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300-000008000000}"/>
    <dataValidation allowBlank="1" showInputMessage="1" showErrorMessage="1" prompt="Введіть підпис, щоб описати спеціальну умовну позначку ліворуч" sqref="P2 U2" xr:uid="{00000000-0002-0000-0300-000009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300-00000A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300-00000B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300-00000C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3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64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TEXT(WEEKDAY(DATE(РікКалендаря,5,1),1),"aaa")</f>
        <v>Ср</v>
      </c>
      <c r="D5" s="2" t="str">
        <f>TEXT(WEEKDAY(DATE(РікКалендаря,5,2),1),"aaa")</f>
        <v>Чт</v>
      </c>
      <c r="E5" s="2" t="str">
        <f>TEXT(WEEKDAY(DATE(РікКалендаря,5,3),1),"aaa")</f>
        <v>Пт</v>
      </c>
      <c r="F5" s="2" t="str">
        <f>TEXT(WEEKDAY(DATE(РікКалендаря,5,4),1),"aaa")</f>
        <v>Сб</v>
      </c>
      <c r="G5" s="2" t="str">
        <f>TEXT(WEEKDAY(DATE(РікКалендаря,5,5),1),"aaa")</f>
        <v>Нд</v>
      </c>
      <c r="H5" s="2" t="str">
        <f>TEXT(WEEKDAY(DATE(РікКалендаря,5,6),1),"aaa")</f>
        <v>Пн</v>
      </c>
      <c r="I5" s="2" t="str">
        <f>TEXT(WEEKDAY(DATE(РікКалендаря,5,7),1),"aaa")</f>
        <v>Вт</v>
      </c>
      <c r="J5" s="2" t="str">
        <f>TEXT(WEEKDAY(DATE(РікКалендаря,5,8),1),"aaa")</f>
        <v>Ср</v>
      </c>
      <c r="K5" s="2" t="str">
        <f>TEXT(WEEKDAY(DATE(РікКалендаря,5,9),1),"aaa")</f>
        <v>Чт</v>
      </c>
      <c r="L5" s="2" t="str">
        <f>TEXT(WEEKDAY(DATE(РікКалендаря,5,10),1),"aaa")</f>
        <v>Пт</v>
      </c>
      <c r="M5" s="2" t="str">
        <f>TEXT(WEEKDAY(DATE(РікКалендаря,5,11),1),"aaa")</f>
        <v>Сб</v>
      </c>
      <c r="N5" s="2" t="str">
        <f>TEXT(WEEKDAY(DATE(РікКалендаря,5,12),1),"aaa")</f>
        <v>Нд</v>
      </c>
      <c r="O5" s="2" t="str">
        <f>TEXT(WEEKDAY(DATE(РікКалендаря,5,13),1),"aaa")</f>
        <v>Пн</v>
      </c>
      <c r="P5" s="2" t="str">
        <f>TEXT(WEEKDAY(DATE(РікКалендаря,5,14),1),"aaa")</f>
        <v>Вт</v>
      </c>
      <c r="Q5" s="2" t="str">
        <f>TEXT(WEEKDAY(DATE(РікКалендаря,5,15),1),"aaa")</f>
        <v>Ср</v>
      </c>
      <c r="R5" s="2" t="str">
        <f>TEXT(WEEKDAY(DATE(РікКалендаря,5,16),1),"aaa")</f>
        <v>Чт</v>
      </c>
      <c r="S5" s="2" t="str">
        <f>TEXT(WEEKDAY(DATE(РікКалендаря,5,17),1),"aaa")</f>
        <v>Пт</v>
      </c>
      <c r="T5" s="2" t="str">
        <f>TEXT(WEEKDAY(DATE(РікКалендаря,5,18),1),"aaa")</f>
        <v>Сб</v>
      </c>
      <c r="U5" s="2" t="str">
        <f>TEXT(WEEKDAY(DATE(РікКалендаря,5,19),1),"aaa")</f>
        <v>Нд</v>
      </c>
      <c r="V5" s="2" t="str">
        <f>TEXT(WEEKDAY(DATE(РікКалендаря,5,20),1),"aaa")</f>
        <v>Пн</v>
      </c>
      <c r="W5" s="2" t="str">
        <f>TEXT(WEEKDAY(DATE(РікКалендаря,5,21),1),"aaa")</f>
        <v>Вт</v>
      </c>
      <c r="X5" s="2" t="str">
        <f>TEXT(WEEKDAY(DATE(РікКалендаря,5,22),1),"aaa")</f>
        <v>Ср</v>
      </c>
      <c r="Y5" s="2" t="str">
        <f>TEXT(WEEKDAY(DATE(РікКалендаря,5,23),1),"aaa")</f>
        <v>Чт</v>
      </c>
      <c r="Z5" s="2" t="str">
        <f>TEXT(WEEKDAY(DATE(РікКалендаря,5,24),1),"aaa")</f>
        <v>Пт</v>
      </c>
      <c r="AA5" s="2" t="str">
        <f>TEXT(WEEKDAY(DATE(РікКалендаря,5,25),1),"aaa")</f>
        <v>Сб</v>
      </c>
      <c r="AB5" s="2" t="str">
        <f>TEXT(WEEKDAY(DATE(РікКалендаря,5,26),1),"aaa")</f>
        <v>Нд</v>
      </c>
      <c r="AC5" s="2" t="str">
        <f>TEXT(WEEKDAY(DATE(РікКалендаря,5,27),1),"aaa")</f>
        <v>Пн</v>
      </c>
      <c r="AD5" s="2" t="str">
        <f>TEXT(WEEKDAY(DATE(РікКалендаря,5,28),1),"aaa")</f>
        <v>Вт</v>
      </c>
      <c r="AE5" s="2" t="str">
        <f>TEXT(WEEKDAY(DATE(РікКалендаря,5,29),1),"aaa")</f>
        <v>Ср</v>
      </c>
      <c r="AF5" s="2" t="str">
        <f>TEXT(WEEKDAY(DATE(РікКалендаря,5,30),1),"aaa")</f>
        <v>Чт</v>
      </c>
      <c r="AG5" s="2" t="str">
        <f>TEXT(WEEKDAY(DATE(РікКалендаря,5,31),1),"aaa")</f>
        <v>Пт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COUNTA(Травень[[#This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COUNTA(Травень[[#This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COUNTA(Травень[[#This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COUNTA(Травень[[#This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COUNTA(Травень[[#This Row],[1]:[31]])</f>
        <v>0</v>
      </c>
    </row>
    <row r="12" spans="2:34" ht="30" customHeight="1" x14ac:dyDescent="0.25">
      <c r="B12" s="21" t="str">
        <f>НазваМісяця&amp;" Підсумок"</f>
        <v>Травень Підсумок</v>
      </c>
      <c r="C12" s="13">
        <f>SUBTOTAL(103,Травень[1])</f>
        <v>0</v>
      </c>
      <c r="D12" s="13">
        <f>SUBTOTAL(103,Травень[2])</f>
        <v>0</v>
      </c>
      <c r="E12" s="13">
        <f>SUBTOTAL(103,Травень[3])</f>
        <v>0</v>
      </c>
      <c r="F12" s="13">
        <f>SUBTOTAL(103,Травень[4])</f>
        <v>0</v>
      </c>
      <c r="G12" s="13">
        <f>SUBTOTAL(103,Травень[5])</f>
        <v>0</v>
      </c>
      <c r="H12" s="13">
        <f>SUBTOTAL(103,Травень[6])</f>
        <v>0</v>
      </c>
      <c r="I12" s="13">
        <f>SUBTOTAL(103,Травень[7])</f>
        <v>0</v>
      </c>
      <c r="J12" s="13">
        <f>SUBTOTAL(103,Травень[8])</f>
        <v>0</v>
      </c>
      <c r="K12" s="13">
        <f>SUBTOTAL(103,Травень[9])</f>
        <v>0</v>
      </c>
      <c r="L12" s="13">
        <f>SUBTOTAL(103,Травень[10])</f>
        <v>0</v>
      </c>
      <c r="M12" s="13">
        <f>SUBTOTAL(103,Травень[11])</f>
        <v>0</v>
      </c>
      <c r="N12" s="13">
        <f>SUBTOTAL(103,Травень[12])</f>
        <v>0</v>
      </c>
      <c r="O12" s="13">
        <f>SUBTOTAL(103,Травень[13])</f>
        <v>0</v>
      </c>
      <c r="P12" s="13">
        <f>SUBTOTAL(103,Травень[14])</f>
        <v>0</v>
      </c>
      <c r="Q12" s="13">
        <f>SUBTOTAL(103,Травень[15])</f>
        <v>0</v>
      </c>
      <c r="R12" s="13">
        <f>SUBTOTAL(103,Травень[16])</f>
        <v>0</v>
      </c>
      <c r="S12" s="13">
        <f>SUBTOTAL(103,Травень[17])</f>
        <v>0</v>
      </c>
      <c r="T12" s="13">
        <f>SUBTOTAL(103,Травень[18])</f>
        <v>0</v>
      </c>
      <c r="U12" s="13">
        <f>SUBTOTAL(103,Травень[19])</f>
        <v>0</v>
      </c>
      <c r="V12" s="13">
        <f>SUBTOTAL(103,Травень[20])</f>
        <v>0</v>
      </c>
      <c r="W12" s="13">
        <f>SUBTOTAL(103,Травень[21])</f>
        <v>0</v>
      </c>
      <c r="X12" s="13">
        <f>SUBTOTAL(103,Травень[22])</f>
        <v>0</v>
      </c>
      <c r="Y12" s="13">
        <f>SUBTOTAL(103,Травень[23])</f>
        <v>0</v>
      </c>
      <c r="Z12" s="13">
        <f>SUBTOTAL(103,Травень[24])</f>
        <v>0</v>
      </c>
      <c r="AA12" s="13">
        <f>SUBTOTAL(103,Травень[25])</f>
        <v>0</v>
      </c>
      <c r="AB12" s="13">
        <f>SUBTOTAL(103,Травень[26])</f>
        <v>0</v>
      </c>
      <c r="AC12" s="13">
        <f>SUBTOTAL(103,Травень[27])</f>
        <v>0</v>
      </c>
      <c r="AD12" s="13">
        <f>SUBTOTAL(103,Травень[28])</f>
        <v>0</v>
      </c>
      <c r="AE12" s="13">
        <f>SUBTOTAL(103,Травень[29])</f>
        <v>0</v>
      </c>
      <c r="AF12" s="13">
        <f>SUBTOTAL(103,Травень[30])</f>
        <v>0</v>
      </c>
      <c r="AG12" s="13">
        <f>SUBTOTAL(103,Травень[31])</f>
        <v>0</v>
      </c>
      <c r="AH12" s="13">
        <f>SUBTOTAL(109,Травень[Усього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39" priority="2" stopIfTrue="1">
      <formula>C7=СпеціальнаУмовнаПозначка2</formula>
    </cfRule>
    <cfRule type="expression" dxfId="38" priority="3" stopIfTrue="1">
      <formula>C7=СпеціальнаУмовнаПозначка1</formula>
    </cfRule>
    <cfRule type="expression" dxfId="37" priority="4" stopIfTrue="1">
      <formula>C7=УмовнаПозначкаЛікарняне</formula>
    </cfRule>
    <cfRule type="expression" dxfId="36" priority="5" stopIfTrue="1">
      <formula>C7=УмовнаПозначкаОсобисте</formula>
    </cfRule>
    <cfRule type="expression" dxfId="35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400-000000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400-000001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400-000002000000}"/>
    <dataValidation allowBlank="1" showInputMessage="1" showErrorMessage="1" prompt="Введіть підпис, щоб описати спеціальну умовну позначку ліворуч" sqref="P2 U2" xr:uid="{00000000-0002-0000-0400-000003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400-000004000000}"/>
    <dataValidation allowBlank="1" showInputMessage="1" showErrorMessage="1" prompt="Буква &quot;Л&quot; вказує на відсутність через хворобу" sqref="K2" xr:uid="{00000000-0002-0000-0400-000005000000}"/>
    <dataValidation allowBlank="1" showInputMessage="1" showErrorMessage="1" prompt="Буква &quot;О&quot; вказує на відсутність з особистих причин" sqref="G2" xr:uid="{00000000-0002-0000-0400-000006000000}"/>
    <dataValidation allowBlank="1" showInputMessage="1" showErrorMessage="1" prompt="Буква &quot;В&quot; вказує на відсутність через відпустку" sqref="C2" xr:uid="{00000000-0002-0000-0400-000007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400-000008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400-000009000000}"/>
    <dataValidation allowBlank="1" showInputMessage="1" showErrorMessage="1" prompt="Відстежуйте відсутність працівників у травні на цьому аркуші" sqref="A1" xr:uid="{00000000-0002-0000-0400-00000A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400-00000B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400-00000C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4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TEXT(WEEKDAY(DATE(РікКалендаря,6,1),1),"aaa")</f>
        <v>Сб</v>
      </c>
      <c r="D5" s="2" t="str">
        <f>TEXT(WEEKDAY(DATE(РікКалендаря,6,2),1),"aaa")</f>
        <v>Нд</v>
      </c>
      <c r="E5" s="2" t="str">
        <f>TEXT(WEEKDAY(DATE(РікКалендаря,6,3),1),"aaa")</f>
        <v>Пн</v>
      </c>
      <c r="F5" s="2" t="str">
        <f>TEXT(WEEKDAY(DATE(РікКалендаря,6,4),1),"aaa")</f>
        <v>Вт</v>
      </c>
      <c r="G5" s="2" t="str">
        <f>TEXT(WEEKDAY(DATE(РікКалендаря,6,5),1),"aaa")</f>
        <v>Ср</v>
      </c>
      <c r="H5" s="2" t="str">
        <f>TEXT(WEEKDAY(DATE(РікКалендаря,6,6),1),"aaa")</f>
        <v>Чт</v>
      </c>
      <c r="I5" s="2" t="str">
        <f>TEXT(WEEKDAY(DATE(РікКалендаря,6,7),1),"aaa")</f>
        <v>Пт</v>
      </c>
      <c r="J5" s="2" t="str">
        <f>TEXT(WEEKDAY(DATE(РікКалендаря,6,8),1),"aaa")</f>
        <v>Сб</v>
      </c>
      <c r="K5" s="2" t="str">
        <f>TEXT(WEEKDAY(DATE(РікКалендаря,6,9),1),"aaa")</f>
        <v>Нд</v>
      </c>
      <c r="L5" s="2" t="str">
        <f>TEXT(WEEKDAY(DATE(РікКалендаря,6,10),1),"aaa")</f>
        <v>Пн</v>
      </c>
      <c r="M5" s="2" t="str">
        <f>TEXT(WEEKDAY(DATE(РікКалендаря,6,11),1),"aaa")</f>
        <v>Вт</v>
      </c>
      <c r="N5" s="2" t="str">
        <f>TEXT(WEEKDAY(DATE(РікКалендаря,6,12),1),"aaa")</f>
        <v>Ср</v>
      </c>
      <c r="O5" s="2" t="str">
        <f>TEXT(WEEKDAY(DATE(РікКалендаря,6,13),1),"aaa")</f>
        <v>Чт</v>
      </c>
      <c r="P5" s="2" t="str">
        <f>TEXT(WEEKDAY(DATE(РікКалендаря,6,14),1),"aaa")</f>
        <v>Пт</v>
      </c>
      <c r="Q5" s="2" t="str">
        <f>TEXT(WEEKDAY(DATE(РікКалендаря,6,15),1),"aaa")</f>
        <v>Сб</v>
      </c>
      <c r="R5" s="2" t="str">
        <f>TEXT(WEEKDAY(DATE(РікКалендаря,6,16),1),"aaa")</f>
        <v>Нд</v>
      </c>
      <c r="S5" s="2" t="str">
        <f>TEXT(WEEKDAY(DATE(РікКалендаря,6,17),1),"aaa")</f>
        <v>Пн</v>
      </c>
      <c r="T5" s="2" t="str">
        <f>TEXT(WEEKDAY(DATE(РікКалендаря,6,18),1),"aaa")</f>
        <v>Вт</v>
      </c>
      <c r="U5" s="2" t="str">
        <f>TEXT(WEEKDAY(DATE(РікКалендаря,6,19),1),"aaa")</f>
        <v>Ср</v>
      </c>
      <c r="V5" s="2" t="str">
        <f>TEXT(WEEKDAY(DATE(РікКалендаря,6,20),1),"aaa")</f>
        <v>Чт</v>
      </c>
      <c r="W5" s="2" t="str">
        <f>TEXT(WEEKDAY(DATE(РікКалендаря,6,21),1),"aaa")</f>
        <v>Пт</v>
      </c>
      <c r="X5" s="2" t="str">
        <f>TEXT(WEEKDAY(DATE(РікКалендаря,6,22),1),"aaa")</f>
        <v>Сб</v>
      </c>
      <c r="Y5" s="2" t="str">
        <f>TEXT(WEEKDAY(DATE(РікКалендаря,6,23),1),"aaa")</f>
        <v>Нд</v>
      </c>
      <c r="Z5" s="2" t="str">
        <f>TEXT(WEEKDAY(DATE(РікКалендаря,6,24),1),"aaa")</f>
        <v>Пн</v>
      </c>
      <c r="AA5" s="2" t="str">
        <f>TEXT(WEEKDAY(DATE(РікКалендаря,6,25),1),"aaa")</f>
        <v>Вт</v>
      </c>
      <c r="AB5" s="2" t="str">
        <f>TEXT(WEEKDAY(DATE(РікКалендаря,6,26),1),"aaa")</f>
        <v>Ср</v>
      </c>
      <c r="AC5" s="2" t="str">
        <f>TEXT(WEEKDAY(DATE(РікКалендаря,6,27),1),"aaa")</f>
        <v>Чт</v>
      </c>
      <c r="AD5" s="2" t="str">
        <f>TEXT(WEEKDAY(DATE(РікКалендаря,6,28),1),"aaa")</f>
        <v>Пт</v>
      </c>
      <c r="AE5" s="2" t="str">
        <f>TEXT(WEEKDAY(DATE(РікКалендаря,6,29),1),"aaa")</f>
        <v>Сб</v>
      </c>
      <c r="AF5" s="2" t="str">
        <f>TEXT(WEEKDAY(DATE(РікКалендаря,6,30),1),"aaa")</f>
        <v>Нд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COUNTA(Червень[[#This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COUNTA(Червень[[#This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COUNTA(Червень[[#This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COUNTA(Червень[[#This Row],[1]:[30]])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COUNTA(Червень[[#This Row],[1]:[30]])</f>
        <v>0</v>
      </c>
    </row>
    <row r="12" spans="2:34" ht="30" customHeight="1" x14ac:dyDescent="0.25">
      <c r="B12" s="21" t="str">
        <f>НазваМісяця&amp;" Підсумок"</f>
        <v>Червень Підсумок</v>
      </c>
      <c r="C12" s="13">
        <f>SUBTOTAL(103,Червень[1])</f>
        <v>0</v>
      </c>
      <c r="D12" s="13">
        <f>SUBTOTAL(103,Червень[2])</f>
        <v>0</v>
      </c>
      <c r="E12" s="13">
        <f>SUBTOTAL(103,Червень[3])</f>
        <v>0</v>
      </c>
      <c r="F12" s="13">
        <f>SUBTOTAL(103,Червень[4])</f>
        <v>0</v>
      </c>
      <c r="G12" s="13">
        <f>SUBTOTAL(103,Червень[5])</f>
        <v>0</v>
      </c>
      <c r="H12" s="13">
        <f>SUBTOTAL(103,Червень[6])</f>
        <v>0</v>
      </c>
      <c r="I12" s="13">
        <f>SUBTOTAL(103,Червень[7])</f>
        <v>0</v>
      </c>
      <c r="J12" s="13">
        <f>SUBTOTAL(103,Червень[8])</f>
        <v>0</v>
      </c>
      <c r="K12" s="13">
        <f>SUBTOTAL(103,Червень[9])</f>
        <v>0</v>
      </c>
      <c r="L12" s="13">
        <f>SUBTOTAL(103,Червень[10])</f>
        <v>0</v>
      </c>
      <c r="M12" s="13">
        <f>SUBTOTAL(103,Червень[11])</f>
        <v>0</v>
      </c>
      <c r="N12" s="13">
        <f>SUBTOTAL(103,Червень[12])</f>
        <v>0</v>
      </c>
      <c r="O12" s="13">
        <f>SUBTOTAL(103,Червень[13])</f>
        <v>0</v>
      </c>
      <c r="P12" s="13">
        <f>SUBTOTAL(103,Червень[14])</f>
        <v>0</v>
      </c>
      <c r="Q12" s="13">
        <f>SUBTOTAL(103,Червень[15])</f>
        <v>0</v>
      </c>
      <c r="R12" s="13">
        <f>SUBTOTAL(103,Червень[16])</f>
        <v>0</v>
      </c>
      <c r="S12" s="13">
        <f>SUBTOTAL(103,Червень[17])</f>
        <v>0</v>
      </c>
      <c r="T12" s="13">
        <f>SUBTOTAL(103,Червень[18])</f>
        <v>0</v>
      </c>
      <c r="U12" s="13">
        <f>SUBTOTAL(103,Червень[19])</f>
        <v>0</v>
      </c>
      <c r="V12" s="13">
        <f>SUBTOTAL(103,Червень[20])</f>
        <v>0</v>
      </c>
      <c r="W12" s="13">
        <f>SUBTOTAL(103,Червень[21])</f>
        <v>0</v>
      </c>
      <c r="X12" s="13">
        <f>SUBTOTAL(103,Червень[22])</f>
        <v>0</v>
      </c>
      <c r="Y12" s="13">
        <f>SUBTOTAL(103,Червень[23])</f>
        <v>0</v>
      </c>
      <c r="Z12" s="13">
        <f>SUBTOTAL(103,Червень[24])</f>
        <v>0</v>
      </c>
      <c r="AA12" s="13">
        <f>SUBTOTAL(103,Червень[25])</f>
        <v>0</v>
      </c>
      <c r="AB12" s="13">
        <f>SUBTOTAL(103,Червень[26])</f>
        <v>0</v>
      </c>
      <c r="AC12" s="13">
        <f>SUBTOTAL(103,Червень[27])</f>
        <v>0</v>
      </c>
      <c r="AD12" s="13">
        <f>SUBTOTAL(103,Червень[28])</f>
        <v>0</v>
      </c>
      <c r="AE12" s="13">
        <f>SUBTOTAL(103,Червень[29])</f>
        <v>0</v>
      </c>
      <c r="AF12" s="13">
        <f>SUBTOTAL(103,Червень[30])</f>
        <v>0</v>
      </c>
      <c r="AG12" s="13">
        <f>SUBTOTAL(103,Червень[[ ]])</f>
        <v>0</v>
      </c>
      <c r="AH12" s="13">
        <f>SUBTOTAL(109,Червень[Усього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34" priority="2" stopIfTrue="1">
      <formula>C7=СпеціальнаУмовнаПозначка2</formula>
    </cfRule>
    <cfRule type="expression" dxfId="33" priority="3" stopIfTrue="1">
      <formula>C7=СпеціальнаУмовнаПозначка1</formula>
    </cfRule>
    <cfRule type="expression" dxfId="32" priority="4" stopIfTrue="1">
      <formula>C7=УмовнаПозначкаЛікарняне</formula>
    </cfRule>
    <cfRule type="expression" dxfId="31" priority="5" stopIfTrue="1">
      <formula>C7=УмовнаПозначкаОсобисте</formula>
    </cfRule>
    <cfRule type="expression" dxfId="30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500-000000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500-000001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500-000002000000}"/>
    <dataValidation allowBlank="1" showInputMessage="1" showErrorMessage="1" prompt="Відстежуйте відсутність працівників у червні на цьому аркуші" sqref="A1" xr:uid="{00000000-0002-0000-0500-000003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500-000004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500-000005000000}"/>
    <dataValidation allowBlank="1" showInputMessage="1" showErrorMessage="1" prompt="Буква &quot;В&quot; вказує на відсутність через відпустку" sqref="C2" xr:uid="{00000000-0002-0000-0500-000006000000}"/>
    <dataValidation allowBlank="1" showInputMessage="1" showErrorMessage="1" prompt="Буква &quot;О&quot; вказує на відсутність з особистих причин" sqref="G2" xr:uid="{00000000-0002-0000-0500-000007000000}"/>
    <dataValidation allowBlank="1" showInputMessage="1" showErrorMessage="1" prompt="Буква &quot;Л&quot; вказує на відсутність через хворобу" sqref="K2" xr:uid="{00000000-0002-0000-0500-000008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500-000009000000}"/>
    <dataValidation allowBlank="1" showInputMessage="1" showErrorMessage="1" prompt="Введіть підпис, щоб описати спеціальну умовну позначку ліворуч" sqref="P2 U2" xr:uid="{00000000-0002-0000-0500-00000A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500-00000B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500-00000C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5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TEXT(WEEKDAY(DATE(РікКалендаря,7,1),1),"aaa")</f>
        <v>Пн</v>
      </c>
      <c r="D5" s="2" t="str">
        <f>TEXT(WEEKDAY(DATE(РікКалендаря,7,2),1),"aaa")</f>
        <v>Вт</v>
      </c>
      <c r="E5" s="2" t="str">
        <f>TEXT(WEEKDAY(DATE(РікКалендаря,7,3),1),"aaa")</f>
        <v>Ср</v>
      </c>
      <c r="F5" s="2" t="str">
        <f>TEXT(WEEKDAY(DATE(РікКалендаря,7,4),1),"aaa")</f>
        <v>Чт</v>
      </c>
      <c r="G5" s="2" t="str">
        <f>TEXT(WEEKDAY(DATE(РікКалендаря,7,5),1),"aaa")</f>
        <v>Пт</v>
      </c>
      <c r="H5" s="2" t="str">
        <f>TEXT(WEEKDAY(DATE(РікКалендаря,7,6),1),"aaa")</f>
        <v>Сб</v>
      </c>
      <c r="I5" s="2" t="str">
        <f>TEXT(WEEKDAY(DATE(РікКалендаря,7,7),1),"aaa")</f>
        <v>Нд</v>
      </c>
      <c r="J5" s="2" t="str">
        <f>TEXT(WEEKDAY(DATE(РікКалендаря,7,8),1),"aaa")</f>
        <v>Пн</v>
      </c>
      <c r="K5" s="2" t="str">
        <f>TEXT(WEEKDAY(DATE(РікКалендаря,7,9),1),"aaa")</f>
        <v>Вт</v>
      </c>
      <c r="L5" s="2" t="str">
        <f>TEXT(WEEKDAY(DATE(РікКалендаря,7,10),1),"aaa")</f>
        <v>Ср</v>
      </c>
      <c r="M5" s="2" t="str">
        <f>TEXT(WEEKDAY(DATE(РікКалендаря,7,11),1),"aaa")</f>
        <v>Чт</v>
      </c>
      <c r="N5" s="2" t="str">
        <f>TEXT(WEEKDAY(DATE(РікКалендаря,7,12),1),"aaa")</f>
        <v>Пт</v>
      </c>
      <c r="O5" s="2" t="str">
        <f>TEXT(WEEKDAY(DATE(РікКалендаря,7,13),1),"aaa")</f>
        <v>Сб</v>
      </c>
      <c r="P5" s="2" t="str">
        <f>TEXT(WEEKDAY(DATE(РікКалендаря,7,14),1),"aaa")</f>
        <v>Нд</v>
      </c>
      <c r="Q5" s="2" t="str">
        <f>TEXT(WEEKDAY(DATE(РікКалендаря,7,15),1),"aaa")</f>
        <v>Пн</v>
      </c>
      <c r="R5" s="2" t="str">
        <f>TEXT(WEEKDAY(DATE(РікКалендаря,7,16),1),"aaa")</f>
        <v>Вт</v>
      </c>
      <c r="S5" s="2" t="str">
        <f>TEXT(WEEKDAY(DATE(РікКалендаря,7,17),1),"aaa")</f>
        <v>Ср</v>
      </c>
      <c r="T5" s="2" t="str">
        <f>TEXT(WEEKDAY(DATE(РікКалендаря,7,18),1),"aaa")</f>
        <v>Чт</v>
      </c>
      <c r="U5" s="2" t="str">
        <f>TEXT(WEEKDAY(DATE(РікКалендаря,7,19),1),"aaa")</f>
        <v>Пт</v>
      </c>
      <c r="V5" s="2" t="str">
        <f>TEXT(WEEKDAY(DATE(РікКалендаря,7,20),1),"aaa")</f>
        <v>Сб</v>
      </c>
      <c r="W5" s="2" t="str">
        <f>TEXT(WEEKDAY(DATE(РікКалендаря,7,21),1),"aaa")</f>
        <v>Нд</v>
      </c>
      <c r="X5" s="2" t="str">
        <f>TEXT(WEEKDAY(DATE(РікКалендаря,7,22),1),"aaa")</f>
        <v>Пн</v>
      </c>
      <c r="Y5" s="2" t="str">
        <f>TEXT(WEEKDAY(DATE(РікКалендаря,7,23),1),"aaa")</f>
        <v>Вт</v>
      </c>
      <c r="Z5" s="2" t="str">
        <f>TEXT(WEEKDAY(DATE(РікКалендаря,7,24),1),"aaa")</f>
        <v>Ср</v>
      </c>
      <c r="AA5" s="2" t="str">
        <f>TEXT(WEEKDAY(DATE(РікКалендаря,7,25),1),"aaa")</f>
        <v>Чт</v>
      </c>
      <c r="AB5" s="2" t="str">
        <f>TEXT(WEEKDAY(DATE(РікКалендаря,7,26),1),"aaa")</f>
        <v>Пт</v>
      </c>
      <c r="AC5" s="2" t="str">
        <f>TEXT(WEEKDAY(DATE(РікКалендаря,7,27),1),"aaa")</f>
        <v>Сб</v>
      </c>
      <c r="AD5" s="2" t="str">
        <f>TEXT(WEEKDAY(DATE(РікКалендаря,7,28),1),"aaa")</f>
        <v>Нд</v>
      </c>
      <c r="AE5" s="2" t="str">
        <f>TEXT(WEEKDAY(DATE(РікКалендаря,7,29),1),"aaa")</f>
        <v>Пн</v>
      </c>
      <c r="AF5" s="2" t="str">
        <f>TEXT(WEEKDAY(DATE(РікКалендаря,7,30),1),"aaa")</f>
        <v>Вт</v>
      </c>
      <c r="AG5" s="2" t="str">
        <f>TEXT(WEEKDAY(DATE(РікКалендаря,7,31),1),"aaa")</f>
        <v>Ср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COUNTA(Липень[[#This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COUNTA(Липень[[#This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COUNTA(Липень[[#This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COUNTA(Липень[[#This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COUNTA(Липень[[#This Row],[1]:[31]])</f>
        <v>0</v>
      </c>
    </row>
    <row r="12" spans="2:34" ht="30" customHeight="1" x14ac:dyDescent="0.25">
      <c r="B12" s="21" t="str">
        <f>НазваМісяця&amp;" Підсумок"</f>
        <v>Липень Підсумок</v>
      </c>
      <c r="C12" s="13">
        <f>SUBTOTAL(103,Липень[1])</f>
        <v>0</v>
      </c>
      <c r="D12" s="13">
        <f>SUBTOTAL(103,Липень[2])</f>
        <v>0</v>
      </c>
      <c r="E12" s="13">
        <f>SUBTOTAL(103,Липень[3])</f>
        <v>0</v>
      </c>
      <c r="F12" s="13">
        <f>SUBTOTAL(103,Липень[4])</f>
        <v>0</v>
      </c>
      <c r="G12" s="13">
        <f>SUBTOTAL(103,Липень[5])</f>
        <v>0</v>
      </c>
      <c r="H12" s="13">
        <f>SUBTOTAL(103,Липень[6])</f>
        <v>0</v>
      </c>
      <c r="I12" s="13">
        <f>SUBTOTAL(103,Липень[7])</f>
        <v>0</v>
      </c>
      <c r="J12" s="13">
        <f>SUBTOTAL(103,Липень[8])</f>
        <v>0</v>
      </c>
      <c r="K12" s="13">
        <f>SUBTOTAL(103,Липень[9])</f>
        <v>0</v>
      </c>
      <c r="L12" s="13">
        <f>SUBTOTAL(103,Липень[10])</f>
        <v>0</v>
      </c>
      <c r="M12" s="13">
        <f>SUBTOTAL(103,Липень[11])</f>
        <v>0</v>
      </c>
      <c r="N12" s="13">
        <f>SUBTOTAL(103,Липень[12])</f>
        <v>0</v>
      </c>
      <c r="O12" s="13">
        <f>SUBTOTAL(103,Липень[13])</f>
        <v>0</v>
      </c>
      <c r="P12" s="13">
        <f>SUBTOTAL(103,Липень[14])</f>
        <v>0</v>
      </c>
      <c r="Q12" s="13">
        <f>SUBTOTAL(103,Липень[15])</f>
        <v>0</v>
      </c>
      <c r="R12" s="13">
        <f>SUBTOTAL(103,Липень[16])</f>
        <v>0</v>
      </c>
      <c r="S12" s="13">
        <f>SUBTOTAL(103,Липень[17])</f>
        <v>0</v>
      </c>
      <c r="T12" s="13">
        <f>SUBTOTAL(103,Липень[18])</f>
        <v>0</v>
      </c>
      <c r="U12" s="13">
        <f>SUBTOTAL(103,Липень[19])</f>
        <v>0</v>
      </c>
      <c r="V12" s="13">
        <f>SUBTOTAL(103,Липень[20])</f>
        <v>0</v>
      </c>
      <c r="W12" s="13">
        <f>SUBTOTAL(103,Липень[21])</f>
        <v>0</v>
      </c>
      <c r="X12" s="13">
        <f>SUBTOTAL(103,Липень[22])</f>
        <v>0</v>
      </c>
      <c r="Y12" s="13">
        <f>SUBTOTAL(103,Липень[23])</f>
        <v>0</v>
      </c>
      <c r="Z12" s="13">
        <f>SUBTOTAL(103,Липень[24])</f>
        <v>0</v>
      </c>
      <c r="AA12" s="13">
        <f>SUBTOTAL(103,Липень[25])</f>
        <v>0</v>
      </c>
      <c r="AB12" s="13">
        <f>SUBTOTAL(103,Липень[26])</f>
        <v>0</v>
      </c>
      <c r="AC12" s="13">
        <f>SUBTOTAL(103,Липень[27])</f>
        <v>0</v>
      </c>
      <c r="AD12" s="13">
        <f>SUBTOTAL(103,Липень[28])</f>
        <v>0</v>
      </c>
      <c r="AE12" s="13">
        <f>SUBTOTAL(103,Липень[29])</f>
        <v>0</v>
      </c>
      <c r="AF12" s="13">
        <f>SUBTOTAL(103,Липень[30])</f>
        <v>0</v>
      </c>
      <c r="AG12" s="13">
        <f>SUBTOTAL(103,Липень[31])</f>
        <v>0</v>
      </c>
      <c r="AH12" s="13">
        <f>SUBTOTAL(109,Липень[Усього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29" priority="2" stopIfTrue="1">
      <formula>C7=СпеціальнаУмовнаПозначка2</formula>
    </cfRule>
    <cfRule type="expression" dxfId="28" priority="3" stopIfTrue="1">
      <formula>C7=СпеціальнаУмовнаПозначка1</formula>
    </cfRule>
    <cfRule type="expression" dxfId="27" priority="4" stopIfTrue="1">
      <formula>C7=УмовнаПозначкаЛікарняне</formula>
    </cfRule>
    <cfRule type="expression" dxfId="26" priority="5" stopIfTrue="1">
      <formula>C7=УмовнаПозначкаОсобисте</formula>
    </cfRule>
    <cfRule type="expression" dxfId="25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600-000000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600-000001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600-000002000000}"/>
    <dataValidation allowBlank="1" showInputMessage="1" showErrorMessage="1" prompt="Введіть підпис, щоб описати спеціальну умовну позначку ліворуч" sqref="P2 U2" xr:uid="{00000000-0002-0000-0600-000003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600-000004000000}"/>
    <dataValidation allowBlank="1" showInputMessage="1" showErrorMessage="1" prompt="Буква &quot;Л&quot; вказує на відсутність через хворобу" sqref="K2" xr:uid="{00000000-0002-0000-0600-000005000000}"/>
    <dataValidation allowBlank="1" showInputMessage="1" showErrorMessage="1" prompt="Буква &quot;О&quot; вказує на відсутність з особистих причин" sqref="G2" xr:uid="{00000000-0002-0000-0600-000006000000}"/>
    <dataValidation allowBlank="1" showInputMessage="1" showErrorMessage="1" prompt="Буква &quot;В&quot; вказує на відсутність через відпустку" sqref="C2" xr:uid="{00000000-0002-0000-0600-000007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600-000008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600-000009000000}"/>
    <dataValidation allowBlank="1" showInputMessage="1" showErrorMessage="1" prompt="Відстежуйте відсутність працівників у липні на цьому аркуші" sqref="A1" xr:uid="{00000000-0002-0000-0600-00000A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600-00000B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600-00000C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6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TEXT(WEEKDAY(DATE(РікКалендаря,8,1),1),"aaa")</f>
        <v>Чт</v>
      </c>
      <c r="D5" s="2" t="str">
        <f>TEXT(WEEKDAY(DATE(РікКалендаря,8,2),1),"aaa")</f>
        <v>Пт</v>
      </c>
      <c r="E5" s="2" t="str">
        <f>TEXT(WEEKDAY(DATE(РікКалендаря,8,3),1),"aaa")</f>
        <v>Сб</v>
      </c>
      <c r="F5" s="2" t="str">
        <f>TEXT(WEEKDAY(DATE(РікКалендаря,8,4),1),"aaa")</f>
        <v>Нд</v>
      </c>
      <c r="G5" s="2" t="str">
        <f>TEXT(WEEKDAY(DATE(РікКалендаря,8,5),1),"aaa")</f>
        <v>Пн</v>
      </c>
      <c r="H5" s="2" t="str">
        <f>TEXT(WEEKDAY(DATE(РікКалендаря,8,6),1),"aaa")</f>
        <v>Вт</v>
      </c>
      <c r="I5" s="2" t="str">
        <f>TEXT(WEEKDAY(DATE(РікКалендаря,8,7),1),"aaa")</f>
        <v>Ср</v>
      </c>
      <c r="J5" s="2" t="str">
        <f>TEXT(WEEKDAY(DATE(РікКалендаря,8,8),1),"aaa")</f>
        <v>Чт</v>
      </c>
      <c r="K5" s="2" t="str">
        <f>TEXT(WEEKDAY(DATE(РікКалендаря,8,9),1),"aaa")</f>
        <v>Пт</v>
      </c>
      <c r="L5" s="2" t="str">
        <f>TEXT(WEEKDAY(DATE(РікКалендаря,8,10),1),"aaa")</f>
        <v>Сб</v>
      </c>
      <c r="M5" s="2" t="str">
        <f>TEXT(WEEKDAY(DATE(РікКалендаря,8,11),1),"aaa")</f>
        <v>Нд</v>
      </c>
      <c r="N5" s="2" t="str">
        <f>TEXT(WEEKDAY(DATE(РікКалендаря,8,12),1),"aaa")</f>
        <v>Пн</v>
      </c>
      <c r="O5" s="2" t="str">
        <f>TEXT(WEEKDAY(DATE(РікКалендаря,8,13),1),"aaa")</f>
        <v>Вт</v>
      </c>
      <c r="P5" s="2" t="str">
        <f>TEXT(WEEKDAY(DATE(РікКалендаря,8,14),1),"aaa")</f>
        <v>Ср</v>
      </c>
      <c r="Q5" s="2" t="str">
        <f>TEXT(WEEKDAY(DATE(РікКалендаря,8,15),1),"aaa")</f>
        <v>Чт</v>
      </c>
      <c r="R5" s="2" t="str">
        <f>TEXT(WEEKDAY(DATE(РікКалендаря,8,16),1),"aaa")</f>
        <v>Пт</v>
      </c>
      <c r="S5" s="2" t="str">
        <f>TEXT(WEEKDAY(DATE(РікКалендаря,8,17),1),"aaa")</f>
        <v>Сб</v>
      </c>
      <c r="T5" s="2" t="str">
        <f>TEXT(WEEKDAY(DATE(РікКалендаря,8,18),1),"aaa")</f>
        <v>Нд</v>
      </c>
      <c r="U5" s="2" t="str">
        <f>TEXT(WEEKDAY(DATE(РікКалендаря,8,19),1),"aaa")</f>
        <v>Пн</v>
      </c>
      <c r="V5" s="2" t="str">
        <f>TEXT(WEEKDAY(DATE(РікКалендаря,8,20),1),"aaa")</f>
        <v>Вт</v>
      </c>
      <c r="W5" s="2" t="str">
        <f>TEXT(WEEKDAY(DATE(РікКалендаря,8,21),1),"aaa")</f>
        <v>Ср</v>
      </c>
      <c r="X5" s="2" t="str">
        <f>TEXT(WEEKDAY(DATE(РікКалендаря,8,22),1),"aaa")</f>
        <v>Чт</v>
      </c>
      <c r="Y5" s="2" t="str">
        <f>TEXT(WEEKDAY(DATE(РікКалендаря,8,23),1),"aaa")</f>
        <v>Пт</v>
      </c>
      <c r="Z5" s="2" t="str">
        <f>TEXT(WEEKDAY(DATE(РікКалендаря,8,24),1),"aaa")</f>
        <v>Сб</v>
      </c>
      <c r="AA5" s="2" t="str">
        <f>TEXT(WEEKDAY(DATE(РікКалендаря,8,25),1),"aaa")</f>
        <v>Нд</v>
      </c>
      <c r="AB5" s="2" t="str">
        <f>TEXT(WEEKDAY(DATE(РікКалендаря,8,26),1),"aaa")</f>
        <v>Пн</v>
      </c>
      <c r="AC5" s="2" t="str">
        <f>TEXT(WEEKDAY(DATE(РікКалендаря,8,27),1),"aaa")</f>
        <v>Вт</v>
      </c>
      <c r="AD5" s="2" t="str">
        <f>TEXT(WEEKDAY(DATE(РікКалендаря,8,28),1),"aaa")</f>
        <v>Ср</v>
      </c>
      <c r="AE5" s="2" t="str">
        <f>TEXT(WEEKDAY(DATE(РікКалендаря,8,29),1),"aaa")</f>
        <v>Чт</v>
      </c>
      <c r="AF5" s="2" t="str">
        <f>TEXT(WEEKDAY(DATE(РікКалендаря,8,30),1),"aaa")</f>
        <v>Пт</v>
      </c>
      <c r="AG5" s="2" t="str">
        <f>TEXT(WEEKDAY(DATE(РікКалендаря,8,31),1),"aaa")</f>
        <v>Сб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COUNTA(Серпень[[#This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COUNTA(Серпень[[#This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COUNTA(Серпень[[#This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COUNTA(Серпень[[#This Row],[1]:[31]])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COUNTA(Серпень[[#This Row],[1]:[31]])</f>
        <v>0</v>
      </c>
    </row>
    <row r="12" spans="2:34" ht="30" customHeight="1" x14ac:dyDescent="0.25">
      <c r="B12" s="21" t="str">
        <f>НазваМісяця&amp;" Підсумок"</f>
        <v>Серпень Підсумок</v>
      </c>
      <c r="C12" s="13">
        <f>SUBTOTAL(103,Серпень[1])</f>
        <v>0</v>
      </c>
      <c r="D12" s="13">
        <f>SUBTOTAL(103,Серпень[2])</f>
        <v>0</v>
      </c>
      <c r="E12" s="13">
        <f>SUBTOTAL(103,Серпень[3])</f>
        <v>0</v>
      </c>
      <c r="F12" s="13">
        <f>SUBTOTAL(103,Серпень[4])</f>
        <v>0</v>
      </c>
      <c r="G12" s="13">
        <f>SUBTOTAL(103,Серпень[5])</f>
        <v>0</v>
      </c>
      <c r="H12" s="13">
        <f>SUBTOTAL(103,Серпень[6])</f>
        <v>0</v>
      </c>
      <c r="I12" s="13">
        <f>SUBTOTAL(103,Серпень[7])</f>
        <v>0</v>
      </c>
      <c r="J12" s="13">
        <f>SUBTOTAL(103,Серпень[8])</f>
        <v>0</v>
      </c>
      <c r="K12" s="13">
        <f>SUBTOTAL(103,Серпень[9])</f>
        <v>0</v>
      </c>
      <c r="L12" s="13">
        <f>SUBTOTAL(103,Серпень[10])</f>
        <v>0</v>
      </c>
      <c r="M12" s="13">
        <f>SUBTOTAL(103,Серпень[11])</f>
        <v>0</v>
      </c>
      <c r="N12" s="13">
        <f>SUBTOTAL(103,Серпень[12])</f>
        <v>0</v>
      </c>
      <c r="O12" s="13">
        <f>SUBTOTAL(103,Серпень[13])</f>
        <v>0</v>
      </c>
      <c r="P12" s="13">
        <f>SUBTOTAL(103,Серпень[14])</f>
        <v>0</v>
      </c>
      <c r="Q12" s="13">
        <f>SUBTOTAL(103,Серпень[15])</f>
        <v>0</v>
      </c>
      <c r="R12" s="13">
        <f>SUBTOTAL(103,Серпень[16])</f>
        <v>0</v>
      </c>
      <c r="S12" s="13">
        <f>SUBTOTAL(103,Серпень[17])</f>
        <v>0</v>
      </c>
      <c r="T12" s="13">
        <f>SUBTOTAL(103,Серпень[18])</f>
        <v>0</v>
      </c>
      <c r="U12" s="13">
        <f>SUBTOTAL(103,Серпень[19])</f>
        <v>0</v>
      </c>
      <c r="V12" s="13">
        <f>SUBTOTAL(103,Серпень[20])</f>
        <v>0</v>
      </c>
      <c r="W12" s="13">
        <f>SUBTOTAL(103,Серпень[21])</f>
        <v>0</v>
      </c>
      <c r="X12" s="13">
        <f>SUBTOTAL(103,Серпень[22])</f>
        <v>0</v>
      </c>
      <c r="Y12" s="13">
        <f>SUBTOTAL(103,Серпень[23])</f>
        <v>0</v>
      </c>
      <c r="Z12" s="13">
        <f>SUBTOTAL(103,Серпень[24])</f>
        <v>0</v>
      </c>
      <c r="AA12" s="13">
        <f>SUBTOTAL(103,Серпень[25])</f>
        <v>0</v>
      </c>
      <c r="AB12" s="13">
        <f>SUBTOTAL(103,Серпень[26])</f>
        <v>0</v>
      </c>
      <c r="AC12" s="13">
        <f>SUBTOTAL(103,Серпень[27])</f>
        <v>0</v>
      </c>
      <c r="AD12" s="13">
        <f>SUBTOTAL(103,Серпень[28])</f>
        <v>0</v>
      </c>
      <c r="AE12" s="13">
        <f>SUBTOTAL(103,Серпень[29])</f>
        <v>0</v>
      </c>
      <c r="AF12" s="13">
        <f>SUBTOTAL(103,Серпень[30])</f>
        <v>0</v>
      </c>
      <c r="AG12" s="13">
        <f>SUBTOTAL(103,Серпень[31])</f>
        <v>0</v>
      </c>
      <c r="AH12" s="13">
        <f>SUBTOTAL(109,Серпень[Усього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24" priority="2" stopIfTrue="1">
      <formula>C7=СпеціальнаУмовнаПозначка2</formula>
    </cfRule>
    <cfRule type="expression" dxfId="23" priority="3" stopIfTrue="1">
      <formula>C7=СпеціальнаУмовнаПозначка1</formula>
    </cfRule>
    <cfRule type="expression" dxfId="22" priority="4" stopIfTrue="1">
      <formula>C7=УмовнаПозначкаЛікарняне</formula>
    </cfRule>
    <cfRule type="expression" dxfId="21" priority="5" stopIfTrue="1">
      <formula>C7=УмовнаПозначкаОсобисте</formula>
    </cfRule>
    <cfRule type="expression" dxfId="20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700-000000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700-000001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700-000002000000}"/>
    <dataValidation allowBlank="1" showInputMessage="1" showErrorMessage="1" prompt="Відстежуйте відсутність працівників у серпні на цьому аркуші" sqref="A1" xr:uid="{00000000-0002-0000-0700-000003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700-000004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700-000005000000}"/>
    <dataValidation allowBlank="1" showInputMessage="1" showErrorMessage="1" prompt="Буква &quot;В&quot; вказує на відсутність через відпустку" sqref="C2" xr:uid="{00000000-0002-0000-0700-000006000000}"/>
    <dataValidation allowBlank="1" showInputMessage="1" showErrorMessage="1" prompt="Буква &quot;О&quot; вказує на відсутність з особистих причин" sqref="G2" xr:uid="{00000000-0002-0000-0700-000007000000}"/>
    <dataValidation allowBlank="1" showInputMessage="1" showErrorMessage="1" prompt="Буква &quot;Л&quot; вказує на відсутність через хворобу" sqref="K2" xr:uid="{00000000-0002-0000-0700-000008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700-000009000000}"/>
    <dataValidation allowBlank="1" showInputMessage="1" showErrorMessage="1" prompt="Введіть підпис, щоб описати спеціальну умовну позначку ліворуч" sqref="P2 U2" xr:uid="{00000000-0002-0000-0700-00000A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700-00000B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700-00000C000000}"/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7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8.14062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Заголовок_відсутності_працівника</f>
        <v>Графік відсутності працівників</v>
      </c>
    </row>
    <row r="2" spans="2:34" ht="15" customHeight="1" x14ac:dyDescent="0.25">
      <c r="B2" s="19" t="s">
        <v>1</v>
      </c>
      <c r="C2" s="4" t="s">
        <v>8</v>
      </c>
      <c r="D2" s="25" t="s">
        <v>11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23</v>
      </c>
      <c r="M2" s="25"/>
      <c r="N2" s="25"/>
      <c r="O2" s="7"/>
      <c r="P2" s="25" t="s">
        <v>27</v>
      </c>
      <c r="Q2" s="25"/>
      <c r="R2" s="25"/>
      <c r="S2" s="25"/>
      <c r="T2" s="8"/>
      <c r="U2" s="25" t="s">
        <v>32</v>
      </c>
      <c r="V2" s="25"/>
      <c r="W2" s="25"/>
      <c r="X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РікКалендаря</f>
        <v>2019</v>
      </c>
    </row>
    <row r="5" spans="2:34" ht="15" customHeight="1" x14ac:dyDescent="0.25">
      <c r="B5" s="12"/>
      <c r="C5" s="2" t="str">
        <f>TEXT(WEEKDAY(DATE(РікКалендаря,9,1),1),"aaa")</f>
        <v>Нд</v>
      </c>
      <c r="D5" s="2" t="str">
        <f>TEXT(WEEKDAY(DATE(РікКалендаря,9,2),1),"aaa")</f>
        <v>Пн</v>
      </c>
      <c r="E5" s="2" t="str">
        <f>TEXT(WEEKDAY(DATE(РікКалендаря,9,3),1),"aaa")</f>
        <v>Вт</v>
      </c>
      <c r="F5" s="2" t="str">
        <f>TEXT(WEEKDAY(DATE(РікКалендаря,9,4),1),"aaa")</f>
        <v>Ср</v>
      </c>
      <c r="G5" s="2" t="str">
        <f>TEXT(WEEKDAY(DATE(РікКалендаря,9,5),1),"aaa")</f>
        <v>Чт</v>
      </c>
      <c r="H5" s="2" t="str">
        <f>TEXT(WEEKDAY(DATE(РікКалендаря,9,6),1),"aaa")</f>
        <v>Пт</v>
      </c>
      <c r="I5" s="2" t="str">
        <f>TEXT(WEEKDAY(DATE(РікКалендаря,9,7),1),"aaa")</f>
        <v>Сб</v>
      </c>
      <c r="J5" s="2" t="str">
        <f>TEXT(WEEKDAY(DATE(РікКалендаря,9,8),1),"aaa")</f>
        <v>Нд</v>
      </c>
      <c r="K5" s="2" t="str">
        <f>TEXT(WEEKDAY(DATE(РікКалендаря,9,9),1),"aaa")</f>
        <v>Пн</v>
      </c>
      <c r="L5" s="2" t="str">
        <f>TEXT(WEEKDAY(DATE(РікКалендаря,9,10),1),"aaa")</f>
        <v>Вт</v>
      </c>
      <c r="M5" s="2" t="str">
        <f>TEXT(WEEKDAY(DATE(РікКалендаря,9,11),1),"aaa")</f>
        <v>Ср</v>
      </c>
      <c r="N5" s="2" t="str">
        <f>TEXT(WEEKDAY(DATE(РікКалендаря,9,12),1),"aaa")</f>
        <v>Чт</v>
      </c>
      <c r="O5" s="2" t="str">
        <f>TEXT(WEEKDAY(DATE(РікКалендаря,9,13),1),"aaa")</f>
        <v>Пт</v>
      </c>
      <c r="P5" s="2" t="str">
        <f>TEXT(WEEKDAY(DATE(РікКалендаря,9,14),1),"aaa")</f>
        <v>Сб</v>
      </c>
      <c r="Q5" s="2" t="str">
        <f>TEXT(WEEKDAY(DATE(РікКалендаря,9,15),1),"aaa")</f>
        <v>Нд</v>
      </c>
      <c r="R5" s="2" t="str">
        <f>TEXT(WEEKDAY(DATE(РікКалендаря,9,16),1),"aaa")</f>
        <v>Пн</v>
      </c>
      <c r="S5" s="2" t="str">
        <f>TEXT(WEEKDAY(DATE(РікКалендаря,9,17),1),"aaa")</f>
        <v>Вт</v>
      </c>
      <c r="T5" s="2" t="str">
        <f>TEXT(WEEKDAY(DATE(РікКалендаря,9,18),1),"aaa")</f>
        <v>Ср</v>
      </c>
      <c r="U5" s="2" t="str">
        <f>TEXT(WEEKDAY(DATE(РікКалендаря,9,19),1),"aaa")</f>
        <v>Чт</v>
      </c>
      <c r="V5" s="2" t="str">
        <f>TEXT(WEEKDAY(DATE(РікКалендаря,9,20),1),"aaa")</f>
        <v>Пт</v>
      </c>
      <c r="W5" s="2" t="str">
        <f>TEXT(WEEKDAY(DATE(РікКалендаря,9,21),1),"aaa")</f>
        <v>Сб</v>
      </c>
      <c r="X5" s="2" t="str">
        <f>TEXT(WEEKDAY(DATE(РікКалендаря,9,22),1),"aaa")</f>
        <v>Нд</v>
      </c>
      <c r="Y5" s="2" t="str">
        <f>TEXT(WEEKDAY(DATE(РікКалендаря,9,23),1),"aaa")</f>
        <v>Пн</v>
      </c>
      <c r="Z5" s="2" t="str">
        <f>TEXT(WEEKDAY(DATE(РікКалендаря,9,24),1),"aaa")</f>
        <v>Вт</v>
      </c>
      <c r="AA5" s="2" t="str">
        <f>TEXT(WEEKDAY(DATE(РікКалендаря,9,25),1),"aaa")</f>
        <v>Ср</v>
      </c>
      <c r="AB5" s="2" t="str">
        <f>TEXT(WEEKDAY(DATE(РікКалендаря,9,26),1),"aaa")</f>
        <v>Чт</v>
      </c>
      <c r="AC5" s="2" t="str">
        <f>TEXT(WEEKDAY(DATE(РікКалендаря,9,27),1),"aaa")</f>
        <v>Пт</v>
      </c>
      <c r="AD5" s="2" t="str">
        <f>TEXT(WEEKDAY(DATE(РікКалендаря,9,28),1),"aaa")</f>
        <v>Сб</v>
      </c>
      <c r="AE5" s="2" t="str">
        <f>TEXT(WEEKDAY(DATE(РікКалендаря,9,29),1),"aaa")</f>
        <v>Нд</v>
      </c>
      <c r="AF5" s="2" t="str">
        <f>TEXT(WEEKDAY(DATE(РікКалендаря,9,30),1),"aaa")</f>
        <v>Пн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COUNTA(Вересень[[#This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COUNTA(Вересень[[#This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COUNTA(Вересень[[#This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COUNTA(Вересень[[#This Row],[1]:[30]])</f>
        <v>0</v>
      </c>
    </row>
    <row r="11" spans="2:34" ht="30" customHeight="1" x14ac:dyDescent="0.25">
      <c r="B11" s="17" t="s">
        <v>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COUNTA(Вересень[[#This Row],[1]:[30]])</f>
        <v>0</v>
      </c>
    </row>
    <row r="12" spans="2:34" ht="30" customHeight="1" x14ac:dyDescent="0.25">
      <c r="B12" s="21" t="str">
        <f>НазваМісяця&amp;" Підсумок"</f>
        <v>Вересень Підсумок</v>
      </c>
      <c r="C12" s="13">
        <f>SUBTOTAL(103,Вересень[1])</f>
        <v>0</v>
      </c>
      <c r="D12" s="13">
        <f>SUBTOTAL(103,Вересень[2])</f>
        <v>0</v>
      </c>
      <c r="E12" s="13">
        <f>SUBTOTAL(103,Вересень[3])</f>
        <v>0</v>
      </c>
      <c r="F12" s="13">
        <f>SUBTOTAL(103,Вересень[4])</f>
        <v>0</v>
      </c>
      <c r="G12" s="13">
        <f>SUBTOTAL(103,Вересень[5])</f>
        <v>0</v>
      </c>
      <c r="H12" s="13">
        <f>SUBTOTAL(103,Вересень[6])</f>
        <v>0</v>
      </c>
      <c r="I12" s="13">
        <f>SUBTOTAL(103,Вересень[7])</f>
        <v>0</v>
      </c>
      <c r="J12" s="13">
        <f>SUBTOTAL(103,Вересень[8])</f>
        <v>0</v>
      </c>
      <c r="K12" s="13">
        <f>SUBTOTAL(103,Вересень[9])</f>
        <v>0</v>
      </c>
      <c r="L12" s="13">
        <f>SUBTOTAL(103,Вересень[10])</f>
        <v>0</v>
      </c>
      <c r="M12" s="13">
        <f>SUBTOTAL(103,Вересень[11])</f>
        <v>0</v>
      </c>
      <c r="N12" s="13">
        <f>SUBTOTAL(103,Вересень[12])</f>
        <v>0</v>
      </c>
      <c r="O12" s="13">
        <f>SUBTOTAL(103,Вересень[13])</f>
        <v>0</v>
      </c>
      <c r="P12" s="13">
        <f>SUBTOTAL(103,Вересень[14])</f>
        <v>0</v>
      </c>
      <c r="Q12" s="13">
        <f>SUBTOTAL(103,Вересень[15])</f>
        <v>0</v>
      </c>
      <c r="R12" s="13">
        <f>SUBTOTAL(103,Вересень[16])</f>
        <v>0</v>
      </c>
      <c r="S12" s="13">
        <f>SUBTOTAL(103,Вересень[17])</f>
        <v>0</v>
      </c>
      <c r="T12" s="13">
        <f>SUBTOTAL(103,Вересень[18])</f>
        <v>0</v>
      </c>
      <c r="U12" s="13">
        <f>SUBTOTAL(103,Вересень[19])</f>
        <v>0</v>
      </c>
      <c r="V12" s="13">
        <f>SUBTOTAL(103,Вересень[20])</f>
        <v>0</v>
      </c>
      <c r="W12" s="13">
        <f>SUBTOTAL(103,Вересень[21])</f>
        <v>0</v>
      </c>
      <c r="X12" s="13">
        <f>SUBTOTAL(103,Вересень[22])</f>
        <v>0</v>
      </c>
      <c r="Y12" s="13">
        <f>SUBTOTAL(103,Вересень[23])</f>
        <v>0</v>
      </c>
      <c r="Z12" s="13">
        <f>SUBTOTAL(103,Вересень[24])</f>
        <v>0</v>
      </c>
      <c r="AA12" s="13">
        <f>SUBTOTAL(103,Вересень[25])</f>
        <v>0</v>
      </c>
      <c r="AB12" s="13">
        <f>SUBTOTAL(103,Вересень[26])</f>
        <v>0</v>
      </c>
      <c r="AC12" s="13">
        <f>SUBTOTAL(103,Вересень[27])</f>
        <v>0</v>
      </c>
      <c r="AD12" s="13">
        <f>SUBTOTAL(103,Вересень[28])</f>
        <v>0</v>
      </c>
      <c r="AE12" s="13">
        <f>SUBTOTAL(103,Вересень[29])</f>
        <v>0</v>
      </c>
      <c r="AF12" s="13">
        <f>SUBTOTAL(103,Вересень[30])</f>
        <v>0</v>
      </c>
      <c r="AG12" s="13">
        <f>SUBTOTAL(103,Вересень[[ ]])</f>
        <v>0</v>
      </c>
      <c r="AH12" s="13">
        <f>SUBTOTAL(109,Вересень[Усього днів])</f>
        <v>0</v>
      </c>
    </row>
  </sheetData>
  <mergeCells count="6">
    <mergeCell ref="C4:AG4"/>
    <mergeCell ref="D2:F2"/>
    <mergeCell ref="H2:J2"/>
    <mergeCell ref="L2:N2"/>
    <mergeCell ref="P2:S2"/>
    <mergeCell ref="U2:X2"/>
  </mergeCells>
  <conditionalFormatting sqref="C7:AG11">
    <cfRule type="expression" priority="1" stopIfTrue="1">
      <formula>C7=""</formula>
    </cfRule>
  </conditionalFormatting>
  <conditionalFormatting sqref="C7:AG11">
    <cfRule type="expression" dxfId="19" priority="2" stopIfTrue="1">
      <formula>C7=СпеціальнаУмовнаПозначка2</formula>
    </cfRule>
    <cfRule type="expression" dxfId="18" priority="3" stopIfTrue="1">
      <formula>C7=СпеціальнаУмовнаПозначка1</formula>
    </cfRule>
    <cfRule type="expression" dxfId="17" priority="4" stopIfTrue="1">
      <formula>C7=УмовнаПозначкаЛікарняне</formula>
    </cfRule>
    <cfRule type="expression" dxfId="16" priority="5" stopIfTrue="1">
      <formula>C7=УмовнаПозначкаОсобисте</formula>
    </cfRule>
    <cfRule type="expression" dxfId="15" priority="6" stopIfTrue="1">
      <formula>C7=УмовнаПозначкаВідпустка</formula>
    </cfRule>
  </conditionalFormatting>
  <conditionalFormatting sqref="AH7:AH11">
    <cfRule type="dataBar" priority="7">
      <dataBar>
        <cfvo type="min"/>
        <cfvo type="formula" val="DATEDIF(DATE(РікКалендаря,2,1),DATE(РікКалендаря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Дні місяця в цьому рядку вказуються автоматично. Позначте відсутність працівника та введіть причину відсутності в кожному зі стовпців для кожного дня місяця. Пуста клітинка означає, що працівник на роботі" sqref="C6" xr:uid="{00000000-0002-0000-0800-000000000000}"/>
    <dataValidation allowBlank="1" showInputMessage="1" showErrorMessage="1" prompt="У цій клітинці вказано місяць графіка відсутності працівників. Підсумки за місяць підбивають в останній клітинці таблиці. Виберіть імена працівників у стовпці B" sqref="B4" xr:uid="{00000000-0002-0000-0800-000001000000}"/>
    <dataValidation allowBlank="1" showInputMessage="1" showErrorMessage="1" prompt="У цьому рядку вказано умовні позначки, які використовуються в таблиці: клітинка C2 – відпустка, G2 – особисті причини, K2 – лікарняний. Клітинки N2 та R2 настроювані" sqref="B2" xr:uid="{00000000-0002-0000-0800-000002000000}"/>
    <dataValidation allowBlank="1" showInputMessage="1" showErrorMessage="1" prompt="Введіть підпис, щоб описати спеціальну умовну позначку ліворуч" sqref="P2 U2" xr:uid="{00000000-0002-0000-0800-000003000000}"/>
    <dataValidation allowBlank="1" showInputMessage="1" showErrorMessage="1" prompt="Введіть букву та змініть відповідним чином підпис праворуч, щоб додати ще одну умовну позначку" sqref="O2 T2" xr:uid="{00000000-0002-0000-0800-000004000000}"/>
    <dataValidation allowBlank="1" showInputMessage="1" showErrorMessage="1" prompt="Буква &quot;Л&quot; вказує на відсутність через хворобу" sqref="K2" xr:uid="{00000000-0002-0000-0800-000005000000}"/>
    <dataValidation allowBlank="1" showInputMessage="1" showErrorMessage="1" prompt="Буква &quot;О&quot; вказує на відсутність з особистих причин" sqref="G2" xr:uid="{00000000-0002-0000-0800-000006000000}"/>
    <dataValidation allowBlank="1" showInputMessage="1" showErrorMessage="1" prompt="Буква &quot;В&quot; вказує на відсутність через відпустку" sqref="C2" xr:uid="{00000000-0002-0000-0800-000007000000}"/>
    <dataValidation allowBlank="1" showInputMessage="1" showErrorMessage="1" prompt="Заголовок у цій клітинці оновлюється автоматично. Щоб змінити заголовок, оновіть значення в клітинці B1 на аркуші &quot;Січень&quot;" sqref="B1" xr:uid="{00000000-0002-0000-0800-000008000000}"/>
    <dataValidation errorStyle="warning" allowBlank="1" showInputMessage="1" showErrorMessage="1" error="Щоб вибрати ім’я зі списку, натисніть кнопку &quot;Скасувати&quot;, далі натисніть клавіші Alt + стрілка вниз, а потім – Enter" prompt="Введіть імена працівників на аркуші &quot;Імена працівників&quot;, а потім виберіть одне з цих імен зі списку в цьому стовпці. Для цього натисніть клавіші Alt + стрілка вниз, а потім – Enter" sqref="B6" xr:uid="{00000000-0002-0000-0800-000009000000}"/>
    <dataValidation allowBlank="1" showInputMessage="1" showErrorMessage="1" prompt="Відстежуйте відсутність працівників у вересні на цьому аркуші" sqref="A1" xr:uid="{00000000-0002-0000-0800-00000A000000}"/>
    <dataValidation allowBlank="1" showInputMessage="1" showErrorMessage="1" prompt="У цьому стовпці автоматично підраховується загальна кількість днів, коли працівник був відсутній цього місяця" sqref="AH6" xr:uid="{00000000-0002-0000-0800-00000B000000}"/>
    <dataValidation allowBlank="1" showInputMessage="1" showErrorMessage="1" prompt="Рік оновлюється автоматично відповідно до року, введеного на аркуші &quot;Січень&quot;" sqref="AH4" xr:uid="{00000000-0002-0000-0800-00000C000000}"/>
    <dataValidation allowBlank="1" showInputMessage="1" showErrorMessage="1" prompt="Робочі дні місяця в цьому рядку автоматично оновлюються відповідно до року, указаного в клітинці AH4. Кожний день місяця – це окремий стовпець, у якому можна позначити відсутність працівника та ввести причину такої відсутності" sqref="C5" xr:uid="{00000000-0002-0000-08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DATEDIF(DATE(РікКалендаря,2,1),DATE(РікКалендаря,3,1),"d")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'Імена працівників'!$B$4:$B$8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50</vt:i4>
      </vt:variant>
    </vt:vector>
  </HeadingPairs>
  <TitlesOfParts>
    <vt:vector size="6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Імена працівників</vt:lpstr>
      <vt:lpstr>Березень!Заголовки_для_друку</vt:lpstr>
      <vt:lpstr>Вересень!Заголовки_для_друку</vt:lpstr>
      <vt:lpstr>Грудень!Заголовки_для_друку</vt:lpstr>
      <vt:lpstr>Жовтень!Заголовки_для_друку</vt:lpstr>
      <vt:lpstr>Квітень!Заголовки_для_друку</vt:lpstr>
      <vt:lpstr>Липень!Заголовки_для_друку</vt:lpstr>
      <vt:lpstr>Листопад!Заголовки_для_друку</vt:lpstr>
      <vt:lpstr>Лютий!Заголовки_для_друку</vt:lpstr>
      <vt:lpstr>Серпень!Заголовки_для_друку</vt:lpstr>
      <vt:lpstr>Січень!Заголовки_для_друку</vt:lpstr>
      <vt:lpstr>Травень!Заголовки_для_друку</vt:lpstr>
      <vt:lpstr>Червень!Заголовки_для_друку</vt:lpstr>
      <vt:lpstr>Заголовок_відсутності_працівника</vt:lpstr>
      <vt:lpstr>Заголовок1</vt:lpstr>
      <vt:lpstr>Заголовок10</vt:lpstr>
      <vt:lpstr>Заголовок11</vt:lpstr>
      <vt:lpstr>Заголовок12</vt:lpstr>
      <vt:lpstr>Заголовок2</vt:lpstr>
      <vt:lpstr>Заголовок3</vt:lpstr>
      <vt:lpstr>Заголовок4</vt:lpstr>
      <vt:lpstr>Заголовок5</vt:lpstr>
      <vt:lpstr>Заголовок6</vt:lpstr>
      <vt:lpstr>Заголовок7</vt:lpstr>
      <vt:lpstr>Заголовок8</vt:lpstr>
      <vt:lpstr>Заголовок9</vt:lpstr>
      <vt:lpstr>ЗаголовокСтовпця13</vt:lpstr>
      <vt:lpstr>Назва_умовної_позначки</vt:lpstr>
      <vt:lpstr>Березень!НазваМісяця</vt:lpstr>
      <vt:lpstr>Вересень!НазваМісяця</vt:lpstr>
      <vt:lpstr>Грудень!НазваМісяця</vt:lpstr>
      <vt:lpstr>Жовтень!НазваМісяця</vt:lpstr>
      <vt:lpstr>Квітень!НазваМісяця</vt:lpstr>
      <vt:lpstr>Липень!НазваМісяця</vt:lpstr>
      <vt:lpstr>Листопад!НазваМісяця</vt:lpstr>
      <vt:lpstr>Лютий!НазваМісяця</vt:lpstr>
      <vt:lpstr>Серпень!НазваМісяця</vt:lpstr>
      <vt:lpstr>Січень!НазваМісяця</vt:lpstr>
      <vt:lpstr>Травень!НазваМісяця</vt:lpstr>
      <vt:lpstr>Червень!НазваМісяця</vt:lpstr>
      <vt:lpstr>ПідписСпеціальноїУмовноїПозначки1</vt:lpstr>
      <vt:lpstr>ПідписСпеціальноїУмовноїПозначки2</vt:lpstr>
      <vt:lpstr>ПідписУмовноїПозначкиВідпустка</vt:lpstr>
      <vt:lpstr>ПідписУмовноїПозначкиЛікарняне</vt:lpstr>
      <vt:lpstr>ПідписУмовноїПозначкиОсобисте</vt:lpstr>
      <vt:lpstr>РікКалендаря</vt:lpstr>
      <vt:lpstr>СпеціальнаУмовнаПозначка1</vt:lpstr>
      <vt:lpstr>СпеціальнаУмовнаПозначка2</vt:lpstr>
      <vt:lpstr>УмовнаПозначкаВідпустка</vt:lpstr>
      <vt:lpstr>УмовнаПозначкаЛікарняне</vt:lpstr>
      <vt:lpstr>УмовнаПозначкаОсобисте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2019-07-30T03:33:24Z</dcterms:modified>
</cp:coreProperties>
</file>