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0" windowHeight="0"/>
  </bookViews>
  <sheets>
    <sheet name="Родинний бюджет" sheetId="1" r:id="rId1"/>
  </sheets>
  <definedNames>
    <definedName name="Бюджетний_рік">'Родинний бюджет'!$C$2</definedName>
    <definedName name="Друк_заголовки" localSheetId="0">'Родинний бюджет'!$13:$13</definedName>
  </definedNames>
  <calcPr calcId="152511"/>
</workbook>
</file>

<file path=xl/calcChain.xml><?xml version="1.0" encoding="utf-8"?>
<calcChain xmlns="http://schemas.openxmlformats.org/spreadsheetml/2006/main">
  <c r="G5" i="1" l="1"/>
  <c r="K5" i="1"/>
  <c r="D28" i="1"/>
  <c r="E28" i="1"/>
  <c r="E5" i="1" s="1"/>
  <c r="F28" i="1"/>
  <c r="G28" i="1"/>
  <c r="H28" i="1"/>
  <c r="I28" i="1"/>
  <c r="I5" i="1" s="1"/>
  <c r="J28" i="1"/>
  <c r="K28" i="1"/>
  <c r="L28" i="1"/>
  <c r="M28" i="1"/>
  <c r="M5" i="1" s="1"/>
  <c r="N28" i="1"/>
  <c r="C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O9" i="1"/>
  <c r="O10" i="1"/>
  <c r="O8" i="1"/>
  <c r="D11" i="1"/>
  <c r="E11" i="1"/>
  <c r="F11" i="1"/>
  <c r="G11" i="1"/>
  <c r="H11" i="1"/>
  <c r="I11" i="1"/>
  <c r="J11" i="1"/>
  <c r="K11" i="1"/>
  <c r="L11" i="1"/>
  <c r="M11" i="1"/>
  <c r="N11" i="1"/>
  <c r="O28" i="1" l="1"/>
  <c r="N5" i="1"/>
  <c r="L5" i="1"/>
  <c r="J5" i="1"/>
  <c r="H5" i="1"/>
  <c r="F5" i="1"/>
  <c r="D5" i="1"/>
  <c r="O11" i="1"/>
  <c r="O5" i="1" s="1"/>
  <c r="C11" i="1"/>
  <c r="C5" i="1" s="1"/>
</calcChain>
</file>

<file path=xl/sharedStrings.xml><?xml version="1.0" encoding="utf-8"?>
<sst xmlns="http://schemas.openxmlformats.org/spreadsheetml/2006/main" count="67" uniqueCount="39">
  <si>
    <t>Плата за місцем проживання</t>
  </si>
  <si>
    <t>Продукти</t>
  </si>
  <si>
    <t>Страхування</t>
  </si>
  <si>
    <t>Електроенергія</t>
  </si>
  <si>
    <t>Водопостачання</t>
  </si>
  <si>
    <t>Газ</t>
  </si>
  <si>
    <t>Навчання</t>
  </si>
  <si>
    <t>Кабельне ТБ</t>
  </si>
  <si>
    <t>Інтернет</t>
  </si>
  <si>
    <t>Розваги</t>
  </si>
  <si>
    <t>Доходи 1</t>
  </si>
  <si>
    <t>Доходи 2</t>
  </si>
  <si>
    <t>Інші доходи</t>
  </si>
  <si>
    <t>Домашній телефон</t>
  </si>
  <si>
    <t>Авто</t>
  </si>
  <si>
    <t>Мобільний телефон</t>
  </si>
  <si>
    <t>Готівка за місяць</t>
  </si>
  <si>
    <t>Заощадження</t>
  </si>
  <si>
    <t>ДОСТУПНА ГОТІВКА</t>
  </si>
  <si>
    <t>СІЧ</t>
  </si>
  <si>
    <t>ЛЮТ</t>
  </si>
  <si>
    <t>КВІ</t>
  </si>
  <si>
    <t>ТРА</t>
  </si>
  <si>
    <t>ЧЕР</t>
  </si>
  <si>
    <t>ЛИП</t>
  </si>
  <si>
    <t>СЕР</t>
  </si>
  <si>
    <t>ВЕР</t>
  </si>
  <si>
    <t>ЖОВ</t>
  </si>
  <si>
    <t>ЛИС</t>
  </si>
  <si>
    <t>ГРУ</t>
  </si>
  <si>
    <t>ТЕНДЕНЦІЯ</t>
  </si>
  <si>
    <t>БЮДЖЕТ РОДИНИ КОВАЛЬЧУКІВ</t>
  </si>
  <si>
    <t>БЕР</t>
  </si>
  <si>
    <t>ТИП ДОХОДІВ</t>
  </si>
  <si>
    <t>ВИТРАТИ</t>
  </si>
  <si>
    <t>ЗАГАЛЬНІ ВИТРАТИ</t>
  </si>
  <si>
    <t>ЗАГАЛЬНІ ДОХОДИ</t>
  </si>
  <si>
    <t>УСЬОГО З ПОЧАТКУ РОКУ</t>
  </si>
  <si>
    <t>РІК: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</si>
</sst>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₴&quot;;\-#,##0.00&quot;₴&quot;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3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106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&quot;₴&quot;;\-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#,##0.00&quot;₴&quot;"/>
      <fill>
        <patternFill patternType="none">
          <fgColor indexed="64"/>
          <bgColor indexed="65"/>
        </patternFill>
      </fill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5"/>
      <tableStyleElement type="headerRow" dxfId="104"/>
      <tableStyleElement type="totalRow" dxfId="103"/>
      <tableStyleElement type="firstColumn" dxfId="102"/>
      <tableStyleElement type="firstHeaderCell" dxfId="101"/>
      <tableStyleElement type="firstTotalCell" dxfId="100"/>
    </tableStyle>
    <tableStyle name="Family Budget Cash Available 2" pivot="0" count="6">
      <tableStyleElement type="wholeTable" dxfId="99"/>
      <tableStyleElement type="headerRow" dxfId="98"/>
      <tableStyleElement type="totalRow" dxfId="97"/>
      <tableStyleElement type="firstColumn" dxfId="96"/>
      <tableStyleElement type="firstHeaderCell" dxfId="95"/>
      <tableStyleElement type="firstTotalCell" dxfId="94"/>
    </tableStyle>
    <tableStyle name="Family Budget Cash Available 3" pivot="0" count="6">
      <tableStyleElement type="wholeTable" dxfId="93"/>
      <tableStyleElement type="headerRow" dxfId="92"/>
      <tableStyleElement type="totalRow" dxfId="91"/>
      <tableStyleElement type="firstColumn" dxfId="90"/>
      <tableStyleElement type="firstHeaderCell" dxfId="89"/>
      <tableStyleElement type="firstTotalCell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Графіка заголовка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_дохід" displayName="tbl_дохід" ref="B7:P11" totalsRowCount="1" totalsRowDxfId="87">
  <tableColumns count="15">
    <tableColumn id="1" name="ТИП ДОХОДІВ" totalsRowLabel="ЗАГАЛЬНІ ДОХОДИ" totalsRowDxfId="86"/>
    <tableColumn id="2" name="СІЧ" totalsRowFunction="sum" dataDxfId="85" totalsRowDxfId="84"/>
    <tableColumn id="3" name="ЛЮТ" totalsRowFunction="sum" dataDxfId="83" totalsRowDxfId="82"/>
    <tableColumn id="4" name="БЕР" totalsRowFunction="sum" dataDxfId="81" totalsRowDxfId="80"/>
    <tableColumn id="5" name="КВІ" totalsRowFunction="sum" dataDxfId="79" totalsRowDxfId="78"/>
    <tableColumn id="6" name="ТРА" totalsRowFunction="sum" dataDxfId="77" totalsRowDxfId="76"/>
    <tableColumn id="7" name="ЧЕР" totalsRowFunction="sum" dataDxfId="75" totalsRowDxfId="74"/>
    <tableColumn id="8" name="ЛИП" totalsRowFunction="sum" dataDxfId="73" totalsRowDxfId="72"/>
    <tableColumn id="9" name="СЕР" totalsRowFunction="sum" dataDxfId="71" totalsRowDxfId="70"/>
    <tableColumn id="10" name="ВЕР" totalsRowFunction="sum" dataDxfId="69" totalsRowDxfId="68"/>
    <tableColumn id="11" name="ЖОВ" totalsRowFunction="sum" dataDxfId="67" totalsRowDxfId="66"/>
    <tableColumn id="12" name="ЛИС" totalsRowFunction="sum" dataDxfId="65" totalsRowDxfId="64"/>
    <tableColumn id="13" name="ГРУ" totalsRowFunction="sum" dataDxfId="63" totalsRowDxfId="62"/>
    <tableColumn id="14" name="УСЬОГО З ПОЧАТКУ РОКУ" totalsRowFunction="sum" dataDxfId="61" totalsRowDxfId="60">
      <calculatedColumnFormula>SUM(tbl_дохід[[#This Row],[СІЧ]:[ГРУ]])</calculatedColumnFormula>
    </tableColumn>
    <tableColumn id="15" name="ТЕНДЕНЦІЯ" totalsRowDxfId="59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Доходи за місяць" altTextSummary="Підсумок доходів за типом за кожний календарний місяць."/>
    </ext>
  </extLst>
</table>
</file>

<file path=xl/tables/table2.xml><?xml version="1.0" encoding="utf-8"?>
<table xmlns="http://schemas.openxmlformats.org/spreadsheetml/2006/main" id="2" name="tbl_витрати" displayName="tbl_витрати" ref="B13:P28" totalsRowCount="1" totalsRowDxfId="58">
  <tableColumns count="15">
    <tableColumn id="1" name="ВИТРАТИ" totalsRowLabel="ЗАГАЛЬНІ ВИТРАТИ" dataDxfId="57" totalsRowDxfId="56"/>
    <tableColumn id="2" name="СІЧ" totalsRowFunction="sum" dataDxfId="55" totalsRowDxfId="54"/>
    <tableColumn id="3" name="ЛЮТ" totalsRowFunction="sum" dataDxfId="53" totalsRowDxfId="52"/>
    <tableColumn id="4" name="БЕР" totalsRowFunction="sum" dataDxfId="51" totalsRowDxfId="50"/>
    <tableColumn id="5" name="КВІ" totalsRowFunction="sum" dataDxfId="49" totalsRowDxfId="48"/>
    <tableColumn id="6" name="ТРА" totalsRowFunction="sum" dataDxfId="47" totalsRowDxfId="46"/>
    <tableColumn id="7" name="ЧЕР" totalsRowFunction="sum" dataDxfId="45" totalsRowDxfId="44"/>
    <tableColumn id="8" name="ЛИП" totalsRowFunction="sum" dataDxfId="43" totalsRowDxfId="42"/>
    <tableColumn id="9" name="СЕР" totalsRowFunction="sum" dataDxfId="41" totalsRowDxfId="40"/>
    <tableColumn id="10" name="ВЕР" totalsRowFunction="sum" dataDxfId="39" totalsRowDxfId="38"/>
    <tableColumn id="11" name="ЖОВ" totalsRowFunction="sum" dataDxfId="37" totalsRowDxfId="36"/>
    <tableColumn id="12" name="ЛИС" totalsRowFunction="sum" dataDxfId="35" totalsRowDxfId="34"/>
    <tableColumn id="13" name="ГРУ" totalsRowFunction="sum" dataDxfId="33" totalsRowDxfId="32"/>
    <tableColumn id="14" name="УСЬОГО З ПОЧАТКУ РОКУ" totalsRowFunction="sum" dataDxfId="31" totalsRowDxfId="30">
      <calculatedColumnFormula>SUM(tbl_витрати[[#This Row],[СІЧ]:[ГРУ]])</calculatedColumnFormula>
    </tableColumn>
    <tableColumn id="15" name="ТЕНДЕНЦІЯ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Витрати за місяць" altTextSummary="Підсумок витрат за кожний календарний місяць."/>
    </ext>
  </extLst>
</table>
</file>

<file path=xl/tables/table3.xml><?xml version="1.0" encoding="utf-8"?>
<table xmlns="http://schemas.openxmlformats.org/spreadsheetml/2006/main" id="3" name="tblДоступна_готівка" displayName="tblДоступна_готівка" ref="B4:P5">
  <tableColumns count="15">
    <tableColumn id="1" name="ДОСТУПНА ГОТІВКА" totalsRowLabel="Усього" dataDxfId="28" totalsRowDxfId="27"/>
    <tableColumn id="2" name="СІЧ" dataDxfId="26" totalsRowDxfId="25">
      <calculatedColumnFormula>tbl_дохід[[#Totals],[СІЧ]]-tbl_витрати[[#Totals],[СІЧ]]</calculatedColumnFormula>
    </tableColumn>
    <tableColumn id="3" name="ЛЮТ" dataDxfId="24" totalsRowDxfId="23">
      <calculatedColumnFormula>tbl_дохід[[#Totals],[ЛЮТ]]-tbl_витрати[[#Totals],[ЛЮТ]]</calculatedColumnFormula>
    </tableColumn>
    <tableColumn id="4" name="БЕР" dataDxfId="22" totalsRowDxfId="21">
      <calculatedColumnFormula>tbl_дохід[[#Totals],[БЕР]]-tbl_витрати[[#Totals],[БЕР]]</calculatedColumnFormula>
    </tableColumn>
    <tableColumn id="5" name="КВІ" dataDxfId="20" totalsRowDxfId="19">
      <calculatedColumnFormula>tbl_дохід[[#Totals],[КВІ]]-tbl_витрати[[#Totals],[КВІ]]</calculatedColumnFormula>
    </tableColumn>
    <tableColumn id="6" name="ТРА" dataDxfId="18" totalsRowDxfId="17">
      <calculatedColumnFormula>tbl_дохід[[#Totals],[ТРА]]-tbl_витрати[[#Totals],[ТРА]]</calculatedColumnFormula>
    </tableColumn>
    <tableColumn id="7" name="ЧЕР" dataDxfId="16" totalsRowDxfId="15">
      <calculatedColumnFormula>tbl_дохід[[#Totals],[ЧЕР]]-tbl_витрати[[#Totals],[ЧЕР]]</calculatedColumnFormula>
    </tableColumn>
    <tableColumn id="8" name="ЛИП" dataDxfId="14" totalsRowDxfId="13">
      <calculatedColumnFormula>tbl_дохід[[#Totals],[ЛИП]]-tbl_витрати[[#Totals],[ЛИП]]</calculatedColumnFormula>
    </tableColumn>
    <tableColumn id="9" name="СЕР" dataDxfId="12" totalsRowDxfId="11">
      <calculatedColumnFormula>tbl_дохід[[#Totals],[СЕР]]-tbl_витрати[[#Totals],[СЕР]]</calculatedColumnFormula>
    </tableColumn>
    <tableColumn id="10" name="ВЕР" dataDxfId="10" totalsRowDxfId="9">
      <calculatedColumnFormula>tbl_дохід[[#Totals],[ВЕР]]-tbl_витрати[[#Totals],[ВЕР]]</calculatedColumnFormula>
    </tableColumn>
    <tableColumn id="11" name="ЖОВ" dataDxfId="8" totalsRowDxfId="7">
      <calculatedColumnFormula>tbl_дохід[[#Totals],[ЖОВ]]-tbl_витрати[[#Totals],[ЖОВ]]</calculatedColumnFormula>
    </tableColumn>
    <tableColumn id="12" name="ЛИС" dataDxfId="6" totalsRowDxfId="5">
      <calculatedColumnFormula>tbl_дохід[[#Totals],[ЛИС]]-tbl_витрати[[#Totals],[ЛИС]]</calculatedColumnFormula>
    </tableColumn>
    <tableColumn id="13" name="ГРУ" dataDxfId="4" totalsRowDxfId="3">
      <calculatedColumnFormula>tbl_дохід[[#Totals],[ГРУ]]-tbl_витрати[[#Totals],[ГРУ]]</calculatedColumnFormula>
    </tableColumn>
    <tableColumn id="14" name="УСЬОГО З ПОЧАТКУ РОКУ" dataDxfId="2" totalsRowDxfId="1">
      <calculatedColumnFormula>tbl_дохід[[#Totals],[УСЬОГО З ПОЧАТКУ РОКУ]]-tbl_витрати[[#Totals],[УСЬОГО З ПОЧАТКУ РОКУ]]</calculatedColumnFormula>
    </tableColumn>
    <tableColumn id="15" name="ТЕНДЕНЦІЯ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Доступна готівка за місяць" altTextSummary="Підсумок доступної готівки (доходи мінус витрати) за кожний календарний місяць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21">
        <f>tbl_дохід[[#Totals],[СІЧ]]-tbl_витрати[[#Totals],[СІЧ]]</f>
        <v>1220</v>
      </c>
      <c r="D5" s="21">
        <f>tbl_дохід[[#Totals],[ЛЮТ]]-tbl_витрати[[#Totals],[ЛЮТ]]</f>
        <v>1587</v>
      </c>
      <c r="E5" s="21">
        <f>tbl_дохід[[#Totals],[БЕР]]-tbl_витрати[[#Totals],[БЕР]]</f>
        <v>1174</v>
      </c>
      <c r="F5" s="21">
        <f>tbl_дохід[[#Totals],[КВІ]]-tbl_витрати[[#Totals],[КВІ]]</f>
        <v>1445</v>
      </c>
      <c r="G5" s="21">
        <f>tbl_дохід[[#Totals],[ТРА]]-tbl_витрати[[#Totals],[ТРА]]</f>
        <v>1391</v>
      </c>
      <c r="H5" s="21">
        <f>tbl_дохід[[#Totals],[ЧЕР]]-tbl_витрати[[#Totals],[ЧЕР]]</f>
        <v>1434</v>
      </c>
      <c r="I5" s="21">
        <f>tbl_дохід[[#Totals],[ЛИП]]-tbl_витрати[[#Totals],[ЛИП]]</f>
        <v>1085</v>
      </c>
      <c r="J5" s="21">
        <f>tbl_дохід[[#Totals],[СЕР]]-tbl_витрати[[#Totals],[СЕР]]</f>
        <v>1181</v>
      </c>
      <c r="K5" s="21">
        <f>tbl_дохід[[#Totals],[ВЕР]]-tbl_витрати[[#Totals],[ВЕР]]</f>
        <v>1445</v>
      </c>
      <c r="L5" s="21">
        <f>tbl_дохід[[#Totals],[ЖОВ]]-tbl_витрати[[#Totals],[ЖОВ]]</f>
        <v>1466</v>
      </c>
      <c r="M5" s="21">
        <f>tbl_дохід[[#Totals],[ЛИС]]-tbl_витрати[[#Totals],[ЛИС]]</f>
        <v>0</v>
      </c>
      <c r="N5" s="21">
        <f>tbl_дохід[[#Totals],[ГРУ]]-tbl_витрати[[#Totals],[ГРУ]]</f>
        <v>0</v>
      </c>
      <c r="O5" s="21">
        <f>tbl_дохід[[#Totals],[УСЬОГО З ПОЧАТКУ РОКУ]]-tbl_витрати[[#Totals],[УСЬОГО З ПОЧАТКУ РОКУ]]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21">
        <v>4000</v>
      </c>
      <c r="D8" s="21">
        <v>4410</v>
      </c>
      <c r="E8" s="21">
        <v>4019</v>
      </c>
      <c r="F8" s="21">
        <v>4263</v>
      </c>
      <c r="G8" s="21">
        <v>4123</v>
      </c>
      <c r="H8" s="21">
        <v>4308</v>
      </c>
      <c r="I8" s="21">
        <v>4162</v>
      </c>
      <c r="J8" s="21">
        <v>4165</v>
      </c>
      <c r="K8" s="21">
        <v>4248</v>
      </c>
      <c r="L8" s="21">
        <v>4324</v>
      </c>
      <c r="M8" s="21"/>
      <c r="N8" s="21"/>
      <c r="O8" s="21">
        <f>SUM(tbl_дохід[[#This Row],[СІЧ]:[ГРУ]])</f>
        <v>42022</v>
      </c>
      <c r="P8" s="12"/>
    </row>
    <row r="9" spans="1:16" s="8" customFormat="1" ht="21" customHeight="1" x14ac:dyDescent="0.2">
      <c r="B9" s="12" t="s">
        <v>11</v>
      </c>
      <c r="C9" s="21">
        <v>275</v>
      </c>
      <c r="D9" s="21">
        <v>296</v>
      </c>
      <c r="E9" s="21">
        <v>251</v>
      </c>
      <c r="F9" s="21">
        <v>269</v>
      </c>
      <c r="G9" s="21">
        <v>252</v>
      </c>
      <c r="H9" s="21">
        <v>252</v>
      </c>
      <c r="I9" s="21">
        <v>262</v>
      </c>
      <c r="J9" s="21">
        <v>258</v>
      </c>
      <c r="K9" s="21">
        <v>296</v>
      </c>
      <c r="L9" s="21">
        <v>270</v>
      </c>
      <c r="M9" s="21"/>
      <c r="N9" s="21"/>
      <c r="O9" s="21">
        <f>SUM(tbl_дохід[[#This Row],[СІЧ]:[ГРУ]])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1">
        <v>500</v>
      </c>
      <c r="D10" s="21">
        <v>507</v>
      </c>
      <c r="E10" s="21">
        <v>551</v>
      </c>
      <c r="F10" s="21">
        <v>556</v>
      </c>
      <c r="G10" s="21">
        <v>588</v>
      </c>
      <c r="H10" s="21">
        <v>534</v>
      </c>
      <c r="I10" s="21">
        <v>533</v>
      </c>
      <c r="J10" s="21">
        <v>585</v>
      </c>
      <c r="K10" s="21">
        <v>560</v>
      </c>
      <c r="L10" s="21">
        <v>520</v>
      </c>
      <c r="M10" s="21"/>
      <c r="N10" s="21"/>
      <c r="O10" s="21">
        <f>SUM(tbl_дохід[[#This Row],[СІЧ]:[ГРУ]])</f>
        <v>5434</v>
      </c>
      <c r="P10" s="12"/>
    </row>
    <row r="11" spans="1:16" ht="21" customHeight="1" x14ac:dyDescent="0.2">
      <c r="A11" s="1"/>
      <c r="B11" s="19" t="s">
        <v>36</v>
      </c>
      <c r="C11" s="21">
        <f>SUBTOTAL(109,tbl_дохід[СІЧ])</f>
        <v>4775</v>
      </c>
      <c r="D11" s="21">
        <f>SUBTOTAL(109,tbl_дохід[ЛЮТ])</f>
        <v>5213</v>
      </c>
      <c r="E11" s="21">
        <f>SUBTOTAL(109,tbl_дохід[БЕР])</f>
        <v>4821</v>
      </c>
      <c r="F11" s="21">
        <f>SUBTOTAL(109,tbl_дохід[КВІ])</f>
        <v>5088</v>
      </c>
      <c r="G11" s="21">
        <f>SUBTOTAL(109,tbl_дохід[ТРА])</f>
        <v>4963</v>
      </c>
      <c r="H11" s="21">
        <f>SUBTOTAL(109,tbl_дохід[ЧЕР])</f>
        <v>5094</v>
      </c>
      <c r="I11" s="21">
        <f>SUBTOTAL(109,tbl_дохід[ЛИП])</f>
        <v>4957</v>
      </c>
      <c r="J11" s="21">
        <f>SUBTOTAL(109,tbl_дохід[СЕР])</f>
        <v>5008</v>
      </c>
      <c r="K11" s="21">
        <f>SUBTOTAL(109,tbl_дохід[ВЕР])</f>
        <v>5104</v>
      </c>
      <c r="L11" s="21">
        <f>SUBTOTAL(109,tbl_дохід[ЖОВ])</f>
        <v>5114</v>
      </c>
      <c r="M11" s="21">
        <f>SUBTOTAL(109,tbl_дохід[ЛИС])</f>
        <v>0</v>
      </c>
      <c r="N11" s="21">
        <f>SUBTOTAL(109,tbl_дохід[ГРУ])</f>
        <v>0</v>
      </c>
      <c r="O11" s="21">
        <f>SUBTOTAL(109,tbl_дохід[УСЬОГО З ПОЧАТКУ РОКУ])</f>
        <v>50137</v>
      </c>
      <c r="P11" s="20"/>
    </row>
    <row r="12" spans="1:16" ht="21" customHeight="1" x14ac:dyDescent="0.2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21">
        <v>1500</v>
      </c>
      <c r="D14" s="21">
        <v>1500</v>
      </c>
      <c r="E14" s="21">
        <v>1500</v>
      </c>
      <c r="F14" s="21">
        <v>1500</v>
      </c>
      <c r="G14" s="21">
        <v>1500</v>
      </c>
      <c r="H14" s="21">
        <v>1500</v>
      </c>
      <c r="I14" s="21">
        <v>1500</v>
      </c>
      <c r="J14" s="21">
        <v>1500</v>
      </c>
      <c r="K14" s="21">
        <v>1500</v>
      </c>
      <c r="L14" s="21">
        <v>1500</v>
      </c>
      <c r="M14" s="21"/>
      <c r="N14" s="21"/>
      <c r="O14" s="21">
        <f>SUM(tbl_витрати[[#This Row],[СІЧ]:[ГРУ]])</f>
        <v>15000</v>
      </c>
      <c r="P14" s="15"/>
    </row>
    <row r="15" spans="1:16" ht="21" customHeight="1" x14ac:dyDescent="0.2">
      <c r="A15" s="1"/>
      <c r="B15" s="12" t="s">
        <v>1</v>
      </c>
      <c r="C15" s="21">
        <v>250</v>
      </c>
      <c r="D15" s="21">
        <v>331</v>
      </c>
      <c r="E15" s="21">
        <v>299</v>
      </c>
      <c r="F15" s="21">
        <v>333</v>
      </c>
      <c r="G15" s="21">
        <v>324</v>
      </c>
      <c r="H15" s="21">
        <v>313</v>
      </c>
      <c r="I15" s="21">
        <v>338</v>
      </c>
      <c r="J15" s="21">
        <v>225</v>
      </c>
      <c r="K15" s="21">
        <v>258</v>
      </c>
      <c r="L15" s="21">
        <v>322</v>
      </c>
      <c r="M15" s="21"/>
      <c r="N15" s="21"/>
      <c r="O15" s="21">
        <f>SUM(tbl_витрати[[#This Row],[СІЧ]:[ГРУ]])</f>
        <v>2993</v>
      </c>
      <c r="P15" s="15"/>
    </row>
    <row r="16" spans="1:16" ht="21" customHeight="1" x14ac:dyDescent="0.2">
      <c r="A16" s="1"/>
      <c r="B16" s="12" t="s">
        <v>14</v>
      </c>
      <c r="C16" s="21">
        <v>345</v>
      </c>
      <c r="D16" s="21">
        <v>345</v>
      </c>
      <c r="E16" s="21">
        <v>345</v>
      </c>
      <c r="F16" s="21">
        <v>345</v>
      </c>
      <c r="G16" s="21">
        <v>345</v>
      </c>
      <c r="H16" s="21">
        <v>345</v>
      </c>
      <c r="I16" s="21">
        <v>345</v>
      </c>
      <c r="J16" s="21">
        <v>345</v>
      </c>
      <c r="K16" s="21">
        <v>345</v>
      </c>
      <c r="L16" s="21">
        <v>345</v>
      </c>
      <c r="M16" s="21"/>
      <c r="N16" s="21"/>
      <c r="O16" s="21">
        <f>SUM(tbl_витрати[[#This Row],[СІЧ]:[ГРУ]])</f>
        <v>3450</v>
      </c>
      <c r="P16" s="15"/>
    </row>
    <row r="17" spans="1:16" ht="21" customHeight="1" x14ac:dyDescent="0.2">
      <c r="A17" s="1"/>
      <c r="B17" s="12" t="s">
        <v>2</v>
      </c>
      <c r="C17" s="21">
        <v>120</v>
      </c>
      <c r="D17" s="21">
        <v>120</v>
      </c>
      <c r="E17" s="21">
        <v>120</v>
      </c>
      <c r="F17" s="21">
        <v>120</v>
      </c>
      <c r="G17" s="21">
        <v>120</v>
      </c>
      <c r="H17" s="21">
        <v>120</v>
      </c>
      <c r="I17" s="21">
        <v>120</v>
      </c>
      <c r="J17" s="21">
        <v>120</v>
      </c>
      <c r="K17" s="21">
        <v>120</v>
      </c>
      <c r="L17" s="21">
        <v>120</v>
      </c>
      <c r="M17" s="21"/>
      <c r="N17" s="21"/>
      <c r="O17" s="21">
        <f>SUM(tbl_витрати[[#This Row],[СІЧ]:[ГРУ]])</f>
        <v>1200</v>
      </c>
      <c r="P17" s="15"/>
    </row>
    <row r="18" spans="1:16" ht="21" customHeight="1" x14ac:dyDescent="0.2">
      <c r="A18" s="1"/>
      <c r="B18" s="12" t="s">
        <v>13</v>
      </c>
      <c r="C18" s="21">
        <v>50</v>
      </c>
      <c r="D18" s="21">
        <v>50</v>
      </c>
      <c r="E18" s="21">
        <v>50</v>
      </c>
      <c r="F18" s="21">
        <v>50</v>
      </c>
      <c r="G18" s="21">
        <v>50</v>
      </c>
      <c r="H18" s="21">
        <v>50</v>
      </c>
      <c r="I18" s="21">
        <v>50</v>
      </c>
      <c r="J18" s="21">
        <v>50</v>
      </c>
      <c r="K18" s="21">
        <v>50</v>
      </c>
      <c r="L18" s="21">
        <v>50</v>
      </c>
      <c r="M18" s="21"/>
      <c r="N18" s="21"/>
      <c r="O18" s="21">
        <f>SUM(tbl_витрати[[#This Row],[СІЧ]:[ГРУ]])</f>
        <v>500</v>
      </c>
      <c r="P18" s="15"/>
    </row>
    <row r="19" spans="1:16" ht="21" customHeight="1" x14ac:dyDescent="0.2">
      <c r="A19" s="1"/>
      <c r="B19" s="12" t="s">
        <v>15</v>
      </c>
      <c r="C19" s="21">
        <v>72</v>
      </c>
      <c r="D19" s="21">
        <v>70</v>
      </c>
      <c r="E19" s="21">
        <v>80</v>
      </c>
      <c r="F19" s="21">
        <v>70</v>
      </c>
      <c r="G19" s="21">
        <v>75</v>
      </c>
      <c r="H19" s="21">
        <v>80</v>
      </c>
      <c r="I19" s="21">
        <v>90</v>
      </c>
      <c r="J19" s="21">
        <v>73</v>
      </c>
      <c r="K19" s="21">
        <v>75</v>
      </c>
      <c r="L19" s="21">
        <v>70</v>
      </c>
      <c r="M19" s="21"/>
      <c r="N19" s="21"/>
      <c r="O19" s="21">
        <f>SUM(tbl_витрати[[#This Row],[СІЧ]:[ГРУ]])</f>
        <v>755</v>
      </c>
      <c r="P19" s="15"/>
    </row>
    <row r="20" spans="1:16" ht="21" customHeight="1" x14ac:dyDescent="0.2">
      <c r="A20" s="1"/>
      <c r="B20" s="12" t="s">
        <v>7</v>
      </c>
      <c r="C20" s="21">
        <v>60</v>
      </c>
      <c r="D20" s="21">
        <v>63</v>
      </c>
      <c r="E20" s="21">
        <v>65</v>
      </c>
      <c r="F20" s="21">
        <v>60</v>
      </c>
      <c r="G20" s="21">
        <v>65</v>
      </c>
      <c r="H20" s="21">
        <v>60</v>
      </c>
      <c r="I20" s="21">
        <v>63</v>
      </c>
      <c r="J20" s="21">
        <v>60</v>
      </c>
      <c r="K20" s="21">
        <v>63</v>
      </c>
      <c r="L20" s="21">
        <v>60</v>
      </c>
      <c r="M20" s="21"/>
      <c r="N20" s="21"/>
      <c r="O20" s="21">
        <f>SUM(tbl_витрати[[#This Row],[СІЧ]:[ГРУ]])</f>
        <v>619</v>
      </c>
      <c r="P20" s="15"/>
    </row>
    <row r="21" spans="1:16" ht="21" customHeight="1" x14ac:dyDescent="0.2">
      <c r="A21" s="1"/>
      <c r="B21" s="12" t="s">
        <v>8</v>
      </c>
      <c r="C21" s="21">
        <v>45</v>
      </c>
      <c r="D21" s="21">
        <v>45</v>
      </c>
      <c r="E21" s="21">
        <v>45</v>
      </c>
      <c r="F21" s="21">
        <v>45</v>
      </c>
      <c r="G21" s="21">
        <v>45</v>
      </c>
      <c r="H21" s="21">
        <v>45</v>
      </c>
      <c r="I21" s="21">
        <v>45</v>
      </c>
      <c r="J21" s="21">
        <v>45</v>
      </c>
      <c r="K21" s="21">
        <v>45</v>
      </c>
      <c r="L21" s="21">
        <v>45</v>
      </c>
      <c r="M21" s="21"/>
      <c r="N21" s="21"/>
      <c r="O21" s="21">
        <f>SUM(tbl_витрати[[#This Row],[СІЧ]:[ГРУ]])</f>
        <v>450</v>
      </c>
      <c r="P21" s="15"/>
    </row>
    <row r="22" spans="1:16" ht="21" customHeight="1" x14ac:dyDescent="0.2">
      <c r="A22" s="1"/>
      <c r="B22" s="12" t="s">
        <v>3</v>
      </c>
      <c r="C22" s="21">
        <v>155</v>
      </c>
      <c r="D22" s="21">
        <v>155</v>
      </c>
      <c r="E22" s="21">
        <v>158</v>
      </c>
      <c r="F22" s="21">
        <v>160</v>
      </c>
      <c r="G22" s="21">
        <v>165</v>
      </c>
      <c r="H22" s="21">
        <v>200</v>
      </c>
      <c r="I22" s="21">
        <v>340</v>
      </c>
      <c r="J22" s="21">
        <v>350</v>
      </c>
      <c r="K22" s="21">
        <v>240</v>
      </c>
      <c r="L22" s="21">
        <v>180</v>
      </c>
      <c r="M22" s="21"/>
      <c r="N22" s="21"/>
      <c r="O22" s="21">
        <f>SUM(tbl_витрати[[#This Row],[СІЧ]:[ГРУ]])</f>
        <v>2103</v>
      </c>
      <c r="P22" s="15"/>
    </row>
    <row r="23" spans="1:16" ht="21" customHeight="1" x14ac:dyDescent="0.2">
      <c r="A23" s="1"/>
      <c r="B23" s="12" t="s">
        <v>4</v>
      </c>
      <c r="C23" s="21">
        <v>35</v>
      </c>
      <c r="D23" s="21">
        <v>35</v>
      </c>
      <c r="E23" s="21">
        <v>37</v>
      </c>
      <c r="F23" s="21">
        <v>39</v>
      </c>
      <c r="G23" s="21">
        <v>45</v>
      </c>
      <c r="H23" s="21">
        <v>42</v>
      </c>
      <c r="I23" s="21">
        <v>42</v>
      </c>
      <c r="J23" s="21">
        <v>36</v>
      </c>
      <c r="K23" s="21">
        <v>38</v>
      </c>
      <c r="L23" s="21">
        <v>40</v>
      </c>
      <c r="M23" s="21"/>
      <c r="N23" s="21"/>
      <c r="O23" s="21">
        <f>SUM(tbl_витрати[[#This Row],[СІЧ]:[ГРУ]])</f>
        <v>389</v>
      </c>
      <c r="P23" s="15"/>
    </row>
    <row r="24" spans="1:16" ht="21" customHeight="1" x14ac:dyDescent="0.2">
      <c r="A24" s="1"/>
      <c r="B24" s="12" t="s">
        <v>5</v>
      </c>
      <c r="C24" s="21">
        <v>50</v>
      </c>
      <c r="D24" s="21">
        <v>45</v>
      </c>
      <c r="E24" s="21">
        <v>40</v>
      </c>
      <c r="F24" s="21">
        <v>40</v>
      </c>
      <c r="G24" s="21">
        <v>42</v>
      </c>
      <c r="H24" s="21">
        <v>50</v>
      </c>
      <c r="I24" s="21">
        <v>55</v>
      </c>
      <c r="J24" s="21">
        <v>40</v>
      </c>
      <c r="K24" s="21">
        <v>43</v>
      </c>
      <c r="L24" s="21">
        <v>30</v>
      </c>
      <c r="M24" s="21"/>
      <c r="N24" s="21"/>
      <c r="O24" s="21">
        <f>SUM(tbl_витрати[[#This Row],[СІЧ]:[ГРУ]])</f>
        <v>435</v>
      </c>
      <c r="P24" s="15"/>
    </row>
    <row r="25" spans="1:16" ht="21" customHeight="1" x14ac:dyDescent="0.2">
      <c r="A25" s="1"/>
      <c r="B25" s="12" t="s">
        <v>9</v>
      </c>
      <c r="C25" s="21">
        <v>123</v>
      </c>
      <c r="D25" s="21">
        <v>92</v>
      </c>
      <c r="E25" s="21">
        <v>58</v>
      </c>
      <c r="F25" s="21">
        <v>131</v>
      </c>
      <c r="G25" s="21">
        <v>46</v>
      </c>
      <c r="H25" s="21">
        <v>105</v>
      </c>
      <c r="I25" s="21">
        <v>84</v>
      </c>
      <c r="J25" s="21">
        <v>108</v>
      </c>
      <c r="K25" s="21">
        <v>132</v>
      </c>
      <c r="L25" s="21">
        <v>136</v>
      </c>
      <c r="M25" s="21"/>
      <c r="N25" s="21"/>
      <c r="O25" s="21">
        <f>SUM(tbl_витрати[[#This Row],[СІЧ]:[ГРУ]])</f>
        <v>1015</v>
      </c>
      <c r="P25" s="15"/>
    </row>
    <row r="26" spans="1:16" customFormat="1" ht="21" customHeight="1" x14ac:dyDescent="0.2">
      <c r="B26" s="12" t="s">
        <v>6</v>
      </c>
      <c r="C26" s="21">
        <v>550</v>
      </c>
      <c r="D26" s="21">
        <v>550</v>
      </c>
      <c r="E26" s="21">
        <v>550</v>
      </c>
      <c r="F26" s="21">
        <v>550</v>
      </c>
      <c r="G26" s="21">
        <v>550</v>
      </c>
      <c r="H26" s="21">
        <v>550</v>
      </c>
      <c r="I26" s="21">
        <v>550</v>
      </c>
      <c r="J26" s="21">
        <v>550</v>
      </c>
      <c r="K26" s="21">
        <v>550</v>
      </c>
      <c r="L26" s="21">
        <v>550</v>
      </c>
      <c r="M26" s="21"/>
      <c r="N26" s="21"/>
      <c r="O26" s="21">
        <f>SUM(tbl_витрати[[#This Row],[СІЧ]:[ГРУ]])</f>
        <v>5500</v>
      </c>
      <c r="P26" s="15"/>
    </row>
    <row r="27" spans="1:16" ht="21" customHeight="1" x14ac:dyDescent="0.2">
      <c r="A27" s="1"/>
      <c r="B27" s="12" t="s">
        <v>17</v>
      </c>
      <c r="C27" s="21">
        <v>200</v>
      </c>
      <c r="D27" s="21">
        <v>225</v>
      </c>
      <c r="E27" s="21">
        <v>300</v>
      </c>
      <c r="F27" s="21">
        <v>200</v>
      </c>
      <c r="G27" s="21">
        <v>200</v>
      </c>
      <c r="H27" s="21">
        <v>200</v>
      </c>
      <c r="I27" s="21">
        <v>250</v>
      </c>
      <c r="J27" s="21">
        <v>325</v>
      </c>
      <c r="K27" s="21">
        <v>200</v>
      </c>
      <c r="L27" s="21">
        <v>200</v>
      </c>
      <c r="M27" s="21"/>
      <c r="N27" s="21"/>
      <c r="O27" s="21">
        <f>SUM(tbl_витрати[[#This Row],[СІЧ]:[ГРУ]])</f>
        <v>2300</v>
      </c>
      <c r="P27" s="15"/>
    </row>
    <row r="28" spans="1:16" ht="21" customHeight="1" x14ac:dyDescent="0.2">
      <c r="B28" s="19" t="s">
        <v>35</v>
      </c>
      <c r="C28" s="21">
        <f>SUBTOTAL(109,tbl_витрати[СІЧ])</f>
        <v>3555</v>
      </c>
      <c r="D28" s="21">
        <f>SUBTOTAL(109,tbl_витрати[ЛЮТ])</f>
        <v>3626</v>
      </c>
      <c r="E28" s="21">
        <f>SUBTOTAL(109,tbl_витрати[БЕР])</f>
        <v>3647</v>
      </c>
      <c r="F28" s="21">
        <f>SUBTOTAL(109,tbl_витрати[КВІ])</f>
        <v>3643</v>
      </c>
      <c r="G28" s="21">
        <f>SUBTOTAL(109,tbl_витрати[ТРА])</f>
        <v>3572</v>
      </c>
      <c r="H28" s="21">
        <f>SUBTOTAL(109,tbl_витрати[ЧЕР])</f>
        <v>3660</v>
      </c>
      <c r="I28" s="21">
        <f>SUBTOTAL(109,tbl_витрати[ЛИП])</f>
        <v>3872</v>
      </c>
      <c r="J28" s="21">
        <f>SUBTOTAL(109,tbl_витрати[СЕР])</f>
        <v>3827</v>
      </c>
      <c r="K28" s="21">
        <f>SUBTOTAL(109,tbl_витрати[ВЕР])</f>
        <v>3659</v>
      </c>
      <c r="L28" s="21">
        <f>SUBTOTAL(109,tbl_витрати[ЖОВ])</f>
        <v>3648</v>
      </c>
      <c r="M28" s="21">
        <f>SUBTOTAL(109,tbl_витрати[ЛИС])</f>
        <v>0</v>
      </c>
      <c r="N28" s="21">
        <f>SUBTOTAL(109,tbl_витрати[ГРУ])</f>
        <v>0</v>
      </c>
      <c r="O28" s="21">
        <f>SUBTOTAL(109,tbl_витрати[УСЬОГО З ПОЧАТКУ РОКУ])</f>
        <v>36709</v>
      </c>
      <c r="P28" s="20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Сторінка &amp;P із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'Родинний бюджет'!C28:N28</xm:f>
              <xm:sqref>P28</xm:sqref>
            </x14:sparkline>
            <x14:sparkline>
              <xm:f>'Родинний бюджет'!C5:N5</xm:f>
              <xm:sqref>P5</xm:sqref>
            </x14:sparkline>
            <x14:sparkline>
              <xm:f>'Родинний бюджет'!C11:N11</xm:f>
              <xm:sqref>P11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'Родинний бюджет'!C14:N14</xm:f>
              <xm:sqref>P14</xm:sqref>
            </x14:sparkline>
            <x14:sparkline>
              <xm:f>'Родинний бюджет'!C15:N15</xm:f>
              <xm:sqref>P15</xm:sqref>
            </x14:sparkline>
            <x14:sparkline>
              <xm:f>'Родинний бюджет'!C16:N16</xm:f>
              <xm:sqref>P16</xm:sqref>
            </x14:sparkline>
            <x14:sparkline>
              <xm:f>'Родинний бюджет'!C17:N17</xm:f>
              <xm:sqref>P17</xm:sqref>
            </x14:sparkline>
            <x14:sparkline>
              <xm:f>'Родинний бюджет'!C18:N18</xm:f>
              <xm:sqref>P18</xm:sqref>
            </x14:sparkline>
            <x14:sparkline>
              <xm:f>'Родинний бюджет'!C19:N19</xm:f>
              <xm:sqref>P19</xm:sqref>
            </x14:sparkline>
            <x14:sparkline>
              <xm:f>'Родинний бюджет'!C20:N20</xm:f>
              <xm:sqref>P20</xm:sqref>
            </x14:sparkline>
            <x14:sparkline>
              <xm:f>'Родинний бюджет'!C21:N21</xm:f>
              <xm:sqref>P21</xm:sqref>
            </x14:sparkline>
            <x14:sparkline>
              <xm:f>'Родинний бюджет'!C22:N22</xm:f>
              <xm:sqref>P22</xm:sqref>
            </x14:sparkline>
            <x14:sparkline>
              <xm:f>'Родинний бюджет'!C23:N23</xm:f>
              <xm:sqref>P23</xm:sqref>
            </x14:sparkline>
            <x14:sparkline>
              <xm:f>'Родинний бюджет'!C24:N24</xm:f>
              <xm:sqref>P24</xm:sqref>
            </x14:sparkline>
            <x14:sparkline>
              <xm:f>'Родинний бюджет'!C25:N25</xm:f>
              <xm:sqref>P25</xm:sqref>
            </x14:sparkline>
            <x14:sparkline>
              <xm:f>'Родинний бюджет'!C26:N26</xm:f>
              <xm:sqref>P26</xm:sqref>
            </x14:sparkline>
            <x14:sparkline>
              <xm:f>'Родинний бюджет'!C27:N27</xm:f>
              <xm:sqref>P27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'Родинний бюджет'!C8:N8</xm:f>
              <xm:sqref>P8</xm:sqref>
            </x14:sparkline>
            <x14:sparkline>
              <xm:f>'Родинний бюджет'!C9:N9</xm:f>
              <xm:sqref>P9</xm:sqref>
            </x14:sparkline>
            <x14:sparkline>
              <xm:f>'Родинний бюджет'!C10:N10</xm:f>
              <xm:sqref>P10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845871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2012-06-28T22:26:37+00:00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217768</Value>
    </PublishStatusLookup>
    <APAuthor xmlns="360401dd-760e-448c-b001-b4002b6d12d2">
      <UserInfo>
        <DisplayName/>
        <AccountId>2566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 xsi:nil="true"/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false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TP102929965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A545892-A457-4E78-8012-569A5CC429D8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Родинний бюджет</vt:lpstr>
      <vt:lpstr>Бюджетний_рік</vt:lpstr>
      <vt:lpstr>'Родинний бюджет'!Друк_заголовки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2012-09-10T07:46:59Z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