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UKR\Desktop\12\"/>
    </mc:Choice>
  </mc:AlternateContent>
  <bookViews>
    <workbookView xWindow="0" yWindow="60" windowWidth="19440" windowHeight="14175"/>
  </bookViews>
  <sheets>
    <sheet name="Введення даних" sheetId="1" r:id="rId1"/>
    <sheet name="Звіт про продажі" sheetId="2" r:id="rId2"/>
    <sheet name="Прогноз рівня продажів" sheetId="5" r:id="rId3"/>
  </sheets>
  <definedNames>
    <definedName name="fДата">'Прогноз рівня продажів'!$D$3</definedName>
    <definedName name="fДень">'Прогноз рівня продажів'!$H$2</definedName>
    <definedName name="fМісяць">'Прогноз рівня продажів'!$G$2</definedName>
    <definedName name="fРік">'Прогноз рівня продажів'!$I$2</definedName>
    <definedName name="Дата_прогнозу">'Прогноз рівня продажів'!$D$3</definedName>
    <definedName name="Друк_заголовки" localSheetId="1">'Звіт про продажі'!$B:$E,'Звіт про продажі'!$5:$5</definedName>
    <definedName name="_xlnm.Print_Area" localSheetId="2">'Прогноз рівня продажів'!$B$2:$J$43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I6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K6" i="1" l="1"/>
  <c r="O6" i="1"/>
  <c r="N6" i="1"/>
  <c r="L6" i="1"/>
  <c r="J6" i="1"/>
  <c r="Q6" i="1" s="1"/>
  <c r="H6" i="1"/>
  <c r="M6" i="1" s="1"/>
  <c r="P6" i="1" s="1"/>
  <c r="K10" i="1"/>
  <c r="N10" i="1"/>
  <c r="L10" i="1"/>
  <c r="J10" i="1"/>
  <c r="H10" i="1"/>
  <c r="I10" i="1" s="1"/>
  <c r="M10" i="1" s="1"/>
  <c r="K14" i="1"/>
  <c r="N14" i="1"/>
  <c r="L14" i="1"/>
  <c r="J14" i="1"/>
  <c r="H14" i="1"/>
  <c r="I14" i="1" s="1"/>
  <c r="K18" i="1"/>
  <c r="N18" i="1"/>
  <c r="L18" i="1"/>
  <c r="J18" i="1"/>
  <c r="H18" i="1"/>
  <c r="I18" i="1" s="1"/>
  <c r="M18" i="1" s="1"/>
  <c r="K22" i="1"/>
  <c r="N22" i="1"/>
  <c r="L22" i="1"/>
  <c r="J22" i="1"/>
  <c r="H22" i="1"/>
  <c r="I22" i="1" s="1"/>
  <c r="M22" i="1" s="1"/>
  <c r="K7" i="1"/>
  <c r="O7" i="1" s="1"/>
  <c r="N7" i="1"/>
  <c r="H7" i="1"/>
  <c r="I7" i="1" s="1"/>
  <c r="L7" i="1"/>
  <c r="J7" i="1"/>
  <c r="K11" i="1"/>
  <c r="N11" i="1"/>
  <c r="H11" i="1"/>
  <c r="I11" i="1" s="1"/>
  <c r="M11" i="1" s="1"/>
  <c r="L11" i="1"/>
  <c r="J11" i="1"/>
  <c r="K15" i="1"/>
  <c r="N15" i="1"/>
  <c r="H15" i="1"/>
  <c r="I15" i="1" s="1"/>
  <c r="L15" i="1"/>
  <c r="J15" i="1"/>
  <c r="K19" i="1"/>
  <c r="N19" i="1"/>
  <c r="H19" i="1"/>
  <c r="I19" i="1" s="1"/>
  <c r="L19" i="1"/>
  <c r="J19" i="1"/>
  <c r="K23" i="1"/>
  <c r="N23" i="1"/>
  <c r="H23" i="1"/>
  <c r="I23" i="1" s="1"/>
  <c r="L23" i="1"/>
  <c r="J23" i="1"/>
  <c r="K8" i="1"/>
  <c r="O20" i="1" s="1"/>
  <c r="N8" i="1"/>
  <c r="H8" i="1"/>
  <c r="I8" i="1" s="1"/>
  <c r="M8" i="1" s="1"/>
  <c r="L8" i="1"/>
  <c r="J8" i="1"/>
  <c r="K12" i="1"/>
  <c r="N12" i="1"/>
  <c r="H12" i="1"/>
  <c r="I12" i="1" s="1"/>
  <c r="M12" i="1" s="1"/>
  <c r="L12" i="1"/>
  <c r="J12" i="1"/>
  <c r="K16" i="1"/>
  <c r="N16" i="1"/>
  <c r="H16" i="1"/>
  <c r="I16" i="1" s="1"/>
  <c r="L16" i="1"/>
  <c r="J16" i="1"/>
  <c r="K20" i="1"/>
  <c r="N20" i="1"/>
  <c r="H20" i="1"/>
  <c r="I20" i="1" s="1"/>
  <c r="M20" i="1" s="1"/>
  <c r="L20" i="1"/>
  <c r="J20" i="1"/>
  <c r="K24" i="1"/>
  <c r="N24" i="1"/>
  <c r="H24" i="1"/>
  <c r="I24" i="1" s="1"/>
  <c r="M24" i="1" s="1"/>
  <c r="L24" i="1"/>
  <c r="J24" i="1"/>
  <c r="K9" i="1"/>
  <c r="N9" i="1"/>
  <c r="L9" i="1"/>
  <c r="J9" i="1"/>
  <c r="H9" i="1"/>
  <c r="I9" i="1" s="1"/>
  <c r="M9" i="1" s="1"/>
  <c r="K13" i="1"/>
  <c r="O13" i="1"/>
  <c r="N13" i="1"/>
  <c r="L13" i="1"/>
  <c r="J13" i="1"/>
  <c r="H13" i="1"/>
  <c r="I13" i="1" s="1"/>
  <c r="M16" i="1" s="1"/>
  <c r="K17" i="1"/>
  <c r="N17" i="1"/>
  <c r="M17" i="1"/>
  <c r="L17" i="1"/>
  <c r="J17" i="1"/>
  <c r="H17" i="1"/>
  <c r="I17" i="1" s="1"/>
  <c r="K21" i="1"/>
  <c r="N21" i="1"/>
  <c r="L21" i="1"/>
  <c r="J21" i="1"/>
  <c r="H21" i="1"/>
  <c r="I21" i="1" s="1"/>
  <c r="D3" i="5"/>
  <c r="C8" i="5" s="1"/>
  <c r="Q16" i="1" l="1"/>
  <c r="M23" i="1"/>
  <c r="M15" i="1"/>
  <c r="Q21" i="1"/>
  <c r="M21" i="1"/>
  <c r="Q12" i="1"/>
  <c r="O12" i="1"/>
  <c r="O8" i="1"/>
  <c r="O19" i="1"/>
  <c r="Q15" i="1"/>
  <c r="O11" i="1"/>
  <c r="O22" i="1"/>
  <c r="Q14" i="1"/>
  <c r="M14" i="1"/>
  <c r="Q7" i="1"/>
  <c r="O17" i="1"/>
  <c r="Q13" i="1"/>
  <c r="M13" i="1"/>
  <c r="Q20" i="1"/>
  <c r="M19" i="1"/>
  <c r="M7" i="1"/>
  <c r="P7" i="1" s="1"/>
  <c r="Q22" i="1"/>
  <c r="O14" i="1"/>
  <c r="Q9" i="1"/>
  <c r="Q19" i="1"/>
  <c r="Q18" i="1"/>
  <c r="O18" i="1"/>
  <c r="O10" i="1"/>
  <c r="O21" i="1"/>
  <c r="O16" i="1"/>
  <c r="Q23" i="1"/>
  <c r="Q17" i="1"/>
  <c r="O9" i="1"/>
  <c r="Q24" i="1"/>
  <c r="O24" i="1"/>
  <c r="Q8" i="1"/>
  <c r="O23" i="1"/>
  <c r="O15" i="1"/>
  <c r="Q11" i="1"/>
  <c r="Q10" i="1"/>
  <c r="I14" i="5"/>
  <c r="P21" i="1" l="1"/>
  <c r="P9" i="1"/>
  <c r="P10" i="1"/>
  <c r="P19" i="1"/>
  <c r="P17" i="1"/>
  <c r="P22" i="1"/>
  <c r="P12" i="1"/>
  <c r="P15" i="1"/>
  <c r="P18" i="1"/>
  <c r="P11" i="1"/>
  <c r="P16" i="1"/>
  <c r="P13" i="1"/>
  <c r="P14" i="1"/>
  <c r="P23" i="1"/>
  <c r="P20" i="1"/>
  <c r="P24" i="1"/>
  <c r="P8" i="1"/>
  <c r="D14" i="5"/>
  <c r="F14" i="5"/>
  <c r="G10" i="5"/>
  <c r="C10" i="5"/>
  <c r="H8" i="5"/>
  <c r="G7" i="5"/>
  <c r="H7" i="5"/>
  <c r="C7" i="5"/>
  <c r="G6" i="5"/>
  <c r="G8" i="5"/>
  <c r="D7" i="5"/>
  <c r="D8" i="5"/>
  <c r="C6" i="5"/>
  <c r="J7" i="5" l="1"/>
  <c r="G9" i="5"/>
  <c r="H9" i="5"/>
  <c r="J8" i="5"/>
  <c r="G11" i="5"/>
  <c r="I8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<sst xmlns="http://schemas.openxmlformats.org/spreadsheetml/2006/main" count="94" uniqueCount="57">
  <si>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Корпорація «Datum»</t>
  </si>
  <si>
    <t>Фармацевтична компанія «Здоровенькі були»</t>
  </si>
  <si>
    <t>Служба кур’єрської доставки «Швидко»</t>
  </si>
  <si>
    <t>ТОВ «Райдуга»</t>
  </si>
  <si>
    <t>Школа образотворчого мистецтва</t>
  </si>
  <si>
    <t>Науково-дослідна компанія «Трійця»</t>
  </si>
  <si>
    <t>Загальний підсумок</t>
  </si>
  <si>
    <t>%</t>
  </si>
  <si>
    <t>Кількість</t>
  </si>
  <si>
    <t>Прибутки</t>
  </si>
  <si>
    <t>Маржа</t>
  </si>
  <si>
    <t>Кількість замовлень</t>
  </si>
  <si>
    <t>Середнє значення замовлення</t>
  </si>
  <si>
    <t>Продажі</t>
  </si>
  <si>
    <t>З поч. року, %</t>
  </si>
  <si>
    <r>
      <rPr>
        <sz val="22"/>
        <color theme="3"/>
        <rFont val="Arial Black"/>
        <family val="2"/>
        <scheme val="major"/>
      </rPr>
      <t xml:space="preserve">ЗА МІСЯЦЬ </t>
    </r>
    <r>
      <rPr>
        <sz val="22"/>
        <color theme="4"/>
        <rFont val="Arial"/>
        <family val="2"/>
        <scheme val="minor"/>
      </rPr>
      <t>ВВЕДЕННЯ ДАНИХ</t>
    </r>
  </si>
  <si>
    <t>МІСЯЦЬ</t>
  </si>
  <si>
    <t>КВАРТАЛ</t>
  </si>
  <si>
    <t>ЗА МІСЯЦЬ</t>
  </si>
  <si>
    <t xml:space="preserve">ЗА РІК </t>
  </si>
  <si>
    <t>РІК</t>
  </si>
  <si>
    <t xml:space="preserve">КВАРТАЛ  </t>
  </si>
  <si>
    <t xml:space="preserve">РІК  </t>
  </si>
  <si>
    <t>ДАТА</t>
  </si>
  <si>
    <t>КОМПАНІЯ</t>
  </si>
  <si>
    <t>СУМА</t>
  </si>
  <si>
    <t>ЗАПЛАНОВАНО</t>
  </si>
  <si>
    <t>ВАРТІСТЬ</t>
  </si>
  <si>
    <t>ПРИБУТОК</t>
  </si>
  <si>
    <t>ПРОГНОЗ</t>
  </si>
  <si>
    <t>ПІДСУМКИ</t>
  </si>
  <si>
    <r>
      <rPr>
        <sz val="22"/>
        <color theme="3"/>
        <rFont val="Arial Black"/>
        <family val="2"/>
        <scheme val="major"/>
      </rPr>
      <t xml:space="preserve">ЗА МІСЯЦЬ </t>
    </r>
    <r>
      <rPr>
        <sz val="22"/>
        <color theme="4"/>
        <rFont val="Arial"/>
        <family val="2"/>
        <scheme val="minor"/>
      </rPr>
      <t>ПРОГНОЗИ ПРОДАЖІВ</t>
    </r>
  </si>
  <si>
    <t>ЦЕЙ МІСЯЦЬ</t>
  </si>
  <si>
    <t>ФАКТИЧНО</t>
  </si>
  <si>
    <t>ПЛАН</t>
  </si>
  <si>
    <t>РІЗНИЦЯ</t>
  </si>
  <si>
    <t>ФАКТИЧНО З ПОЧАТКУ РОКУ</t>
  </si>
  <si>
    <t>ПЛАН ІЗ ПОЧАТКУ РОКУ</t>
  </si>
  <si>
    <t>РІЗНИЦЯ З ПОЧАТКУ РОКУ</t>
  </si>
  <si>
    <t>НАСТУПНИЙ МІСЯЦЬ</t>
  </si>
  <si>
    <t>НАСТУПНИЙ КВАРТАЛ</t>
  </si>
  <si>
    <t>НАСТУПНИЙ РІК</t>
  </si>
  <si>
    <t>ЖУРНАЛ ПРОДАЖІВ</t>
  </si>
  <si>
    <t>ПРОГНОЗ НА РІК</t>
  </si>
  <si>
    <t>ПОТІК ПРИБУТКІВ</t>
  </si>
  <si>
    <t>ПРОГНОЗ НА МІСЯЦЬ</t>
  </si>
  <si>
    <t>ПРОГНОЗ НА КВАРТАЛ</t>
  </si>
  <si>
    <r>
      <rPr>
        <sz val="22"/>
        <color theme="3"/>
        <rFont val="Arial Black"/>
        <family val="2"/>
        <scheme val="major"/>
      </rPr>
      <t xml:space="preserve">ЗА МІСЯЦЬ </t>
    </r>
    <r>
      <rPr>
        <sz val="22"/>
        <color theme="4"/>
        <rFont val="Arial"/>
        <family val="2"/>
        <scheme val="minor"/>
      </rPr>
      <t>ЗВІТ ПРО РІВНІ ПРОДАЖІВ</t>
    </r>
  </si>
  <si>
    <t xml:space="preserve"> </t>
  </si>
  <si>
    <t>КВАРТАЛ2</t>
  </si>
  <si>
    <t>МІСЯЦЬ3</t>
  </si>
  <si>
    <t>РІК  4</t>
  </si>
  <si>
    <t>2013 Підсумок</t>
  </si>
  <si>
    <t>Квартал 2 Підсумок</t>
  </si>
  <si>
    <t>Квартал 3 Підсумок</t>
  </si>
  <si>
    <t>Квартал 4 Підсумок</t>
  </si>
  <si>
    <t>ЗАГАЛЬНИЙ ОБСЯГ ЗБУТУ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</si>
</sst>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&quot;$&quot;#,##0.00"/>
    <numFmt numFmtId="165" formatCode="mmmm"/>
    <numFmt numFmtId="166" formatCode="#,##0.00&quot;₴&quot;"/>
    <numFmt numFmtId="167" formatCode="&quot;Квартал &quot;0"/>
  </numFmts>
  <fonts count="15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5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164" fontId="7" fillId="0" borderId="4" xfId="4" applyNumberFormat="1" applyFill="1" applyBorder="1" applyAlignment="1">
      <alignment horizontal="left" vertical="center"/>
    </xf>
    <xf numFmtId="164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4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6" fontId="0" fillId="0" borderId="0" xfId="0" applyNumberFormat="1">
      <alignment vertical="center"/>
    </xf>
    <xf numFmtId="166" fontId="10" fillId="0" borderId="0" xfId="0" applyNumberFormat="1" applyFont="1" applyFill="1" applyBorder="1" applyAlignment="1">
      <alignment horizontal="left" vertical="center"/>
    </xf>
    <xf numFmtId="166" fontId="3" fillId="4" borderId="0" xfId="0" applyNumberFormat="1" applyFont="1" applyFill="1" applyBorder="1" applyAlignment="1">
      <alignment horizontal="left" vertical="center"/>
    </xf>
    <xf numFmtId="166" fontId="3" fillId="3" borderId="0" xfId="0" applyNumberFormat="1" applyFont="1" applyFill="1" applyBorder="1" applyAlignment="1">
      <alignment horizontal="left" vertical="center"/>
    </xf>
    <xf numFmtId="166" fontId="9" fillId="5" borderId="1" xfId="0" applyNumberFormat="1" applyFont="1" applyFill="1" applyBorder="1" applyAlignment="1">
      <alignment horizontal="left" vertical="center" indent="1"/>
    </xf>
    <xf numFmtId="11" fontId="9" fillId="5" borderId="1" xfId="0" applyNumberFormat="1" applyFont="1" applyFill="1" applyBorder="1" applyAlignment="1">
      <alignment horizontal="left" vertical="center" indent="1"/>
    </xf>
    <xf numFmtId="11" fontId="9" fillId="5" borderId="1" xfId="0" applyNumberFormat="1" applyFont="1" applyFill="1" applyBorder="1" applyAlignment="1">
      <alignment horizontal="right" vertical="center"/>
    </xf>
    <xf numFmtId="167" fontId="3" fillId="5" borderId="0" xfId="0" applyNumberFormat="1" applyFont="1" applyFill="1" applyBorder="1" applyAlignment="1">
      <alignment horizontal="left" vertical="center"/>
    </xf>
    <xf numFmtId="0" fontId="0" fillId="0" borderId="0" xfId="0" applyNumberFormat="1">
      <alignment vertical="center"/>
    </xf>
    <xf numFmtId="167" fontId="0" fillId="0" borderId="0" xfId="0" applyNumberFormat="1">
      <alignment vertical="center"/>
    </xf>
    <xf numFmtId="165" fontId="0" fillId="0" borderId="0" xfId="0" applyNumberFormat="1">
      <alignment vertical="center"/>
    </xf>
    <xf numFmtId="166" fontId="3" fillId="5" borderId="0" xfId="0" applyNumberFormat="1" applyFont="1" applyFill="1" applyBorder="1" applyAlignment="1">
      <alignment horizontal="left" vertical="center"/>
    </xf>
    <xf numFmtId="166" fontId="11" fillId="0" borderId="3" xfId="0" applyNumberFormat="1" applyFont="1" applyBorder="1" applyAlignment="1">
      <alignment horizontal="left"/>
    </xf>
    <xf numFmtId="166" fontId="11" fillId="0" borderId="3" xfId="0" applyNumberFormat="1" applyFont="1" applyBorder="1" applyAlignment="1">
      <alignment horizontal="left" vertical="center"/>
    </xf>
    <xf numFmtId="166" fontId="10" fillId="0" borderId="0" xfId="0" applyNumberFormat="1" applyFont="1">
      <alignment vertical="center"/>
    </xf>
    <xf numFmtId="0" fontId="10" fillId="0" borderId="0" xfId="0" applyFont="1">
      <alignment vertical="center"/>
    </xf>
  </cellXfs>
  <cellStyles count="5">
    <cellStyle name="Заголовок 1" xfId="2" builtinId="16" customBuiltin="1"/>
    <cellStyle name="Заголовок 2" xfId="3" builtinId="17" customBuiltin="1"/>
    <cellStyle name="Заголовок 4" xfId="4" builtinId="19" customBuiltin="1"/>
    <cellStyle name="Звичайний" xfId="0" builtinId="0" customBuiltin="1"/>
    <cellStyle name="Фінансовий" xfId="1" builtinId="3"/>
  </cellStyles>
  <dxfs count="41">
    <dxf>
      <numFmt numFmtId="166" formatCode="#,##0.00&quot;₴&quot;"/>
    </dxf>
    <dxf>
      <font>
        <b/>
      </font>
    </dxf>
    <dxf>
      <font>
        <b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font>
        <b/>
      </font>
    </dxf>
    <dxf>
      <numFmt numFmtId="166" formatCode="#,##0.00&quot;₴&quot;"/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Квартал &quot;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Квартал &quot;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Квартал &quot;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Квартал &quot;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Квартал &quot;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Квартал &quot;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0" formatCode="General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[$-422]d\ mmmm\ yyyy&quot; р.&quot;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5" formatCode="mmmm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6" formatCode="#,##0.00&quot;₴&quot;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Квартал &quot;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Квартал &quot;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Квартал &quot;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Квартал &quot;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40"/>
      <tableStyleElement type="headerRow" dxfId="39"/>
      <tableStyleElement type="totalRow" dxfId="38"/>
      <tableStyleElement type="secondSubtotalRow" dxfId="37"/>
      <tableStyleElement type="thirdSubtotalRow" dxfId="36"/>
      <tableStyleElement type="firstRowSubheading" dxfId="35"/>
      <tableStyleElement type="secondRowSubheading" dxfId="34"/>
      <tableStyleElement type="thirdRowSubheading" dxfId="33"/>
    </tableStyle>
    <tableStyle name="Monthly Sales Report Table Style" pivot="0" count="2">
      <tableStyleElement type="wholeTable" dxfId="32"/>
      <tableStyleElement type="header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'Введення даних'!$D$5</c:f>
              <c:strCache>
                <c:ptCount val="1"/>
                <c:pt idx="0">
                  <c:v>СУМА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'Введення даних'!$B$6:$B$24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'Введення даних'!$D$6:$D$24</c:f>
              <c:numCache>
                <c:formatCode>#\ ##0.00"₴"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'Введення даних'!$E$5</c:f>
              <c:strCache>
                <c:ptCount val="1"/>
                <c:pt idx="0">
                  <c:v>ЗАПЛАНОВАНО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'Введення даних'!$B$6:$B$24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'Введення даних'!$E$6:$E$24</c:f>
              <c:numCache>
                <c:formatCode>#\ ##0.00"₴"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'Введення даних'!$F$5</c:f>
              <c:strCache>
                <c:ptCount val="1"/>
                <c:pt idx="0">
                  <c:v>ВАРТІСТЬ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'Введення даних'!$B$6:$B$24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'Введення даних'!$F$6:$F$24</c:f>
              <c:numCache>
                <c:formatCode>#\ ##0.00"₴"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'Введення даних'!$G$5</c:f>
              <c:strCache>
                <c:ptCount val="1"/>
                <c:pt idx="0">
                  <c:v>ПРИБУТОК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'Введення даних'!$B$6:$B$24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'Введення даних'!$G$6:$G$24</c:f>
              <c:numCache>
                <c:formatCode>#\ ##0.00"₴"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390136"/>
        <c:axId val="166390520"/>
      </c:lineChart>
      <c:dateAx>
        <c:axId val="166390136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uk-UA"/>
          </a:p>
        </c:txPr>
        <c:crossAx val="166390520"/>
        <c:crosses val="autoZero"/>
        <c:auto val="1"/>
        <c:lblOffset val="100"/>
        <c:baseTimeUnit val="days"/>
        <c:majorUnit val="1"/>
        <c:majorTimeUnit val="months"/>
      </c:dateAx>
      <c:valAx>
        <c:axId val="16639052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&quot;₴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uk-UA"/>
          </a:p>
        </c:txPr>
        <c:crossAx val="166390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'Введення даних'!$O$5</c:f>
              <c:strCache>
                <c:ptCount val="1"/>
                <c:pt idx="0">
                  <c:v>КВАРТАЛ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'Введення даних'!$B$6:$B$24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'Введення даних'!$O$6:$O$24</c:f>
              <c:numCache>
                <c:formatCode>#\ ##0.00"₴"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341656"/>
        <c:axId val="175673856"/>
      </c:lineChart>
      <c:dateAx>
        <c:axId val="16634165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5673856"/>
        <c:crosses val="autoZero"/>
        <c:auto val="1"/>
        <c:lblOffset val="100"/>
        <c:baseTimeUnit val="days"/>
        <c:majorUnit val="1"/>
      </c:dateAx>
      <c:valAx>
        <c:axId val="17567385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&quot;₴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uk-UA"/>
          </a:p>
        </c:txPr>
        <c:crossAx val="1663416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'Введення даних'!$P$5</c:f>
              <c:strCache>
                <c:ptCount val="1"/>
                <c:pt idx="0">
                  <c:v>РІК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'Введення даних'!$B$6:$B$24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'Введення даних'!$P$6:$P$24</c:f>
              <c:numCache>
                <c:formatCode>#\ ##0.00"₴"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10944"/>
        <c:axId val="175719520"/>
      </c:lineChart>
      <c:dateAx>
        <c:axId val="17571094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5719520"/>
        <c:crosses val="autoZero"/>
        <c:auto val="1"/>
        <c:lblOffset val="100"/>
        <c:baseTimeUnit val="days"/>
        <c:majorUnit val="1"/>
      </c:dateAx>
      <c:valAx>
        <c:axId val="17571952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&quot;₴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uk-UA"/>
          </a:p>
        </c:txPr>
        <c:crossAx val="1757109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'Введення даних'!$Q$5</c:f>
              <c:strCache>
                <c:ptCount val="1"/>
                <c:pt idx="0">
                  <c:v>РІК  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'Введення даних'!$B$6:$B$24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'Введення даних'!$Q$6:$Q$24</c:f>
              <c:numCache>
                <c:formatCode>#\ ##0.00"₴"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44632"/>
        <c:axId val="175649112"/>
      </c:lineChart>
      <c:dateAx>
        <c:axId val="17564463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5649112"/>
        <c:crosses val="autoZero"/>
        <c:auto val="1"/>
        <c:lblOffset val="100"/>
        <c:baseTimeUnit val="days"/>
        <c:majorUnit val="1"/>
      </c:dateAx>
      <c:valAx>
        <c:axId val="1756491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&quot;₴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uk-UA"/>
          </a:p>
        </c:txPr>
        <c:crossAx val="1756446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'Введення даних'!$G$5</c:f>
              <c:strCache>
                <c:ptCount val="1"/>
                <c:pt idx="0">
                  <c:v>ПРИБУТОК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'Введення даних'!$B$6:$B$24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'Введення даних'!$G$6:$G$24</c:f>
              <c:numCache>
                <c:formatCode>#\ ##0.00"₴"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50600"/>
        <c:axId val="175651888"/>
      </c:lineChart>
      <c:dateAx>
        <c:axId val="17565060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5651888"/>
        <c:crosses val="autoZero"/>
        <c:auto val="1"/>
        <c:lblOffset val="100"/>
        <c:baseTimeUnit val="days"/>
        <c:majorUnit val="1"/>
      </c:dateAx>
      <c:valAx>
        <c:axId val="17565188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&quot;₴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uk-UA"/>
          </a:p>
        </c:txPr>
        <c:crossAx val="1756506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8;&#1086;&#1075;&#1085;&#1086;&#1079; &#1088;&#1110;&#1074;&#1085;&#1103; &#1087;&#1088;&#1086;&#1076;&#1072;&#1078;&#1110;&#1074;'!A1"/><Relationship Id="rId1" Type="http://schemas.openxmlformats.org/officeDocument/2006/relationships/hyperlink" Target="#'&#1047;&#1074;&#1110;&#1090; &#1087;&#1088;&#1086; &#1087;&#1088;&#1086;&#1076;&#1072;&#1078;&#1110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8;&#1086;&#1075;&#1085;&#1086;&#1079; &#1088;&#1110;&#1074;&#1085;&#1103; &#1087;&#1088;&#1086;&#1076;&#1072;&#1078;&#1110;&#1074;'!A1"/><Relationship Id="rId1" Type="http://schemas.openxmlformats.org/officeDocument/2006/relationships/hyperlink" Target="#'&#1042;&#1074;&#1077;&#1076;&#1077;&#1085;&#1085;&#1103; &#1076;&#1072;&#1085;&#1080;&#1093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&#1047;&#1074;&#1110;&#1090; &#1087;&#1088;&#1086; &#1087;&#1088;&#1086;&#1076;&#1072;&#1078;&#1110;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&#1042;&#1074;&#1077;&#1076;&#1077;&#1085;&#1085;&#1103; &#1076;&#1072;&#1085;&#1080;&#1093;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Звіт про продаж" descr="Click to view Sales Report sheet." title="Sales Report navigation button">
          <a:hlinkClick xmlns:r="http://schemas.openxmlformats.org/officeDocument/2006/relationships" r:id="rId1" tooltip="Клацніть, щоб переглянути аркуш Звіт про продаж."/>
        </xdr:cNvPr>
        <xdr:cNvSpPr/>
      </xdr:nvSpPr>
      <xdr:spPr>
        <a:xfrm>
          <a:off x="4857750" y="228600"/>
          <a:ext cx="1201675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z-Cyrl-AZ" sz="1000">
              <a:solidFill>
                <a:schemeClr val="bg1"/>
              </a:solidFill>
              <a:latin typeface="+mn-lt"/>
            </a:rPr>
            <a:t>Звіт про продаж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Прогноз збуту" descr="Click to view Sales Forecast sheet." title="Sales Forecast navigation button">
          <a:hlinkClick xmlns:r="http://schemas.openxmlformats.org/officeDocument/2006/relationships" r:id="rId2" tooltip="Клацніть, щоб переглянути аркуш Прогноз збуту."/>
        </xdr:cNvPr>
        <xdr:cNvSpPr/>
      </xdr:nvSpPr>
      <xdr:spPr>
        <a:xfrm>
          <a:off x="5848350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z-Cyrl-AZ" sz="1000">
              <a:solidFill>
                <a:schemeClr val="bg1"/>
              </a:solidFill>
            </a:rPr>
            <a:t>Прогноз збуту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</xdr:row>
      <xdr:rowOff>85725</xdr:rowOff>
    </xdr:from>
    <xdr:to>
      <xdr:col>6</xdr:col>
      <xdr:colOff>440401</xdr:colOff>
      <xdr:row>1</xdr:row>
      <xdr:rowOff>314325</xdr:rowOff>
    </xdr:to>
    <xdr:sp macro="" textlink="">
      <xdr:nvSpPr>
        <xdr:cNvPr id="7" name="Звіт про продаж" descr="Click to view Data Entry sheet." title="Data Entry navigation button">
          <a:hlinkClick xmlns:r="http://schemas.openxmlformats.org/officeDocument/2006/relationships" r:id="rId1" tooltip="Клацніть, щоб переглянути аркуш Введення даних."/>
        </xdr:cNvPr>
        <xdr:cNvSpPr/>
      </xdr:nvSpPr>
      <xdr:spPr>
        <a:xfrm>
          <a:off x="6076950" y="228600"/>
          <a:ext cx="1240501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z-Cyrl-AZ" sz="1000">
              <a:solidFill>
                <a:schemeClr val="bg1"/>
              </a:solidFill>
              <a:latin typeface="+mn-lt"/>
            </a:rPr>
            <a:t>Введення даних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6</xdr:col>
      <xdr:colOff>504825</xdr:colOff>
      <xdr:row>1</xdr:row>
      <xdr:rowOff>85725</xdr:rowOff>
    </xdr:from>
    <xdr:to>
      <xdr:col>9</xdr:col>
      <xdr:colOff>123825</xdr:colOff>
      <xdr:row>1</xdr:row>
      <xdr:rowOff>314326</xdr:rowOff>
    </xdr:to>
    <xdr:sp macro="" textlink="">
      <xdr:nvSpPr>
        <xdr:cNvPr id="8" name="Прогноз збуту" descr="Click to view Sales Forecast sheet." title="Sales Forecast navigation button">
          <a:hlinkClick xmlns:r="http://schemas.openxmlformats.org/officeDocument/2006/relationships" r:id="rId2" tooltip="Клацніть, щоб переглянути аркуш Прогноз збуту."/>
        </xdr:cNvPr>
        <xdr:cNvSpPr/>
      </xdr:nvSpPr>
      <xdr:spPr>
        <a:xfrm>
          <a:off x="7839075" y="228600"/>
          <a:ext cx="1219200" cy="22860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z-Cyrl-AZ" sz="1000">
              <a:solidFill>
                <a:schemeClr val="bg1"/>
              </a:solidFill>
            </a:rPr>
            <a:t>Прогноз збуту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28</xdr:row>
      <xdr:rowOff>0</xdr:rowOff>
    </xdr:to>
    <xdr:graphicFrame macro="">
      <xdr:nvGraphicFramePr>
        <xdr:cNvPr id="4" name="Історія збуту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Прогноз на місяць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223838</xdr:colOff>
      <xdr:row>30</xdr:row>
      <xdr:rowOff>19050</xdr:rowOff>
    </xdr:from>
    <xdr:to>
      <xdr:col>9</xdr:col>
      <xdr:colOff>900112</xdr:colOff>
      <xdr:row>35</xdr:row>
      <xdr:rowOff>102444</xdr:rowOff>
    </xdr:to>
    <xdr:graphicFrame macro="">
      <xdr:nvGraphicFramePr>
        <xdr:cNvPr id="6" name="Прогноз на квартал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Прогноз на рік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Потік прибутків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10" name="Звіт про продаж" descr="Click to view Data Entry sheet." title="Data Entry navigation button">
          <a:hlinkClick xmlns:r="http://schemas.openxmlformats.org/officeDocument/2006/relationships" r:id="rId6" tooltip="Клацніть, щоб переглянути аркуш Введення даних."/>
        </xdr:cNvPr>
        <xdr:cNvSpPr/>
      </xdr:nvSpPr>
      <xdr:spPr>
        <a:xfrm>
          <a:off x="4676775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z-Cyrl-AZ" sz="1000">
              <a:solidFill>
                <a:schemeClr val="bg1"/>
              </a:solidFill>
              <a:latin typeface="+mn-lt"/>
            </a:rPr>
            <a:t>Введення даних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6</xdr:col>
      <xdr:colOff>752475</xdr:colOff>
      <xdr:row>1</xdr:row>
      <xdr:rowOff>85726</xdr:rowOff>
    </xdr:from>
    <xdr:to>
      <xdr:col>8</xdr:col>
      <xdr:colOff>212979</xdr:colOff>
      <xdr:row>1</xdr:row>
      <xdr:rowOff>314326</xdr:rowOff>
    </xdr:to>
    <xdr:sp macro="" textlink="">
      <xdr:nvSpPr>
        <xdr:cNvPr id="11" name="Прогноз збуту" descr="Click to view Sales Report sheet." title="Sales Report navigation button">
          <a:hlinkClick xmlns:r="http://schemas.openxmlformats.org/officeDocument/2006/relationships" r:id="rId7" tooltip="Клацніть, щоб переглянути аркуш Звіт про продаж.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z-Cyrl-AZ" sz="1000">
              <a:solidFill>
                <a:schemeClr val="bg1"/>
              </a:solidFill>
            </a:rPr>
            <a:t>Звіт про продаж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ристувач Windows" refreshedDate="41211.587951851849" createdVersion="5" refreshedVersion="5" minRefreshableVersion="3" recordCount="19">
  <cacheSource type="worksheet">
    <worksheetSource name="tblДані"/>
  </cacheSource>
  <cacheFields count="16">
    <cacheField name="ДАТА" numFmtId="14">
      <sharedItems containsSemiMixedTypes="0" containsNonDate="0" containsDate="1" containsString="0" minDate="2013-04-23T00:00:00" maxDate="2013-12-12T00:00:00"/>
    </cacheField>
    <cacheField name="КОМПАНІЯ" numFmtId="0">
      <sharedItems count="6">
        <s v="Корпорація «Datum»"/>
        <s v="Фармацевтична компанія «Здоровенькі були»"/>
        <s v="Служба кур’єрської доставки «Швидко»"/>
        <s v="ТОВ «Райдуга»"/>
        <s v="Школа образотворчого мистецтва"/>
        <s v="Науково-дослідна компанія «Трійця»"/>
      </sharedItems>
    </cacheField>
    <cacheField name="СУМА" numFmtId="166">
      <sharedItems containsSemiMixedTypes="0" containsString="0" containsNumber="1" containsInteger="1" minValue="4400" maxValue="9500"/>
    </cacheField>
    <cacheField name="ЗАПЛАНОВАНО" numFmtId="166">
      <sharedItems containsSemiMixedTypes="0" containsString="0" containsNumber="1" containsInteger="1" minValue="4200" maxValue="10000"/>
    </cacheField>
    <cacheField name="ВАРТІСТЬ" numFmtId="166">
      <sharedItems containsSemiMixedTypes="0" containsString="0" containsNumber="1" containsInteger="1" minValue="2600" maxValue="8500"/>
    </cacheField>
    <cacheField name="ПРИБУТОК" numFmtId="166">
      <sharedItems containsSemiMixedTypes="0" containsString="0" containsNumber="1" containsInteger="1" minValue="900" maxValue="1950"/>
    </cacheField>
    <cacheField name="МІСЯЦЬ" numFmtId="165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КВАРТАЛ" numFmtId="167">
      <sharedItems containsSemiMixedTypes="0" containsString="0" containsNumber="1" containsInteger="1" minValue="2" maxValue="4" count="3">
        <n v="2"/>
        <n v="3"/>
        <n v="4"/>
      </sharedItems>
    </cacheField>
    <cacheField name="РІК" numFmtId="0">
      <sharedItems containsSemiMixedTypes="0" containsString="0" containsNumber="1" containsInteger="1" minValue="2013" maxValue="2013" count="1">
        <n v="2013"/>
      </sharedItems>
    </cacheField>
    <cacheField name="ЗА МІСЯЦЬ" numFmtId="0">
      <sharedItems containsSemiMixedTypes="0" containsString="0" containsNumber="1" containsInteger="1" minValue="4" maxValue="12"/>
    </cacheField>
    <cacheField name="КВАРТАЛ2" numFmtId="166">
      <sharedItems containsSemiMixedTypes="0" containsString="0" containsNumber="1" containsInteger="1" minValue="8700" maxValue="25600"/>
    </cacheField>
    <cacheField name="ЗА РІК " numFmtId="166">
      <sharedItems containsSemiMixedTypes="0" containsString="0" containsNumber="1" containsInteger="1" minValue="43900" maxValue="50800"/>
    </cacheField>
    <cacheField name="МІСЯЦЬ3" numFmtId="166">
      <sharedItems containsSemiMixedTypes="0" containsString="0" containsNumber="1" containsInteger="1" minValue="143800" maxValue="143800"/>
    </cacheField>
    <cacheField name="КВАРТАЛ  " numFmtId="166">
      <sharedItems containsSemiMixedTypes="0" containsString="0" containsNumber="1" minValue="10776.470588235294" maxValue="29000"/>
    </cacheField>
    <cacheField name="РІК  " numFmtId="166">
      <sharedItems containsSemiMixedTypes="0" containsString="0" containsNumber="1" minValue="41288.23529411765" maxValue="50800"/>
    </cacheField>
    <cacheField name="РІК  4" numFmtId="166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ЗведенаТаблиця1" cacheId="6" applyNumberFormats="0" applyBorderFormats="0" applyFontFormats="0" applyPatternFormats="0" applyAlignmentFormats="0" applyWidthHeightFormats="1" dataCaption="Значення" updatedVersion="5" minRefreshableVersion="3" showDrill="0" useAutoFormatting="1" itemPrintTitles="1" createdVersion="5" indent="0" compact="0" compactData="0" multipleFieldFilters="0">
  <location ref="B5:F28" firstHeaderRow="1" firstDataRow="1" firstDataCol="4"/>
  <pivotFields count="16">
    <pivotField compact="0" numFmtId="14" outline="0" showAll="0"/>
    <pivotField axis="axisRow" compact="0" outline="0" showAll="0">
      <items count="7">
        <item x="0"/>
        <item x="5"/>
        <item x="2"/>
        <item x="3"/>
        <item x="1"/>
        <item x="4"/>
        <item t="default"/>
      </items>
    </pivotField>
    <pivotField dataField="1" compact="0" numFmtId="166" outline="0" showAll="0"/>
    <pivotField compact="0" numFmtId="166" outline="0" showAll="0"/>
    <pivotField compact="0" numFmtId="166" outline="0" showAll="0"/>
    <pivotField compact="0" numFmtId="164" outline="0" showAll="0"/>
    <pivotField axis="axisRow" compact="0" numFmtId="165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7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numFmtId="166" outline="0" showAll="0"/>
    <pivotField compact="0" numFmtId="166" outline="0" showAll="0"/>
    <pivotField compact="0" numFmtId="166" outline="0" showAll="0"/>
    <pivotField compact="0" numFmtId="166" outline="0" showAll="0"/>
    <pivotField compact="0" numFmtId="166" outline="0" showAll="0"/>
    <pivotField compact="0" numFmtId="166" outline="0" showAll="0"/>
  </pivotFields>
  <rowFields count="4">
    <field x="8"/>
    <field x="7"/>
    <field x="6"/>
    <field x="1"/>
  </rowFields>
  <rowItems count="23">
    <i>
      <x/>
      <x/>
      <x/>
      <x/>
    </i>
    <i r="3">
      <x v="4"/>
    </i>
    <i r="2">
      <x v="1"/>
      <x v="1"/>
    </i>
    <i r="3">
      <x v="2"/>
    </i>
    <i r="3">
      <x v="3"/>
    </i>
    <i r="3">
      <x v="5"/>
    </i>
    <i r="2">
      <x v="2"/>
      <x/>
    </i>
    <i r="3">
      <x v="4"/>
    </i>
    <i t="default" r="1">
      <x/>
    </i>
    <i r="1">
      <x v="1"/>
      <x v="3"/>
      <x v="2"/>
    </i>
    <i r="2">
      <x v="4"/>
      <x v="3"/>
    </i>
    <i r="3">
      <x v="5"/>
    </i>
    <i r="2">
      <x v="5"/>
      <x v="1"/>
    </i>
    <i r="3">
      <x v="2"/>
    </i>
    <i r="3">
      <x v="4"/>
    </i>
    <i t="default" r="1">
      <x v="1"/>
    </i>
    <i r="1">
      <x v="2"/>
      <x v="6"/>
      <x v="3"/>
    </i>
    <i r="2">
      <x v="7"/>
      <x v="1"/>
    </i>
    <i r="3">
      <x v="5"/>
    </i>
    <i r="2">
      <x v="8"/>
      <x v="4"/>
    </i>
    <i t="default" r="1">
      <x v="2"/>
    </i>
    <i t="default">
      <x/>
    </i>
    <i t="grand">
      <x/>
    </i>
  </rowItems>
  <colItems count="1">
    <i/>
  </colItems>
  <dataFields count="1">
    <dataField name="ЗАГАЛЬНИЙ ОБСЯГ ЗБУТУ" fld="2" baseField="1" baseItem="0" numFmtId="166"/>
  </dataFields>
  <formats count="3">
    <format dxfId="8">
      <pivotArea outline="0" collapsedLevelsAreSubtotals="1" fieldPosition="0"/>
    </format>
    <format dxfId="7">
      <pivotArea outline="0" collapsedLevelsAreSubtotals="1" fieldPosition="0">
        <references count="1">
          <reference field="8" count="0" selected="0" defaultSubtotal="1"/>
        </references>
      </pivotArea>
    </format>
    <format dxfId="6">
      <pivotArea dataOnly="0" labelOnly="1" fieldPosition="0">
        <references count="1">
          <reference field="8" count="0" defaultSubtotal="1"/>
        </references>
      </pivotArea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Дані" displayName="tblДані" ref="B5:Q24" totalsRowShown="0" headerRowDxfId="30" dataDxfId="29">
  <autoFilter ref="B5:Q24"/>
  <tableColumns count="16">
    <tableColumn id="1" name="ДАТА" dataDxfId="28"/>
    <tableColumn id="2" name="КОМПАНІЯ" dataDxfId="27"/>
    <tableColumn id="3" name="СУМА" dataDxfId="26"/>
    <tableColumn id="4" name="ЗАПЛАНОВАНО" dataDxfId="25"/>
    <tableColumn id="5" name="ВАРТІСТЬ" dataDxfId="24"/>
    <tableColumn id="16" name="ПРИБУТОК" dataDxfId="23">
      <calculatedColumnFormula>tblДані[[#This Row],[СУМА]]-tblДані[[#This Row],[ВАРТІСТЬ]]</calculatedColumnFormula>
    </tableColumn>
    <tableColumn id="6" name="МІСЯЦЬ" dataDxfId="22">
      <calculatedColumnFormula>DATE(YEAR('Введення даних'!$B6),MONTH('Введення даних'!$B6),1)</calculatedColumnFormula>
    </tableColumn>
    <tableColumn id="7" name="КВАРТАЛ" dataDxfId="21">
      <calculatedColumnFormula>LOOKUP(MONTH('Введення даних'!$H6),{1,1;2,1;3,1;4,2;5,2;6,2;7,3;8,3;9,3;10,4;11,4;12,4})</calculatedColumnFormula>
    </tableColumn>
    <tableColumn id="8" name="РІК" dataDxfId="20">
      <calculatedColumnFormula>YEAR('Введення даних'!$B6)</calculatedColumnFormula>
    </tableColumn>
    <tableColumn id="12" name="ЗА МІСЯЦЬ" dataDxfId="19">
      <calculatedColumnFormula>MONTH(tblДані[[#This Row],[ДАТА]])</calculatedColumnFormula>
    </tableColumn>
    <tableColumn id="9" name="КВАРТАЛ2" dataDxfId="18">
      <calculatedColumnFormula>SUMIFS(tblДані[СУМА],tblДані[ДАТА],"&gt;="&amp;EOMONTH(tblДані[[#This Row],[ДАТА]],-1)+1,tblДані[ДАТА],"&lt;="&amp;EOMONTH(tblДані[[#This Row],[ДАТА]],0))</calculatedColumnFormula>
    </tableColumn>
    <tableColumn id="10" name="ЗА РІК " dataDxfId="17">
      <calculatedColumnFormula>SUMIFS(tblДані[СУМА],tblДані[ДАТА],"&gt;="&amp;DATE(YEAR(tblДані[[#This Row],[ДАТА]]),1,1),tblДані[ДАТА],"&lt;="&amp;DATE(YEAR(tblДані[[#This Row],[ДАТА]]),12,31),tblДані[КВАРТАЛ],tblДані[[#This Row],[КВАРТАЛ]])</calculatedColumnFormula>
    </tableColumn>
    <tableColumn id="11" name="МІСЯЦЬ3" dataDxfId="16">
      <calculatedColumnFormula>SUMIFS(tblДані[СУМА],tblДані[ДАТА],"&gt;="&amp;DATE(YEAR(tblДані[[#This Row],[ДАТА]]),1,1),tblДані[ДАТА],"&lt;="&amp;DATE(YEAR(tblДані[[#This Row],[ДАТА]]),12,31))</calculatedColumnFormula>
    </tableColumn>
    <tableColumn id="13" name="КВАРТАЛ  " dataDxfId="15">
      <calculatedColumnFormula>IFERROR(TREND($L$6:INDEX($L:$L,ROW(),1),$K$6:INDEX($K:$K,ROW(),1),IF(MONTH(tblДані[[#This Row],[ДАТА]])=12,13,MONTH(tblДані[[#This Row],[ДАТА]])+1)),"")</calculatedColumnFormula>
    </tableColumn>
    <tableColumn id="14" name="РІК  " dataDxfId="14">
      <calculatedColumnFormula>IFERROR(TREND($M$6:INDEX($M:$M,ROW(),1),$I$6:INDEX($I:$I,ROW(),1),IF(tblДані[[#This Row],[ЗА РІК ]]=4,5,tblДані[КВАРТАЛ]+1)),"")</calculatedColumnFormula>
    </tableColumn>
    <tableColumn id="15" name="РІК  4" dataDxfId="13">
      <calculatedColumnFormula>IFERROR(TREND($N$6:INDEX($N:$N,ROW(),1),$J$6:INDEX($J:$J,ROW(),1),tblДані[[#This Row],[РІК]]+1),"")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Таблиця введення даних за місяць" altTextSummary="Відображено дані за місяць у стовпцях «Дата», «Компанія», «Сума», «Заплановано», «Вартість», «Прибуток», «За місяць», «За квартал», «За рік». Поточні й прогнозовані дані буде обчислено автоматично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2.1640625" style="3" customWidth="1"/>
    <col min="3" max="3" width="45.33203125" style="3" bestFit="1" customWidth="1"/>
    <col min="4" max="4" width="15.6640625" style="3" customWidth="1"/>
    <col min="5" max="5" width="20.83203125" style="3" customWidth="1"/>
    <col min="6" max="6" width="16" style="3" customWidth="1"/>
    <col min="7" max="7" width="18" style="3" customWidth="1"/>
    <col min="8" max="8" width="14.33203125" style="3" customWidth="1"/>
    <col min="9" max="9" width="17.5" style="3" customWidth="1"/>
    <col min="10" max="10" width="15.83203125" style="3" customWidth="1"/>
    <col min="11" max="11" width="29.5" style="3" hidden="1" customWidth="1"/>
    <col min="12" max="12" width="19.83203125" style="3" customWidth="1"/>
    <col min="13" max="13" width="16.33203125" style="3" customWidth="1"/>
    <col min="14" max="14" width="13.832031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15</v>
      </c>
    </row>
    <row r="3" spans="2:17" customFormat="1" ht="17.25" customHeight="1" x14ac:dyDescent="0.2">
      <c r="I3" s="53"/>
      <c r="L3" s="22" t="s">
        <v>30</v>
      </c>
      <c r="M3" s="6"/>
      <c r="N3" s="6"/>
      <c r="O3" s="22" t="s">
        <v>29</v>
      </c>
      <c r="P3" s="6"/>
      <c r="Q3" s="6"/>
    </row>
    <row r="4" spans="2:17" customFormat="1" ht="11.25" customHeight="1" x14ac:dyDescent="0.2">
      <c r="L4" s="23"/>
      <c r="M4" s="24"/>
      <c r="N4" s="25"/>
      <c r="O4" s="23"/>
      <c r="P4" s="24"/>
      <c r="Q4" s="25"/>
    </row>
    <row r="5" spans="2:17" ht="17.25" customHeight="1" x14ac:dyDescent="0.2">
      <c r="B5" s="42" t="s">
        <v>23</v>
      </c>
      <c r="C5" s="42" t="s">
        <v>24</v>
      </c>
      <c r="D5" s="34" t="s">
        <v>25</v>
      </c>
      <c r="E5" s="34" t="s">
        <v>26</v>
      </c>
      <c r="F5" s="34" t="s">
        <v>27</v>
      </c>
      <c r="G5" s="34" t="s">
        <v>28</v>
      </c>
      <c r="H5" s="34" t="s">
        <v>16</v>
      </c>
      <c r="I5" s="34" t="s">
        <v>17</v>
      </c>
      <c r="J5" s="34" t="s">
        <v>20</v>
      </c>
      <c r="K5" s="34" t="s">
        <v>18</v>
      </c>
      <c r="L5" s="34" t="s">
        <v>49</v>
      </c>
      <c r="M5" s="34" t="s">
        <v>19</v>
      </c>
      <c r="N5" s="34" t="s">
        <v>50</v>
      </c>
      <c r="O5" s="34" t="s">
        <v>21</v>
      </c>
      <c r="P5" s="34" t="s">
        <v>22</v>
      </c>
      <c r="Q5" s="34" t="s">
        <v>51</v>
      </c>
    </row>
    <row r="6" spans="2:17" ht="17.25" customHeight="1" x14ac:dyDescent="0.2">
      <c r="B6" s="43">
        <f>40657+(365*2)</f>
        <v>41387</v>
      </c>
      <c r="C6" s="4" t="s">
        <v>0</v>
      </c>
      <c r="D6" s="46">
        <v>6400</v>
      </c>
      <c r="E6" s="46">
        <v>6200</v>
      </c>
      <c r="F6" s="46">
        <v>4450</v>
      </c>
      <c r="G6" s="56">
        <f>tblДані[[#This Row],[СУМА]]-tblДані[[#This Row],[ВАРТІСТЬ]]</f>
        <v>1950</v>
      </c>
      <c r="H6" s="5">
        <f>DATE(YEAR('Введення даних'!$B6),MONTH('Введення даних'!$B6),1)</f>
        <v>41365</v>
      </c>
      <c r="I6" s="52">
        <f>LOOKUP(MONTH('Введення даних'!$H6),{1,1;2,1;3,1;4,2;5,2;6,2;7,3;8,3;9,3;10,4;11,4;12,4})</f>
        <v>2</v>
      </c>
      <c r="J6" s="7">
        <f>YEAR('Введення даних'!$B6)</f>
        <v>2013</v>
      </c>
      <c r="K6" s="8">
        <f>MONTH(tblДані[[#This Row],[ДАТА]])</f>
        <v>4</v>
      </c>
      <c r="L6" s="47">
        <f>SUMIFS(tblДані[СУМА],tblДані[ДАТА],"&gt;="&amp;EOMONTH(tblДані[[#This Row],[ДАТА]],-1)+1,tblДані[ДАТА],"&lt;="&amp;EOMONTH(tblДані[[#This Row],[ДАТА]],0))</f>
        <v>14600</v>
      </c>
      <c r="M6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50800</v>
      </c>
      <c r="N6" s="47">
        <f>SUMIFS(tblДані[СУМА],tblДані[ДАТА],"&gt;="&amp;DATE(YEAR(tblДані[[#This Row],[ДАТА]]),1,1),tblДані[ДАТА],"&lt;="&amp;DATE(YEAR(tblДані[[#This Row],[ДАТА]]),12,31))</f>
        <v>143800</v>
      </c>
      <c r="O6" s="48">
        <f>IFERROR(TREND($L$6:INDEX($L:$L,ROW(),1),$K$6:INDEX($K:$K,ROW(),1),IF(MONTH(tblДані[[#This Row],[ДАТА]])=12,13,MONTH(tblДані[[#This Row],[ДАТА]])+1)),"")</f>
        <v>14600</v>
      </c>
      <c r="P6" s="48">
        <f>IFERROR(TREND($M$6:INDEX($M:$M,ROW(),1),$I$6:INDEX($I:$I,ROW(),1),IF(tblДані[[#This Row],[ЗА РІК ]]=4,5,tblДані[КВАРТАЛ]+1)),"")</f>
        <v>50800</v>
      </c>
      <c r="Q6" s="48">
        <f>IFERROR(TREND($N$6:INDEX($N:$N,ROW(),1),$J$6:INDEX($J:$J,ROW(),1),tblДані[[#This Row],[РІК]]+1),"")</f>
        <v>143800</v>
      </c>
    </row>
    <row r="7" spans="2:17" ht="21" customHeight="1" x14ac:dyDescent="0.2">
      <c r="B7" s="43">
        <f>40659+(365*2)</f>
        <v>41389</v>
      </c>
      <c r="C7" s="4" t="s">
        <v>1</v>
      </c>
      <c r="D7" s="46">
        <v>8200</v>
      </c>
      <c r="E7" s="46">
        <v>8000</v>
      </c>
      <c r="F7" s="46">
        <v>6400</v>
      </c>
      <c r="G7" s="56">
        <f>tblДані[[#This Row],[СУМА]]-tblДані[[#This Row],[ВАРТІСТЬ]]</f>
        <v>1800</v>
      </c>
      <c r="H7" s="5">
        <f>DATE(YEAR('Введення даних'!$B7),MONTH('Введення даних'!$B7),1)</f>
        <v>41365</v>
      </c>
      <c r="I7" s="52">
        <f>LOOKUP(MONTH('Введення даних'!$H7),{1,1;2,1;3,1;4,2;5,2;6,2;7,3;8,3;9,3;10,4;11,4;12,4})</f>
        <v>2</v>
      </c>
      <c r="J7" s="7">
        <f>YEAR('Введення даних'!$B7)</f>
        <v>2013</v>
      </c>
      <c r="K7" s="8">
        <f>MONTH(tblДані[[#This Row],[ДАТА]])</f>
        <v>4</v>
      </c>
      <c r="L7" s="47">
        <f>SUMIFS(tblДані[СУМА],tblДані[ДАТА],"&gt;="&amp;EOMONTH(tblДані[[#This Row],[ДАТА]],-1)+1,tblДані[ДАТА],"&lt;="&amp;EOMONTH(tblДані[[#This Row],[ДАТА]],0))</f>
        <v>14600</v>
      </c>
      <c r="M7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50800</v>
      </c>
      <c r="N7" s="47">
        <f>SUMIFS(tblДані[СУМА],tblДані[ДАТА],"&gt;="&amp;DATE(YEAR(tblДані[[#This Row],[ДАТА]]),1,1),tblДані[ДАТА],"&lt;="&amp;DATE(YEAR(tblДані[[#This Row],[ДАТА]]),12,31))</f>
        <v>143800</v>
      </c>
      <c r="O7" s="48">
        <f>IFERROR(TREND($L$6:INDEX($L:$L,ROW(),1),$K$6:INDEX($K:$K,ROW(),1),IF(MONTH(tblДані[[#This Row],[ДАТА]])=12,13,MONTH(tblДані[[#This Row],[ДАТА]])+1)),"")</f>
        <v>14600</v>
      </c>
      <c r="P7" s="48">
        <f>IFERROR(TREND($M$6:INDEX($M:$M,ROW(),1),$I$6:INDEX($I:$I,ROW(),1),IF(tblДані[[#This Row],[ЗА РІК ]]=4,5,tblДані[КВАРТАЛ]+1)),"")</f>
        <v>50800</v>
      </c>
      <c r="Q7" s="48">
        <f>IFERROR(TREND($N$6:INDEX($N:$N,ROW(),1),$J$6:INDEX($J:$J,ROW(),1),tblДані[[#This Row],[РІК]]+1),"")</f>
        <v>143800</v>
      </c>
    </row>
    <row r="8" spans="2:17" ht="21" customHeight="1" x14ac:dyDescent="0.2">
      <c r="B8" s="43">
        <f>40671+(365*2)</f>
        <v>41401</v>
      </c>
      <c r="C8" s="4" t="s">
        <v>2</v>
      </c>
      <c r="D8" s="46">
        <v>4400</v>
      </c>
      <c r="E8" s="46">
        <v>4200</v>
      </c>
      <c r="F8" s="46">
        <v>2600</v>
      </c>
      <c r="G8" s="56">
        <f>tblДані[[#This Row],[СУМА]]-tblДані[[#This Row],[ВАРТІСТЬ]]</f>
        <v>1800</v>
      </c>
      <c r="H8" s="5">
        <f>DATE(YEAR('Введення даних'!$B8),MONTH('Введення даних'!$B8),1)</f>
        <v>41395</v>
      </c>
      <c r="I8" s="52">
        <f>LOOKUP(MONTH('Введення даних'!$H8),{1,1;2,1;3,1;4,2;5,2;6,2;7,3;8,3;9,3;10,4;11,4;12,4})</f>
        <v>2</v>
      </c>
      <c r="J8" s="7">
        <f>YEAR('Введення даних'!$B8)</f>
        <v>2013</v>
      </c>
      <c r="K8" s="8">
        <f>MONTH(tblДані[[#This Row],[ДАТА]])</f>
        <v>5</v>
      </c>
      <c r="L8" s="47">
        <f>SUMIFS(tblДані[СУМА],tblДані[ДАТА],"&gt;="&amp;EOMONTH(tblДані[[#This Row],[ДАТА]],-1)+1,tblДані[ДАТА],"&lt;="&amp;EOMONTH(tblДані[[#This Row],[ДАТА]],0))</f>
        <v>21800</v>
      </c>
      <c r="M8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50800</v>
      </c>
      <c r="N8" s="47">
        <f>SUMIFS(tblДані[СУМА],tblДані[ДАТА],"&gt;="&amp;DATE(YEAR(tblДані[[#This Row],[ДАТА]]),1,1),tblДані[ДАТА],"&lt;="&amp;DATE(YEAR(tblДані[[#This Row],[ДАТА]]),12,31))</f>
        <v>143800</v>
      </c>
      <c r="O8" s="48">
        <f>IFERROR(TREND($L$6:INDEX($L:$L,ROW(),1),$K$6:INDEX($K:$K,ROW(),1),IF(MONTH(tblДані[[#This Row],[ДАТА]])=12,13,MONTH(tblДані[[#This Row],[ДАТА]])+1)),"")</f>
        <v>28999.999999999996</v>
      </c>
      <c r="P8" s="48">
        <f>IFERROR(TREND($M$6:INDEX($M:$M,ROW(),1),$I$6:INDEX($I:$I,ROW(),1),IF(tblДані[[#This Row],[ЗА РІК ]]=4,5,tblДані[КВАРТАЛ]+1)),"")</f>
        <v>50800</v>
      </c>
      <c r="Q8" s="48">
        <f>IFERROR(TREND($N$6:INDEX($N:$N,ROW(),1),$J$6:INDEX($J:$J,ROW(),1),tblДані[[#This Row],[РІК]]+1),"")</f>
        <v>143800</v>
      </c>
    </row>
    <row r="9" spans="2:17" ht="17.25" customHeight="1" x14ac:dyDescent="0.2">
      <c r="B9" s="43">
        <f>40678+(365*2)</f>
        <v>41408</v>
      </c>
      <c r="C9" s="4" t="s">
        <v>3</v>
      </c>
      <c r="D9" s="46">
        <v>5400</v>
      </c>
      <c r="E9" s="46">
        <v>5500</v>
      </c>
      <c r="F9" s="46">
        <v>4500</v>
      </c>
      <c r="G9" s="56">
        <f>tblДані[[#This Row],[СУМА]]-tblДані[[#This Row],[ВАРТІСТЬ]]</f>
        <v>900</v>
      </c>
      <c r="H9" s="5">
        <f>DATE(YEAR('Введення даних'!$B9),MONTH('Введення даних'!$B9),1)</f>
        <v>41395</v>
      </c>
      <c r="I9" s="52">
        <f>LOOKUP(MONTH('Введення даних'!$H9),{1,1;2,1;3,1;4,2;5,2;6,2;7,3;8,3;9,3;10,4;11,4;12,4})</f>
        <v>2</v>
      </c>
      <c r="J9" s="7">
        <f>YEAR('Введення даних'!$B9)</f>
        <v>2013</v>
      </c>
      <c r="K9" s="8">
        <f>MONTH(tblДані[[#This Row],[ДАТА]])</f>
        <v>5</v>
      </c>
      <c r="L9" s="47">
        <f>SUMIFS(tblДані[СУМА],tblДані[ДАТА],"&gt;="&amp;EOMONTH(tblДані[[#This Row],[ДАТА]],-1)+1,tblДані[ДАТА],"&lt;="&amp;EOMONTH(tblДані[[#This Row],[ДАТА]],0))</f>
        <v>21800</v>
      </c>
      <c r="M9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50800</v>
      </c>
      <c r="N9" s="47">
        <f>SUMIFS(tblДані[СУМА],tblДані[ДАТА],"&gt;="&amp;DATE(YEAR(tblДані[[#This Row],[ДАТА]]),1,1),tblДані[ДАТА],"&lt;="&amp;DATE(YEAR(tblДані[[#This Row],[ДАТА]]),12,31))</f>
        <v>143800</v>
      </c>
      <c r="O9" s="48">
        <f>IFERROR(TREND($L$6:INDEX($L:$L,ROW(),1),$K$6:INDEX($K:$K,ROW(),1),IF(MONTH(tblДані[[#This Row],[ДАТА]])=12,13,MONTH(tblДані[[#This Row],[ДАТА]])+1)),"")</f>
        <v>29000</v>
      </c>
      <c r="P9" s="48">
        <f>IFERROR(TREND($M$6:INDEX($M:$M,ROW(),1),$I$6:INDEX($I:$I,ROW(),1),IF(tblДані[[#This Row],[ЗА РІК ]]=4,5,tblДані[КВАРТАЛ]+1)),"")</f>
        <v>50800</v>
      </c>
      <c r="Q9" s="48">
        <f>IFERROR(TREND($N$6:INDEX($N:$N,ROW(),1),$J$6:INDEX($J:$J,ROW(),1),tblДані[[#This Row],[РІК]]+1),"")</f>
        <v>143800</v>
      </c>
    </row>
    <row r="10" spans="2:17" ht="20.25" customHeight="1" x14ac:dyDescent="0.2">
      <c r="B10" s="43">
        <f>40678+(365*2)</f>
        <v>41408</v>
      </c>
      <c r="C10" s="4" t="s">
        <v>4</v>
      </c>
      <c r="D10" s="46">
        <v>5800</v>
      </c>
      <c r="E10" s="46">
        <v>6000</v>
      </c>
      <c r="F10" s="46">
        <v>4500</v>
      </c>
      <c r="G10" s="56">
        <f>tblДані[[#This Row],[СУМА]]-tblДані[[#This Row],[ВАРТІСТЬ]]</f>
        <v>1300</v>
      </c>
      <c r="H10" s="5">
        <f>DATE(YEAR('Введення даних'!$B10),MONTH('Введення даних'!$B10),1)</f>
        <v>41395</v>
      </c>
      <c r="I10" s="52">
        <f>LOOKUP(MONTH('Введення даних'!$H10),{1,1;2,1;3,1;4,2;5,2;6,2;7,3;8,3;9,3;10,4;11,4;12,4})</f>
        <v>2</v>
      </c>
      <c r="J10" s="7">
        <f>YEAR('Введення даних'!$B10)</f>
        <v>2013</v>
      </c>
      <c r="K10" s="8">
        <f>MONTH(tblДані[[#This Row],[ДАТА]])</f>
        <v>5</v>
      </c>
      <c r="L10" s="47">
        <f>SUMIFS(tblДані[СУМА],tblДані[ДАТА],"&gt;="&amp;EOMONTH(tblДані[[#This Row],[ДАТА]],-1)+1,tblДані[ДАТА],"&lt;="&amp;EOMONTH(tblДані[[#This Row],[ДАТА]],0))</f>
        <v>21800</v>
      </c>
      <c r="M10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50800</v>
      </c>
      <c r="N10" s="47">
        <f>SUMIFS(tblДані[СУМА],tblДані[ДАТА],"&gt;="&amp;DATE(YEAR(tblДані[[#This Row],[ДАТА]]),1,1),tblДані[ДАТА],"&lt;="&amp;DATE(YEAR(tblДані[[#This Row],[ДАТА]]),12,31))</f>
        <v>143800</v>
      </c>
      <c r="O10" s="48">
        <f>IFERROR(TREND($L$6:INDEX($L:$L,ROW(),1),$K$6:INDEX($K:$K,ROW(),1),IF(MONTH(tblДані[[#This Row],[ДАТА]])=12,13,MONTH(tblДані[[#This Row],[ДАТА]])+1)),"")</f>
        <v>29000</v>
      </c>
      <c r="P10" s="48">
        <f>IFERROR(TREND($M$6:INDEX($M:$M,ROW(),1),$I$6:INDEX($I:$I,ROW(),1),IF(tblДані[[#This Row],[ЗА РІК ]]=4,5,tblДані[КВАРТАЛ]+1)),"")</f>
        <v>50800</v>
      </c>
      <c r="Q10" s="48">
        <f>IFERROR(TREND($N$6:INDEX($N:$N,ROW(),1),$J$6:INDEX($J:$J,ROW(),1),tblДані[[#This Row],[РІК]]+1),"")</f>
        <v>143800</v>
      </c>
    </row>
    <row r="11" spans="2:17" ht="23.25" customHeight="1" x14ac:dyDescent="0.2">
      <c r="B11" s="43">
        <f>40693+(365*2)</f>
        <v>41423</v>
      </c>
      <c r="C11" s="4" t="s">
        <v>5</v>
      </c>
      <c r="D11" s="46">
        <v>6200</v>
      </c>
      <c r="E11" s="46">
        <v>6000</v>
      </c>
      <c r="F11" s="46">
        <v>4500</v>
      </c>
      <c r="G11" s="56">
        <f>tblДані[[#This Row],[СУМА]]-tblДані[[#This Row],[ВАРТІСТЬ]]</f>
        <v>1700</v>
      </c>
      <c r="H11" s="5">
        <f>DATE(YEAR('Введення даних'!$B11),MONTH('Введення даних'!$B11),1)</f>
        <v>41395</v>
      </c>
      <c r="I11" s="52">
        <f>LOOKUP(MONTH('Введення даних'!$H11),{1,1;2,1;3,1;4,2;5,2;6,2;7,3;8,3;9,3;10,4;11,4;12,4})</f>
        <v>2</v>
      </c>
      <c r="J11" s="7">
        <f>YEAR('Введення даних'!$B11)</f>
        <v>2013</v>
      </c>
      <c r="K11" s="8">
        <f>MONTH(tblДані[[#This Row],[ДАТА]])</f>
        <v>5</v>
      </c>
      <c r="L11" s="47">
        <f>SUMIFS(tblДані[СУМА],tblДані[ДАТА],"&gt;="&amp;EOMONTH(tblДані[[#This Row],[ДАТА]],-1)+1,tblДані[ДАТА],"&lt;="&amp;EOMONTH(tblДані[[#This Row],[ДАТА]],0))</f>
        <v>21800</v>
      </c>
      <c r="M11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50800</v>
      </c>
      <c r="N11" s="47">
        <f>SUMIFS(tblДані[СУМА],tblДані[ДАТА],"&gt;="&amp;DATE(YEAR(tblДані[[#This Row],[ДАТА]]),1,1),tblДані[ДАТА],"&lt;="&amp;DATE(YEAR(tblДані[[#This Row],[ДАТА]]),12,31))</f>
        <v>143800</v>
      </c>
      <c r="O11" s="48">
        <f>IFERROR(TREND($L$6:INDEX($L:$L,ROW(),1),$K$6:INDEX($K:$K,ROW(),1),IF(MONTH(tblДані[[#This Row],[ДАТА]])=12,13,MONTH(tblДані[[#This Row],[ДАТА]])+1)),"")</f>
        <v>29000</v>
      </c>
      <c r="P11" s="48">
        <f>IFERROR(TREND($M$6:INDEX($M:$M,ROW(),1),$I$6:INDEX($I:$I,ROW(),1),IF(tblДані[[#This Row],[ЗА РІК ]]=4,5,tblДані[КВАРТАЛ]+1)),"")</f>
        <v>50800</v>
      </c>
      <c r="Q11" s="48">
        <f>IFERROR(TREND($N$6:INDEX($N:$N,ROW(),1),$J$6:INDEX($J:$J,ROW(),1),tblДані[[#This Row],[РІК]]+1),"")</f>
        <v>143800</v>
      </c>
    </row>
    <row r="12" spans="2:17" ht="17.25" customHeight="1" x14ac:dyDescent="0.2">
      <c r="B12" s="43">
        <f>40705+(365*2)</f>
        <v>41435</v>
      </c>
      <c r="C12" s="4" t="s">
        <v>0</v>
      </c>
      <c r="D12" s="46">
        <v>6900</v>
      </c>
      <c r="E12" s="46">
        <v>7500</v>
      </c>
      <c r="F12" s="46">
        <v>5400</v>
      </c>
      <c r="G12" s="56">
        <f>tblДані[[#This Row],[СУМА]]-tblДані[[#This Row],[ВАРТІСТЬ]]</f>
        <v>1500</v>
      </c>
      <c r="H12" s="5">
        <f>DATE(YEAR('Введення даних'!$B12),MONTH('Введення даних'!$B12),1)</f>
        <v>41426</v>
      </c>
      <c r="I12" s="52">
        <f>LOOKUP(MONTH('Введення даних'!$H12),{1,1;2,1;3,1;4,2;5,2;6,2;7,3;8,3;9,3;10,4;11,4;12,4})</f>
        <v>2</v>
      </c>
      <c r="J12" s="7">
        <f>YEAR('Введення даних'!$B12)</f>
        <v>2013</v>
      </c>
      <c r="K12" s="8">
        <f>MONTH(tblДані[[#This Row],[ДАТА]])</f>
        <v>6</v>
      </c>
      <c r="L12" s="47">
        <f>SUMIFS(tblДані[СУМА],tblДані[ДАТА],"&gt;="&amp;EOMONTH(tblДані[[#This Row],[ДАТА]],-1)+1,tblДані[ДАТА],"&lt;="&amp;EOMONTH(tblДані[[#This Row],[ДАТА]],0))</f>
        <v>14400</v>
      </c>
      <c r="M12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50800</v>
      </c>
      <c r="N12" s="47">
        <f>SUMIFS(tblДані[СУМА],tblДані[ДАТА],"&gt;="&amp;DATE(YEAR(tblДані[[#This Row],[ДАТА]]),1,1),tblДані[ДАТА],"&lt;="&amp;DATE(YEAR(tblДані[[#This Row],[ДАТА]]),12,31))</f>
        <v>143800</v>
      </c>
      <c r="O12" s="48">
        <f>IFERROR(TREND($L$6:INDEX($L:$L,ROW(),1),$K$6:INDEX($K:$K,ROW(),1),IF(MONTH(tblДані[[#This Row],[ДАТА]])=12,13,MONTH(tblДані[[#This Row],[ДАТА]])+1)),"")</f>
        <v>21600.000000000004</v>
      </c>
      <c r="P12" s="48">
        <f>IFERROR(TREND($M$6:INDEX($M:$M,ROW(),1),$I$6:INDEX($I:$I,ROW(),1),IF(tblДані[[#This Row],[ЗА РІК ]]=4,5,tblДані[КВАРТАЛ]+1)),"")</f>
        <v>50800</v>
      </c>
      <c r="Q12" s="48">
        <f>IFERROR(TREND($N$6:INDEX($N:$N,ROW(),1),$J$6:INDEX($J:$J,ROW(),1),tblДані[[#This Row],[РІК]]+1),"")</f>
        <v>143800</v>
      </c>
    </row>
    <row r="13" spans="2:17" ht="21" customHeight="1" x14ac:dyDescent="0.2">
      <c r="B13" s="43">
        <f>40716+(365*2)</f>
        <v>41446</v>
      </c>
      <c r="C13" s="4" t="s">
        <v>1</v>
      </c>
      <c r="D13" s="46">
        <v>7500</v>
      </c>
      <c r="E13" s="46">
        <v>7200</v>
      </c>
      <c r="F13" s="46">
        <v>6500</v>
      </c>
      <c r="G13" s="56">
        <f>tblДані[[#This Row],[СУМА]]-tblДані[[#This Row],[ВАРТІСТЬ]]</f>
        <v>1000</v>
      </c>
      <c r="H13" s="5">
        <f>DATE(YEAR('Введення даних'!$B13),MONTH('Введення даних'!$B13),1)</f>
        <v>41426</v>
      </c>
      <c r="I13" s="52">
        <f>LOOKUP(MONTH('Введення даних'!$H13),{1,1;2,1;3,1;4,2;5,2;6,2;7,3;8,3;9,3;10,4;11,4;12,4})</f>
        <v>2</v>
      </c>
      <c r="J13" s="7">
        <f>YEAR('Введення даних'!$B13)</f>
        <v>2013</v>
      </c>
      <c r="K13" s="8">
        <f>MONTH(tblДані[[#This Row],[ДАТА]])</f>
        <v>6</v>
      </c>
      <c r="L13" s="47">
        <f>SUMIFS(tblДані[СУМА],tblДані[ДАТА],"&gt;="&amp;EOMONTH(tblДані[[#This Row],[ДАТА]],-1)+1,tblДані[ДАТА],"&lt;="&amp;EOMONTH(tblДані[[#This Row],[ДАТА]],0))</f>
        <v>14400</v>
      </c>
      <c r="M13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50800</v>
      </c>
      <c r="N13" s="47">
        <f>SUMIFS(tblДані[СУМА],tblДані[ДАТА],"&gt;="&amp;DATE(YEAR(tblДані[[#This Row],[ДАТА]]),1,1),tblДані[ДАТА],"&lt;="&amp;DATE(YEAR(tblДані[[#This Row],[ДАТА]]),12,31))</f>
        <v>143800</v>
      </c>
      <c r="O13" s="48">
        <f>IFERROR(TREND($L$6:INDEX($L:$L,ROW(),1),$K$6:INDEX($K:$K,ROW(),1),IF(MONTH(tblДані[[#This Row],[ДАТА]])=12,13,MONTH(tblДані[[#This Row],[ДАТА]])+1)),"")</f>
        <v>17950</v>
      </c>
      <c r="P13" s="48">
        <f>IFERROR(TREND($M$6:INDEX($M:$M,ROW(),1),$I$6:INDEX($I:$I,ROW(),1),IF(tblДані[[#This Row],[ЗА РІК ]]=4,5,tblДані[КВАРТАЛ]+1)),"")</f>
        <v>50800</v>
      </c>
      <c r="Q13" s="48">
        <f>IFERROR(TREND($N$6:INDEX($N:$N,ROW(),1),$J$6:INDEX($J:$J,ROW(),1),tblДані[[#This Row],[РІК]]+1),"")</f>
        <v>143800</v>
      </c>
    </row>
    <row r="14" spans="2:17" ht="22.5" customHeight="1" x14ac:dyDescent="0.2">
      <c r="B14" s="43">
        <f>40731+(365*2)</f>
        <v>41461</v>
      </c>
      <c r="C14" s="4" t="s">
        <v>2</v>
      </c>
      <c r="D14" s="46">
        <v>8700</v>
      </c>
      <c r="E14" s="46">
        <v>8500</v>
      </c>
      <c r="F14" s="46">
        <v>7250</v>
      </c>
      <c r="G14" s="56">
        <f>tblДані[[#This Row],[СУМА]]-tblДані[[#This Row],[ВАРТІСТЬ]]</f>
        <v>1450</v>
      </c>
      <c r="H14" s="5">
        <f>DATE(YEAR('Введення даних'!$B14),MONTH('Введення даних'!$B14),1)</f>
        <v>41456</v>
      </c>
      <c r="I14" s="52">
        <f>LOOKUP(MONTH('Введення даних'!$H14),{1,1;2,1;3,1;4,2;5,2;6,2;7,3;8,3;9,3;10,4;11,4;12,4})</f>
        <v>3</v>
      </c>
      <c r="J14" s="7">
        <f>YEAR('Введення даних'!$B14)</f>
        <v>2013</v>
      </c>
      <c r="K14" s="8">
        <f>MONTH(tblДані[[#This Row],[ДАТА]])</f>
        <v>7</v>
      </c>
      <c r="L14" s="47">
        <f>SUMIFS(tblДані[СУМА],tblДані[ДАТА],"&gt;="&amp;EOMONTH(tblДані[[#This Row],[ДАТА]],-1)+1,tblДані[ДАТА],"&lt;="&amp;EOMONTH(tblДані[[#This Row],[ДАТА]],0))</f>
        <v>8700</v>
      </c>
      <c r="M14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49100</v>
      </c>
      <c r="N14" s="47">
        <f>SUMIFS(tblДані[СУМА],tblДані[ДАТА],"&gt;="&amp;DATE(YEAR(tblДані[[#This Row],[ДАТА]]),1,1),tblДані[ДАТА],"&lt;="&amp;DATE(YEAR(tblДані[[#This Row],[ДАТА]]),12,31))</f>
        <v>143800</v>
      </c>
      <c r="O14" s="48">
        <f>IFERROR(TREND($L$6:INDEX($L:$L,ROW(),1),$K$6:INDEX($K:$K,ROW(),1),IF(MONTH(tblДані[[#This Row],[ДАТА]])=12,13,MONTH(tblДані[[#This Row],[ДАТА]])+1)),"")</f>
        <v>10776.470588235294</v>
      </c>
      <c r="P14" s="48">
        <f>IFERROR(TREND($M$6:INDEX($M:$M,ROW(),1),$I$6:INDEX($I:$I,ROW(),1),IF(tblДані[[#This Row],[ЗА РІК ]]=4,5,tblДані[КВАРТАЛ]+1)),"")</f>
        <v>47400</v>
      </c>
      <c r="Q14" s="48">
        <f>IFERROR(TREND($N$6:INDEX($N:$N,ROW(),1),$J$6:INDEX($J:$J,ROW(),1),tblДані[[#This Row],[РІК]]+1),"")</f>
        <v>143800</v>
      </c>
    </row>
    <row r="15" spans="2:17" ht="17.25" customHeight="1" x14ac:dyDescent="0.2">
      <c r="B15" s="43">
        <f>40761+(365*2)</f>
        <v>41491</v>
      </c>
      <c r="C15" s="4" t="s">
        <v>3</v>
      </c>
      <c r="D15" s="46">
        <v>8500</v>
      </c>
      <c r="E15" s="46">
        <v>8300</v>
      </c>
      <c r="F15" s="46">
        <v>7100</v>
      </c>
      <c r="G15" s="56">
        <f>tblДані[[#This Row],[СУМА]]-tblДані[[#This Row],[ВАРТІСТЬ]]</f>
        <v>1400</v>
      </c>
      <c r="H15" s="5">
        <f>DATE(YEAR('Введення даних'!$B15),MONTH('Введення даних'!$B15),1)</f>
        <v>41487</v>
      </c>
      <c r="I15" s="52">
        <f>LOOKUP(MONTH('Введення даних'!$H15),{1,1;2,1;3,1;4,2;5,2;6,2;7,3;8,3;9,3;10,4;11,4;12,4})</f>
        <v>3</v>
      </c>
      <c r="J15" s="7">
        <f>YEAR('Введення даних'!$B15)</f>
        <v>2013</v>
      </c>
      <c r="K15" s="8">
        <f>MONTH(tblДані[[#This Row],[ДАТА]])</f>
        <v>8</v>
      </c>
      <c r="L15" s="47">
        <f>SUMIFS(tblДані[СУМА],tblДані[ДАТА],"&gt;="&amp;EOMONTH(tblДані[[#This Row],[ДАТА]],-1)+1,tblДані[ДАТА],"&lt;="&amp;EOMONTH(tblДані[[#This Row],[ДАТА]],0))</f>
        <v>16400</v>
      </c>
      <c r="M15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49100</v>
      </c>
      <c r="N15" s="47">
        <f>SUMIFS(tblДані[СУМА],tblДані[ДАТА],"&gt;="&amp;DATE(YEAR(tblДані[[#This Row],[ДАТА]]),1,1),tblДані[ДАТА],"&lt;="&amp;DATE(YEAR(tblДані[[#This Row],[ДАТА]]),12,31))</f>
        <v>143800</v>
      </c>
      <c r="O15" s="48">
        <f>IFERROR(TREND($L$6:INDEX($L:$L,ROW(),1),$K$6:INDEX($K:$K,ROW(),1),IF(MONTH(tblДані[[#This Row],[ДАТА]])=12,13,MONTH(tblДані[[#This Row],[ДАТА]])+1)),"")</f>
        <v>12455.862068965516</v>
      </c>
      <c r="P15" s="48">
        <f>IFERROR(TREND($M$6:INDEX($M:$M,ROW(),1),$I$6:INDEX($I:$I,ROW(),1),IF(tblДані[[#This Row],[ЗА РІК ]]=4,5,tblДані[КВАРТАЛ]+1)),"")</f>
        <v>47400</v>
      </c>
      <c r="Q15" s="48">
        <f>IFERROR(TREND($N$6:INDEX($N:$N,ROW(),1),$J$6:INDEX($J:$J,ROW(),1),tblДані[[#This Row],[РІК]]+1),"")</f>
        <v>143800</v>
      </c>
    </row>
    <row r="16" spans="2:17" ht="20.25" customHeight="1" x14ac:dyDescent="0.2">
      <c r="B16" s="43">
        <f>40775+(365*2)</f>
        <v>41505</v>
      </c>
      <c r="C16" s="4" t="s">
        <v>4</v>
      </c>
      <c r="D16" s="46">
        <v>7900</v>
      </c>
      <c r="E16" s="46">
        <v>7700</v>
      </c>
      <c r="F16" s="46">
        <v>6600</v>
      </c>
      <c r="G16" s="56">
        <f>tblДані[[#This Row],[СУМА]]-tblДані[[#This Row],[ВАРТІСТЬ]]</f>
        <v>1300</v>
      </c>
      <c r="H16" s="5">
        <f>DATE(YEAR('Введення даних'!$B16),MONTH('Введення даних'!$B16),1)</f>
        <v>41487</v>
      </c>
      <c r="I16" s="52">
        <f>LOOKUP(MONTH('Введення даних'!$H16),{1,1;2,1;3,1;4,2;5,2;6,2;7,3;8,3;9,3;10,4;11,4;12,4})</f>
        <v>3</v>
      </c>
      <c r="J16" s="7">
        <f>YEAR('Введення даних'!$B16)</f>
        <v>2013</v>
      </c>
      <c r="K16" s="8">
        <f>MONTH(tblДані[[#This Row],[ДАТА]])</f>
        <v>8</v>
      </c>
      <c r="L16" s="47">
        <f>SUMIFS(tblДані[СУМА],tblДані[ДАТА],"&gt;="&amp;EOMONTH(tblДані[[#This Row],[ДАТА]],-1)+1,tblДані[ДАТА],"&lt;="&amp;EOMONTH(tblДані[[#This Row],[ДАТА]],0))</f>
        <v>16400</v>
      </c>
      <c r="M16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49100</v>
      </c>
      <c r="N16" s="47">
        <f>SUMIFS(tblДані[СУМА],tblДані[ДАТА],"&gt;="&amp;DATE(YEAR(tblДані[[#This Row],[ДАТА]]),1,1),tblДані[ДАТА],"&lt;="&amp;DATE(YEAR(tblДані[[#This Row],[ДАТА]]),12,31))</f>
        <v>143800</v>
      </c>
      <c r="O16" s="48">
        <f>IFERROR(TREND($L$6:INDEX($L:$L,ROW(),1),$K$6:INDEX($K:$K,ROW(),1),IF(MONTH(tblДані[[#This Row],[ДАТА]])=12,13,MONTH(tblДані[[#This Row],[ДАТА]])+1)),"")</f>
        <v>13667.567567567567</v>
      </c>
      <c r="P16" s="48">
        <f>IFERROR(TREND($M$6:INDEX($M:$M,ROW(),1),$I$6:INDEX($I:$I,ROW(),1),IF(tblДані[[#This Row],[ЗА РІК ]]=4,5,tblДані[КВАРТАЛ]+1)),"")</f>
        <v>47400.000000000007</v>
      </c>
      <c r="Q16" s="48">
        <f>IFERROR(TREND($N$6:INDEX($N:$N,ROW(),1),$J$6:INDEX($J:$J,ROW(),1),tblДані[[#This Row],[РІК]]+1),"")</f>
        <v>143800</v>
      </c>
    </row>
    <row r="17" spans="2:17" ht="22.5" customHeight="1" x14ac:dyDescent="0.2">
      <c r="B17" s="43">
        <f>40791+(365*2)</f>
        <v>41521</v>
      </c>
      <c r="C17" s="4" t="s">
        <v>5</v>
      </c>
      <c r="D17" s="46">
        <v>9100</v>
      </c>
      <c r="E17" s="46">
        <v>8900</v>
      </c>
      <c r="F17" s="46">
        <v>7900</v>
      </c>
      <c r="G17" s="56">
        <f>tblДані[[#This Row],[СУМА]]-tblДані[[#This Row],[ВАРТІСТЬ]]</f>
        <v>1200</v>
      </c>
      <c r="H17" s="5">
        <f>DATE(YEAR('Введення даних'!$B17),MONTH('Введення даних'!$B17),1)</f>
        <v>41518</v>
      </c>
      <c r="I17" s="52">
        <f>LOOKUP(MONTH('Введення даних'!$H17),{1,1;2,1;3,1;4,2;5,2;6,2;7,3;8,3;9,3;10,4;11,4;12,4})</f>
        <v>3</v>
      </c>
      <c r="J17" s="7">
        <f>YEAR('Введення даних'!$B17)</f>
        <v>2013</v>
      </c>
      <c r="K17" s="8">
        <f>MONTH(tblДані[[#This Row],[ДАТА]])</f>
        <v>9</v>
      </c>
      <c r="L17" s="47">
        <f>SUMIFS(tblДані[СУМА],tblДані[ДАТА],"&gt;="&amp;EOMONTH(tblДані[[#This Row],[ДАТА]],-1)+1,tblДані[ДАТА],"&lt;="&amp;EOMONTH(tblДані[[#This Row],[ДАТА]],0))</f>
        <v>24000</v>
      </c>
      <c r="M17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49100</v>
      </c>
      <c r="N17" s="47">
        <f>SUMIFS(tblДані[СУМА],tblДані[ДАТА],"&gt;="&amp;DATE(YEAR(tblДані[[#This Row],[ДАТА]]),1,1),tblДані[ДАТА],"&lt;="&amp;DATE(YEAR(tblДані[[#This Row],[ДАТА]]),12,31))</f>
        <v>143800</v>
      </c>
      <c r="O17" s="48">
        <f>IFERROR(TREND($L$6:INDEX($L:$L,ROW(),1),$K$6:INDEX($K:$K,ROW(),1),IF(MONTH(tblДані[[#This Row],[ДАТА]])=12,13,MONTH(tblДані[[#This Row],[ДАТА]])+1)),"")</f>
        <v>17651.666666666668</v>
      </c>
      <c r="P17" s="48">
        <f>IFERROR(TREND($M$6:INDEX($M:$M,ROW(),1),$I$6:INDEX($I:$I,ROW(),1),IF(tblДані[[#This Row],[ЗА РІК ]]=4,5,tblДані[КВАРТАЛ]+1)),"")</f>
        <v>47400</v>
      </c>
      <c r="Q17" s="48">
        <f>IFERROR(TREND($N$6:INDEX($N:$N,ROW(),1),$J$6:INDEX($J:$J,ROW(),1),tblДані[[#This Row],[РІК]]+1),"")</f>
        <v>143800</v>
      </c>
    </row>
    <row r="18" spans="2:17" ht="21.75" customHeight="1" x14ac:dyDescent="0.2">
      <c r="B18" s="43">
        <f>40807+(365*2)</f>
        <v>41537</v>
      </c>
      <c r="C18" s="4" t="s">
        <v>1</v>
      </c>
      <c r="D18" s="46">
        <v>5600</v>
      </c>
      <c r="E18" s="46">
        <v>5800</v>
      </c>
      <c r="F18" s="46">
        <v>4500</v>
      </c>
      <c r="G18" s="56">
        <f>tblДані[[#This Row],[СУМА]]-tblДані[[#This Row],[ВАРТІСТЬ]]</f>
        <v>1100</v>
      </c>
      <c r="H18" s="5">
        <f>DATE(YEAR('Введення даних'!$B18),MONTH('Введення даних'!$B18),1)</f>
        <v>41518</v>
      </c>
      <c r="I18" s="52">
        <f>LOOKUP(MONTH('Введення даних'!$H18),{1,1;2,1;3,1;4,2;5,2;6,2;7,3;8,3;9,3;10,4;11,4;12,4})</f>
        <v>3</v>
      </c>
      <c r="J18" s="7">
        <f>YEAR('Введення даних'!$B18)</f>
        <v>2013</v>
      </c>
      <c r="K18" s="8">
        <f>MONTH(tblДані[[#This Row],[ДАТА]])</f>
        <v>9</v>
      </c>
      <c r="L18" s="47">
        <f>SUMIFS(tblДані[СУМА],tblДані[ДАТА],"&gt;="&amp;EOMONTH(tblДані[[#This Row],[ДАТА]],-1)+1,tblДані[ДАТА],"&lt;="&amp;EOMONTH(tblДані[[#This Row],[ДАТА]],0))</f>
        <v>24000</v>
      </c>
      <c r="M18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49100</v>
      </c>
      <c r="N18" s="47">
        <f>SUMIFS(tblДані[СУМА],tblДані[ДАТА],"&gt;="&amp;DATE(YEAR(tblДані[[#This Row],[ДАТА]]),1,1),tblДані[ДАТА],"&lt;="&amp;DATE(YEAR(tblДані[[#This Row],[ДАТА]]),12,31))</f>
        <v>143800</v>
      </c>
      <c r="O18" s="48">
        <f>IFERROR(TREND($L$6:INDEX($L:$L,ROW(),1),$K$6:INDEX($K:$K,ROW(),1),IF(MONTH(tblДані[[#This Row],[ДАТА]])=12,13,MONTH(tblДані[[#This Row],[ДАТА]])+1)),"")</f>
        <v>19877.911646586344</v>
      </c>
      <c r="P18" s="48">
        <f>IFERROR(TREND($M$6:INDEX($M:$M,ROW(),1),$I$6:INDEX($I:$I,ROW(),1),IF(tblДані[[#This Row],[ЗА РІК ]]=4,5,tblДані[КВАРТАЛ]+1)),"")</f>
        <v>47400</v>
      </c>
      <c r="Q18" s="48">
        <f>IFERROR(TREND($N$6:INDEX($N:$N,ROW(),1),$J$6:INDEX($J:$J,ROW(),1),tblДані[[#This Row],[РІК]]+1),"")</f>
        <v>143800</v>
      </c>
    </row>
    <row r="19" spans="2:17" ht="22.5" customHeight="1" x14ac:dyDescent="0.2">
      <c r="B19" s="43">
        <f>40812+(365*2)</f>
        <v>41542</v>
      </c>
      <c r="C19" s="4" t="s">
        <v>2</v>
      </c>
      <c r="D19" s="46">
        <v>9300</v>
      </c>
      <c r="E19" s="46">
        <v>9100</v>
      </c>
      <c r="F19" s="46">
        <v>7500</v>
      </c>
      <c r="G19" s="56">
        <f>tblДані[[#This Row],[СУМА]]-tblДані[[#This Row],[ВАРТІСТЬ]]</f>
        <v>1800</v>
      </c>
      <c r="H19" s="5">
        <f>DATE(YEAR('Введення даних'!$B19),MONTH('Введення даних'!$B19),1)</f>
        <v>41518</v>
      </c>
      <c r="I19" s="52">
        <f>LOOKUP(MONTH('Введення даних'!$H19),{1,1;2,1;3,1;4,2;5,2;6,2;7,3;8,3;9,3;10,4;11,4;12,4})</f>
        <v>3</v>
      </c>
      <c r="J19" s="7">
        <f>YEAR('Введення даних'!$B19)</f>
        <v>2013</v>
      </c>
      <c r="K19" s="8">
        <f>MONTH(tblДані[[#This Row],[ДАТА]])</f>
        <v>9</v>
      </c>
      <c r="L19" s="47">
        <f>SUMIFS(tblДані[СУМА],tblДані[ДАТА],"&gt;="&amp;EOMONTH(tblДані[[#This Row],[ДАТА]],-1)+1,tblДані[ДАТА],"&lt;="&amp;EOMONTH(tblДані[[#This Row],[ДАТА]],0))</f>
        <v>24000</v>
      </c>
      <c r="M19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49100</v>
      </c>
      <c r="N19" s="47">
        <f>SUMIFS(tblДані[СУМА],tblДані[ДАТА],"&gt;="&amp;DATE(YEAR(tblДані[[#This Row],[ДАТА]]),1,1),tblДані[ДАТА],"&lt;="&amp;DATE(YEAR(tblДані[[#This Row],[ДАТА]]),12,31))</f>
        <v>143800</v>
      </c>
      <c r="O19" s="48">
        <f>IFERROR(TREND($L$6:INDEX($L:$L,ROW(),1),$K$6:INDEX($K:$K,ROW(),1),IF(MONTH(tblДані[[#This Row],[ДАТА]])=12,13,MONTH(tblДані[[#This Row],[ДАТА]])+1)),"")</f>
        <v>21138.050314465407</v>
      </c>
      <c r="P19" s="48">
        <f>IFERROR(TREND($M$6:INDEX($M:$M,ROW(),1),$I$6:INDEX($I:$I,ROW(),1),IF(tblДані[[#This Row],[ЗА РІК ]]=4,5,tblДані[КВАРТАЛ]+1)),"")</f>
        <v>47400</v>
      </c>
      <c r="Q19" s="48">
        <f>IFERROR(TREND($N$6:INDEX($N:$N,ROW(),1),$J$6:INDEX($J:$J,ROW(),1),tblДані[[#This Row],[РІК]]+1),"")</f>
        <v>143800</v>
      </c>
    </row>
    <row r="20" spans="2:17" ht="17.25" customHeight="1" x14ac:dyDescent="0.2">
      <c r="B20" s="43">
        <f>40832+(365*2)</f>
        <v>41562</v>
      </c>
      <c r="C20" s="4" t="s">
        <v>3</v>
      </c>
      <c r="D20" s="46">
        <v>8800</v>
      </c>
      <c r="E20" s="46">
        <v>9350</v>
      </c>
      <c r="F20" s="46">
        <v>7100</v>
      </c>
      <c r="G20" s="56">
        <f>tblДані[[#This Row],[СУМА]]-tblДані[[#This Row],[ВАРТІСТЬ]]</f>
        <v>1700</v>
      </c>
      <c r="H20" s="5">
        <f>DATE(YEAR('Введення даних'!$B20),MONTH('Введення даних'!$B20),1)</f>
        <v>41548</v>
      </c>
      <c r="I20" s="52">
        <f>LOOKUP(MONTH('Введення даних'!$H20),{1,1;2,1;3,1;4,2;5,2;6,2;7,3;8,3;9,3;10,4;11,4;12,4})</f>
        <v>4</v>
      </c>
      <c r="J20" s="7">
        <f>YEAR('Введення даних'!$B20)</f>
        <v>2013</v>
      </c>
      <c r="K20" s="8">
        <f>MONTH(tblДані[[#This Row],[ДАТА]])</f>
        <v>10</v>
      </c>
      <c r="L20" s="47">
        <f>SUMIFS(tblДані[СУМА],tblДані[ДАТА],"&gt;="&amp;EOMONTH(tblДані[[#This Row],[ДАТА]],-1)+1,tblДані[ДАТА],"&lt;="&amp;EOMONTH(tblДані[[#This Row],[ДАТА]],0))</f>
        <v>8800</v>
      </c>
      <c r="M20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43900</v>
      </c>
      <c r="N20" s="47">
        <f>SUMIFS(tblДані[СУМА],tblДані[ДАТА],"&gt;="&amp;DATE(YEAR(tblДані[[#This Row],[ДАТА]]),1,1),tblДані[ДАТА],"&lt;="&amp;DATE(YEAR(tblДані[[#This Row],[ДАТА]]),12,31))</f>
        <v>143800</v>
      </c>
      <c r="O20" s="48">
        <f>IFERROR(TREND($L$6:INDEX($L:$L,ROW(),1),$K$6:INDEX($K:$K,ROW(),1),IF(MONTH(tblДані[[#This Row],[ДАТА]])=12,13,MONTH(tblДані[[#This Row],[ДАТА]])+1)),"")</f>
        <v>17951.744186046511</v>
      </c>
      <c r="P20" s="48">
        <f>IFERROR(TREND($M$6:INDEX($M:$M,ROW(),1),$I$6:INDEX($I:$I,ROW(),1),IF(tblДані[[#This Row],[ЗА РІК ]]=4,5,tblДані[КВАРТАЛ]+1)),"")</f>
        <v>43258.139534883725</v>
      </c>
      <c r="Q20" s="48">
        <f>IFERROR(TREND($N$6:INDEX($N:$N,ROW(),1),$J$6:INDEX($J:$J,ROW(),1),tblДані[[#This Row],[РІК]]+1),"")</f>
        <v>143800</v>
      </c>
    </row>
    <row r="21" spans="2:17" ht="21.75" customHeight="1" x14ac:dyDescent="0.2">
      <c r="B21" s="43">
        <f>40853+(365*2)</f>
        <v>41583</v>
      </c>
      <c r="C21" s="4" t="s">
        <v>4</v>
      </c>
      <c r="D21" s="46">
        <v>9100</v>
      </c>
      <c r="E21" s="46">
        <v>9200</v>
      </c>
      <c r="F21" s="46">
        <v>7850</v>
      </c>
      <c r="G21" s="56">
        <f>tblДані[[#This Row],[СУМА]]-tblДані[[#This Row],[ВАРТІСТЬ]]</f>
        <v>1250</v>
      </c>
      <c r="H21" s="5">
        <f>DATE(YEAR('Введення даних'!$B21),MONTH('Введення даних'!$B21),1)</f>
        <v>41579</v>
      </c>
      <c r="I21" s="52">
        <f>LOOKUP(MONTH('Введення даних'!$H21),{1,1;2,1;3,1;4,2;5,2;6,2;7,3;8,3;9,3;10,4;11,4;12,4})</f>
        <v>4</v>
      </c>
      <c r="J21" s="7">
        <f>YEAR('Введення даних'!$B21)</f>
        <v>2013</v>
      </c>
      <c r="K21" s="8">
        <f>MONTH(tblДані[[#This Row],[ДАТА]])</f>
        <v>11</v>
      </c>
      <c r="L21" s="47">
        <f>SUMIFS(tblДані[СУМА],tblДані[ДАТА],"&gt;="&amp;EOMONTH(tblДані[[#This Row],[ДАТА]],-1)+1,tblДані[ДАТА],"&lt;="&amp;EOMONTH(tblДані[[#This Row],[ДАТА]],0))</f>
        <v>25600</v>
      </c>
      <c r="M21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43900</v>
      </c>
      <c r="N21" s="47">
        <f>SUMIFS(tblДані[СУМА],tblДані[ДАТА],"&gt;="&amp;DATE(YEAR(tblДані[[#This Row],[ДАТА]]),1,1),tblДані[ДАТА],"&lt;="&amp;DATE(YEAR(tblДані[[#This Row],[ДАТА]]),12,31))</f>
        <v>143800</v>
      </c>
      <c r="O21" s="48">
        <f>IFERROR(TREND($L$6:INDEX($L:$L,ROW(),1),$K$6:INDEX($K:$K,ROW(),1),IF(MONTH(tblДані[[#This Row],[ДАТА]])=12,13,MONTH(tblДані[[#This Row],[ДАТА]])+1)),"")</f>
        <v>20556.130108423687</v>
      </c>
      <c r="P21" s="48">
        <f>IFERROR(TREND($M$6:INDEX($M:$M,ROW(),1),$I$6:INDEX($I:$I,ROW(),1),IF(tblДані[[#This Row],[ЗА РІК ]]=4,5,tblДані[КВАРТАЛ]+1)),"")</f>
        <v>42312.903225806447</v>
      </c>
      <c r="Q21" s="48">
        <f>IFERROR(TREND($N$6:INDEX($N:$N,ROW(),1),$J$6:INDEX($J:$J,ROW(),1),tblДані[[#This Row],[РІК]]+1),"")</f>
        <v>143800</v>
      </c>
    </row>
    <row r="22" spans="2:17" ht="21.75" customHeight="1" x14ac:dyDescent="0.2">
      <c r="B22" s="43">
        <f>40874+(365*2)</f>
        <v>41604</v>
      </c>
      <c r="C22" s="4" t="s">
        <v>5</v>
      </c>
      <c r="D22" s="46">
        <v>9000</v>
      </c>
      <c r="E22" s="46">
        <v>10000</v>
      </c>
      <c r="F22" s="46">
        <v>7575</v>
      </c>
      <c r="G22" s="56">
        <f>tblДані[[#This Row],[СУМА]]-tblДані[[#This Row],[ВАРТІСТЬ]]</f>
        <v>1425</v>
      </c>
      <c r="H22" s="5">
        <f>DATE(YEAR('Введення даних'!$B22),MONTH('Введення даних'!$B22),1)</f>
        <v>41579</v>
      </c>
      <c r="I22" s="52">
        <f>LOOKUP(MONTH('Введення даних'!$H22),{1,1;2,1;3,1;4,2;5,2;6,2;7,3;8,3;9,3;10,4;11,4;12,4})</f>
        <v>4</v>
      </c>
      <c r="J22" s="7">
        <f>YEAR('Введення даних'!$B22)</f>
        <v>2013</v>
      </c>
      <c r="K22" s="8">
        <f>MONTH(tblДані[[#This Row],[ДАТА]])</f>
        <v>11</v>
      </c>
      <c r="L22" s="47">
        <f>SUMIFS(tblДані[СУМА],tblДані[ДАТА],"&gt;="&amp;EOMONTH(tblДані[[#This Row],[ДАТА]],-1)+1,tblДані[ДАТА],"&lt;="&amp;EOMONTH(tblДані[[#This Row],[ДАТА]],0))</f>
        <v>25600</v>
      </c>
      <c r="M22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43900</v>
      </c>
      <c r="N22" s="47">
        <f>SUMIFS(tblДані[СУМА],tblДані[ДАТА],"&gt;="&amp;DATE(YEAR(tblДані[[#This Row],[ДАТА]]),1,1),tblДані[ДАТА],"&lt;="&amp;DATE(YEAR(tblДані[[#This Row],[ДАТА]]),12,31))</f>
        <v>143800</v>
      </c>
      <c r="O22" s="48">
        <f>IFERROR(TREND($L$6:INDEX($L:$L,ROW(),1),$K$6:INDEX($K:$K,ROW(),1),IF(MONTH(tblДані[[#This Row],[ДАТА]])=12,13,MONTH(tblДані[[#This Row],[ДАТА]])+1)),"")</f>
        <v>21997.139141742522</v>
      </c>
      <c r="P22" s="48">
        <f>IFERROR(TREND($M$6:INDEX($M:$M,ROW(),1),$I$6:INDEX($I:$I,ROW(),1),IF(tblДані[[#This Row],[ЗА РІК ]]=4,5,tblДані[КВАРТАЛ]+1)),"")</f>
        <v>41811.111111111109</v>
      </c>
      <c r="Q22" s="48">
        <f>IFERROR(TREND($N$6:INDEX($N:$N,ROW(),1),$J$6:INDEX($J:$J,ROW(),1),tblДані[[#This Row],[РІК]]+1),"")</f>
        <v>143800</v>
      </c>
    </row>
    <row r="23" spans="2:17" ht="23.25" customHeight="1" x14ac:dyDescent="0.2">
      <c r="B23" s="43">
        <f>40878+(365*2)</f>
        <v>41608</v>
      </c>
      <c r="C23" s="4" t="s">
        <v>5</v>
      </c>
      <c r="D23" s="46">
        <v>7500</v>
      </c>
      <c r="E23" s="46">
        <v>8000</v>
      </c>
      <c r="F23" s="46">
        <v>5850</v>
      </c>
      <c r="G23" s="56">
        <f>tblДані[[#This Row],[СУМА]]-tblДані[[#This Row],[ВАРТІСТЬ]]</f>
        <v>1650</v>
      </c>
      <c r="H23" s="5">
        <f>DATE(YEAR('Введення даних'!$B23),MONTH('Введення даних'!$B23),1)</f>
        <v>41579</v>
      </c>
      <c r="I23" s="52">
        <f>LOOKUP(MONTH('Введення даних'!$H23),{1,1;2,1;3,1;4,2;5,2;6,2;7,3;8,3;9,3;10,4;11,4;12,4})</f>
        <v>4</v>
      </c>
      <c r="J23" s="7">
        <f>YEAR('Введення даних'!$B23)</f>
        <v>2013</v>
      </c>
      <c r="K23" s="8">
        <f>MONTH(tblДані[[#This Row],[ДАТА]])</f>
        <v>11</v>
      </c>
      <c r="L23" s="47">
        <f>SUMIFS(tblДані[СУМА],tblДані[ДАТА],"&gt;="&amp;EOMONTH(tblДані[[#This Row],[ДАТА]],-1)+1,tblДані[ДАТА],"&lt;="&amp;EOMONTH(tblДані[[#This Row],[ДАТА]],0))</f>
        <v>25600</v>
      </c>
      <c r="M23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43900</v>
      </c>
      <c r="N23" s="47">
        <f>SUMIFS(tblДані[СУМА],tblДані[ДАТА],"&gt;="&amp;DATE(YEAR(tblДані[[#This Row],[ДАТА]]),1,1),tblДані[ДАТА],"&lt;="&amp;DATE(YEAR(tblДані[[#This Row],[ДАТА]]),12,31))</f>
        <v>143800</v>
      </c>
      <c r="O23" s="48">
        <f>IFERROR(TREND($L$6:INDEX($L:$L,ROW(),1),$K$6:INDEX($K:$K,ROW(),1),IF(MONTH(tblДані[[#This Row],[ДАТА]])=12,13,MONTH(tblДані[[#This Row],[ДАТА]])+1)),"")</f>
        <v>22917.634523175278</v>
      </c>
      <c r="P23" s="48">
        <f>IFERROR(TREND($M$6:INDEX($M:$M,ROW(),1),$I$6:INDEX($I:$I,ROW(),1),IF(tblДані[[#This Row],[ЗА РІК ]]=4,5,tblДані[КВАРТАЛ]+1)),"")</f>
        <v>41500</v>
      </c>
      <c r="Q23" s="48">
        <f>IFERROR(TREND($N$6:INDEX($N:$N,ROW(),1),$J$6:INDEX($J:$J,ROW(),1),tblДані[[#This Row],[РІК]]+1),"")</f>
        <v>143800</v>
      </c>
    </row>
    <row r="24" spans="2:17" ht="23.25" customHeight="1" x14ac:dyDescent="0.2">
      <c r="B24" s="43">
        <f>40889+(365*2)</f>
        <v>41619</v>
      </c>
      <c r="C24" s="4" t="s">
        <v>1</v>
      </c>
      <c r="D24" s="46">
        <v>9500</v>
      </c>
      <c r="E24" s="46">
        <v>9200</v>
      </c>
      <c r="F24" s="46">
        <v>8500</v>
      </c>
      <c r="G24" s="56">
        <f>tblДані[[#This Row],[СУМА]]-tblДані[[#This Row],[ВАРТІСТЬ]]</f>
        <v>1000</v>
      </c>
      <c r="H24" s="5">
        <f>DATE(YEAR('Введення даних'!$B24),MONTH('Введення даних'!$B24),1)</f>
        <v>41609</v>
      </c>
      <c r="I24" s="52">
        <f>LOOKUP(MONTH('Введення даних'!$H24),{1,1;2,1;3,1;4,2;5,2;6,2;7,3;8,3;9,3;10,4;11,4;12,4})</f>
        <v>4</v>
      </c>
      <c r="J24" s="7">
        <f>YEAR('Введення даних'!$B24)</f>
        <v>2013</v>
      </c>
      <c r="K24" s="8">
        <f>MONTH(tblДані[[#This Row],[ДАТА]])</f>
        <v>12</v>
      </c>
      <c r="L24" s="47">
        <f>SUMIFS(tblДані[СУМА],tblДані[ДАТА],"&gt;="&amp;EOMONTH(tblДані[[#This Row],[ДАТА]],-1)+1,tblДані[ДАТА],"&lt;="&amp;EOMONTH(tblДані[[#This Row],[ДАТА]],0))</f>
        <v>9500</v>
      </c>
      <c r="M24" s="47">
        <f>SUMIFS(tblДані[СУМА],tblДані[ДАТА],"&gt;="&amp;DATE(YEAR(tblДані[[#This Row],[ДАТА]]),1,1),tblДані[ДАТА],"&lt;="&amp;DATE(YEAR(tblДані[[#This Row],[ДАТА]]),12,31),tblДані[КВАРТАЛ],tblДані[[#This Row],[КВАРТАЛ]])</f>
        <v>43900</v>
      </c>
      <c r="N24" s="47">
        <f>SUMIFS(tblДані[СУМА],tblДані[ДАТА],"&gt;="&amp;DATE(YEAR(tblДані[[#This Row],[ДАТА]]),1,1),tblДані[ДАТА],"&lt;="&amp;DATE(YEAR(tblДані[[#This Row],[ДАТА]]),12,31))</f>
        <v>143800</v>
      </c>
      <c r="O24" s="48">
        <f>IFERROR(TREND($L$6:INDEX($L:$L,ROW(),1),$K$6:INDEX($K:$K,ROW(),1),IF(MONTH(tblДані[[#This Row],[ДАТА]])=12,13,MONTH(tblДані[[#This Row],[ДАТА]])+1)),"")</f>
        <v>20504.314720812181</v>
      </c>
      <c r="P24" s="48">
        <f>IFERROR(TREND($M$6:INDEX($M:$M,ROW(),1),$I$6:INDEX($I:$I,ROW(),1),IF(tblДані[[#This Row],[ЗА РІК ]]=4,5,tblДані[КВАРТАЛ]+1)),"")</f>
        <v>41288.23529411765</v>
      </c>
      <c r="Q24" s="48">
        <f>IFERROR(TREND($N$6:INDEX($N:$N,ROW(),1),$J$6:INDEX($J:$J,ROW(),1),tblДані[[#This Row],[РІК]]+1),"")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G43"/>
  <sheetViews>
    <sheetView showGridLines="0" zoomScaleNormal="100" workbookViewId="0"/>
  </sheetViews>
  <sheetFormatPr defaultRowHeight="17.25" customHeight="1" x14ac:dyDescent="0.2"/>
  <cols>
    <col min="1" max="1" width="2" style="30" customWidth="1"/>
    <col min="2" max="2" width="20" style="27" customWidth="1"/>
    <col min="3" max="3" width="26.5" style="27" customWidth="1"/>
    <col min="4" max="4" width="14.6640625" style="28" customWidth="1"/>
    <col min="5" max="5" width="41.6640625" style="28" customWidth="1"/>
    <col min="6" max="6" width="26" style="29" customWidth="1"/>
    <col min="7" max="16384" width="9.33203125" style="30"/>
  </cols>
  <sheetData>
    <row r="1" spans="1:7" s="26" customFormat="1" ht="11.25" customHeight="1" x14ac:dyDescent="0.2">
      <c r="B1" s="27"/>
      <c r="C1" s="27"/>
      <c r="D1" s="28"/>
      <c r="E1" s="28"/>
      <c r="F1" s="29"/>
    </row>
    <row r="2" spans="1:7" customFormat="1" ht="33.75" x14ac:dyDescent="0.2">
      <c r="B2" s="2" t="s">
        <v>47</v>
      </c>
    </row>
    <row r="3" spans="1:7" ht="17.25" customHeight="1" x14ac:dyDescent="0.2">
      <c r="A3" s="26"/>
    </row>
    <row r="4" spans="1:7" ht="17.25" customHeight="1" x14ac:dyDescent="0.2">
      <c r="A4" s="26"/>
    </row>
    <row r="5" spans="1:7" ht="11.25" x14ac:dyDescent="0.2">
      <c r="B5" s="44" t="s">
        <v>20</v>
      </c>
      <c r="C5" s="44" t="s">
        <v>17</v>
      </c>
      <c r="D5" s="44" t="s">
        <v>16</v>
      </c>
      <c r="E5" s="44" t="s">
        <v>24</v>
      </c>
      <c r="F5" t="s">
        <v>56</v>
      </c>
      <c r="G5"/>
    </row>
    <row r="6" spans="1:7" ht="17.25" customHeight="1" x14ac:dyDescent="0.2">
      <c r="B6" s="31">
        <v>2013</v>
      </c>
      <c r="C6" s="54">
        <v>2</v>
      </c>
      <c r="D6" s="55">
        <v>41365</v>
      </c>
      <c r="E6" s="31" t="s">
        <v>0</v>
      </c>
      <c r="F6" s="45">
        <v>6400</v>
      </c>
      <c r="G6"/>
    </row>
    <row r="7" spans="1:7" ht="17.25" customHeight="1" x14ac:dyDescent="0.2">
      <c r="B7"/>
      <c r="C7"/>
      <c r="D7"/>
      <c r="E7" s="31" t="s">
        <v>1</v>
      </c>
      <c r="F7" s="45">
        <v>8200</v>
      </c>
      <c r="G7"/>
    </row>
    <row r="8" spans="1:7" ht="17.25" customHeight="1" x14ac:dyDescent="0.2">
      <c r="B8"/>
      <c r="C8"/>
      <c r="D8" s="55">
        <v>41395</v>
      </c>
      <c r="E8" s="31" t="s">
        <v>5</v>
      </c>
      <c r="F8" s="45">
        <v>6200</v>
      </c>
      <c r="G8"/>
    </row>
    <row r="9" spans="1:7" ht="17.25" customHeight="1" x14ac:dyDescent="0.2">
      <c r="B9"/>
      <c r="C9"/>
      <c r="D9"/>
      <c r="E9" s="31" t="s">
        <v>2</v>
      </c>
      <c r="F9" s="45">
        <v>4400</v>
      </c>
      <c r="G9"/>
    </row>
    <row r="10" spans="1:7" ht="17.25" customHeight="1" x14ac:dyDescent="0.2">
      <c r="B10"/>
      <c r="C10"/>
      <c r="D10"/>
      <c r="E10" s="31" t="s">
        <v>3</v>
      </c>
      <c r="F10" s="45">
        <v>5400</v>
      </c>
      <c r="G10"/>
    </row>
    <row r="11" spans="1:7" ht="17.25" customHeight="1" x14ac:dyDescent="0.2">
      <c r="B11"/>
      <c r="C11"/>
      <c r="D11"/>
      <c r="E11" s="31" t="s">
        <v>4</v>
      </c>
      <c r="F11" s="45">
        <v>5800</v>
      </c>
      <c r="G11"/>
    </row>
    <row r="12" spans="1:7" ht="17.25" customHeight="1" x14ac:dyDescent="0.2">
      <c r="B12"/>
      <c r="C12"/>
      <c r="D12" s="55">
        <v>41426</v>
      </c>
      <c r="E12" s="31" t="s">
        <v>0</v>
      </c>
      <c r="F12" s="45">
        <v>6900</v>
      </c>
      <c r="G12"/>
    </row>
    <row r="13" spans="1:7" ht="17.25" customHeight="1" x14ac:dyDescent="0.2">
      <c r="B13"/>
      <c r="C13"/>
      <c r="D13"/>
      <c r="E13" s="31" t="s">
        <v>1</v>
      </c>
      <c r="F13" s="45">
        <v>7500</v>
      </c>
      <c r="G13"/>
    </row>
    <row r="14" spans="1:7" ht="17.25" customHeight="1" x14ac:dyDescent="0.2">
      <c r="B14"/>
      <c r="C14" s="54" t="s">
        <v>53</v>
      </c>
      <c r="D14" s="31"/>
      <c r="E14" s="31"/>
      <c r="F14" s="45">
        <v>50800</v>
      </c>
      <c r="G14"/>
    </row>
    <row r="15" spans="1:7" ht="17.25" customHeight="1" x14ac:dyDescent="0.2">
      <c r="B15"/>
      <c r="C15" s="54">
        <v>3</v>
      </c>
      <c r="D15" s="55">
        <v>41456</v>
      </c>
      <c r="E15" s="31" t="s">
        <v>2</v>
      </c>
      <c r="F15" s="45">
        <v>8700</v>
      </c>
      <c r="G15"/>
    </row>
    <row r="16" spans="1:7" ht="17.25" customHeight="1" x14ac:dyDescent="0.2">
      <c r="B16"/>
      <c r="C16"/>
      <c r="D16" s="55">
        <v>41487</v>
      </c>
      <c r="E16" s="31" t="s">
        <v>3</v>
      </c>
      <c r="F16" s="45">
        <v>8500</v>
      </c>
      <c r="G16"/>
    </row>
    <row r="17" spans="2:7" ht="17.25" customHeight="1" x14ac:dyDescent="0.2">
      <c r="B17"/>
      <c r="C17"/>
      <c r="D17"/>
      <c r="E17" s="31" t="s">
        <v>4</v>
      </c>
      <c r="F17" s="45">
        <v>7900</v>
      </c>
      <c r="G17"/>
    </row>
    <row r="18" spans="2:7" ht="17.25" customHeight="1" x14ac:dyDescent="0.2">
      <c r="B18"/>
      <c r="C18"/>
      <c r="D18" s="55">
        <v>41518</v>
      </c>
      <c r="E18" s="31" t="s">
        <v>5</v>
      </c>
      <c r="F18" s="45">
        <v>9100</v>
      </c>
      <c r="G18"/>
    </row>
    <row r="19" spans="2:7" ht="17.25" customHeight="1" x14ac:dyDescent="0.2">
      <c r="B19"/>
      <c r="C19"/>
      <c r="D19"/>
      <c r="E19" s="31" t="s">
        <v>2</v>
      </c>
      <c r="F19" s="45">
        <v>9300</v>
      </c>
      <c r="G19"/>
    </row>
    <row r="20" spans="2:7" ht="17.25" customHeight="1" x14ac:dyDescent="0.2">
      <c r="B20"/>
      <c r="C20"/>
      <c r="D20"/>
      <c r="E20" s="31" t="s">
        <v>1</v>
      </c>
      <c r="F20" s="45">
        <v>5600</v>
      </c>
      <c r="G20"/>
    </row>
    <row r="21" spans="2:7" ht="17.25" customHeight="1" x14ac:dyDescent="0.2">
      <c r="B21"/>
      <c r="C21" s="54" t="s">
        <v>54</v>
      </c>
      <c r="D21" s="31"/>
      <c r="E21" s="31"/>
      <c r="F21" s="45">
        <v>49100</v>
      </c>
      <c r="G21"/>
    </row>
    <row r="22" spans="2:7" ht="17.25" customHeight="1" x14ac:dyDescent="0.2">
      <c r="B22"/>
      <c r="C22" s="54">
        <v>4</v>
      </c>
      <c r="D22" s="55">
        <v>41548</v>
      </c>
      <c r="E22" s="31" t="s">
        <v>3</v>
      </c>
      <c r="F22" s="45">
        <v>8800</v>
      </c>
      <c r="G22"/>
    </row>
    <row r="23" spans="2:7" ht="17.25" customHeight="1" x14ac:dyDescent="0.2">
      <c r="B23"/>
      <c r="C23"/>
      <c r="D23" s="55">
        <v>41579</v>
      </c>
      <c r="E23" s="31" t="s">
        <v>5</v>
      </c>
      <c r="F23" s="45">
        <v>16500</v>
      </c>
      <c r="G23"/>
    </row>
    <row r="24" spans="2:7" ht="17.25" customHeight="1" x14ac:dyDescent="0.2">
      <c r="B24"/>
      <c r="C24"/>
      <c r="D24"/>
      <c r="E24" s="31" t="s">
        <v>4</v>
      </c>
      <c r="F24" s="45">
        <v>9100</v>
      </c>
      <c r="G24"/>
    </row>
    <row r="25" spans="2:7" ht="17.25" customHeight="1" x14ac:dyDescent="0.2">
      <c r="B25"/>
      <c r="C25"/>
      <c r="D25" s="55">
        <v>41609</v>
      </c>
      <c r="E25" s="31" t="s">
        <v>1</v>
      </c>
      <c r="F25" s="45">
        <v>9500</v>
      </c>
      <c r="G25"/>
    </row>
    <row r="26" spans="2:7" ht="17.25" customHeight="1" x14ac:dyDescent="0.2">
      <c r="B26"/>
      <c r="C26" s="54" t="s">
        <v>55</v>
      </c>
      <c r="D26" s="31"/>
      <c r="E26" s="31"/>
      <c r="F26" s="45">
        <v>43900</v>
      </c>
      <c r="G26"/>
    </row>
    <row r="27" spans="2:7" ht="11.25" x14ac:dyDescent="0.2">
      <c r="B27" s="60" t="s">
        <v>52</v>
      </c>
      <c r="C27" s="60"/>
      <c r="D27" s="60"/>
      <c r="E27" s="60"/>
      <c r="F27" s="59">
        <v>143800</v>
      </c>
      <c r="G27"/>
    </row>
    <row r="28" spans="2:7" ht="11.25" x14ac:dyDescent="0.2">
      <c r="B28" s="31" t="s">
        <v>6</v>
      </c>
      <c r="C28"/>
      <c r="D28"/>
      <c r="E28"/>
      <c r="F28" s="45">
        <v>143800</v>
      </c>
      <c r="G28"/>
    </row>
    <row r="29" spans="2:7" ht="17.25" customHeight="1" x14ac:dyDescent="0.2">
      <c r="B29"/>
      <c r="C29"/>
      <c r="D29"/>
      <c r="E29"/>
      <c r="F29"/>
    </row>
    <row r="30" spans="2:7" ht="11.25" x14ac:dyDescent="0.2">
      <c r="B30"/>
      <c r="C30"/>
      <c r="D30"/>
      <c r="E30"/>
    </row>
    <row r="31" spans="2:7" ht="11.25" x14ac:dyDescent="0.2">
      <c r="B31"/>
      <c r="C31"/>
      <c r="D31"/>
      <c r="E31"/>
    </row>
    <row r="32" spans="2:7" ht="11.25" x14ac:dyDescent="0.2">
      <c r="B32"/>
      <c r="C32"/>
      <c r="D32"/>
      <c r="E32"/>
    </row>
    <row r="33" spans="2:5" ht="11.25" x14ac:dyDescent="0.2">
      <c r="B33"/>
      <c r="C33"/>
      <c r="D33"/>
      <c r="E33"/>
    </row>
    <row r="34" spans="2:5" ht="11.25" x14ac:dyDescent="0.2">
      <c r="B34"/>
      <c r="C34"/>
      <c r="D34"/>
      <c r="E34"/>
    </row>
    <row r="35" spans="2:5" ht="11.25" x14ac:dyDescent="0.2">
      <c r="B35"/>
      <c r="C35"/>
      <c r="D35"/>
      <c r="E35"/>
    </row>
    <row r="36" spans="2:5" ht="11.25" x14ac:dyDescent="0.2">
      <c r="B36"/>
      <c r="C36"/>
      <c r="D36"/>
      <c r="E36"/>
    </row>
    <row r="37" spans="2:5" ht="11.25" x14ac:dyDescent="0.2">
      <c r="B37"/>
      <c r="C37"/>
      <c r="D37"/>
      <c r="E37"/>
    </row>
    <row r="38" spans="2:5" ht="11.25" x14ac:dyDescent="0.2">
      <c r="B38"/>
      <c r="C38"/>
      <c r="D38"/>
    </row>
    <row r="39" spans="2:5" ht="11.25" x14ac:dyDescent="0.2">
      <c r="B39"/>
      <c r="C39"/>
      <c r="D39"/>
    </row>
    <row r="40" spans="2:5" ht="11.25" x14ac:dyDescent="0.2">
      <c r="B40"/>
      <c r="C40"/>
      <c r="D40"/>
    </row>
    <row r="41" spans="2:5" ht="11.25" x14ac:dyDescent="0.2">
      <c r="B41"/>
      <c r="C41"/>
      <c r="D41"/>
    </row>
    <row r="42" spans="2:5" ht="11.25" x14ac:dyDescent="0.2">
      <c r="B42"/>
      <c r="C42"/>
      <c r="D42"/>
    </row>
    <row r="43" spans="2:5" ht="11.25" x14ac:dyDescent="0.2">
      <c r="B43"/>
      <c r="C43"/>
    </row>
  </sheetData>
  <conditionalFormatting sqref="E1:E4 E38:E1048553">
    <cfRule type="expression" dxfId="12" priority="4">
      <formula>(LEN($E1)&gt;0)*(LEN($D2)&gt;0)</formula>
    </cfRule>
  </conditionalFormatting>
  <conditionalFormatting sqref="D1:D4 D43:D1048576 F30:F1048576">
    <cfRule type="expression" dxfId="11" priority="3">
      <formula>(LEN($D1)&gt;0)*(LEN($C1)=0)</formula>
    </cfRule>
  </conditionalFormatting>
  <conditionalFormatting sqref="F1:F4">
    <cfRule type="expression" dxfId="10" priority="1">
      <formula>(LEN($D1)&gt;0)*(LEN($C1)=0)</formula>
    </cfRule>
  </conditionalFormatting>
  <conditionalFormatting sqref="E1048554:E1048576">
    <cfRule type="expression" dxfId="9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31.1640625" customWidth="1"/>
    <col min="3" max="4" width="16" customWidth="1"/>
    <col min="5" max="5" width="25.83203125" customWidth="1"/>
    <col min="6" max="6" width="17.6640625" customWidth="1"/>
    <col min="7" max="8" width="16" customWidth="1"/>
    <col min="9" max="9" width="21.5" customWidth="1"/>
    <col min="10" max="10" width="16" customWidth="1"/>
  </cols>
  <sheetData>
    <row r="2" spans="2:10" ht="33.75" x14ac:dyDescent="0.2">
      <c r="B2" s="2" t="s">
        <v>31</v>
      </c>
    </row>
    <row r="3" spans="2:10" ht="27.75" customHeight="1" x14ac:dyDescent="0.2">
      <c r="B3" s="19" t="str">
        <f ca="1">"СЬОГОДНІШНЯ ДАТА: "&amp;UPPER(TEXT(TODAY(),"dd.mmm.yy"))</f>
        <v>СЬОГОДНІШНЯ ДАТА: 29.ЖОВ.12</v>
      </c>
      <c r="D3" s="21">
        <f ca="1">--TRIM(RIGHT(B3,LEN(B3)-FIND(":",B3)))</f>
        <v>41211</v>
      </c>
    </row>
    <row r="4" spans="2:10" ht="15" customHeight="1" x14ac:dyDescent="0.2"/>
    <row r="5" spans="2:10" ht="18.75" customHeight="1" x14ac:dyDescent="0.2">
      <c r="B5" s="41" t="s">
        <v>32</v>
      </c>
      <c r="C5" s="40" t="s">
        <v>33</v>
      </c>
      <c r="D5" s="40" t="s">
        <v>34</v>
      </c>
      <c r="E5" s="40" t="s">
        <v>35</v>
      </c>
      <c r="F5" s="40" t="s">
        <v>7</v>
      </c>
      <c r="G5" s="40" t="s">
        <v>36</v>
      </c>
      <c r="H5" s="40" t="s">
        <v>37</v>
      </c>
      <c r="I5" s="40" t="s">
        <v>38</v>
      </c>
      <c r="J5" s="33" t="s">
        <v>14</v>
      </c>
    </row>
    <row r="6" spans="2:10" s="3" customFormat="1" ht="15" customHeight="1" x14ac:dyDescent="0.2">
      <c r="B6" s="9" t="s">
        <v>8</v>
      </c>
      <c r="C6" s="37">
        <f ca="1">COUNTIF('Введення даних'!$B$6:$B$24,"&gt;="&amp;DATE(fРік,MONTH(fДата),1))-COUNTIF('Введення даних'!$B$6:$B$24,"&gt;"&amp;EOMONTH(fДата,0))</f>
        <v>0</v>
      </c>
      <c r="D6" s="39"/>
      <c r="E6" s="11"/>
      <c r="F6" s="12"/>
      <c r="G6" s="37">
        <f ca="1">COUNTIF(tblДані[ДАТА],"&lt;="&amp;EOMONTH(fДата,0))</f>
        <v>0</v>
      </c>
      <c r="H6" s="10"/>
      <c r="I6" s="10"/>
      <c r="J6" s="13"/>
    </row>
    <row r="7" spans="2:10" s="3" customFormat="1" ht="15" customHeight="1" x14ac:dyDescent="0.2">
      <c r="B7" s="14" t="s">
        <v>13</v>
      </c>
      <c r="C7" s="49">
        <f ca="1">SUMIF(tblДані[ДАТА],"&gt;="&amp;DATE(fРік,MONTH(fДата),1),tblДані[СУМА])-SUMIF(tblДані[ДАТА],"&gt;"&amp;EOMONTH(fДата,0),tblДані[СУМА])</f>
        <v>0</v>
      </c>
      <c r="D7" s="49">
        <f ca="1">SUMIF('Введення даних'!$B$6:$B$24,"&gt;="&amp;DATE(fРік,MONTH(fДата),1),'Введення даних'!$E$6:$E$24)-SUMIF('Введення даних'!$B$6:$B$24,"&gt;"&amp;EOMONTH(fДата,0),'Введення даних'!$E$6:$E$24)</f>
        <v>0</v>
      </c>
      <c r="E7" s="49">
        <f ca="1">D7-C7</f>
        <v>0</v>
      </c>
      <c r="F7" s="50" t="str">
        <f ca="1">IFERROR(D7/C7,"-")</f>
        <v>-</v>
      </c>
      <c r="G7" s="49">
        <f ca="1">SUMIF(tblДані[ДАТА],"&lt;="&amp;EOMONTH(fДата,0),tblДані[СУМА])</f>
        <v>0</v>
      </c>
      <c r="H7" s="49">
        <f ca="1">SUMIF(tblДані[ДАТА],"&lt;="&amp;EOMONTH(fДата,0),tblДані[ЗАПЛАНОВАНО])</f>
        <v>0</v>
      </c>
      <c r="I7" s="49">
        <f ca="1">H7-G7</f>
        <v>0</v>
      </c>
      <c r="J7" s="51" t="str">
        <f ca="1">IFERROR(H7/G7,"")</f>
        <v/>
      </c>
    </row>
    <row r="8" spans="2:10" s="3" customFormat="1" ht="15" customHeight="1" x14ac:dyDescent="0.2">
      <c r="B8" s="14" t="s">
        <v>9</v>
      </c>
      <c r="C8" s="49">
        <f ca="1">(SUMIF(tblДані[ДАТА],"&gt;="&amp;DATE(fРік,MONTH(fДата),1),tblДані[СУМА])-SUMIF(tblДані[ДАТА],"&gt;"&amp;EOMONTH(fДата,0),tblДані[СУМА]))-(SUMIF(tblДані[ДАТА],"&gt;="&amp;DATE(fРік,MONTH(fДата),1),tblДані[ВАРТІСТЬ])-SUMIF(tblДані[ДАТА],"&gt;"&amp;EOMONTH(fДата,0),tblДані[ВАРТІСТЬ]))</f>
        <v>0</v>
      </c>
      <c r="D8" s="49">
        <f ca="1">(SUMIF('Введення даних'!$B$6:$B$24,"&gt;="&amp;DATE(fРік,MONTH(fДата),1),'Введення даних'!$E$6:$E$24)-SUMIF('Введення даних'!$B$6:$B$24,"&gt;"&amp;EOMONTH(fДата,0),'Введення даних'!$E$6:$E$24))-(SUMIF('Введення даних'!$B$6:$B$24,"&gt;="&amp;DATE(fРік,MONTH(fДата),1),'Введення даних'!$F$6:$F$24)-SUMIF('Введення даних'!$B$6:$B$24,"&gt;"&amp;EOMONTH(fДата,0),'Введення даних'!$F$6:$F$24))</f>
        <v>0</v>
      </c>
      <c r="E8" s="49">
        <f ca="1">D8-C8</f>
        <v>0</v>
      </c>
      <c r="F8" s="50" t="str">
        <f ca="1">IFERROR(D8/C8,"-")</f>
        <v>-</v>
      </c>
      <c r="G8" s="49">
        <f ca="1">SUMIF('Введення даних'!$B$6:$B$24,"&lt;="&amp;EOMONTH(fДата,0),'Введення даних'!$F$6:$F$24)</f>
        <v>0</v>
      </c>
      <c r="H8" s="49">
        <f ca="1">SUMIF(tblДані[ДАТА],"&lt;="&amp;EOMONTH(fДата,0),tblДані[ВАРТІСТЬ])</f>
        <v>0</v>
      </c>
      <c r="I8" s="49">
        <f ca="1">H8-G8</f>
        <v>0</v>
      </c>
      <c r="J8" s="51" t="str">
        <f ca="1">IFERROR(H8/G8,"")</f>
        <v/>
      </c>
    </row>
    <row r="9" spans="2:10" s="3" customFormat="1" ht="15" customHeight="1" x14ac:dyDescent="0.2">
      <c r="B9" s="14" t="s">
        <v>10</v>
      </c>
      <c r="C9" s="50" t="str">
        <f ca="1">IFERROR(C8/C7,"-")</f>
        <v>-</v>
      </c>
      <c r="D9" s="50" t="str">
        <f ca="1">IFERROR(D8/D7,"-")</f>
        <v>-</v>
      </c>
      <c r="E9" s="50"/>
      <c r="F9" s="50" t="str">
        <f ca="1">IFERROR(F8/F7,"-")</f>
        <v>-</v>
      </c>
      <c r="G9" s="50" t="str">
        <f ca="1">IFERROR(G8/G7,"")</f>
        <v/>
      </c>
      <c r="H9" s="50" t="str">
        <f ca="1">IFERROR(H8/H7,"")</f>
        <v/>
      </c>
      <c r="I9" s="50"/>
      <c r="J9" s="51" t="str">
        <f ca="1">IFERROR(J8/J7,"")</f>
        <v/>
      </c>
    </row>
    <row r="10" spans="2:10" s="3" customFormat="1" ht="15" customHeight="1" x14ac:dyDescent="0.2">
      <c r="B10" s="14" t="s">
        <v>11</v>
      </c>
      <c r="C10" s="38">
        <f ca="1">COUNTIF(tblДані[ДАТА],"&gt;="&amp;DATE(fРік,MONTH(fДата),1))-COUNTIF(tblДані[ДАТА],"&gt;"&amp;EOMONTH(fДата,0))</f>
        <v>0</v>
      </c>
      <c r="D10" s="15"/>
      <c r="E10" s="15"/>
      <c r="F10" s="15"/>
      <c r="G10" s="38">
        <f ca="1">COUNTIF(tblДані[ДАТА],"&gt;"&amp;EOMONTH(fДата,0))</f>
        <v>19</v>
      </c>
      <c r="H10" s="15"/>
      <c r="I10" s="15"/>
      <c r="J10" s="16"/>
    </row>
    <row r="11" spans="2:10" s="3" customFormat="1" ht="15" customHeight="1" x14ac:dyDescent="0.2">
      <c r="B11" s="14" t="s">
        <v>12</v>
      </c>
      <c r="C11" s="50" t="str">
        <f ca="1">IFERROR(C7/C10,"-")</f>
        <v>-</v>
      </c>
      <c r="D11" s="15"/>
      <c r="E11" s="15"/>
      <c r="F11" s="15"/>
      <c r="G11" s="49">
        <f ca="1">IFERROR(G7/G10,"-")</f>
        <v>0</v>
      </c>
      <c r="H11" s="15"/>
      <c r="I11" s="15"/>
      <c r="J11" s="16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2" t="s">
        <v>29</v>
      </c>
      <c r="C13" s="32"/>
      <c r="D13" s="32" t="s">
        <v>39</v>
      </c>
      <c r="E13" s="36"/>
      <c r="F13" s="32" t="s">
        <v>40</v>
      </c>
      <c r="G13" s="36"/>
      <c r="H13" s="32"/>
      <c r="I13" s="32" t="s">
        <v>41</v>
      </c>
      <c r="J13" s="17"/>
    </row>
    <row r="14" spans="2:10" x14ac:dyDescent="0.2">
      <c r="B14" s="35" t="s">
        <v>13</v>
      </c>
      <c r="C14" s="35"/>
      <c r="D14" s="57">
        <f ca="1">TREND(tblДані[КВАРТАЛ2],tblДані[ЗА МІСЯЦЬ],IF(MONTH(fДата)=12,13,MONTH(fДата)+1))</f>
        <v>19802.707275803721</v>
      </c>
      <c r="E14" s="58"/>
      <c r="F14" s="57">
        <f ca="1">TREND(tblДані[[ЗА РІК ]],tblДані[ЗА МІСЯЦЬ],IF(MONTH(fДата)=12,13,MONTH(fДата)+1))</f>
        <v>45107.445008460243</v>
      </c>
      <c r="G14" s="58"/>
      <c r="H14" s="57"/>
      <c r="I14" s="57">
        <f ca="1">TREND(tblДані[МІСЯЦЬ3],tblДані[ЗА МІСЯЦЬ],IF(MONTH(fДата)=12,13,MONTH(fДата)+1))</f>
        <v>143800</v>
      </c>
      <c r="J14" s="18"/>
    </row>
    <row r="15" spans="2:10" ht="27" customHeight="1" x14ac:dyDescent="0.2"/>
    <row r="16" spans="2:10" s="20" customFormat="1" ht="27" customHeight="1" x14ac:dyDescent="0.2">
      <c r="B16" s="20" t="s">
        <v>42</v>
      </c>
    </row>
    <row r="30" spans="2:6" s="20" customFormat="1" ht="27" customHeight="1" x14ac:dyDescent="0.2">
      <c r="B30" s="20" t="s">
        <v>45</v>
      </c>
      <c r="F30" s="20" t="s">
        <v>46</v>
      </c>
    </row>
    <row r="38" spans="2:10" s="20" customFormat="1" ht="27" customHeight="1" x14ac:dyDescent="0.2">
      <c r="B38" s="20" t="s">
        <v>43</v>
      </c>
      <c r="F38" s="20" t="s">
        <v>44</v>
      </c>
    </row>
    <row r="43" spans="2:10" x14ac:dyDescent="0.2">
      <c r="J43" t="s">
        <v>48</v>
      </c>
    </row>
  </sheetData>
  <conditionalFormatting sqref="E2">
    <cfRule type="expression" dxfId="5" priority="3">
      <formula>(LEN($E2)&gt;0)*(LEN($D3)&gt;0)</formula>
    </cfRule>
  </conditionalFormatting>
  <conditionalFormatting sqref="D2">
    <cfRule type="expression" dxfId="4" priority="2">
      <formula>(LEN($D2)&gt;0)*(LEN($C2)=0)</formula>
    </cfRule>
  </conditionalFormatting>
  <conditionalFormatting sqref="F2">
    <cfRule type="expression" dxfId="3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2029-01-01T08:00:00+00:00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845880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2012-06-28T22:27:47+00:00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217723</Value>
    </PublishStatusLookup>
    <APAuthor xmlns="360401dd-760e-448c-b001-b4002b6d12d2">
      <UserInfo>
        <DisplayName/>
        <AccountId>2566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 xsi:nil="true"/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false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 xsi:nil="true"/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LocMarketGroupTiers2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false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Spreadsheet Template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TP102929974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15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C09D1D1-E304-44ED-94CE-53B16D07BBC8}"/>
</file>

<file path=customXml/itemProps2.xml><?xml version="1.0" encoding="utf-8"?>
<ds:datastoreItem xmlns:ds="http://schemas.openxmlformats.org/officeDocument/2006/customXml" ds:itemID="{C8DE6788-D1FD-452D-A3B7-55A6390F72E3}"/>
</file>

<file path=customXml/itemProps3.xml><?xml version="1.0" encoding="utf-8"?>
<ds:datastoreItem xmlns:ds="http://schemas.openxmlformats.org/officeDocument/2006/customXml" ds:itemID="{0AEE7169-E8EC-4E19-BA48-3F46D4C38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7</vt:i4>
      </vt:variant>
    </vt:vector>
  </HeadingPairs>
  <TitlesOfParts>
    <vt:vector size="10" baseType="lpstr">
      <vt:lpstr>Введення даних</vt:lpstr>
      <vt:lpstr>Звіт про продажі</vt:lpstr>
      <vt:lpstr>Прогноз рівня продажів</vt:lpstr>
      <vt:lpstr>fДата</vt:lpstr>
      <vt:lpstr>fДень</vt:lpstr>
      <vt:lpstr>fМісяць</vt:lpstr>
      <vt:lpstr>fРік</vt:lpstr>
      <vt:lpstr>Дата_прогнозу</vt:lpstr>
      <vt:lpstr>'Звіт про продажі'!Друк_заголовки</vt:lpstr>
      <vt:lpstr>'Прогноз рівня продажів'!Область_друку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2012-06-20T20:17:06Z</dcterms:created>
  <dcterms:modified xsi:type="dcterms:W3CDTF">2012-10-29T06:06:51Z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