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P:\MS-IW-OFFICE-UA\Office_Online\Projects\Templates_Gemini_G1\Phases\65_Calendar_template_Customization_2016\07_FinalPostProcessing\Batch6\UKR\"/>
    </mc:Choice>
  </mc:AlternateContent>
  <bookViews>
    <workbookView xWindow="0" yWindow="1800" windowWidth="20490" windowHeight="7515" tabRatio="741"/>
  </bookViews>
  <sheets>
    <sheet name="січ" sheetId="1" r:id="rId1"/>
    <sheet name="лют" sheetId="6" r:id="rId2"/>
    <sheet name="бер" sheetId="7" r:id="rId3"/>
    <sheet name="кві" sheetId="8" r:id="rId4"/>
    <sheet name="тра" sheetId="9" r:id="rId5"/>
    <sheet name="чер" sheetId="10" r:id="rId6"/>
    <sheet name="лип" sheetId="11" r:id="rId7"/>
    <sheet name="сер" sheetId="12" r:id="rId8"/>
    <sheet name="вер" sheetId="13" r:id="rId9"/>
    <sheet name="жов" sheetId="14" r:id="rId10"/>
    <sheet name="лис" sheetId="15" r:id="rId11"/>
    <sheet name="гру" sheetId="16" r:id="rId12"/>
  </sheets>
  <definedNames>
    <definedName name="_xlnm.Print_Area" localSheetId="2">бер!$A$1:$N$33</definedName>
    <definedName name="_xlnm.Print_Area" localSheetId="8">вер!$A$1:$N$33</definedName>
    <definedName name="_xlnm.Print_Area" localSheetId="11">гру!$A$1:$N$33</definedName>
    <definedName name="_xlnm.Print_Area" localSheetId="9">жов!$A$1:$N$33</definedName>
    <definedName name="_xlnm.Print_Area" localSheetId="3">кві!$A$1:$N$33</definedName>
    <definedName name="_xlnm.Print_Area" localSheetId="6">лип!$A$1:$N$33</definedName>
    <definedName name="_xlnm.Print_Area" localSheetId="10">лис!$A$1:$N$33</definedName>
    <definedName name="_xlnm.Print_Area" localSheetId="1">лют!$A$1:$N$33</definedName>
    <definedName name="_xlnm.Print_Area" localSheetId="7">сер!$A$1:$N$33</definedName>
    <definedName name="_xlnm.Print_Area" localSheetId="4">тра!$A$1:$N$33</definedName>
    <definedName name="_xlnm.Print_Area" localSheetId="5">чер!$A$1:$N$33</definedName>
    <definedName name="БерНд1">DATE(КалендарРік,3,1)-WEEKDAY(DATE(КалендарРік,3,1))+1</definedName>
    <definedName name="ВерНд1">DATE(КалендарРік,9,1)-WEEKDAY(DATE(КалендарРік,9,1))+1</definedName>
    <definedName name="ГруНд1">DATE(КалендарРік,12,1)-WEEKDAY(DATE(КалендарРік,12,1))+1</definedName>
    <definedName name="ДніЗавдання" localSheetId="2">бер!$L$4:$L$33</definedName>
    <definedName name="ДніЗавдання" localSheetId="8">вер!$L$4:$L$33</definedName>
    <definedName name="ДніЗавдання" localSheetId="11">гру!$L$4:$L$33</definedName>
    <definedName name="ДніЗавдання" localSheetId="9">жов!$L$4:$L$33</definedName>
    <definedName name="ДніЗавдання" localSheetId="3">кві!$L$4:$L$33</definedName>
    <definedName name="ДніЗавдання" localSheetId="6">лип!$L$4:$L$33</definedName>
    <definedName name="ДніЗавдання" localSheetId="10">лис!$L$4:$L$33</definedName>
    <definedName name="ДніЗавдання" localSheetId="1">лют!$L$4:$L$33</definedName>
    <definedName name="ДніЗавдання" localSheetId="7">сер!$L$4:$L$33</definedName>
    <definedName name="ДніЗавдання" localSheetId="4">тра!$L$4:$L$33</definedName>
    <definedName name="ДніЗавдання" localSheetId="5">чер!$L$4:$L$33</definedName>
    <definedName name="ДніЗавдання">січ!$L$4:$L$33</definedName>
    <definedName name="ЖовНд1">DATE(КалендарРік,10,1)-WEEKDAY(DATE(КалендарРік,10,1))+1</definedName>
    <definedName name="КалендарРік">січ!$N$2</definedName>
    <definedName name="КвіНд1">DATE(КалендарРік,4,1)-WEEKDAY(DATE(КалендарРік,4,1))+1</definedName>
    <definedName name="ЛипНд1">DATE(КалендарРік,7,1)-WEEKDAY(DATE(КалендарРік,7,1))+1</definedName>
    <definedName name="ЛисНд1">DATE(КалендарРік,11,1)-WEEKDAY(DATE(КалендарРік,11,1))+1</definedName>
    <definedName name="ЛютНд1">DATE(КалендарРік,2,1)-WEEKDAY(DATE(КалендарРік,2,1))+1</definedName>
    <definedName name="СерНд1">DATE(КалендарРік,8,1)-WEEKDAY(DATE(КалендарРік,8,1))+1</definedName>
    <definedName name="СічНд1">DATE(КалендарРік,1,1)-WEEKDAY(DATE(КалендарРік,1,1))+1</definedName>
    <definedName name="ТаблицяВажливихДат" localSheetId="2">бер!$L$4:$M$8</definedName>
    <definedName name="ТаблицяВажливихДат" localSheetId="8">вер!$L$4:$M$8</definedName>
    <definedName name="ТаблицяВажливихДат" localSheetId="11">гру!$L$4:$M$8</definedName>
    <definedName name="ТаблицяВажливихДат" localSheetId="9">жов!$L$4:$M$8</definedName>
    <definedName name="ТаблицяВажливихДат" localSheetId="3">кві!$L$4:$M$8</definedName>
    <definedName name="ТаблицяВажливихДат" localSheetId="6">лип!$L$4:$M$8</definedName>
    <definedName name="ТаблицяВажливихДат" localSheetId="10">лис!$L$4:$M$8</definedName>
    <definedName name="ТаблицяВажливихДат" localSheetId="1">лют!$L$4:$M$8</definedName>
    <definedName name="ТаблицяВажливихДат" localSheetId="7">сер!$L$4:$M$8</definedName>
    <definedName name="ТаблицяВажливихДат" localSheetId="4">тра!$L$4:$M$8</definedName>
    <definedName name="ТаблицяВажливихДат" localSheetId="5">чер!$L$4:$M$8</definedName>
    <definedName name="ТаблицяВажливихДат">січ!$L$4:$M$8</definedName>
    <definedName name="ТраНд1">DATE(КалендарРік,5,1)-WEEKDAY(DATE(КалендарРік,5,1))+1</definedName>
    <definedName name="ЧерНд1">DATE(КалендарРік,6,1)-WEEKDAY(DATE(КалендарРік,6,1))+1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16" l="1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8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7"/>
  <c r="H9" i="7"/>
  <c r="G9" i="7"/>
  <c r="F9" i="7"/>
  <c r="I8" i="7"/>
  <c r="H8" i="7"/>
  <c r="G8" i="7"/>
  <c r="F8" i="7"/>
  <c r="I7" i="7"/>
  <c r="H7" i="7"/>
  <c r="G7" i="7"/>
  <c r="F7" i="7"/>
  <c r="I6" i="7"/>
  <c r="H6" i="7"/>
  <c r="G6" i="7"/>
  <c r="F6" i="7"/>
  <c r="I5" i="7"/>
  <c r="H5" i="7"/>
  <c r="G5" i="7"/>
  <c r="I4" i="7"/>
  <c r="H4" i="7"/>
  <c r="F5" i="7"/>
  <c r="E9" i="7"/>
  <c r="E8" i="7"/>
  <c r="E7" i="7"/>
  <c r="E6" i="7"/>
  <c r="E5" i="7"/>
  <c r="E4" i="7"/>
  <c r="D9" i="7"/>
  <c r="D8" i="7"/>
  <c r="D7" i="7"/>
  <c r="D6" i="7"/>
  <c r="D5" i="7"/>
  <c r="C9" i="7"/>
  <c r="C8" i="7"/>
  <c r="C7" i="7"/>
  <c r="C6" i="7"/>
  <c r="C5" i="7"/>
  <c r="N2" i="6"/>
  <c r="G4" i="7"/>
  <c r="F4" i="7"/>
  <c r="D4" i="7"/>
  <c r="C4" i="7"/>
  <c r="N2" i="16"/>
  <c r="N2" i="15"/>
  <c r="N2" i="14"/>
  <c r="N2" i="13"/>
  <c r="N2" i="12"/>
  <c r="N2" i="11"/>
  <c r="N2" i="10"/>
  <c r="N2" i="9"/>
  <c r="N2" i="7"/>
  <c r="N2" i="8"/>
  <c r="I9" i="6"/>
  <c r="I8" i="6"/>
  <c r="H9" i="6"/>
  <c r="H8" i="6"/>
  <c r="G9" i="6"/>
  <c r="G8" i="6"/>
  <c r="F9" i="6"/>
  <c r="F8" i="6"/>
  <c r="E9" i="6"/>
  <c r="E8" i="6"/>
  <c r="D8" i="6"/>
  <c r="D9" i="6"/>
  <c r="C9" i="6"/>
  <c r="C8" i="6"/>
  <c r="C7" i="6"/>
  <c r="D7" i="6"/>
  <c r="E7" i="6"/>
  <c r="F7" i="6"/>
  <c r="G7" i="6"/>
  <c r="H7" i="6"/>
  <c r="I7" i="6"/>
  <c r="I6" i="6"/>
  <c r="H6" i="6"/>
  <c r="G6" i="6"/>
  <c r="F6" i="6"/>
  <c r="E6" i="6"/>
  <c r="D6" i="6"/>
  <c r="C6" i="6"/>
  <c r="C5" i="6"/>
  <c r="D5" i="6"/>
  <c r="E5" i="6"/>
  <c r="F5" i="6"/>
  <c r="G5" i="6"/>
  <c r="H5" i="6"/>
  <c r="I5" i="6"/>
  <c r="I4" i="6"/>
  <c r="H4" i="6"/>
  <c r="G4" i="6"/>
  <c r="F4" i="6"/>
  <c r="E4" i="6"/>
  <c r="D4" i="6"/>
  <c r="C4" i="6"/>
  <c r="C9" i="1"/>
  <c r="D9" i="1"/>
  <c r="E9" i="1"/>
  <c r="F9" i="1"/>
  <c r="G9" i="1"/>
  <c r="H9" i="1"/>
  <c r="I9" i="1"/>
  <c r="G8" i="1"/>
  <c r="F8" i="1"/>
  <c r="E8" i="1"/>
  <c r="D8" i="1"/>
  <c r="C8" i="1"/>
  <c r="H8" i="1"/>
  <c r="I8" i="1"/>
  <c r="E7" i="1"/>
  <c r="D7" i="1"/>
  <c r="C7" i="1"/>
  <c r="C6" i="1"/>
  <c r="F7" i="1"/>
  <c r="G7" i="1"/>
  <c r="H7" i="1"/>
  <c r="I7" i="1"/>
  <c r="I6" i="1"/>
  <c r="H6" i="1"/>
  <c r="G6" i="1"/>
  <c r="F6" i="1"/>
  <c r="E6" i="1"/>
  <c r="D6" i="1"/>
  <c r="H4" i="1"/>
  <c r="C5" i="1"/>
  <c r="D5" i="1"/>
  <c r="E5" i="1"/>
  <c r="F5" i="1"/>
  <c r="G5" i="1"/>
  <c r="H5" i="1"/>
  <c r="I5" i="1"/>
  <c r="I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<sst xmlns="http://schemas.openxmlformats.org/spreadsheetml/2006/main" count="555" uniqueCount="39">
  <si>
    <t>СІЧ</t>
  </si>
  <si>
    <t>РОЗКЛАД НА ТИЖДЕНЬ</t>
  </si>
  <si>
    <t>ПН</t>
  </si>
  <si>
    <t>08:00</t>
  </si>
  <si>
    <t>Французька</t>
  </si>
  <si>
    <t>10:00</t>
  </si>
  <si>
    <t>Математика</t>
  </si>
  <si>
    <t>14:00</t>
  </si>
  <si>
    <t>Англійська</t>
  </si>
  <si>
    <t>Пн</t>
  </si>
  <si>
    <t>ВТ</t>
  </si>
  <si>
    <t>09:00</t>
  </si>
  <si>
    <t>Історія мистецтв</t>
  </si>
  <si>
    <t>16:00</t>
  </si>
  <si>
    <t>Програмування</t>
  </si>
  <si>
    <t>СР</t>
  </si>
  <si>
    <t>ЧТ</t>
  </si>
  <si>
    <t>ПТ</t>
  </si>
  <si>
    <t>ЗАВДАННЯ</t>
  </si>
  <si>
    <t>&lt; Введіть рік календаря в N2.</t>
  </si>
  <si>
    <t>ЖОВ</t>
  </si>
  <si>
    <t>ЛИС</t>
  </si>
  <si>
    <t>ГРУ</t>
  </si>
  <si>
    <t>ЛЮТ</t>
  </si>
  <si>
    <t>БЕР</t>
  </si>
  <si>
    <t>КВІ</t>
  </si>
  <si>
    <t>ТРА</t>
  </si>
  <si>
    <t>ЧЕР</t>
  </si>
  <si>
    <t>ЛИП</t>
  </si>
  <si>
    <t>СЕР</t>
  </si>
  <si>
    <t>ВЕР</t>
  </si>
  <si>
    <t>Вт</t>
  </si>
  <si>
    <t>Ср</t>
  </si>
  <si>
    <t>Чт</t>
  </si>
  <si>
    <t>Пт</t>
  </si>
  <si>
    <t>Сб</t>
  </si>
  <si>
    <t>Нд</t>
  </si>
  <si>
    <t>Історія мистецтв: тест</t>
  </si>
  <si>
    <t>Французька: здати початковий варіант статті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</si>
</sst>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1" x14ac:knownFonts="1">
    <font>
      <sz val="10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b/>
      <sz val="10"/>
      <color rgb="FF39B5D4"/>
      <name val="Arial"/>
      <family val="2"/>
      <scheme val="minor"/>
    </font>
    <font>
      <b/>
      <sz val="10"/>
      <color theme="4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6">
    <xf numFmtId="0" fontId="0" fillId="0" borderId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textRotation="90"/>
    </xf>
  </cellStyleXfs>
  <cellXfs count="81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indent="1"/>
    </xf>
    <xf numFmtId="0" fontId="0" fillId="0" borderId="8" xfId="0" applyFont="1" applyBorder="1"/>
    <xf numFmtId="0" fontId="0" fillId="0" borderId="15" xfId="0" applyFont="1" applyBorder="1"/>
    <xf numFmtId="0" fontId="10" fillId="3" borderId="20" xfId="0" applyFont="1" applyFill="1" applyBorder="1" applyAlignment="1">
      <alignment horizontal="left" vertical="top" indent="1"/>
    </xf>
    <xf numFmtId="0" fontId="10" fillId="3" borderId="10" xfId="0" applyFont="1" applyFill="1" applyBorder="1" applyAlignment="1">
      <alignment horizontal="left" vertical="top" indent="1"/>
    </xf>
    <xf numFmtId="49" fontId="9" fillId="3" borderId="7" xfId="0" applyNumberFormat="1" applyFont="1" applyFill="1" applyBorder="1" applyAlignment="1">
      <alignment horizontal="left" indent="1"/>
    </xf>
    <xf numFmtId="49" fontId="9" fillId="3" borderId="23" xfId="0" applyNumberFormat="1" applyFont="1" applyFill="1" applyBorder="1" applyAlignment="1">
      <alignment horizontal="left" inden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textRotation="90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textRotation="90"/>
    </xf>
    <xf numFmtId="164" fontId="1" fillId="0" borderId="13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0" fillId="0" borderId="39" xfId="0" applyFont="1" applyBorder="1"/>
    <xf numFmtId="0" fontId="0" fillId="0" borderId="40" xfId="0" applyFont="1" applyBorder="1"/>
    <xf numFmtId="164" fontId="15" fillId="0" borderId="13" xfId="0" applyNumberFormat="1" applyFont="1" applyFill="1" applyBorder="1" applyAlignment="1">
      <alignment horizontal="left" vertical="center" wrapText="1" indent="1"/>
    </xf>
    <xf numFmtId="0" fontId="0" fillId="0" borderId="14" xfId="0" applyFont="1" applyBorder="1"/>
    <xf numFmtId="0" fontId="19" fillId="0" borderId="0" xfId="0" applyFont="1" applyAlignment="1">
      <alignment vertical="center" wrapText="1"/>
    </xf>
    <xf numFmtId="0" fontId="17" fillId="0" borderId="6" xfId="2" applyFill="1" applyBorder="1" applyAlignment="1">
      <alignment vertical="top"/>
    </xf>
    <xf numFmtId="0" fontId="17" fillId="0" borderId="41" xfId="2" applyFill="1" applyBorder="1" applyAlignment="1">
      <alignment vertical="top"/>
    </xf>
    <xf numFmtId="0" fontId="17" fillId="0" borderId="6" xfId="2" applyFill="1" applyBorder="1" applyAlignment="1">
      <alignment vertical="center" textRotation="90"/>
    </xf>
    <xf numFmtId="0" fontId="17" fillId="0" borderId="41" xfId="2" applyFill="1" applyBorder="1" applyAlignment="1">
      <alignment vertical="center" textRotation="90"/>
    </xf>
    <xf numFmtId="0" fontId="0" fillId="0" borderId="38" xfId="0" applyFont="1" applyBorder="1"/>
    <xf numFmtId="0" fontId="17" fillId="0" borderId="6" xfId="2" applyFill="1" applyBorder="1" applyAlignment="1">
      <alignment vertical="top"/>
    </xf>
    <xf numFmtId="0" fontId="20" fillId="0" borderId="0" xfId="0" applyFont="1" applyAlignment="1">
      <alignment vertical="center" wrapText="1"/>
    </xf>
    <xf numFmtId="0" fontId="7" fillId="0" borderId="6" xfId="4" applyBorder="1" applyAlignment="1">
      <alignment horizontal="left" vertical="center"/>
    </xf>
    <xf numFmtId="0" fontId="7" fillId="0" borderId="0" xfId="4" applyAlignment="1">
      <alignment horizontal="left" vertical="center"/>
    </xf>
    <xf numFmtId="0" fontId="7" fillId="0" borderId="15" xfId="4" applyBorder="1" applyAlignment="1">
      <alignment horizontal="left" vertical="center"/>
    </xf>
    <xf numFmtId="0" fontId="12" fillId="0" borderId="2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164" fontId="13" fillId="0" borderId="4" xfId="0" applyNumberFormat="1" applyFont="1" applyFill="1" applyBorder="1" applyAlignment="1">
      <alignment horizontal="left"/>
    </xf>
    <xf numFmtId="164" fontId="13" fillId="0" borderId="19" xfId="0" applyNumberFormat="1" applyFont="1" applyFill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49" fontId="9" fillId="3" borderId="9" xfId="0" applyNumberFormat="1" applyFont="1" applyFill="1" applyBorder="1" applyAlignment="1">
      <alignment horizontal="left" indent="1"/>
    </xf>
    <xf numFmtId="49" fontId="9" fillId="3" borderId="5" xfId="0" applyNumberFormat="1" applyFont="1" applyFill="1" applyBorder="1" applyAlignment="1">
      <alignment horizontal="left" indent="1"/>
    </xf>
    <xf numFmtId="0" fontId="10" fillId="3" borderId="21" xfId="0" applyFont="1" applyFill="1" applyBorder="1" applyAlignment="1">
      <alignment horizontal="left" vertical="top" indent="1"/>
    </xf>
    <xf numFmtId="0" fontId="10" fillId="3" borderId="22" xfId="0" applyFont="1" applyFill="1" applyBorder="1" applyAlignment="1">
      <alignment horizontal="left" vertical="top" indent="1"/>
    </xf>
    <xf numFmtId="0" fontId="10" fillId="3" borderId="11" xfId="0" applyFont="1" applyFill="1" applyBorder="1" applyAlignment="1">
      <alignment horizontal="left" vertical="top" indent="1"/>
    </xf>
    <xf numFmtId="0" fontId="10" fillId="3" borderId="12" xfId="0" applyFont="1" applyFill="1" applyBorder="1" applyAlignment="1">
      <alignment horizontal="left" vertical="top" indent="1"/>
    </xf>
    <xf numFmtId="49" fontId="11" fillId="3" borderId="9" xfId="0" applyNumberFormat="1" applyFont="1" applyFill="1" applyBorder="1" applyAlignment="1">
      <alignment horizontal="left" indent="1"/>
    </xf>
    <xf numFmtId="49" fontId="11" fillId="3" borderId="15" xfId="0" applyNumberFormat="1" applyFont="1" applyFill="1" applyBorder="1" applyAlignment="1">
      <alignment horizontal="left" indent="1"/>
    </xf>
    <xf numFmtId="0" fontId="10" fillId="3" borderId="26" xfId="0" applyFont="1" applyFill="1" applyBorder="1" applyAlignment="1">
      <alignment horizontal="left" vertical="top" indent="1"/>
    </xf>
    <xf numFmtId="49" fontId="9" fillId="3" borderId="9" xfId="0" applyNumberFormat="1" applyFont="1" applyFill="1" applyBorder="1" applyAlignment="1">
      <alignment horizontal="left" vertical="center" indent="1"/>
    </xf>
    <xf numFmtId="49" fontId="9" fillId="3" borderId="15" xfId="0" applyNumberFormat="1" applyFont="1" applyFill="1" applyBorder="1" applyAlignment="1">
      <alignment horizontal="left" vertical="center" indent="1"/>
    </xf>
    <xf numFmtId="164" fontId="10" fillId="3" borderId="11" xfId="0" applyNumberFormat="1" applyFont="1" applyFill="1" applyBorder="1" applyAlignment="1">
      <alignment horizontal="left" vertical="top" indent="1"/>
    </xf>
    <xf numFmtId="164" fontId="10" fillId="3" borderId="14" xfId="0" applyNumberFormat="1" applyFont="1" applyFill="1" applyBorder="1" applyAlignment="1">
      <alignment horizontal="left" vertical="top" indent="1"/>
    </xf>
    <xf numFmtId="164" fontId="10" fillId="3" borderId="21" xfId="0" applyNumberFormat="1" applyFont="1" applyFill="1" applyBorder="1" applyAlignment="1">
      <alignment horizontal="left" vertical="top" indent="1"/>
    </xf>
    <xf numFmtId="164" fontId="10" fillId="3" borderId="26" xfId="0" applyNumberFormat="1" applyFont="1" applyFill="1" applyBorder="1" applyAlignment="1">
      <alignment horizontal="left" vertical="top" indent="1"/>
    </xf>
    <xf numFmtId="49" fontId="9" fillId="3" borderId="15" xfId="0" applyNumberFormat="1" applyFont="1" applyFill="1" applyBorder="1" applyAlignment="1">
      <alignment horizontal="left" indent="1"/>
    </xf>
    <xf numFmtId="0" fontId="11" fillId="3" borderId="21" xfId="0" applyFont="1" applyFill="1" applyBorder="1" applyAlignment="1">
      <alignment horizontal="left" vertical="top" indent="1"/>
    </xf>
    <xf numFmtId="0" fontId="11" fillId="3" borderId="26" xfId="0" applyFont="1" applyFill="1" applyBorder="1" applyAlignment="1">
      <alignment horizontal="left" vertical="top" indent="1"/>
    </xf>
    <xf numFmtId="49" fontId="9" fillId="3" borderId="24" xfId="0" applyNumberFormat="1" applyFont="1" applyFill="1" applyBorder="1" applyAlignment="1">
      <alignment horizontal="left" indent="1"/>
    </xf>
    <xf numFmtId="49" fontId="9" fillId="3" borderId="25" xfId="0" applyNumberFormat="1" applyFont="1" applyFill="1" applyBorder="1" applyAlignment="1">
      <alignment horizontal="left" indent="1"/>
    </xf>
    <xf numFmtId="49" fontId="9" fillId="3" borderId="27" xfId="0" applyNumberFormat="1" applyFont="1" applyFill="1" applyBorder="1" applyAlignment="1">
      <alignment horizontal="left" indent="1"/>
    </xf>
    <xf numFmtId="0" fontId="7" fillId="0" borderId="35" xfId="5" applyBorder="1" applyAlignment="1">
      <alignment vertical="top"/>
    </xf>
    <xf numFmtId="0" fontId="7" fillId="0" borderId="28" xfId="5" applyBorder="1" applyAlignment="1">
      <alignment vertical="top"/>
    </xf>
    <xf numFmtId="0" fontId="8" fillId="2" borderId="9" xfId="0" applyFont="1" applyFill="1" applyBorder="1" applyAlignment="1">
      <alignment horizontal="left" indent="1"/>
    </xf>
    <xf numFmtId="0" fontId="8" fillId="2" borderId="15" xfId="0" applyFont="1" applyFill="1" applyBorder="1" applyAlignment="1">
      <alignment horizontal="left" indent="1"/>
    </xf>
    <xf numFmtId="0" fontId="8" fillId="2" borderId="5" xfId="0" applyFont="1" applyFill="1" applyBorder="1" applyAlignment="1">
      <alignment horizontal="left" indent="1"/>
    </xf>
    <xf numFmtId="0" fontId="16" fillId="0" borderId="32" xfId="3" applyBorder="1" applyAlignment="1">
      <alignment horizontal="left" vertical="center"/>
    </xf>
    <xf numFmtId="0" fontId="16" fillId="0" borderId="33" xfId="3" applyBorder="1" applyAlignment="1">
      <alignment horizontal="left" vertical="center"/>
    </xf>
    <xf numFmtId="0" fontId="16" fillId="0" borderId="29" xfId="3" applyBorder="1" applyAlignment="1">
      <alignment horizontal="left" vertical="center"/>
    </xf>
    <xf numFmtId="0" fontId="16" fillId="0" borderId="30" xfId="3" applyBorder="1" applyAlignment="1">
      <alignment horizontal="left" vertical="center"/>
    </xf>
    <xf numFmtId="0" fontId="7" fillId="0" borderId="32" xfId="5" applyBorder="1" applyAlignment="1">
      <alignment vertical="top"/>
    </xf>
    <xf numFmtId="0" fontId="12" fillId="0" borderId="36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6" fillId="0" borderId="34" xfId="3" applyFill="1" applyBorder="1" applyAlignment="1">
      <alignment horizontal="center" vertical="center"/>
    </xf>
    <xf numFmtId="0" fontId="16" fillId="0" borderId="31" xfId="3" applyFill="1" applyBorder="1" applyAlignment="1">
      <alignment horizontal="center" vertical="center"/>
    </xf>
    <xf numFmtId="0" fontId="16" fillId="0" borderId="42" xfId="3" applyBorder="1" applyAlignment="1">
      <alignment horizontal="center" vertical="center"/>
    </xf>
    <xf numFmtId="0" fontId="16" fillId="0" borderId="43" xfId="3" applyBorder="1" applyAlignment="1">
      <alignment horizontal="center" vertical="center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59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СвітлийСтильТаблиці7 2" pivot="0" count="7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СвітлийСтильТаблиці9 2" pivot="0" count="4">
      <tableStyleElement type="wholeTable" dxfId="51"/>
      <tableStyleElement type="headerRow" dxfId="50"/>
      <tableStyleElement type="totalRow" dxfId="49"/>
      <tableStyleElement type="firstColumn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P33"/>
  <sheetViews>
    <sheetView showGridLines="0" tabSelected="1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4.7109375" style="1" customWidth="1"/>
    <col min="3" max="10" width="7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" width="30.85546875" customWidth="1"/>
    <col min="17" max="16384" width="8.7109375" style="1"/>
  </cols>
  <sheetData>
    <row r="1" spans="1:16" ht="11.25" customHeight="1" x14ac:dyDescent="0.2"/>
    <row r="2" spans="1:16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18</v>
      </c>
      <c r="L2" s="71">
        <v>2013</v>
      </c>
      <c r="M2" s="71"/>
      <c r="N2" s="77">
        <v>2016</v>
      </c>
      <c r="P2" s="32" t="s">
        <v>19</v>
      </c>
    </row>
    <row r="3" spans="1:16" ht="21" customHeight="1" x14ac:dyDescent="0.2">
      <c r="A3" s="4"/>
      <c r="B3" s="31" t="s">
        <v>0</v>
      </c>
      <c r="C3" s="2" t="s">
        <v>9</v>
      </c>
      <c r="D3" s="2" t="s">
        <v>31</v>
      </c>
      <c r="E3" s="2" t="s">
        <v>32</v>
      </c>
      <c r="F3" s="2" t="s">
        <v>33</v>
      </c>
      <c r="G3" s="2" t="s">
        <v>34</v>
      </c>
      <c r="H3" s="2" t="s">
        <v>35</v>
      </c>
      <c r="I3" s="2" t="s">
        <v>36</v>
      </c>
      <c r="J3" s="5"/>
      <c r="K3" s="72"/>
      <c r="L3" s="73"/>
      <c r="M3" s="73"/>
      <c r="N3" s="78"/>
      <c r="P3" s="32"/>
    </row>
    <row r="4" spans="1:16" ht="18" customHeight="1" x14ac:dyDescent="0.2">
      <c r="A4" s="4"/>
      <c r="B4" s="31"/>
      <c r="C4" s="10">
        <f>IF(DAY(СічНд1)=1,СічНд1-6,СічНд1+1)</f>
        <v>42366</v>
      </c>
      <c r="D4" s="10">
        <f>IF(DAY(СічНд1)=1,СічНд1-5,СічНд1+2)</f>
        <v>42367</v>
      </c>
      <c r="E4" s="10">
        <f>IF(DAY(СічНд1)=1,СічНд1-4,СічНд1+3)</f>
        <v>42368</v>
      </c>
      <c r="F4" s="10">
        <f>IF(DAY(СічНд1)=1,СічНд1-3,СічНд1+4)</f>
        <v>42369</v>
      </c>
      <c r="G4" s="10">
        <f>IF(DAY(СічНд1)=1,СічНд1-2,СічНд1+5)</f>
        <v>42370</v>
      </c>
      <c r="H4" s="10">
        <f>IF(DAY(СічНд1)=1,СічНд1-1,СічНд1+6)</f>
        <v>42371</v>
      </c>
      <c r="I4" s="10">
        <f>IF(DAY(СічНд1)=1,СічНд1,СічНд1+7)</f>
        <v>42372</v>
      </c>
      <c r="J4" s="5"/>
      <c r="K4" s="74" t="s">
        <v>2</v>
      </c>
      <c r="L4" s="16">
        <v>5</v>
      </c>
      <c r="M4" s="75" t="s">
        <v>38</v>
      </c>
      <c r="N4" s="76"/>
      <c r="P4" s="25"/>
    </row>
    <row r="5" spans="1:16" ht="18" customHeight="1" x14ac:dyDescent="0.2">
      <c r="A5" s="4"/>
      <c r="B5" s="26"/>
      <c r="C5" s="10">
        <f>IF(DAY(СічНд1)=1,СічНд1+1,СічНд1+8)</f>
        <v>42373</v>
      </c>
      <c r="D5" s="10">
        <f>IF(DAY(СічНд1)=1,СічНд1+2,СічНд1+9)</f>
        <v>42374</v>
      </c>
      <c r="E5" s="10">
        <f>IF(DAY(СічНд1)=1,СічНд1+3,СічНд1+10)</f>
        <v>42375</v>
      </c>
      <c r="F5" s="10">
        <f>IF(DAY(СічНд1)=1,СічНд1+4,СічНд1+11)</f>
        <v>42376</v>
      </c>
      <c r="G5" s="10">
        <f>IF(DAY(СічНд1)=1,СічНд1+5,СічНд1+12)</f>
        <v>42377</v>
      </c>
      <c r="H5" s="10">
        <f>IF(DAY(СічНд1)=1,СічНд1+6,СічНд1+13)</f>
        <v>42378</v>
      </c>
      <c r="I5" s="10">
        <f>IF(DAY(СічНд1)=1,СічНд1+7,СічНд1+14)</f>
        <v>42379</v>
      </c>
      <c r="J5" s="5"/>
      <c r="K5" s="66"/>
      <c r="L5" s="17"/>
      <c r="M5" s="36"/>
      <c r="N5" s="37"/>
      <c r="P5" s="25"/>
    </row>
    <row r="6" spans="1:16" ht="18" customHeight="1" x14ac:dyDescent="0.2">
      <c r="A6" s="4"/>
      <c r="B6" s="26"/>
      <c r="C6" s="10">
        <f>IF(DAY(СічНд1)=1,СічНд1+8,СічНд1+15)</f>
        <v>42380</v>
      </c>
      <c r="D6" s="10">
        <f>IF(DAY(СічНд1)=1,СічНд1+9,СічНд1+16)</f>
        <v>42381</v>
      </c>
      <c r="E6" s="10">
        <f>IF(DAY(СічНд1)=1,СічНд1+10,СічНд1+17)</f>
        <v>42382</v>
      </c>
      <c r="F6" s="10">
        <f>IF(DAY(СічНд1)=1,СічНд1+11,СічНд1+18)</f>
        <v>42383</v>
      </c>
      <c r="G6" s="10">
        <f>IF(DAY(СічНд1)=1,СічНд1+12,СічНд1+19)</f>
        <v>42384</v>
      </c>
      <c r="H6" s="10">
        <f>IF(DAY(СічНд1)=1,СічНд1+13,СічНд1+20)</f>
        <v>42385</v>
      </c>
      <c r="I6" s="10">
        <f>IF(DAY(СічНд1)=1,СічНд1+14,СічНд1+21)</f>
        <v>42386</v>
      </c>
      <c r="J6" s="5"/>
      <c r="K6" s="66"/>
      <c r="L6" s="17"/>
      <c r="M6" s="36"/>
      <c r="N6" s="37"/>
    </row>
    <row r="7" spans="1:16" ht="18" customHeight="1" x14ac:dyDescent="0.2">
      <c r="A7" s="4"/>
      <c r="B7" s="26"/>
      <c r="C7" s="10">
        <f>IF(DAY(СічНд1)=1,СічНд1+15,СічНд1+22)</f>
        <v>42387</v>
      </c>
      <c r="D7" s="10">
        <f>IF(DAY(СічНд1)=1,СічНд1+16,СічНд1+23)</f>
        <v>42388</v>
      </c>
      <c r="E7" s="10">
        <f>IF(DAY(СічНд1)=1,СічНд1+17,СічНд1+24)</f>
        <v>42389</v>
      </c>
      <c r="F7" s="10">
        <f>IF(DAY(СічНд1)=1,СічНд1+18,СічНд1+25)</f>
        <v>42390</v>
      </c>
      <c r="G7" s="10">
        <f>IF(DAY(СічНд1)=1,СічНд1+19,СічНд1+26)</f>
        <v>42391</v>
      </c>
      <c r="H7" s="10">
        <f>IF(DAY(СічНд1)=1,СічНд1+20,СічНд1+27)</f>
        <v>42392</v>
      </c>
      <c r="I7" s="10">
        <f>IF(DAY(СічНд1)=1,СічНд1+21,СічНд1+28)</f>
        <v>42393</v>
      </c>
      <c r="J7" s="5"/>
      <c r="K7" s="11"/>
      <c r="L7" s="17"/>
      <c r="M7" s="36"/>
      <c r="N7" s="37"/>
    </row>
    <row r="8" spans="1:16" ht="18.75" customHeight="1" x14ac:dyDescent="0.2">
      <c r="A8" s="4"/>
      <c r="B8" s="26"/>
      <c r="C8" s="10">
        <f>IF(DAY(СічНд1)=1,СічНд1+22,СічНд1+29)</f>
        <v>42394</v>
      </c>
      <c r="D8" s="10">
        <f>IF(DAY(СічНд1)=1,СічНд1+23,СічНд1+30)</f>
        <v>42395</v>
      </c>
      <c r="E8" s="10">
        <f>IF(DAY(СічНд1)=1,СічНд1+24,СічНд1+31)</f>
        <v>42396</v>
      </c>
      <c r="F8" s="10">
        <f>IF(DAY(СічНд1)=1,СічНд1+25,СічНд1+32)</f>
        <v>42397</v>
      </c>
      <c r="G8" s="10">
        <f>IF(DAY(СічНд1)=1,СічНд1+26,СічНд1+33)</f>
        <v>42398</v>
      </c>
      <c r="H8" s="10">
        <f>IF(DAY(СічНд1)=1,СічНд1+27,СічНд1+34)</f>
        <v>42399</v>
      </c>
      <c r="I8" s="10">
        <f>IF(DAY(СічНд1)=1,СічНд1+28,СічНд1+35)</f>
        <v>42400</v>
      </c>
      <c r="J8" s="5"/>
      <c r="K8" s="11"/>
      <c r="L8" s="17"/>
      <c r="M8" s="36"/>
      <c r="N8" s="37"/>
    </row>
    <row r="9" spans="1:16" ht="18" customHeight="1" x14ac:dyDescent="0.2">
      <c r="A9" s="4"/>
      <c r="B9" s="26"/>
      <c r="C9" s="10">
        <f>IF(DAY(СічНд1)=1,СічНд1+29,СічНд1+36)</f>
        <v>42401</v>
      </c>
      <c r="D9" s="10">
        <f>IF(DAY(СічНд1)=1,СічНд1+30,СічНд1+37)</f>
        <v>42402</v>
      </c>
      <c r="E9" s="10">
        <f>IF(DAY(СічНд1)=1,СічНд1+31,СічНд1+38)</f>
        <v>42403</v>
      </c>
      <c r="F9" s="10">
        <f>IF(DAY(СічНд1)=1,СічНд1+32,СічНд1+39)</f>
        <v>42404</v>
      </c>
      <c r="G9" s="10">
        <f>IF(DAY(СічНд1)=1,СічНд1+33,СічНд1+40)</f>
        <v>42405</v>
      </c>
      <c r="H9" s="10">
        <f>IF(DAY(СічНд1)=1,СічНд1+34,СічНд1+41)</f>
        <v>42406</v>
      </c>
      <c r="I9" s="10">
        <f>IF(DAY(СічНд1)=1,СічНд1+35,СічНд1+42)</f>
        <v>42407</v>
      </c>
      <c r="J9" s="5"/>
      <c r="K9" s="12"/>
      <c r="L9" s="18"/>
      <c r="M9" s="40"/>
      <c r="N9" s="41"/>
    </row>
    <row r="10" spans="1:16" ht="18" customHeight="1" x14ac:dyDescent="0.2">
      <c r="A10" s="4"/>
      <c r="B10" s="27"/>
      <c r="C10" s="23"/>
      <c r="D10" s="23"/>
      <c r="E10" s="23"/>
      <c r="F10" s="23"/>
      <c r="G10" s="23"/>
      <c r="H10" s="23"/>
      <c r="I10" s="23"/>
      <c r="J10" s="24"/>
      <c r="K10" s="65" t="s">
        <v>10</v>
      </c>
      <c r="L10" s="16">
        <v>20</v>
      </c>
      <c r="M10" s="42" t="s">
        <v>37</v>
      </c>
      <c r="N10" s="43"/>
    </row>
    <row r="11" spans="1:16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6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6" ht="18" customHeight="1" x14ac:dyDescent="0.2">
      <c r="B13" s="3" t="s">
        <v>2</v>
      </c>
      <c r="C13" s="67" t="s">
        <v>10</v>
      </c>
      <c r="D13" s="69"/>
      <c r="E13" s="67" t="s">
        <v>15</v>
      </c>
      <c r="F13" s="69"/>
      <c r="G13" s="67" t="s">
        <v>16</v>
      </c>
      <c r="H13" s="69"/>
      <c r="I13" s="67" t="s">
        <v>17</v>
      </c>
      <c r="J13" s="68"/>
      <c r="K13" s="11"/>
      <c r="L13" s="17"/>
      <c r="M13" s="36"/>
      <c r="N13" s="37"/>
    </row>
    <row r="14" spans="1:16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6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6" ht="18" customHeight="1" x14ac:dyDescent="0.2">
      <c r="B16" s="8"/>
      <c r="C16" s="44" t="s">
        <v>11</v>
      </c>
      <c r="D16" s="45"/>
      <c r="E16" s="44"/>
      <c r="F16" s="45"/>
      <c r="G16" s="44" t="s">
        <v>11</v>
      </c>
      <c r="H16" s="45"/>
      <c r="I16" s="53"/>
      <c r="J16" s="54"/>
      <c r="K16" s="65" t="s">
        <v>15</v>
      </c>
      <c r="L16" s="16"/>
      <c r="M16" s="42"/>
      <c r="N16" s="43"/>
    </row>
    <row r="17" spans="2:14" ht="18" customHeight="1" x14ac:dyDescent="0.2">
      <c r="B17" s="6"/>
      <c r="C17" s="46" t="s">
        <v>12</v>
      </c>
      <c r="D17" s="47"/>
      <c r="E17" s="46"/>
      <c r="F17" s="47"/>
      <c r="G17" s="46" t="s">
        <v>12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16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17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13</v>
      </c>
      <c r="D30" s="45"/>
      <c r="E30" s="44"/>
      <c r="F30" s="45"/>
      <c r="G30" s="44" t="s">
        <v>13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14</v>
      </c>
      <c r="D31" s="47"/>
      <c r="E31" s="46"/>
      <c r="F31" s="47"/>
      <c r="G31" s="46" t="s">
        <v>14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4"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B3:B4"/>
    <mergeCell ref="P2:P3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</mergeCells>
  <phoneticPr fontId="2" type="noConversion"/>
  <conditionalFormatting sqref="C4:H4">
    <cfRule type="expression" dxfId="47" priority="4" stopIfTrue="1">
      <formula>DAY(C4)&gt;8</formula>
    </cfRule>
  </conditionalFormatting>
  <conditionalFormatting sqref="C8:I10">
    <cfRule type="expression" dxfId="46" priority="3" stopIfTrue="1">
      <formula>AND(DAY(C8)&gt;=1,DAY(C8)&lt;=15)</formula>
    </cfRule>
  </conditionalFormatting>
  <conditionalFormatting sqref="C4:I9">
    <cfRule type="expression" dxfId="45" priority="15">
      <formula>VLOOKUP(DAY(C4),ДніЗавдання,1,FALSE)=DAY(C4)</formula>
    </cfRule>
  </conditionalFormatting>
  <conditionalFormatting sqref="B14:J33">
    <cfRule type="expression" dxfId="44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 verticalCentered="1"/>
  <pageMargins left="0.5" right="0.5" top="0.5" bottom="0.5" header="0.3" footer="0.3"/>
  <pageSetup paperSize="9" scale="7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4.7109375" style="1" customWidth="1"/>
    <col min="3" max="10" width="7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18</v>
      </c>
      <c r="L2" s="71">
        <v>2013</v>
      </c>
      <c r="M2" s="71"/>
      <c r="N2" s="79">
        <f>КалендарРік</f>
        <v>2016</v>
      </c>
    </row>
    <row r="3" spans="1:14" ht="21" customHeight="1" x14ac:dyDescent="0.2">
      <c r="A3" s="4"/>
      <c r="B3" s="31" t="s">
        <v>20</v>
      </c>
      <c r="C3" s="2" t="s">
        <v>9</v>
      </c>
      <c r="D3" s="2" t="s">
        <v>31</v>
      </c>
      <c r="E3" s="2" t="s">
        <v>32</v>
      </c>
      <c r="F3" s="2" t="s">
        <v>33</v>
      </c>
      <c r="G3" s="2" t="s">
        <v>34</v>
      </c>
      <c r="H3" s="2" t="s">
        <v>35</v>
      </c>
      <c r="I3" s="2" t="s">
        <v>36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IF(DAY(ЖовНд1)=1,ЖовНд1-6,ЖовНд1+1)</f>
        <v>42639</v>
      </c>
      <c r="D4" s="10">
        <f>IF(DAY(ЖовНд1)=1,ЖовНд1-5,ЖовНд1+2)</f>
        <v>42640</v>
      </c>
      <c r="E4" s="10">
        <f>IF(DAY(ЖовНд1)=1,ЖовНд1-4,ЖовНд1+3)</f>
        <v>42641</v>
      </c>
      <c r="F4" s="10">
        <f>IF(DAY(ЖовНд1)=1,ЖовНд1-3,ЖовНд1+4)</f>
        <v>42642</v>
      </c>
      <c r="G4" s="10">
        <f>IF(DAY(ЖовНд1)=1,ЖовНд1-2,ЖовНд1+5)</f>
        <v>42643</v>
      </c>
      <c r="H4" s="10">
        <f>IF(DAY(ЖовНд1)=1,ЖовНд1-1,ЖовНд1+6)</f>
        <v>42644</v>
      </c>
      <c r="I4" s="10">
        <f>IF(DAY(ЖовНд1)=1,ЖовНд1,ЖовНд1+7)</f>
        <v>42645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IF(DAY(ЖовНд1)=1,ЖовНд1+1,ЖовНд1+8)</f>
        <v>42646</v>
      </c>
      <c r="D5" s="10">
        <f>IF(DAY(ЖовНд1)=1,ЖовНд1+2,ЖовНд1+9)</f>
        <v>42647</v>
      </c>
      <c r="E5" s="10">
        <f>IF(DAY(ЖовНд1)=1,ЖовНд1+3,ЖовНд1+10)</f>
        <v>42648</v>
      </c>
      <c r="F5" s="10">
        <f>IF(DAY(ЖовНд1)=1,ЖовНд1+4,ЖовНд1+11)</f>
        <v>42649</v>
      </c>
      <c r="G5" s="10">
        <f>IF(DAY(ЖовНд1)=1,ЖовНд1+5,ЖовНд1+12)</f>
        <v>42650</v>
      </c>
      <c r="H5" s="10">
        <f>IF(DAY(ЖовНд1)=1,ЖовНд1+6,ЖовНд1+13)</f>
        <v>42651</v>
      </c>
      <c r="I5" s="10">
        <f>IF(DAY(ЖовНд1)=1,ЖовНд1+7,ЖовНд1+14)</f>
        <v>42652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IF(DAY(ЖовНд1)=1,ЖовНд1+8,ЖовНд1+15)</f>
        <v>42653</v>
      </c>
      <c r="D6" s="10">
        <f>IF(DAY(ЖовНд1)=1,ЖовНд1+9,ЖовНд1+16)</f>
        <v>42654</v>
      </c>
      <c r="E6" s="10">
        <f>IF(DAY(ЖовНд1)=1,ЖовНд1+10,ЖовНд1+17)</f>
        <v>42655</v>
      </c>
      <c r="F6" s="10">
        <f>IF(DAY(ЖовНд1)=1,ЖовНд1+11,ЖовНд1+18)</f>
        <v>42656</v>
      </c>
      <c r="G6" s="10">
        <f>IF(DAY(ЖовНд1)=1,ЖовНд1+12,ЖовНд1+19)</f>
        <v>42657</v>
      </c>
      <c r="H6" s="10">
        <f>IF(DAY(ЖовНд1)=1,ЖовНд1+13,ЖовНд1+20)</f>
        <v>42658</v>
      </c>
      <c r="I6" s="10">
        <f>IF(DAY(ЖовНд1)=1,ЖовНд1+14,ЖовНд1+21)</f>
        <v>42659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IF(DAY(ЖовНд1)=1,ЖовНд1+15,ЖовНд1+22)</f>
        <v>42660</v>
      </c>
      <c r="D7" s="10">
        <f>IF(DAY(ЖовНд1)=1,ЖовНд1+16,ЖовНд1+23)</f>
        <v>42661</v>
      </c>
      <c r="E7" s="10">
        <f>IF(DAY(ЖовНд1)=1,ЖовНд1+17,ЖовНд1+24)</f>
        <v>42662</v>
      </c>
      <c r="F7" s="10">
        <f>IF(DAY(ЖовНд1)=1,ЖовНд1+18,ЖовНд1+25)</f>
        <v>42663</v>
      </c>
      <c r="G7" s="10">
        <f>IF(DAY(ЖовНд1)=1,ЖовНд1+19,ЖовНд1+26)</f>
        <v>42664</v>
      </c>
      <c r="H7" s="10">
        <f>IF(DAY(ЖовНд1)=1,ЖовНд1+20,ЖовНд1+27)</f>
        <v>42665</v>
      </c>
      <c r="I7" s="10">
        <f>IF(DAY(ЖовНд1)=1,ЖовНд1+21,ЖовНд1+28)</f>
        <v>42666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IF(DAY(ЖовНд1)=1,ЖовНд1+22,ЖовНд1+29)</f>
        <v>42667</v>
      </c>
      <c r="D8" s="10">
        <f>IF(DAY(ЖовНд1)=1,ЖовНд1+23,ЖовНд1+30)</f>
        <v>42668</v>
      </c>
      <c r="E8" s="10">
        <f>IF(DAY(ЖовНд1)=1,ЖовНд1+24,ЖовНд1+31)</f>
        <v>42669</v>
      </c>
      <c r="F8" s="10">
        <f>IF(DAY(ЖовНд1)=1,ЖовНд1+25,ЖовНд1+32)</f>
        <v>42670</v>
      </c>
      <c r="G8" s="10">
        <f>IF(DAY(ЖовНд1)=1,ЖовНд1+26,ЖовНд1+33)</f>
        <v>42671</v>
      </c>
      <c r="H8" s="10">
        <f>IF(DAY(ЖовНд1)=1,ЖовНд1+27,ЖовНд1+34)</f>
        <v>42672</v>
      </c>
      <c r="I8" s="10">
        <f>IF(DAY(ЖовНд1)=1,ЖовНд1+28,ЖовНд1+35)</f>
        <v>42673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IF(DAY(ЖовНд1)=1,ЖовНд1+29,ЖовНд1+36)</f>
        <v>42674</v>
      </c>
      <c r="D9" s="10">
        <f>IF(DAY(ЖовНд1)=1,ЖовНд1+30,ЖовНд1+37)</f>
        <v>42675</v>
      </c>
      <c r="E9" s="10">
        <f>IF(DAY(ЖовНд1)=1,ЖовНд1+31,ЖовНд1+38)</f>
        <v>42676</v>
      </c>
      <c r="F9" s="10">
        <f>IF(DAY(ЖовНд1)=1,ЖовНд1+32,ЖовНд1+39)</f>
        <v>42677</v>
      </c>
      <c r="G9" s="10">
        <f>IF(DAY(ЖовНд1)=1,ЖовНд1+33,ЖовНд1+40)</f>
        <v>42678</v>
      </c>
      <c r="H9" s="10">
        <f>IF(DAY(ЖовНд1)=1,ЖовНд1+34,ЖовНд1+41)</f>
        <v>42679</v>
      </c>
      <c r="I9" s="10">
        <f>IF(DAY(ЖовНд1)=1,ЖовНд1+35,ЖовНд1+42)</f>
        <v>42680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10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10</v>
      </c>
      <c r="D13" s="69"/>
      <c r="E13" s="67" t="s">
        <v>15</v>
      </c>
      <c r="F13" s="69"/>
      <c r="G13" s="67" t="s">
        <v>16</v>
      </c>
      <c r="H13" s="69"/>
      <c r="I13" s="67" t="s">
        <v>17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11</v>
      </c>
      <c r="D16" s="45"/>
      <c r="E16" s="44"/>
      <c r="F16" s="45"/>
      <c r="G16" s="44" t="s">
        <v>11</v>
      </c>
      <c r="H16" s="45"/>
      <c r="I16" s="53"/>
      <c r="J16" s="54"/>
      <c r="K16" s="65" t="s">
        <v>15</v>
      </c>
      <c r="L16" s="16"/>
      <c r="M16" s="42"/>
      <c r="N16" s="43"/>
    </row>
    <row r="17" spans="2:14" ht="18" customHeight="1" x14ac:dyDescent="0.2">
      <c r="B17" s="6"/>
      <c r="C17" s="46" t="s">
        <v>12</v>
      </c>
      <c r="D17" s="47"/>
      <c r="E17" s="46"/>
      <c r="F17" s="47"/>
      <c r="G17" s="46" t="s">
        <v>12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16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17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13</v>
      </c>
      <c r="D30" s="45"/>
      <c r="E30" s="44"/>
      <c r="F30" s="45"/>
      <c r="G30" s="44" t="s">
        <v>13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14</v>
      </c>
      <c r="D31" s="47"/>
      <c r="E31" s="46"/>
      <c r="F31" s="47"/>
      <c r="G31" s="46" t="s">
        <v>14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1" priority="3" stopIfTrue="1">
      <formula>DAY(C4)&gt;8</formula>
    </cfRule>
  </conditionalFormatting>
  <conditionalFormatting sqref="C8:I10">
    <cfRule type="expression" dxfId="10" priority="2" stopIfTrue="1">
      <formula>AND(DAY(C8)&gt;=1,DAY(C8)&lt;=15)</formula>
    </cfRule>
  </conditionalFormatting>
  <conditionalFormatting sqref="C4:I9">
    <cfRule type="expression" dxfId="9" priority="4">
      <formula>VLOOKUP(DAY(C4),ДніЗавдання,1,FALSE)=DAY(C4)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4.7109375" style="1" customWidth="1"/>
    <col min="3" max="10" width="7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18</v>
      </c>
      <c r="L2" s="71">
        <v>2013</v>
      </c>
      <c r="M2" s="71"/>
      <c r="N2" s="79">
        <f>КалендарРік</f>
        <v>2016</v>
      </c>
    </row>
    <row r="3" spans="1:14" ht="21" customHeight="1" x14ac:dyDescent="0.2">
      <c r="A3" s="4"/>
      <c r="B3" s="31" t="s">
        <v>21</v>
      </c>
      <c r="C3" s="2" t="s">
        <v>9</v>
      </c>
      <c r="D3" s="2" t="s">
        <v>31</v>
      </c>
      <c r="E3" s="2" t="s">
        <v>32</v>
      </c>
      <c r="F3" s="2" t="s">
        <v>33</v>
      </c>
      <c r="G3" s="2" t="s">
        <v>34</v>
      </c>
      <c r="H3" s="2" t="s">
        <v>35</v>
      </c>
      <c r="I3" s="2" t="s">
        <v>36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IF(DAY(ЛисНд1)=1,ЛисНд1-6,ЛисНд1+1)</f>
        <v>42674</v>
      </c>
      <c r="D4" s="10">
        <f>IF(DAY(ЛисНд1)=1,ЛисНд1-5,ЛисНд1+2)</f>
        <v>42675</v>
      </c>
      <c r="E4" s="10">
        <f>IF(DAY(ЛисНд1)=1,ЛисНд1-4,ЛисНд1+3)</f>
        <v>42676</v>
      </c>
      <c r="F4" s="10">
        <f>IF(DAY(ЛисНд1)=1,ЛисНд1-3,ЛисНд1+4)</f>
        <v>42677</v>
      </c>
      <c r="G4" s="10">
        <f>IF(DAY(ЛисНд1)=1,ЛисНд1-2,ЛисНд1+5)</f>
        <v>42678</v>
      </c>
      <c r="H4" s="10">
        <f>IF(DAY(ЛисНд1)=1,ЛисНд1-1,ЛисНд1+6)</f>
        <v>42679</v>
      </c>
      <c r="I4" s="10">
        <f>IF(DAY(ЛисНд1)=1,ЛисНд1,ЛисНд1+7)</f>
        <v>42680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IF(DAY(ЛисНд1)=1,ЛисНд1+1,ЛисНд1+8)</f>
        <v>42681</v>
      </c>
      <c r="D5" s="10">
        <f>IF(DAY(ЛисНд1)=1,ЛисНд1+2,ЛисНд1+9)</f>
        <v>42682</v>
      </c>
      <c r="E5" s="10">
        <f>IF(DAY(ЛисНд1)=1,ЛисНд1+3,ЛисНд1+10)</f>
        <v>42683</v>
      </c>
      <c r="F5" s="10">
        <f>IF(DAY(ЛисНд1)=1,ЛисНд1+4,ЛисНд1+11)</f>
        <v>42684</v>
      </c>
      <c r="G5" s="10">
        <f>IF(DAY(ЛисНд1)=1,ЛисНд1+5,ЛисНд1+12)</f>
        <v>42685</v>
      </c>
      <c r="H5" s="10">
        <f>IF(DAY(ЛисНд1)=1,ЛисНд1+6,ЛисНд1+13)</f>
        <v>42686</v>
      </c>
      <c r="I5" s="10">
        <f>IF(DAY(ЛисНд1)=1,ЛисНд1+7,ЛисНд1+14)</f>
        <v>42687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IF(DAY(ЛисНд1)=1,ЛисНд1+8,ЛисНд1+15)</f>
        <v>42688</v>
      </c>
      <c r="D6" s="10">
        <f>IF(DAY(ЛисНд1)=1,ЛисНд1+9,ЛисНд1+16)</f>
        <v>42689</v>
      </c>
      <c r="E6" s="10">
        <f>IF(DAY(ЛисНд1)=1,ЛисНд1+10,ЛисНд1+17)</f>
        <v>42690</v>
      </c>
      <c r="F6" s="10">
        <f>IF(DAY(ЛисНд1)=1,ЛисНд1+11,ЛисНд1+18)</f>
        <v>42691</v>
      </c>
      <c r="G6" s="10">
        <f>IF(DAY(ЛисНд1)=1,ЛисНд1+12,ЛисНд1+19)</f>
        <v>42692</v>
      </c>
      <c r="H6" s="10">
        <f>IF(DAY(ЛисНд1)=1,ЛисНд1+13,ЛисНд1+20)</f>
        <v>42693</v>
      </c>
      <c r="I6" s="10">
        <f>IF(DAY(ЛисНд1)=1,ЛисНд1+14,ЛисНд1+21)</f>
        <v>42694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IF(DAY(ЛисНд1)=1,ЛисНд1+15,ЛисНд1+22)</f>
        <v>42695</v>
      </c>
      <c r="D7" s="10">
        <f>IF(DAY(ЛисНд1)=1,ЛисНд1+16,ЛисНд1+23)</f>
        <v>42696</v>
      </c>
      <c r="E7" s="10">
        <f>IF(DAY(ЛисНд1)=1,ЛисНд1+17,ЛисНд1+24)</f>
        <v>42697</v>
      </c>
      <c r="F7" s="10">
        <f>IF(DAY(ЛисНд1)=1,ЛисНд1+18,ЛисНд1+25)</f>
        <v>42698</v>
      </c>
      <c r="G7" s="10">
        <f>IF(DAY(ЛисНд1)=1,ЛисНд1+19,ЛисНд1+26)</f>
        <v>42699</v>
      </c>
      <c r="H7" s="10">
        <f>IF(DAY(ЛисНд1)=1,ЛисНд1+20,ЛисНд1+27)</f>
        <v>42700</v>
      </c>
      <c r="I7" s="10">
        <f>IF(DAY(ЛисНд1)=1,ЛисНд1+21,ЛисНд1+28)</f>
        <v>42701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IF(DAY(ЛисНд1)=1,ЛисНд1+22,ЛисНд1+29)</f>
        <v>42702</v>
      </c>
      <c r="D8" s="10">
        <f>IF(DAY(ЛисНд1)=1,ЛисНд1+23,ЛисНд1+30)</f>
        <v>42703</v>
      </c>
      <c r="E8" s="10">
        <f>IF(DAY(ЛисНд1)=1,ЛисНд1+24,ЛисНд1+31)</f>
        <v>42704</v>
      </c>
      <c r="F8" s="10">
        <f>IF(DAY(ЛисНд1)=1,ЛисНд1+25,ЛисНд1+32)</f>
        <v>42705</v>
      </c>
      <c r="G8" s="10">
        <f>IF(DAY(ЛисНд1)=1,ЛисНд1+26,ЛисНд1+33)</f>
        <v>42706</v>
      </c>
      <c r="H8" s="10">
        <f>IF(DAY(ЛисНд1)=1,ЛисНд1+27,ЛисНд1+34)</f>
        <v>42707</v>
      </c>
      <c r="I8" s="10">
        <f>IF(DAY(ЛисНд1)=1,ЛисНд1+28,ЛисНд1+35)</f>
        <v>42708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IF(DAY(ЛисНд1)=1,ЛисНд1+29,ЛисНд1+36)</f>
        <v>42709</v>
      </c>
      <c r="D9" s="10">
        <f>IF(DAY(ЛисНд1)=1,ЛисНд1+30,ЛисНд1+37)</f>
        <v>42710</v>
      </c>
      <c r="E9" s="10">
        <f>IF(DAY(ЛисНд1)=1,ЛисНд1+31,ЛисНд1+38)</f>
        <v>42711</v>
      </c>
      <c r="F9" s="10">
        <f>IF(DAY(ЛисНд1)=1,ЛисНд1+32,ЛисНд1+39)</f>
        <v>42712</v>
      </c>
      <c r="G9" s="10">
        <f>IF(DAY(ЛисНд1)=1,ЛисНд1+33,ЛисНд1+40)</f>
        <v>42713</v>
      </c>
      <c r="H9" s="10">
        <f>IF(DAY(ЛисНд1)=1,ЛисНд1+34,ЛисНд1+41)</f>
        <v>42714</v>
      </c>
      <c r="I9" s="10">
        <f>IF(DAY(ЛисНд1)=1,ЛисНд1+35,ЛисНд1+42)</f>
        <v>42715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10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10</v>
      </c>
      <c r="D13" s="69"/>
      <c r="E13" s="67" t="s">
        <v>15</v>
      </c>
      <c r="F13" s="69"/>
      <c r="G13" s="67" t="s">
        <v>16</v>
      </c>
      <c r="H13" s="69"/>
      <c r="I13" s="67" t="s">
        <v>17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11</v>
      </c>
      <c r="D16" s="45"/>
      <c r="E16" s="44"/>
      <c r="F16" s="45"/>
      <c r="G16" s="44" t="s">
        <v>11</v>
      </c>
      <c r="H16" s="45"/>
      <c r="I16" s="53"/>
      <c r="J16" s="54"/>
      <c r="K16" s="65" t="s">
        <v>15</v>
      </c>
      <c r="L16" s="16"/>
      <c r="M16" s="42"/>
      <c r="N16" s="43"/>
    </row>
    <row r="17" spans="2:14" ht="18" customHeight="1" x14ac:dyDescent="0.2">
      <c r="B17" s="6"/>
      <c r="C17" s="46" t="s">
        <v>12</v>
      </c>
      <c r="D17" s="47"/>
      <c r="E17" s="46"/>
      <c r="F17" s="47"/>
      <c r="G17" s="46" t="s">
        <v>12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16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17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13</v>
      </c>
      <c r="D30" s="45"/>
      <c r="E30" s="44"/>
      <c r="F30" s="45"/>
      <c r="G30" s="44" t="s">
        <v>13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14</v>
      </c>
      <c r="D31" s="47"/>
      <c r="E31" s="46"/>
      <c r="F31" s="47"/>
      <c r="G31" s="46" t="s">
        <v>14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7" priority="3" stopIfTrue="1">
      <formula>DAY(C4)&gt;8</formula>
    </cfRule>
  </conditionalFormatting>
  <conditionalFormatting sqref="C8:I10">
    <cfRule type="expression" dxfId="6" priority="2" stopIfTrue="1">
      <formula>AND(DAY(C8)&gt;=1,DAY(C8)&lt;=15)</formula>
    </cfRule>
  </conditionalFormatting>
  <conditionalFormatting sqref="C4:I9">
    <cfRule type="expression" dxfId="5" priority="4">
      <formula>VLOOKUP(DAY(C4),ДніЗавдання,1,FALSE)=DAY(C4)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4.7109375" style="1" customWidth="1"/>
    <col min="3" max="10" width="7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18</v>
      </c>
      <c r="L2" s="71">
        <v>2013</v>
      </c>
      <c r="M2" s="71"/>
      <c r="N2" s="79">
        <f>КалендарРік</f>
        <v>2016</v>
      </c>
    </row>
    <row r="3" spans="1:14" ht="21" customHeight="1" x14ac:dyDescent="0.2">
      <c r="A3" s="4"/>
      <c r="B3" s="31" t="s">
        <v>22</v>
      </c>
      <c r="C3" s="2" t="s">
        <v>9</v>
      </c>
      <c r="D3" s="2" t="s">
        <v>31</v>
      </c>
      <c r="E3" s="2" t="s">
        <v>32</v>
      </c>
      <c r="F3" s="2" t="s">
        <v>33</v>
      </c>
      <c r="G3" s="2" t="s">
        <v>34</v>
      </c>
      <c r="H3" s="2" t="s">
        <v>35</v>
      </c>
      <c r="I3" s="2" t="s">
        <v>36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IF(DAY(ГруНд1)=1,ГруНд1-6,ГруНд1+1)</f>
        <v>42702</v>
      </c>
      <c r="D4" s="10">
        <f>IF(DAY(ГруНд1)=1,ГруНд1-5,ГруНд1+2)</f>
        <v>42703</v>
      </c>
      <c r="E4" s="10">
        <f>IF(DAY(ГруНд1)=1,ГруНд1-4,ГруНд1+3)</f>
        <v>42704</v>
      </c>
      <c r="F4" s="10">
        <f>IF(DAY(ГруНд1)=1,ГруНд1-3,ГруНд1+4)</f>
        <v>42705</v>
      </c>
      <c r="G4" s="10">
        <f>IF(DAY(ГруНд1)=1,ГруНд1-2,ГруНд1+5)</f>
        <v>42706</v>
      </c>
      <c r="H4" s="10">
        <f>IF(DAY(ГруНд1)=1,ГруНд1-1,ГруНд1+6)</f>
        <v>42707</v>
      </c>
      <c r="I4" s="10">
        <f>IF(DAY(ГруНд1)=1,ГруНд1,ГруНд1+7)</f>
        <v>42708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IF(DAY(ГруНд1)=1,ГруНд1+1,ГруНд1+8)</f>
        <v>42709</v>
      </c>
      <c r="D5" s="10">
        <f>IF(DAY(ГруНд1)=1,ГруНд1+2,ГруНд1+9)</f>
        <v>42710</v>
      </c>
      <c r="E5" s="10">
        <f>IF(DAY(ГруНд1)=1,ГруНд1+3,ГруНд1+10)</f>
        <v>42711</v>
      </c>
      <c r="F5" s="10">
        <f>IF(DAY(ГруНд1)=1,ГруНд1+4,ГруНд1+11)</f>
        <v>42712</v>
      </c>
      <c r="G5" s="10">
        <f>IF(DAY(ГруНд1)=1,ГруНд1+5,ГруНд1+12)</f>
        <v>42713</v>
      </c>
      <c r="H5" s="10">
        <f>IF(DAY(ГруНд1)=1,ГруНд1+6,ГруНд1+13)</f>
        <v>42714</v>
      </c>
      <c r="I5" s="10">
        <f>IF(DAY(ГруНд1)=1,ГруНд1+7,ГруНд1+14)</f>
        <v>42715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IF(DAY(ГруНд1)=1,ГруНд1+8,ГруНд1+15)</f>
        <v>42716</v>
      </c>
      <c r="D6" s="10">
        <f>IF(DAY(ГруНд1)=1,ГруНд1+9,ГруНд1+16)</f>
        <v>42717</v>
      </c>
      <c r="E6" s="10">
        <f>IF(DAY(ГруНд1)=1,ГруНд1+10,ГруНд1+17)</f>
        <v>42718</v>
      </c>
      <c r="F6" s="10">
        <f>IF(DAY(ГруНд1)=1,ГруНд1+11,ГруНд1+18)</f>
        <v>42719</v>
      </c>
      <c r="G6" s="10">
        <f>IF(DAY(ГруНд1)=1,ГруНд1+12,ГруНд1+19)</f>
        <v>42720</v>
      </c>
      <c r="H6" s="10">
        <f>IF(DAY(ГруНд1)=1,ГруНд1+13,ГруНд1+20)</f>
        <v>42721</v>
      </c>
      <c r="I6" s="10">
        <f>IF(DAY(ГруНд1)=1,ГруНд1+14,ГруНд1+21)</f>
        <v>42722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IF(DAY(ГруНд1)=1,ГруНд1+15,ГруНд1+22)</f>
        <v>42723</v>
      </c>
      <c r="D7" s="10">
        <f>IF(DAY(ГруНд1)=1,ГруНд1+16,ГруНд1+23)</f>
        <v>42724</v>
      </c>
      <c r="E7" s="10">
        <f>IF(DAY(ГруНд1)=1,ГруНд1+17,ГруНд1+24)</f>
        <v>42725</v>
      </c>
      <c r="F7" s="10">
        <f>IF(DAY(ГруНд1)=1,ГруНд1+18,ГруНд1+25)</f>
        <v>42726</v>
      </c>
      <c r="G7" s="10">
        <f>IF(DAY(ГруНд1)=1,ГруНд1+19,ГруНд1+26)</f>
        <v>42727</v>
      </c>
      <c r="H7" s="10">
        <f>IF(DAY(ГруНд1)=1,ГруНд1+20,ГруНд1+27)</f>
        <v>42728</v>
      </c>
      <c r="I7" s="10">
        <f>IF(DAY(ГруНд1)=1,ГруНд1+21,ГруНд1+28)</f>
        <v>42729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IF(DAY(ГруНд1)=1,ГруНд1+22,ГруНд1+29)</f>
        <v>42730</v>
      </c>
      <c r="D8" s="10">
        <f>IF(DAY(ГруНд1)=1,ГруНд1+23,ГруНд1+30)</f>
        <v>42731</v>
      </c>
      <c r="E8" s="10">
        <f>IF(DAY(ГруНд1)=1,ГруНд1+24,ГруНд1+31)</f>
        <v>42732</v>
      </c>
      <c r="F8" s="10">
        <f>IF(DAY(ГруНд1)=1,ГруНд1+25,ГруНд1+32)</f>
        <v>42733</v>
      </c>
      <c r="G8" s="10">
        <f>IF(DAY(ГруНд1)=1,ГруНд1+26,ГруНд1+33)</f>
        <v>42734</v>
      </c>
      <c r="H8" s="10">
        <f>IF(DAY(ГруНд1)=1,ГруНд1+27,ГруНд1+34)</f>
        <v>42735</v>
      </c>
      <c r="I8" s="10">
        <f>IF(DAY(ГруНд1)=1,ГруНд1+28,ГруНд1+35)</f>
        <v>42736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IF(DAY(ГруНд1)=1,ГруНд1+29,ГруНд1+36)</f>
        <v>42737</v>
      </c>
      <c r="D9" s="10">
        <f>IF(DAY(ГруНд1)=1,ГруНд1+30,ГруНд1+37)</f>
        <v>42738</v>
      </c>
      <c r="E9" s="10">
        <f>IF(DAY(ГруНд1)=1,ГруНд1+31,ГруНд1+38)</f>
        <v>42739</v>
      </c>
      <c r="F9" s="10">
        <f>IF(DAY(ГруНд1)=1,ГруНд1+32,ГруНд1+39)</f>
        <v>42740</v>
      </c>
      <c r="G9" s="10">
        <f>IF(DAY(ГруНд1)=1,ГруНд1+33,ГруНд1+40)</f>
        <v>42741</v>
      </c>
      <c r="H9" s="10">
        <f>IF(DAY(ГруНд1)=1,ГруНд1+34,ГруНд1+41)</f>
        <v>42742</v>
      </c>
      <c r="I9" s="10">
        <f>IF(DAY(ГруНд1)=1,ГруНд1+35,ГруНд1+42)</f>
        <v>42743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10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10</v>
      </c>
      <c r="D13" s="69"/>
      <c r="E13" s="67" t="s">
        <v>15</v>
      </c>
      <c r="F13" s="69"/>
      <c r="G13" s="67" t="s">
        <v>16</v>
      </c>
      <c r="H13" s="69"/>
      <c r="I13" s="67" t="s">
        <v>17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11</v>
      </c>
      <c r="D16" s="45"/>
      <c r="E16" s="44"/>
      <c r="F16" s="45"/>
      <c r="G16" s="44" t="s">
        <v>11</v>
      </c>
      <c r="H16" s="45"/>
      <c r="I16" s="53"/>
      <c r="J16" s="54"/>
      <c r="K16" s="65" t="s">
        <v>15</v>
      </c>
      <c r="L16" s="16"/>
      <c r="M16" s="42"/>
      <c r="N16" s="43"/>
    </row>
    <row r="17" spans="2:14" ht="18" customHeight="1" x14ac:dyDescent="0.2">
      <c r="B17" s="6"/>
      <c r="C17" s="46" t="s">
        <v>12</v>
      </c>
      <c r="D17" s="47"/>
      <c r="E17" s="46"/>
      <c r="F17" s="47"/>
      <c r="G17" s="46" t="s">
        <v>12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16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17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13</v>
      </c>
      <c r="D30" s="45"/>
      <c r="E30" s="44"/>
      <c r="F30" s="45"/>
      <c r="G30" s="44" t="s">
        <v>13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14</v>
      </c>
      <c r="D31" s="47"/>
      <c r="E31" s="46"/>
      <c r="F31" s="47"/>
      <c r="G31" s="46" t="s">
        <v>14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" priority="3" stopIfTrue="1">
      <formula>DAY(C4)&gt;8</formula>
    </cfRule>
  </conditionalFormatting>
  <conditionalFormatting sqref="C8:I10">
    <cfRule type="expression" dxfId="2" priority="2" stopIfTrue="1">
      <formula>AND(DAY(C8)&gt;=1,DAY(C8)&lt;=15)</formula>
    </cfRule>
  </conditionalFormatting>
  <conditionalFormatting sqref="C4:I9">
    <cfRule type="expression" dxfId="1" priority="4">
      <formula>VLOOKUP(DAY(C4),ДніЗавдання,1,FALSE)=DAY(C4)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4.7109375" style="1" customWidth="1"/>
    <col min="3" max="10" width="7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18</v>
      </c>
      <c r="L2" s="71">
        <v>2013</v>
      </c>
      <c r="M2" s="71"/>
      <c r="N2" s="79">
        <f>КалендарРік</f>
        <v>2016</v>
      </c>
    </row>
    <row r="3" spans="1:14" ht="21" customHeight="1" x14ac:dyDescent="0.2">
      <c r="A3" s="4"/>
      <c r="B3" s="31" t="s">
        <v>23</v>
      </c>
      <c r="C3" s="2" t="s">
        <v>9</v>
      </c>
      <c r="D3" s="2" t="s">
        <v>31</v>
      </c>
      <c r="E3" s="2" t="s">
        <v>32</v>
      </c>
      <c r="F3" s="2" t="s">
        <v>33</v>
      </c>
      <c r="G3" s="2" t="s">
        <v>34</v>
      </c>
      <c r="H3" s="2" t="s">
        <v>35</v>
      </c>
      <c r="I3" s="2" t="s">
        <v>36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IF(DAY(ЛютНд1)=1,ЛютНд1-6,ЛютНд1+1)</f>
        <v>42401</v>
      </c>
      <c r="D4" s="10">
        <f>IF(DAY(ЛютНд1)=1,ЛютНд1-5,ЛютНд1+2)</f>
        <v>42402</v>
      </c>
      <c r="E4" s="10">
        <f>IF(DAY(ЛютНд1)=1,ЛютНд1-4,ЛютНд1+3)</f>
        <v>42403</v>
      </c>
      <c r="F4" s="10">
        <f>IF(DAY(ЛютНд1)=1,ЛютНд1-3,ЛютНд1+4)</f>
        <v>42404</v>
      </c>
      <c r="G4" s="10">
        <f>IF(DAY(ЛютНд1)=1,ЛютНд1-2,ЛютНд1+5)</f>
        <v>42405</v>
      </c>
      <c r="H4" s="10">
        <f>IF(DAY(ЛютНд1)=1,ЛютНд1-1,ЛютНд1+6)</f>
        <v>42406</v>
      </c>
      <c r="I4" s="10">
        <f>IF(DAY(ЛютНд1)=1,ЛютНд1,ЛютНд1+7)</f>
        <v>42407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IF(DAY(ЛютНд1)=1,ЛютНд1+1,ЛютНд1+8)</f>
        <v>42408</v>
      </c>
      <c r="D5" s="10">
        <f>IF(DAY(ЛютНд1)=1,ЛютНд1+2,ЛютНд1+9)</f>
        <v>42409</v>
      </c>
      <c r="E5" s="10">
        <f>IF(DAY(ЛютНд1)=1,ЛютНд1+3,ЛютНд1+10)</f>
        <v>42410</v>
      </c>
      <c r="F5" s="10">
        <f>IF(DAY(ЛютНд1)=1,ЛютНд1+4,ЛютНд1+11)</f>
        <v>42411</v>
      </c>
      <c r="G5" s="10">
        <f>IF(DAY(ЛютНд1)=1,ЛютНд1+5,ЛютНд1+12)</f>
        <v>42412</v>
      </c>
      <c r="H5" s="10">
        <f>IF(DAY(ЛютНд1)=1,ЛютНд1+6,ЛютНд1+13)</f>
        <v>42413</v>
      </c>
      <c r="I5" s="10">
        <f>IF(DAY(ЛютНд1)=1,ЛютНд1+7,ЛютНд1+14)</f>
        <v>42414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IF(DAY(ЛютНд1)=1,ЛютНд1+8,ЛютНд1+15)</f>
        <v>42415</v>
      </c>
      <c r="D6" s="10">
        <f>IF(DAY(ЛютНд1)=1,ЛютНд1+9,ЛютНд1+16)</f>
        <v>42416</v>
      </c>
      <c r="E6" s="10">
        <f>IF(DAY(ЛютНд1)=1,ЛютНд1+10,ЛютНд1+17)</f>
        <v>42417</v>
      </c>
      <c r="F6" s="10">
        <f>IF(DAY(ЛютНд1)=1,ЛютНд1+11,ЛютНд1+18)</f>
        <v>42418</v>
      </c>
      <c r="G6" s="10">
        <f>IF(DAY(ЛютНд1)=1,ЛютНд1+12,ЛютНд1+19)</f>
        <v>42419</v>
      </c>
      <c r="H6" s="10">
        <f>IF(DAY(ЛютНд1)=1,ЛютНд1+13,ЛютНд1+20)</f>
        <v>42420</v>
      </c>
      <c r="I6" s="10">
        <f>IF(DAY(ЛютНд1)=1,ЛютНд1+14,ЛютНд1+21)</f>
        <v>42421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IF(DAY(ЛютНд1)=1,ЛютНд1+15,ЛютНд1+22)</f>
        <v>42422</v>
      </c>
      <c r="D7" s="10">
        <f>IF(DAY(ЛютНд1)=1,ЛютНд1+16,ЛютНд1+23)</f>
        <v>42423</v>
      </c>
      <c r="E7" s="10">
        <f>IF(DAY(ЛютНд1)=1,ЛютНд1+17,ЛютНд1+24)</f>
        <v>42424</v>
      </c>
      <c r="F7" s="10">
        <f>IF(DAY(ЛютНд1)=1,ЛютНд1+18,ЛютНд1+25)</f>
        <v>42425</v>
      </c>
      <c r="G7" s="10">
        <f>IF(DAY(ЛютНд1)=1,ЛютНд1+19,ЛютНд1+26)</f>
        <v>42426</v>
      </c>
      <c r="H7" s="10">
        <f>IF(DAY(ЛютНд1)=1,ЛютНд1+20,ЛютНд1+27)</f>
        <v>42427</v>
      </c>
      <c r="I7" s="10">
        <f>IF(DAY(ЛютНд1)=1,ЛютНд1+21,ЛютНд1+28)</f>
        <v>42428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IF(DAY(ЛютНд1)=1,ЛютНд1+22,ЛютНд1+29)</f>
        <v>42429</v>
      </c>
      <c r="D8" s="10">
        <f>IF(DAY(ЛютНд1)=1,ЛютНд1+23,ЛютНд1+30)</f>
        <v>42430</v>
      </c>
      <c r="E8" s="10">
        <f>IF(DAY(ЛютНд1)=1,ЛютНд1+24,ЛютНд1+31)</f>
        <v>42431</v>
      </c>
      <c r="F8" s="10">
        <f>IF(DAY(ЛютНд1)=1,ЛютНд1+25,ЛютНд1+32)</f>
        <v>42432</v>
      </c>
      <c r="G8" s="10">
        <f>IF(DAY(ЛютНд1)=1,ЛютНд1+26,ЛютНд1+33)</f>
        <v>42433</v>
      </c>
      <c r="H8" s="10">
        <f>IF(DAY(ЛютНд1)=1,ЛютНд1+27,ЛютНд1+34)</f>
        <v>42434</v>
      </c>
      <c r="I8" s="10">
        <f>IF(DAY(ЛютНд1)=1,ЛютНд1+28,ЛютНд1+35)</f>
        <v>42435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IF(DAY(ЛютНд1)=1,ЛютНд1+29,ЛютНд1+36)</f>
        <v>42436</v>
      </c>
      <c r="D9" s="10">
        <f>IF(DAY(ЛютНд1)=1,ЛютНд1+30,ЛютНд1+37)</f>
        <v>42437</v>
      </c>
      <c r="E9" s="10">
        <f>IF(DAY(ЛютНд1)=1,ЛютНд1+31,ЛютНд1+38)</f>
        <v>42438</v>
      </c>
      <c r="F9" s="10">
        <f>IF(DAY(ЛютНд1)=1,ЛютНд1+32,ЛютНд1+39)</f>
        <v>42439</v>
      </c>
      <c r="G9" s="10">
        <f>IF(DAY(ЛютНд1)=1,ЛютНд1+33,ЛютНд1+40)</f>
        <v>42440</v>
      </c>
      <c r="H9" s="10">
        <f>IF(DAY(ЛютНд1)=1,ЛютНд1+34,ЛютНд1+41)</f>
        <v>42441</v>
      </c>
      <c r="I9" s="10">
        <f>IF(DAY(ЛютНд1)=1,ЛютНд1+35,ЛютНд1+42)</f>
        <v>42442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10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10</v>
      </c>
      <c r="D13" s="69"/>
      <c r="E13" s="67" t="s">
        <v>15</v>
      </c>
      <c r="F13" s="69"/>
      <c r="G13" s="67" t="s">
        <v>16</v>
      </c>
      <c r="H13" s="69"/>
      <c r="I13" s="67" t="s">
        <v>17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11</v>
      </c>
      <c r="D16" s="45"/>
      <c r="E16" s="44"/>
      <c r="F16" s="45"/>
      <c r="G16" s="44" t="s">
        <v>11</v>
      </c>
      <c r="H16" s="45"/>
      <c r="I16" s="53"/>
      <c r="J16" s="54"/>
      <c r="K16" s="65" t="s">
        <v>15</v>
      </c>
      <c r="L16" s="16"/>
      <c r="M16" s="42"/>
      <c r="N16" s="43"/>
    </row>
    <row r="17" spans="2:14" ht="18" customHeight="1" x14ac:dyDescent="0.2">
      <c r="B17" s="6"/>
      <c r="C17" s="46" t="s">
        <v>12</v>
      </c>
      <c r="D17" s="47"/>
      <c r="E17" s="46"/>
      <c r="F17" s="47"/>
      <c r="G17" s="46" t="s">
        <v>12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16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17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13</v>
      </c>
      <c r="D30" s="45"/>
      <c r="E30" s="44"/>
      <c r="F30" s="45"/>
      <c r="G30" s="44" t="s">
        <v>13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14</v>
      </c>
      <c r="D31" s="47"/>
      <c r="E31" s="46"/>
      <c r="F31" s="47"/>
      <c r="G31" s="46" t="s">
        <v>14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43" priority="3" stopIfTrue="1">
      <formula>DAY(C4)&gt;8</formula>
    </cfRule>
  </conditionalFormatting>
  <conditionalFormatting sqref="C8:I10">
    <cfRule type="expression" dxfId="42" priority="2" stopIfTrue="1">
      <formula>AND(DAY(C8)&gt;=1,DAY(C8)&lt;=15)</formula>
    </cfRule>
  </conditionalFormatting>
  <conditionalFormatting sqref="C4:I9">
    <cfRule type="expression" dxfId="41" priority="4">
      <formula>VLOOKUP(DAY(C4),ДніЗавдання,1,FALSE)=DAY(C4)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4.7109375" style="1" customWidth="1"/>
    <col min="3" max="10" width="7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18</v>
      </c>
      <c r="L2" s="71">
        <v>2013</v>
      </c>
      <c r="M2" s="71"/>
      <c r="N2" s="79">
        <f>КалендарРік</f>
        <v>2016</v>
      </c>
    </row>
    <row r="3" spans="1:14" ht="21" customHeight="1" x14ac:dyDescent="0.2">
      <c r="A3" s="4"/>
      <c r="B3" s="31" t="s">
        <v>24</v>
      </c>
      <c r="C3" s="2" t="s">
        <v>9</v>
      </c>
      <c r="D3" s="2" t="s">
        <v>31</v>
      </c>
      <c r="E3" s="2" t="s">
        <v>32</v>
      </c>
      <c r="F3" s="2" t="s">
        <v>33</v>
      </c>
      <c r="G3" s="2" t="s">
        <v>34</v>
      </c>
      <c r="H3" s="2" t="s">
        <v>35</v>
      </c>
      <c r="I3" s="2" t="s">
        <v>36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IF(DAY(БерНд1)=1,БерНд1-6,БерНд1+1)</f>
        <v>42429</v>
      </c>
      <c r="D4" s="10">
        <f>IF(DAY(БерНд1)=1,БерНд1-5,БерНд1+2)</f>
        <v>42430</v>
      </c>
      <c r="E4" s="10">
        <f>IF(DAY(БерНд1)=1,БерНд1-4,БерНд1+3)</f>
        <v>42431</v>
      </c>
      <c r="F4" s="10">
        <f>IF(DAY(БерНд1)=1,БерНд1-3,БерНд1+4)</f>
        <v>42432</v>
      </c>
      <c r="G4" s="10">
        <f>IF(DAY(БерНд1)=1,БерНд1-2,БерНд1+5)</f>
        <v>42433</v>
      </c>
      <c r="H4" s="10">
        <f>IF(DAY(БерНд1)=1,БерНд1-1,БерНд1+6)</f>
        <v>42434</v>
      </c>
      <c r="I4" s="10">
        <f>IF(DAY(БерНд1)=1,БерНд1,БерНд1+7)</f>
        <v>42435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IF(DAY(БерНд1)=1,БерНд1+1,БерНд1+8)</f>
        <v>42436</v>
      </c>
      <c r="D5" s="10">
        <f>IF(DAY(БерНд1)=1,БерНд1+2,БерНд1+9)</f>
        <v>42437</v>
      </c>
      <c r="E5" s="10">
        <f>IF(DAY(БерНд1)=1,БерНд1+3,БерНд1+10)</f>
        <v>42438</v>
      </c>
      <c r="F5" s="10">
        <f>IF(DAY(БерНд1)=1,БерНд1+4,БерНд1+11)</f>
        <v>42439</v>
      </c>
      <c r="G5" s="10">
        <f>IF(DAY(БерНд1)=1,БерНд1+5,БерНд1+12)</f>
        <v>42440</v>
      </c>
      <c r="H5" s="10">
        <f>IF(DAY(БерНд1)=1,БерНд1+6,БерНд1+13)</f>
        <v>42441</v>
      </c>
      <c r="I5" s="10">
        <f>IF(DAY(БерНд1)=1,БерНд1+7,БерНд1+14)</f>
        <v>42442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IF(DAY(БерНд1)=1,БерНд1+8,БерНд1+15)</f>
        <v>42443</v>
      </c>
      <c r="D6" s="10">
        <f>IF(DAY(БерНд1)=1,БерНд1+9,БерНд1+16)</f>
        <v>42444</v>
      </c>
      <c r="E6" s="10">
        <f>IF(DAY(БерНд1)=1,БерНд1+10,БерНд1+17)</f>
        <v>42445</v>
      </c>
      <c r="F6" s="10">
        <f>IF(DAY(БерНд1)=1,БерНд1+11,БерНд1+18)</f>
        <v>42446</v>
      </c>
      <c r="G6" s="10">
        <f>IF(DAY(БерНд1)=1,БерНд1+12,БерНд1+19)</f>
        <v>42447</v>
      </c>
      <c r="H6" s="10">
        <f>IF(DAY(БерНд1)=1,БерНд1+13,БерНд1+20)</f>
        <v>42448</v>
      </c>
      <c r="I6" s="10">
        <f>IF(DAY(БерНд1)=1,БерНд1+14,БерНд1+21)</f>
        <v>42449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IF(DAY(БерНд1)=1,БерНд1+15,БерНд1+22)</f>
        <v>42450</v>
      </c>
      <c r="D7" s="10">
        <f>IF(DAY(БерНд1)=1,БерНд1+16,БерНд1+23)</f>
        <v>42451</v>
      </c>
      <c r="E7" s="10">
        <f>IF(DAY(БерНд1)=1,БерНд1+17,БерНд1+24)</f>
        <v>42452</v>
      </c>
      <c r="F7" s="10">
        <f>IF(DAY(БерНд1)=1,БерНд1+18,БерНд1+25)</f>
        <v>42453</v>
      </c>
      <c r="G7" s="10">
        <f>IF(DAY(БерНд1)=1,БерНд1+19,БерНд1+26)</f>
        <v>42454</v>
      </c>
      <c r="H7" s="10">
        <f>IF(DAY(БерНд1)=1,БерНд1+20,БерНд1+27)</f>
        <v>42455</v>
      </c>
      <c r="I7" s="10">
        <f>IF(DAY(БерНд1)=1,БерНд1+21,БерНд1+28)</f>
        <v>42456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IF(DAY(БерНд1)=1,БерНд1+22,БерНд1+29)</f>
        <v>42457</v>
      </c>
      <c r="D8" s="10">
        <f>IF(DAY(БерНд1)=1,БерНд1+23,БерНд1+30)</f>
        <v>42458</v>
      </c>
      <c r="E8" s="10">
        <f>IF(DAY(БерНд1)=1,БерНд1+24,БерНд1+31)</f>
        <v>42459</v>
      </c>
      <c r="F8" s="10">
        <f>IF(DAY(БерНд1)=1,БерНд1+25,БерНд1+32)</f>
        <v>42460</v>
      </c>
      <c r="G8" s="10">
        <f>IF(DAY(БерНд1)=1,БерНд1+26,БерНд1+33)</f>
        <v>42461</v>
      </c>
      <c r="H8" s="10">
        <f>IF(DAY(БерНд1)=1,БерНд1+27,БерНд1+34)</f>
        <v>42462</v>
      </c>
      <c r="I8" s="10">
        <f>IF(DAY(БерНд1)=1,БерНд1+28,БерНд1+35)</f>
        <v>42463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IF(DAY(БерНд1)=1,БерНд1+29,БерНд1+36)</f>
        <v>42464</v>
      </c>
      <c r="D9" s="10">
        <f>IF(DAY(БерНд1)=1,БерНд1+30,БерНд1+37)</f>
        <v>42465</v>
      </c>
      <c r="E9" s="10">
        <f>IF(DAY(БерНд1)=1,БерНд1+31,БерНд1+38)</f>
        <v>42466</v>
      </c>
      <c r="F9" s="10">
        <f>IF(DAY(БерНд1)=1,БерНд1+32,БерНд1+39)</f>
        <v>42467</v>
      </c>
      <c r="G9" s="10">
        <f>IF(DAY(БерНд1)=1,БерНд1+33,БерНд1+40)</f>
        <v>42468</v>
      </c>
      <c r="H9" s="10">
        <f>IF(DAY(БерНд1)=1,БерНд1+34,БерНд1+41)</f>
        <v>42469</v>
      </c>
      <c r="I9" s="10">
        <f>IF(DAY(БерНд1)=1,БерНд1+35,БерНд1+42)</f>
        <v>42470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10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10</v>
      </c>
      <c r="D13" s="69"/>
      <c r="E13" s="67" t="s">
        <v>15</v>
      </c>
      <c r="F13" s="69"/>
      <c r="G13" s="67" t="s">
        <v>16</v>
      </c>
      <c r="H13" s="69"/>
      <c r="I13" s="67" t="s">
        <v>17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11</v>
      </c>
      <c r="D16" s="45"/>
      <c r="E16" s="44"/>
      <c r="F16" s="45"/>
      <c r="G16" s="44" t="s">
        <v>11</v>
      </c>
      <c r="H16" s="45"/>
      <c r="I16" s="53"/>
      <c r="J16" s="54"/>
      <c r="K16" s="65" t="s">
        <v>15</v>
      </c>
      <c r="L16" s="16"/>
      <c r="M16" s="42"/>
      <c r="N16" s="43"/>
    </row>
    <row r="17" spans="2:14" ht="18" customHeight="1" x14ac:dyDescent="0.2">
      <c r="B17" s="6"/>
      <c r="C17" s="46" t="s">
        <v>12</v>
      </c>
      <c r="D17" s="47"/>
      <c r="E17" s="46"/>
      <c r="F17" s="47"/>
      <c r="G17" s="46" t="s">
        <v>12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16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17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13</v>
      </c>
      <c r="D30" s="45"/>
      <c r="E30" s="44"/>
      <c r="F30" s="45"/>
      <c r="G30" s="44" t="s">
        <v>13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14</v>
      </c>
      <c r="D31" s="47"/>
      <c r="E31" s="46"/>
      <c r="F31" s="47"/>
      <c r="G31" s="46" t="s">
        <v>14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9" priority="3" stopIfTrue="1">
      <formula>DAY(C4)&gt;8</formula>
    </cfRule>
  </conditionalFormatting>
  <conditionalFormatting sqref="C8:I10">
    <cfRule type="expression" dxfId="38" priority="2" stopIfTrue="1">
      <formula>AND(DAY(C8)&gt;=1,DAY(C8)&lt;=15)</formula>
    </cfRule>
  </conditionalFormatting>
  <conditionalFormatting sqref="C4:I9">
    <cfRule type="expression" dxfId="37" priority="4">
      <formula>VLOOKUP(DAY(C4),ДніЗавдання,1,FALSE)=DAY(C4)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4.7109375" style="1" customWidth="1"/>
    <col min="3" max="10" width="7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18</v>
      </c>
      <c r="L2" s="71">
        <v>2013</v>
      </c>
      <c r="M2" s="71"/>
      <c r="N2" s="79">
        <f>КалендарРік</f>
        <v>2016</v>
      </c>
    </row>
    <row r="3" spans="1:14" ht="21" customHeight="1" x14ac:dyDescent="0.2">
      <c r="A3" s="4"/>
      <c r="B3" s="31" t="s">
        <v>25</v>
      </c>
      <c r="C3" s="2" t="s">
        <v>9</v>
      </c>
      <c r="D3" s="2" t="s">
        <v>31</v>
      </c>
      <c r="E3" s="2" t="s">
        <v>32</v>
      </c>
      <c r="F3" s="2" t="s">
        <v>33</v>
      </c>
      <c r="G3" s="2" t="s">
        <v>34</v>
      </c>
      <c r="H3" s="2" t="s">
        <v>35</v>
      </c>
      <c r="I3" s="2" t="s">
        <v>36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IF(DAY(КвіНд1)=1,КвіНд1-6,КвіНд1+1)</f>
        <v>42457</v>
      </c>
      <c r="D4" s="10">
        <f>IF(DAY(КвіНд1)=1,КвіНд1-5,КвіНд1+2)</f>
        <v>42458</v>
      </c>
      <c r="E4" s="10">
        <f>IF(DAY(КвіНд1)=1,КвіНд1-4,КвіНд1+3)</f>
        <v>42459</v>
      </c>
      <c r="F4" s="10">
        <f>IF(DAY(КвіНд1)=1,КвіНд1-3,КвіНд1+4)</f>
        <v>42460</v>
      </c>
      <c r="G4" s="10">
        <f>IF(DAY(КвіНд1)=1,КвіНд1-2,КвіНд1+5)</f>
        <v>42461</v>
      </c>
      <c r="H4" s="10">
        <f>IF(DAY(КвіНд1)=1,КвіНд1-1,КвіНд1+6)</f>
        <v>42462</v>
      </c>
      <c r="I4" s="10">
        <f>IF(DAY(КвіНд1)=1,КвіНд1,КвіНд1+7)</f>
        <v>42463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IF(DAY(КвіНд1)=1,КвіНд1+1,КвіНд1+8)</f>
        <v>42464</v>
      </c>
      <c r="D5" s="10">
        <f>IF(DAY(КвіНд1)=1,КвіНд1+2,КвіНд1+9)</f>
        <v>42465</v>
      </c>
      <c r="E5" s="10">
        <f>IF(DAY(КвіНд1)=1,КвіНд1+3,КвіНд1+10)</f>
        <v>42466</v>
      </c>
      <c r="F5" s="10">
        <f>IF(DAY(КвіНд1)=1,КвіНд1+4,КвіНд1+11)</f>
        <v>42467</v>
      </c>
      <c r="G5" s="10">
        <f>IF(DAY(КвіНд1)=1,КвіНд1+5,КвіНд1+12)</f>
        <v>42468</v>
      </c>
      <c r="H5" s="10">
        <f>IF(DAY(КвіНд1)=1,КвіНд1+6,КвіНд1+13)</f>
        <v>42469</v>
      </c>
      <c r="I5" s="10">
        <f>IF(DAY(КвіНд1)=1,КвіНд1+7,КвіНд1+14)</f>
        <v>42470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IF(DAY(КвіНд1)=1,КвіНд1+8,КвіНд1+15)</f>
        <v>42471</v>
      </c>
      <c r="D6" s="10">
        <f>IF(DAY(КвіНд1)=1,КвіНд1+9,КвіНд1+16)</f>
        <v>42472</v>
      </c>
      <c r="E6" s="10">
        <f>IF(DAY(КвіНд1)=1,КвіНд1+10,КвіНд1+17)</f>
        <v>42473</v>
      </c>
      <c r="F6" s="10">
        <f>IF(DAY(КвіНд1)=1,КвіНд1+11,КвіНд1+18)</f>
        <v>42474</v>
      </c>
      <c r="G6" s="10">
        <f>IF(DAY(КвіНд1)=1,КвіНд1+12,КвіНд1+19)</f>
        <v>42475</v>
      </c>
      <c r="H6" s="10">
        <f>IF(DAY(КвіНд1)=1,КвіНд1+13,КвіНд1+20)</f>
        <v>42476</v>
      </c>
      <c r="I6" s="10">
        <f>IF(DAY(КвіНд1)=1,КвіНд1+14,КвіНд1+21)</f>
        <v>42477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IF(DAY(КвіНд1)=1,КвіНд1+15,КвіНд1+22)</f>
        <v>42478</v>
      </c>
      <c r="D7" s="10">
        <f>IF(DAY(КвіНд1)=1,КвіНд1+16,КвіНд1+23)</f>
        <v>42479</v>
      </c>
      <c r="E7" s="10">
        <f>IF(DAY(КвіНд1)=1,КвіНд1+17,КвіНд1+24)</f>
        <v>42480</v>
      </c>
      <c r="F7" s="10">
        <f>IF(DAY(КвіНд1)=1,КвіНд1+18,КвіНд1+25)</f>
        <v>42481</v>
      </c>
      <c r="G7" s="10">
        <f>IF(DAY(КвіНд1)=1,КвіНд1+19,КвіНд1+26)</f>
        <v>42482</v>
      </c>
      <c r="H7" s="10">
        <f>IF(DAY(КвіНд1)=1,КвіНд1+20,КвіНд1+27)</f>
        <v>42483</v>
      </c>
      <c r="I7" s="10">
        <f>IF(DAY(КвіНд1)=1,КвіНд1+21,КвіНд1+28)</f>
        <v>42484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IF(DAY(КвіНд1)=1,КвіНд1+22,КвіНд1+29)</f>
        <v>42485</v>
      </c>
      <c r="D8" s="10">
        <f>IF(DAY(КвіНд1)=1,КвіНд1+23,КвіНд1+30)</f>
        <v>42486</v>
      </c>
      <c r="E8" s="10">
        <f>IF(DAY(КвіНд1)=1,КвіНд1+24,КвіНд1+31)</f>
        <v>42487</v>
      </c>
      <c r="F8" s="10">
        <f>IF(DAY(КвіНд1)=1,КвіНд1+25,КвіНд1+32)</f>
        <v>42488</v>
      </c>
      <c r="G8" s="10">
        <f>IF(DAY(КвіНд1)=1,КвіНд1+26,КвіНд1+33)</f>
        <v>42489</v>
      </c>
      <c r="H8" s="10">
        <f>IF(DAY(КвіНд1)=1,КвіНд1+27,КвіНд1+34)</f>
        <v>42490</v>
      </c>
      <c r="I8" s="10">
        <f>IF(DAY(КвіНд1)=1,КвіНд1+28,КвіНд1+35)</f>
        <v>42491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IF(DAY(КвіНд1)=1,КвіНд1+29,КвіНд1+36)</f>
        <v>42492</v>
      </c>
      <c r="D9" s="10">
        <f>IF(DAY(КвіНд1)=1,КвіНд1+30,КвіНд1+37)</f>
        <v>42493</v>
      </c>
      <c r="E9" s="10">
        <f>IF(DAY(КвіНд1)=1,КвіНд1+31,КвіНд1+38)</f>
        <v>42494</v>
      </c>
      <c r="F9" s="10">
        <f>IF(DAY(КвіНд1)=1,КвіНд1+32,КвіНд1+39)</f>
        <v>42495</v>
      </c>
      <c r="G9" s="10">
        <f>IF(DAY(КвіНд1)=1,КвіНд1+33,КвіНд1+40)</f>
        <v>42496</v>
      </c>
      <c r="H9" s="10">
        <f>IF(DAY(КвіНд1)=1,КвіНд1+34,КвіНд1+41)</f>
        <v>42497</v>
      </c>
      <c r="I9" s="10">
        <f>IF(DAY(КвіНд1)=1,КвіНд1+35,КвіНд1+42)</f>
        <v>42498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10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10</v>
      </c>
      <c r="D13" s="69"/>
      <c r="E13" s="67" t="s">
        <v>15</v>
      </c>
      <c r="F13" s="69"/>
      <c r="G13" s="67" t="s">
        <v>16</v>
      </c>
      <c r="H13" s="69"/>
      <c r="I13" s="67" t="s">
        <v>17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11</v>
      </c>
      <c r="D16" s="45"/>
      <c r="E16" s="44"/>
      <c r="F16" s="45"/>
      <c r="G16" s="44" t="s">
        <v>11</v>
      </c>
      <c r="H16" s="45"/>
      <c r="I16" s="53"/>
      <c r="J16" s="54"/>
      <c r="K16" s="65" t="s">
        <v>15</v>
      </c>
      <c r="L16" s="16"/>
      <c r="M16" s="42"/>
      <c r="N16" s="43"/>
    </row>
    <row r="17" spans="2:14" ht="18" customHeight="1" x14ac:dyDescent="0.2">
      <c r="B17" s="6"/>
      <c r="C17" s="46" t="s">
        <v>12</v>
      </c>
      <c r="D17" s="47"/>
      <c r="E17" s="46"/>
      <c r="F17" s="47"/>
      <c r="G17" s="46" t="s">
        <v>12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16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17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13</v>
      </c>
      <c r="D30" s="45"/>
      <c r="E30" s="44"/>
      <c r="F30" s="45"/>
      <c r="G30" s="44" t="s">
        <v>13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14</v>
      </c>
      <c r="D31" s="47"/>
      <c r="E31" s="46"/>
      <c r="F31" s="47"/>
      <c r="G31" s="46" t="s">
        <v>14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3" priority="4">
      <formula>VLOOKUP(DAY(C4),ДніЗавдання,1,FALSE)=DAY(C4)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4.7109375" style="1" customWidth="1"/>
    <col min="3" max="10" width="7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18</v>
      </c>
      <c r="L2" s="71">
        <v>2013</v>
      </c>
      <c r="M2" s="71"/>
      <c r="N2" s="79">
        <f>КалендарРік</f>
        <v>2016</v>
      </c>
    </row>
    <row r="3" spans="1:14" ht="21" customHeight="1" x14ac:dyDescent="0.2">
      <c r="A3" s="4"/>
      <c r="B3" s="31" t="s">
        <v>26</v>
      </c>
      <c r="C3" s="2" t="s">
        <v>9</v>
      </c>
      <c r="D3" s="2" t="s">
        <v>31</v>
      </c>
      <c r="E3" s="2" t="s">
        <v>32</v>
      </c>
      <c r="F3" s="2" t="s">
        <v>33</v>
      </c>
      <c r="G3" s="2" t="s">
        <v>34</v>
      </c>
      <c r="H3" s="2" t="s">
        <v>35</v>
      </c>
      <c r="I3" s="2" t="s">
        <v>36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IF(DAY(ТраНд1)=1,ТраНд1-6,ТраНд1+1)</f>
        <v>42485</v>
      </c>
      <c r="D4" s="10">
        <f>IF(DAY(ТраНд1)=1,ТраНд1-5,ТраНд1+2)</f>
        <v>42486</v>
      </c>
      <c r="E4" s="10">
        <f>IF(DAY(ТраНд1)=1,ТраНд1-4,ТраНд1+3)</f>
        <v>42487</v>
      </c>
      <c r="F4" s="10">
        <f>IF(DAY(ТраНд1)=1,ТраНд1-3,ТраНд1+4)</f>
        <v>42488</v>
      </c>
      <c r="G4" s="10">
        <f>IF(DAY(ТраНд1)=1,ТраНд1-2,ТраНд1+5)</f>
        <v>42489</v>
      </c>
      <c r="H4" s="10">
        <f>IF(DAY(ТраНд1)=1,ТраНд1-1,ТраНд1+6)</f>
        <v>42490</v>
      </c>
      <c r="I4" s="10">
        <f>IF(DAY(ТраНд1)=1,ТраНд1,ТраНд1+7)</f>
        <v>42491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IF(DAY(ТраНд1)=1,ТраНд1+1,ТраНд1+8)</f>
        <v>42492</v>
      </c>
      <c r="D5" s="10">
        <f>IF(DAY(ТраНд1)=1,ТраНд1+2,ТраНд1+9)</f>
        <v>42493</v>
      </c>
      <c r="E5" s="10">
        <f>IF(DAY(ТраНд1)=1,ТраНд1+3,ТраНд1+10)</f>
        <v>42494</v>
      </c>
      <c r="F5" s="10">
        <f>IF(DAY(ТраНд1)=1,ТраНд1+4,ТраНд1+11)</f>
        <v>42495</v>
      </c>
      <c r="G5" s="10">
        <f>IF(DAY(ТраНд1)=1,ТраНд1+5,ТраНд1+12)</f>
        <v>42496</v>
      </c>
      <c r="H5" s="10">
        <f>IF(DAY(ТраНд1)=1,ТраНд1+6,ТраНд1+13)</f>
        <v>42497</v>
      </c>
      <c r="I5" s="10">
        <f>IF(DAY(ТраНд1)=1,ТраНд1+7,ТраНд1+14)</f>
        <v>42498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IF(DAY(ТраНд1)=1,ТраНд1+8,ТраНд1+15)</f>
        <v>42499</v>
      </c>
      <c r="D6" s="10">
        <f>IF(DAY(ТраНд1)=1,ТраНд1+9,ТраНд1+16)</f>
        <v>42500</v>
      </c>
      <c r="E6" s="10">
        <f>IF(DAY(ТраНд1)=1,ТраНд1+10,ТраНд1+17)</f>
        <v>42501</v>
      </c>
      <c r="F6" s="10">
        <f>IF(DAY(ТраНд1)=1,ТраНд1+11,ТраНд1+18)</f>
        <v>42502</v>
      </c>
      <c r="G6" s="10">
        <f>IF(DAY(ТраНд1)=1,ТраНд1+12,ТраНд1+19)</f>
        <v>42503</v>
      </c>
      <c r="H6" s="10">
        <f>IF(DAY(ТраНд1)=1,ТраНд1+13,ТраНд1+20)</f>
        <v>42504</v>
      </c>
      <c r="I6" s="10">
        <f>IF(DAY(ТраНд1)=1,ТраНд1+14,ТраНд1+21)</f>
        <v>42505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IF(DAY(ТраНд1)=1,ТраНд1+15,ТраНд1+22)</f>
        <v>42506</v>
      </c>
      <c r="D7" s="10">
        <f>IF(DAY(ТраНд1)=1,ТраНд1+16,ТраНд1+23)</f>
        <v>42507</v>
      </c>
      <c r="E7" s="10">
        <f>IF(DAY(ТраНд1)=1,ТраНд1+17,ТраНд1+24)</f>
        <v>42508</v>
      </c>
      <c r="F7" s="10">
        <f>IF(DAY(ТраНд1)=1,ТраНд1+18,ТраНд1+25)</f>
        <v>42509</v>
      </c>
      <c r="G7" s="10">
        <f>IF(DAY(ТраНд1)=1,ТраНд1+19,ТраНд1+26)</f>
        <v>42510</v>
      </c>
      <c r="H7" s="10">
        <f>IF(DAY(ТраНд1)=1,ТраНд1+20,ТраНд1+27)</f>
        <v>42511</v>
      </c>
      <c r="I7" s="10">
        <f>IF(DAY(ТраНд1)=1,ТраНд1+21,ТраНд1+28)</f>
        <v>42512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IF(DAY(ТраНд1)=1,ТраНд1+22,ТраНд1+29)</f>
        <v>42513</v>
      </c>
      <c r="D8" s="10">
        <f>IF(DAY(ТраНд1)=1,ТраНд1+23,ТраНд1+30)</f>
        <v>42514</v>
      </c>
      <c r="E8" s="10">
        <f>IF(DAY(ТраНд1)=1,ТраНд1+24,ТраНд1+31)</f>
        <v>42515</v>
      </c>
      <c r="F8" s="10">
        <f>IF(DAY(ТраНд1)=1,ТраНд1+25,ТраНд1+32)</f>
        <v>42516</v>
      </c>
      <c r="G8" s="10">
        <f>IF(DAY(ТраНд1)=1,ТраНд1+26,ТраНд1+33)</f>
        <v>42517</v>
      </c>
      <c r="H8" s="10">
        <f>IF(DAY(ТраНд1)=1,ТраНд1+27,ТраНд1+34)</f>
        <v>42518</v>
      </c>
      <c r="I8" s="10">
        <f>IF(DAY(ТраНд1)=1,ТраНд1+28,ТраНд1+35)</f>
        <v>42519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IF(DAY(ТраНд1)=1,ТраНд1+29,ТраНд1+36)</f>
        <v>42520</v>
      </c>
      <c r="D9" s="10">
        <f>IF(DAY(ТраНд1)=1,ТраНд1+30,ТраНд1+37)</f>
        <v>42521</v>
      </c>
      <c r="E9" s="10">
        <f>IF(DAY(ТраНд1)=1,ТраНд1+31,ТраНд1+38)</f>
        <v>42522</v>
      </c>
      <c r="F9" s="10">
        <f>IF(DAY(ТраНд1)=1,ТраНд1+32,ТраНд1+39)</f>
        <v>42523</v>
      </c>
      <c r="G9" s="10">
        <f>IF(DAY(ТраНд1)=1,ТраНд1+33,ТраНд1+40)</f>
        <v>42524</v>
      </c>
      <c r="H9" s="10">
        <f>IF(DAY(ТраНд1)=1,ТраНд1+34,ТраНд1+41)</f>
        <v>42525</v>
      </c>
      <c r="I9" s="10">
        <f>IF(DAY(ТраНд1)=1,ТраНд1+35,ТраНд1+42)</f>
        <v>42526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10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10</v>
      </c>
      <c r="D13" s="69"/>
      <c r="E13" s="67" t="s">
        <v>15</v>
      </c>
      <c r="F13" s="69"/>
      <c r="G13" s="67" t="s">
        <v>16</v>
      </c>
      <c r="H13" s="69"/>
      <c r="I13" s="67" t="s">
        <v>17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11</v>
      </c>
      <c r="D16" s="45"/>
      <c r="E16" s="44"/>
      <c r="F16" s="45"/>
      <c r="G16" s="44" t="s">
        <v>11</v>
      </c>
      <c r="H16" s="45"/>
      <c r="I16" s="53"/>
      <c r="J16" s="54"/>
      <c r="K16" s="65" t="s">
        <v>15</v>
      </c>
      <c r="L16" s="16"/>
      <c r="M16" s="42"/>
      <c r="N16" s="43"/>
    </row>
    <row r="17" spans="2:14" ht="18" customHeight="1" x14ac:dyDescent="0.2">
      <c r="B17" s="6"/>
      <c r="C17" s="46" t="s">
        <v>12</v>
      </c>
      <c r="D17" s="47"/>
      <c r="E17" s="46"/>
      <c r="F17" s="47"/>
      <c r="G17" s="46" t="s">
        <v>12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16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17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13</v>
      </c>
      <c r="D30" s="45"/>
      <c r="E30" s="44"/>
      <c r="F30" s="45"/>
      <c r="G30" s="44" t="s">
        <v>13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14</v>
      </c>
      <c r="D31" s="47"/>
      <c r="E31" s="46"/>
      <c r="F31" s="47"/>
      <c r="G31" s="46" t="s">
        <v>14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1" priority="3" stopIfTrue="1">
      <formula>DAY(C4)&gt;8</formula>
    </cfRule>
  </conditionalFormatting>
  <conditionalFormatting sqref="C8:I10">
    <cfRule type="expression" dxfId="30" priority="2" stopIfTrue="1">
      <formula>AND(DAY(C8)&gt;=1,DAY(C8)&lt;=15)</formula>
    </cfRule>
  </conditionalFormatting>
  <conditionalFormatting sqref="C4:I9">
    <cfRule type="expression" dxfId="29" priority="4">
      <formula>VLOOKUP(DAY(C4),ДніЗавдання,1,FALSE)=DAY(C4)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4.7109375" style="1" customWidth="1"/>
    <col min="3" max="10" width="7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18</v>
      </c>
      <c r="L2" s="71">
        <v>2013</v>
      </c>
      <c r="M2" s="71"/>
      <c r="N2" s="79">
        <f>КалендарРік</f>
        <v>2016</v>
      </c>
    </row>
    <row r="3" spans="1:14" ht="21" customHeight="1" x14ac:dyDescent="0.2">
      <c r="A3" s="4"/>
      <c r="B3" s="31" t="s">
        <v>27</v>
      </c>
      <c r="C3" s="2" t="s">
        <v>9</v>
      </c>
      <c r="D3" s="2" t="s">
        <v>31</v>
      </c>
      <c r="E3" s="2" t="s">
        <v>32</v>
      </c>
      <c r="F3" s="2" t="s">
        <v>33</v>
      </c>
      <c r="G3" s="2" t="s">
        <v>34</v>
      </c>
      <c r="H3" s="2" t="s">
        <v>35</v>
      </c>
      <c r="I3" s="2" t="s">
        <v>36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IF(DAY(ЧерНд1)=1,ЧерНд1-6,ЧерНд1+1)</f>
        <v>42520</v>
      </c>
      <c r="D4" s="10">
        <f>IF(DAY(ЧерНд1)=1,ЧерНд1-5,ЧерНд1+2)</f>
        <v>42521</v>
      </c>
      <c r="E4" s="10">
        <f>IF(DAY(ЧерНд1)=1,ЧерНд1-4,ЧерНд1+3)</f>
        <v>42522</v>
      </c>
      <c r="F4" s="10">
        <f>IF(DAY(ЧерНд1)=1,ЧерНд1-3,ЧерНд1+4)</f>
        <v>42523</v>
      </c>
      <c r="G4" s="10">
        <f>IF(DAY(ЧерНд1)=1,ЧерНд1-2,ЧерНд1+5)</f>
        <v>42524</v>
      </c>
      <c r="H4" s="10">
        <f>IF(DAY(ЧерНд1)=1,ЧерНд1-1,ЧерНд1+6)</f>
        <v>42525</v>
      </c>
      <c r="I4" s="10">
        <f>IF(DAY(ЧерНд1)=1,ЧерНд1,ЧерНд1+7)</f>
        <v>42526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IF(DAY(ЧерНд1)=1,ЧерНд1+1,ЧерНд1+8)</f>
        <v>42527</v>
      </c>
      <c r="D5" s="10">
        <f>IF(DAY(ЧерНд1)=1,ЧерНд1+2,ЧерНд1+9)</f>
        <v>42528</v>
      </c>
      <c r="E5" s="10">
        <f>IF(DAY(ЧерНд1)=1,ЧерНд1+3,ЧерНд1+10)</f>
        <v>42529</v>
      </c>
      <c r="F5" s="10">
        <f>IF(DAY(ЧерНд1)=1,ЧерНд1+4,ЧерНд1+11)</f>
        <v>42530</v>
      </c>
      <c r="G5" s="10">
        <f>IF(DAY(ЧерНд1)=1,ЧерНд1+5,ЧерНд1+12)</f>
        <v>42531</v>
      </c>
      <c r="H5" s="10">
        <f>IF(DAY(ЧерНд1)=1,ЧерНд1+6,ЧерНд1+13)</f>
        <v>42532</v>
      </c>
      <c r="I5" s="10">
        <f>IF(DAY(ЧерНд1)=1,ЧерНд1+7,ЧерНд1+14)</f>
        <v>42533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IF(DAY(ЧерНд1)=1,ЧерНд1+8,ЧерНд1+15)</f>
        <v>42534</v>
      </c>
      <c r="D6" s="10">
        <f>IF(DAY(ЧерНд1)=1,ЧерНд1+9,ЧерНд1+16)</f>
        <v>42535</v>
      </c>
      <c r="E6" s="10">
        <f>IF(DAY(ЧерНд1)=1,ЧерНд1+10,ЧерНд1+17)</f>
        <v>42536</v>
      </c>
      <c r="F6" s="10">
        <f>IF(DAY(ЧерНд1)=1,ЧерНд1+11,ЧерНд1+18)</f>
        <v>42537</v>
      </c>
      <c r="G6" s="10">
        <f>IF(DAY(ЧерНд1)=1,ЧерНд1+12,ЧерНд1+19)</f>
        <v>42538</v>
      </c>
      <c r="H6" s="10">
        <f>IF(DAY(ЧерНд1)=1,ЧерНд1+13,ЧерНд1+20)</f>
        <v>42539</v>
      </c>
      <c r="I6" s="10">
        <f>IF(DAY(ЧерНд1)=1,ЧерНд1+14,ЧерНд1+21)</f>
        <v>42540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IF(DAY(ЧерНд1)=1,ЧерНд1+15,ЧерНд1+22)</f>
        <v>42541</v>
      </c>
      <c r="D7" s="10">
        <f>IF(DAY(ЧерНд1)=1,ЧерНд1+16,ЧерНд1+23)</f>
        <v>42542</v>
      </c>
      <c r="E7" s="10">
        <f>IF(DAY(ЧерНд1)=1,ЧерНд1+17,ЧерНд1+24)</f>
        <v>42543</v>
      </c>
      <c r="F7" s="10">
        <f>IF(DAY(ЧерНд1)=1,ЧерНд1+18,ЧерНд1+25)</f>
        <v>42544</v>
      </c>
      <c r="G7" s="10">
        <f>IF(DAY(ЧерНд1)=1,ЧерНд1+19,ЧерНд1+26)</f>
        <v>42545</v>
      </c>
      <c r="H7" s="10">
        <f>IF(DAY(ЧерНд1)=1,ЧерНд1+20,ЧерНд1+27)</f>
        <v>42546</v>
      </c>
      <c r="I7" s="10">
        <f>IF(DAY(ЧерНд1)=1,ЧерНд1+21,ЧерНд1+28)</f>
        <v>42547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IF(DAY(ЧерНд1)=1,ЧерНд1+22,ЧерНд1+29)</f>
        <v>42548</v>
      </c>
      <c r="D8" s="10">
        <f>IF(DAY(ЧерНд1)=1,ЧерНд1+23,ЧерНд1+30)</f>
        <v>42549</v>
      </c>
      <c r="E8" s="10">
        <f>IF(DAY(ЧерНд1)=1,ЧерНд1+24,ЧерНд1+31)</f>
        <v>42550</v>
      </c>
      <c r="F8" s="10">
        <f>IF(DAY(ЧерНд1)=1,ЧерНд1+25,ЧерНд1+32)</f>
        <v>42551</v>
      </c>
      <c r="G8" s="10">
        <f>IF(DAY(ЧерНд1)=1,ЧерНд1+26,ЧерНд1+33)</f>
        <v>42552</v>
      </c>
      <c r="H8" s="10">
        <f>IF(DAY(ЧерНд1)=1,ЧерНд1+27,ЧерНд1+34)</f>
        <v>42553</v>
      </c>
      <c r="I8" s="10">
        <f>IF(DAY(ЧерНд1)=1,ЧерНд1+28,ЧерНд1+35)</f>
        <v>42554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IF(DAY(ЧерНд1)=1,ЧерНд1+29,ЧерНд1+36)</f>
        <v>42555</v>
      </c>
      <c r="D9" s="10">
        <f>IF(DAY(ЧерНд1)=1,ЧерНд1+30,ЧерНд1+37)</f>
        <v>42556</v>
      </c>
      <c r="E9" s="10">
        <f>IF(DAY(ЧерНд1)=1,ЧерНд1+31,ЧерНд1+38)</f>
        <v>42557</v>
      </c>
      <c r="F9" s="10">
        <f>IF(DAY(ЧерНд1)=1,ЧерНд1+32,ЧерНд1+39)</f>
        <v>42558</v>
      </c>
      <c r="G9" s="10">
        <f>IF(DAY(ЧерНд1)=1,ЧерНд1+33,ЧерНд1+40)</f>
        <v>42559</v>
      </c>
      <c r="H9" s="10">
        <f>IF(DAY(ЧерНд1)=1,ЧерНд1+34,ЧерНд1+41)</f>
        <v>42560</v>
      </c>
      <c r="I9" s="10">
        <f>IF(DAY(ЧерНд1)=1,ЧерНд1+35,ЧерНд1+42)</f>
        <v>42561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10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10</v>
      </c>
      <c r="D13" s="69"/>
      <c r="E13" s="67" t="s">
        <v>15</v>
      </c>
      <c r="F13" s="69"/>
      <c r="G13" s="67" t="s">
        <v>16</v>
      </c>
      <c r="H13" s="69"/>
      <c r="I13" s="67" t="s">
        <v>17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11</v>
      </c>
      <c r="D16" s="45"/>
      <c r="E16" s="44"/>
      <c r="F16" s="45"/>
      <c r="G16" s="44" t="s">
        <v>11</v>
      </c>
      <c r="H16" s="45"/>
      <c r="I16" s="53"/>
      <c r="J16" s="54"/>
      <c r="K16" s="65" t="s">
        <v>15</v>
      </c>
      <c r="L16" s="16"/>
      <c r="M16" s="42"/>
      <c r="N16" s="43"/>
    </row>
    <row r="17" spans="2:14" ht="18" customHeight="1" x14ac:dyDescent="0.2">
      <c r="B17" s="6"/>
      <c r="C17" s="46" t="s">
        <v>12</v>
      </c>
      <c r="D17" s="47"/>
      <c r="E17" s="46"/>
      <c r="F17" s="47"/>
      <c r="G17" s="46" t="s">
        <v>12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16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17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13</v>
      </c>
      <c r="D30" s="45"/>
      <c r="E30" s="44"/>
      <c r="F30" s="45"/>
      <c r="G30" s="44" t="s">
        <v>13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14</v>
      </c>
      <c r="D31" s="47"/>
      <c r="E31" s="46"/>
      <c r="F31" s="47"/>
      <c r="G31" s="46" t="s">
        <v>14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7" priority="3" stopIfTrue="1">
      <formula>DAY(C4)&gt;8</formula>
    </cfRule>
  </conditionalFormatting>
  <conditionalFormatting sqref="C8:I10">
    <cfRule type="expression" dxfId="26" priority="2" stopIfTrue="1">
      <formula>AND(DAY(C8)&gt;=1,DAY(C8)&lt;=15)</formula>
    </cfRule>
  </conditionalFormatting>
  <conditionalFormatting sqref="C4:I9">
    <cfRule type="expression" dxfId="25" priority="4">
      <formula>VLOOKUP(DAY(C4),ДніЗавдання,1,FALSE)=DAY(C4)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4.7109375" style="1" customWidth="1"/>
    <col min="3" max="10" width="7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18</v>
      </c>
      <c r="L2" s="71">
        <v>2013</v>
      </c>
      <c r="M2" s="71"/>
      <c r="N2" s="79">
        <f>КалендарРік</f>
        <v>2016</v>
      </c>
    </row>
    <row r="3" spans="1:14" ht="21" customHeight="1" x14ac:dyDescent="0.2">
      <c r="A3" s="4"/>
      <c r="B3" s="31" t="s">
        <v>28</v>
      </c>
      <c r="C3" s="2" t="s">
        <v>9</v>
      </c>
      <c r="D3" s="2" t="s">
        <v>31</v>
      </c>
      <c r="E3" s="2" t="s">
        <v>32</v>
      </c>
      <c r="F3" s="2" t="s">
        <v>33</v>
      </c>
      <c r="G3" s="2" t="s">
        <v>34</v>
      </c>
      <c r="H3" s="2" t="s">
        <v>35</v>
      </c>
      <c r="I3" s="2" t="s">
        <v>36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IF(DAY(ЛипНд1)=1,ЛипНд1-6,ЛипНд1+1)</f>
        <v>42548</v>
      </c>
      <c r="D4" s="10">
        <f>IF(DAY(ЛипНд1)=1,ЛипНд1-5,ЛипНд1+2)</f>
        <v>42549</v>
      </c>
      <c r="E4" s="10">
        <f>IF(DAY(ЛипНд1)=1,ЛипНд1-4,ЛипНд1+3)</f>
        <v>42550</v>
      </c>
      <c r="F4" s="10">
        <f>IF(DAY(ЛипНд1)=1,ЛипНд1-3,ЛипНд1+4)</f>
        <v>42551</v>
      </c>
      <c r="G4" s="10">
        <f>IF(DAY(ЛипНд1)=1,ЛипНд1-2,ЛипНд1+5)</f>
        <v>42552</v>
      </c>
      <c r="H4" s="10">
        <f>IF(DAY(ЛипНд1)=1,ЛипНд1-1,ЛипНд1+6)</f>
        <v>42553</v>
      </c>
      <c r="I4" s="10">
        <f>IF(DAY(ЛипНд1)=1,ЛипНд1,ЛипНд1+7)</f>
        <v>42554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IF(DAY(ЛипНд1)=1,ЛипНд1+1,ЛипНд1+8)</f>
        <v>42555</v>
      </c>
      <c r="D5" s="10">
        <f>IF(DAY(ЛипНд1)=1,ЛипНд1+2,ЛипНд1+9)</f>
        <v>42556</v>
      </c>
      <c r="E5" s="10">
        <f>IF(DAY(ЛипНд1)=1,ЛипНд1+3,ЛипНд1+10)</f>
        <v>42557</v>
      </c>
      <c r="F5" s="10">
        <f>IF(DAY(ЛипНд1)=1,ЛипНд1+4,ЛипНд1+11)</f>
        <v>42558</v>
      </c>
      <c r="G5" s="10">
        <f>IF(DAY(ЛипНд1)=1,ЛипНд1+5,ЛипНд1+12)</f>
        <v>42559</v>
      </c>
      <c r="H5" s="10">
        <f>IF(DAY(ЛипНд1)=1,ЛипНд1+6,ЛипНд1+13)</f>
        <v>42560</v>
      </c>
      <c r="I5" s="10">
        <f>IF(DAY(ЛипНд1)=1,ЛипНд1+7,ЛипНд1+14)</f>
        <v>42561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IF(DAY(ЛипНд1)=1,ЛипНд1+8,ЛипНд1+15)</f>
        <v>42562</v>
      </c>
      <c r="D6" s="10">
        <f>IF(DAY(ЛипНд1)=1,ЛипНд1+9,ЛипНд1+16)</f>
        <v>42563</v>
      </c>
      <c r="E6" s="10">
        <f>IF(DAY(ЛипНд1)=1,ЛипНд1+10,ЛипНд1+17)</f>
        <v>42564</v>
      </c>
      <c r="F6" s="10">
        <f>IF(DAY(ЛипНд1)=1,ЛипНд1+11,ЛипНд1+18)</f>
        <v>42565</v>
      </c>
      <c r="G6" s="10">
        <f>IF(DAY(ЛипНд1)=1,ЛипНд1+12,ЛипНд1+19)</f>
        <v>42566</v>
      </c>
      <c r="H6" s="10">
        <f>IF(DAY(ЛипНд1)=1,ЛипНд1+13,ЛипНд1+20)</f>
        <v>42567</v>
      </c>
      <c r="I6" s="10">
        <f>IF(DAY(ЛипНд1)=1,ЛипНд1+14,ЛипНд1+21)</f>
        <v>42568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IF(DAY(ЛипНд1)=1,ЛипНд1+15,ЛипНд1+22)</f>
        <v>42569</v>
      </c>
      <c r="D7" s="10">
        <f>IF(DAY(ЛипНд1)=1,ЛипНд1+16,ЛипНд1+23)</f>
        <v>42570</v>
      </c>
      <c r="E7" s="10">
        <f>IF(DAY(ЛипНд1)=1,ЛипНд1+17,ЛипНд1+24)</f>
        <v>42571</v>
      </c>
      <c r="F7" s="10">
        <f>IF(DAY(ЛипНд1)=1,ЛипНд1+18,ЛипНд1+25)</f>
        <v>42572</v>
      </c>
      <c r="G7" s="10">
        <f>IF(DAY(ЛипНд1)=1,ЛипНд1+19,ЛипНд1+26)</f>
        <v>42573</v>
      </c>
      <c r="H7" s="10">
        <f>IF(DAY(ЛипНд1)=1,ЛипНд1+20,ЛипНд1+27)</f>
        <v>42574</v>
      </c>
      <c r="I7" s="10">
        <f>IF(DAY(ЛипНд1)=1,ЛипНд1+21,ЛипНд1+28)</f>
        <v>42575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IF(DAY(ЛипНд1)=1,ЛипНд1+22,ЛипНд1+29)</f>
        <v>42576</v>
      </c>
      <c r="D8" s="10">
        <f>IF(DAY(ЛипНд1)=1,ЛипНд1+23,ЛипНд1+30)</f>
        <v>42577</v>
      </c>
      <c r="E8" s="10">
        <f>IF(DAY(ЛипНд1)=1,ЛипНд1+24,ЛипНд1+31)</f>
        <v>42578</v>
      </c>
      <c r="F8" s="10">
        <f>IF(DAY(ЛипНд1)=1,ЛипНд1+25,ЛипНд1+32)</f>
        <v>42579</v>
      </c>
      <c r="G8" s="10">
        <f>IF(DAY(ЛипНд1)=1,ЛипНд1+26,ЛипНд1+33)</f>
        <v>42580</v>
      </c>
      <c r="H8" s="10">
        <f>IF(DAY(ЛипНд1)=1,ЛипНд1+27,ЛипНд1+34)</f>
        <v>42581</v>
      </c>
      <c r="I8" s="10">
        <f>IF(DAY(ЛипНд1)=1,ЛипНд1+28,ЛипНд1+35)</f>
        <v>42582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IF(DAY(ЛипНд1)=1,ЛипНд1+29,ЛипНд1+36)</f>
        <v>42583</v>
      </c>
      <c r="D9" s="10">
        <f>IF(DAY(ЛипНд1)=1,ЛипНд1+30,ЛипНд1+37)</f>
        <v>42584</v>
      </c>
      <c r="E9" s="10">
        <f>IF(DAY(ЛипНд1)=1,ЛипНд1+31,ЛипНд1+38)</f>
        <v>42585</v>
      </c>
      <c r="F9" s="10">
        <f>IF(DAY(ЛипНд1)=1,ЛипНд1+32,ЛипНд1+39)</f>
        <v>42586</v>
      </c>
      <c r="G9" s="10">
        <f>IF(DAY(ЛипНд1)=1,ЛипНд1+33,ЛипНд1+40)</f>
        <v>42587</v>
      </c>
      <c r="H9" s="10">
        <f>IF(DAY(ЛипНд1)=1,ЛипНд1+34,ЛипНд1+41)</f>
        <v>42588</v>
      </c>
      <c r="I9" s="10">
        <f>IF(DAY(ЛипНд1)=1,ЛипНд1+35,ЛипНд1+42)</f>
        <v>42589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10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10</v>
      </c>
      <c r="D13" s="69"/>
      <c r="E13" s="67" t="s">
        <v>15</v>
      </c>
      <c r="F13" s="69"/>
      <c r="G13" s="67" t="s">
        <v>16</v>
      </c>
      <c r="H13" s="69"/>
      <c r="I13" s="67" t="s">
        <v>17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11</v>
      </c>
      <c r="D16" s="45"/>
      <c r="E16" s="44"/>
      <c r="F16" s="45"/>
      <c r="G16" s="44" t="s">
        <v>11</v>
      </c>
      <c r="H16" s="45"/>
      <c r="I16" s="53"/>
      <c r="J16" s="54"/>
      <c r="K16" s="65" t="s">
        <v>15</v>
      </c>
      <c r="L16" s="16"/>
      <c r="M16" s="42"/>
      <c r="N16" s="43"/>
    </row>
    <row r="17" spans="2:14" ht="18" customHeight="1" x14ac:dyDescent="0.2">
      <c r="B17" s="6"/>
      <c r="C17" s="46" t="s">
        <v>12</v>
      </c>
      <c r="D17" s="47"/>
      <c r="E17" s="46"/>
      <c r="F17" s="47"/>
      <c r="G17" s="46" t="s">
        <v>12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16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17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13</v>
      </c>
      <c r="D30" s="45"/>
      <c r="E30" s="44"/>
      <c r="F30" s="45"/>
      <c r="G30" s="44" t="s">
        <v>13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14</v>
      </c>
      <c r="D31" s="47"/>
      <c r="E31" s="46"/>
      <c r="F31" s="47"/>
      <c r="G31" s="46" t="s">
        <v>14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1" priority="4">
      <formula>VLOOKUP(DAY(C4),ДніЗавдання,1,FALSE)=DAY(C4)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4.7109375" style="1" customWidth="1"/>
    <col min="3" max="10" width="7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18</v>
      </c>
      <c r="L2" s="71">
        <v>2013</v>
      </c>
      <c r="M2" s="71"/>
      <c r="N2" s="79">
        <f>КалендарРік</f>
        <v>2016</v>
      </c>
    </row>
    <row r="3" spans="1:14" ht="21" customHeight="1" x14ac:dyDescent="0.2">
      <c r="A3" s="4"/>
      <c r="B3" s="31" t="s">
        <v>29</v>
      </c>
      <c r="C3" s="2" t="s">
        <v>9</v>
      </c>
      <c r="D3" s="2" t="s">
        <v>31</v>
      </c>
      <c r="E3" s="2" t="s">
        <v>32</v>
      </c>
      <c r="F3" s="2" t="s">
        <v>33</v>
      </c>
      <c r="G3" s="2" t="s">
        <v>34</v>
      </c>
      <c r="H3" s="2" t="s">
        <v>35</v>
      </c>
      <c r="I3" s="2" t="s">
        <v>36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IF(DAY(СерНд1)=1,СерНд1-6,СерНд1+1)</f>
        <v>42583</v>
      </c>
      <c r="D4" s="10">
        <f>IF(DAY(СерНд1)=1,СерНд1-5,СерНд1+2)</f>
        <v>42584</v>
      </c>
      <c r="E4" s="10">
        <f>IF(DAY(СерНд1)=1,СерНд1-4,СерНд1+3)</f>
        <v>42585</v>
      </c>
      <c r="F4" s="10">
        <f>IF(DAY(СерНд1)=1,СерНд1-3,СерНд1+4)</f>
        <v>42586</v>
      </c>
      <c r="G4" s="10">
        <f>IF(DAY(СерНд1)=1,СерНд1-2,СерНд1+5)</f>
        <v>42587</v>
      </c>
      <c r="H4" s="10">
        <f>IF(DAY(СерНд1)=1,СерНд1-1,СерНд1+6)</f>
        <v>42588</v>
      </c>
      <c r="I4" s="10">
        <f>IF(DAY(СерНд1)=1,СерНд1,СерНд1+7)</f>
        <v>42589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IF(DAY(СерНд1)=1,СерНд1+1,СерНд1+8)</f>
        <v>42590</v>
      </c>
      <c r="D5" s="10">
        <f>IF(DAY(СерНд1)=1,СерНд1+2,СерНд1+9)</f>
        <v>42591</v>
      </c>
      <c r="E5" s="10">
        <f>IF(DAY(СерНд1)=1,СерНд1+3,СерНд1+10)</f>
        <v>42592</v>
      </c>
      <c r="F5" s="10">
        <f>IF(DAY(СерНд1)=1,СерНд1+4,СерНд1+11)</f>
        <v>42593</v>
      </c>
      <c r="G5" s="10">
        <f>IF(DAY(СерНд1)=1,СерНд1+5,СерНд1+12)</f>
        <v>42594</v>
      </c>
      <c r="H5" s="10">
        <f>IF(DAY(СерНд1)=1,СерНд1+6,СерНд1+13)</f>
        <v>42595</v>
      </c>
      <c r="I5" s="10">
        <f>IF(DAY(СерНд1)=1,СерНд1+7,СерНд1+14)</f>
        <v>42596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IF(DAY(СерНд1)=1,СерНд1+8,СерНд1+15)</f>
        <v>42597</v>
      </c>
      <c r="D6" s="10">
        <f>IF(DAY(СерНд1)=1,СерНд1+9,СерНд1+16)</f>
        <v>42598</v>
      </c>
      <c r="E6" s="10">
        <f>IF(DAY(СерНд1)=1,СерНд1+10,СерНд1+17)</f>
        <v>42599</v>
      </c>
      <c r="F6" s="10">
        <f>IF(DAY(СерНд1)=1,СерНд1+11,СерНд1+18)</f>
        <v>42600</v>
      </c>
      <c r="G6" s="10">
        <f>IF(DAY(СерНд1)=1,СерНд1+12,СерНд1+19)</f>
        <v>42601</v>
      </c>
      <c r="H6" s="10">
        <f>IF(DAY(СерНд1)=1,СерНд1+13,СерНд1+20)</f>
        <v>42602</v>
      </c>
      <c r="I6" s="10">
        <f>IF(DAY(СерНд1)=1,СерНд1+14,СерНд1+21)</f>
        <v>42603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IF(DAY(СерНд1)=1,СерНд1+15,СерНд1+22)</f>
        <v>42604</v>
      </c>
      <c r="D7" s="10">
        <f>IF(DAY(СерНд1)=1,СерНд1+16,СерНд1+23)</f>
        <v>42605</v>
      </c>
      <c r="E7" s="10">
        <f>IF(DAY(СерНд1)=1,СерНд1+17,СерНд1+24)</f>
        <v>42606</v>
      </c>
      <c r="F7" s="10">
        <f>IF(DAY(СерНд1)=1,СерНд1+18,СерНд1+25)</f>
        <v>42607</v>
      </c>
      <c r="G7" s="10">
        <f>IF(DAY(СерНд1)=1,СерНд1+19,СерНд1+26)</f>
        <v>42608</v>
      </c>
      <c r="H7" s="10">
        <f>IF(DAY(СерНд1)=1,СерНд1+20,СерНд1+27)</f>
        <v>42609</v>
      </c>
      <c r="I7" s="10">
        <f>IF(DAY(СерНд1)=1,СерНд1+21,СерНд1+28)</f>
        <v>42610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IF(DAY(СерНд1)=1,СерНд1+22,СерНд1+29)</f>
        <v>42611</v>
      </c>
      <c r="D8" s="10">
        <f>IF(DAY(СерНд1)=1,СерНд1+23,СерНд1+30)</f>
        <v>42612</v>
      </c>
      <c r="E8" s="10">
        <f>IF(DAY(СерНд1)=1,СерНд1+24,СерНд1+31)</f>
        <v>42613</v>
      </c>
      <c r="F8" s="10">
        <f>IF(DAY(СерНд1)=1,СерНд1+25,СерНд1+32)</f>
        <v>42614</v>
      </c>
      <c r="G8" s="10">
        <f>IF(DAY(СерНд1)=1,СерНд1+26,СерНд1+33)</f>
        <v>42615</v>
      </c>
      <c r="H8" s="10">
        <f>IF(DAY(СерНд1)=1,СерНд1+27,СерНд1+34)</f>
        <v>42616</v>
      </c>
      <c r="I8" s="10">
        <f>IF(DAY(СерНд1)=1,СерНд1+28,СерНд1+35)</f>
        <v>42617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IF(DAY(СерНд1)=1,СерНд1+29,СерНд1+36)</f>
        <v>42618</v>
      </c>
      <c r="D9" s="10">
        <f>IF(DAY(СерНд1)=1,СерНд1+30,СерНд1+37)</f>
        <v>42619</v>
      </c>
      <c r="E9" s="10">
        <f>IF(DAY(СерНд1)=1,СерНд1+31,СерНд1+38)</f>
        <v>42620</v>
      </c>
      <c r="F9" s="10">
        <f>IF(DAY(СерНд1)=1,СерНд1+32,СерНд1+39)</f>
        <v>42621</v>
      </c>
      <c r="G9" s="10">
        <f>IF(DAY(СерНд1)=1,СерНд1+33,СерНд1+40)</f>
        <v>42622</v>
      </c>
      <c r="H9" s="10">
        <f>IF(DAY(СерНд1)=1,СерНд1+34,СерНд1+41)</f>
        <v>42623</v>
      </c>
      <c r="I9" s="10">
        <f>IF(DAY(СерНд1)=1,СерНд1+35,СерНд1+42)</f>
        <v>42624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10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10</v>
      </c>
      <c r="D13" s="69"/>
      <c r="E13" s="67" t="s">
        <v>15</v>
      </c>
      <c r="F13" s="69"/>
      <c r="G13" s="67" t="s">
        <v>16</v>
      </c>
      <c r="H13" s="69"/>
      <c r="I13" s="67" t="s">
        <v>17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11</v>
      </c>
      <c r="D16" s="45"/>
      <c r="E16" s="44"/>
      <c r="F16" s="45"/>
      <c r="G16" s="44" t="s">
        <v>11</v>
      </c>
      <c r="H16" s="45"/>
      <c r="I16" s="53"/>
      <c r="J16" s="54"/>
      <c r="K16" s="65" t="s">
        <v>15</v>
      </c>
      <c r="L16" s="16"/>
      <c r="M16" s="42"/>
      <c r="N16" s="43"/>
    </row>
    <row r="17" spans="2:14" ht="18" customHeight="1" x14ac:dyDescent="0.2">
      <c r="B17" s="6"/>
      <c r="C17" s="46" t="s">
        <v>12</v>
      </c>
      <c r="D17" s="47"/>
      <c r="E17" s="46"/>
      <c r="F17" s="47"/>
      <c r="G17" s="46" t="s">
        <v>12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16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17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13</v>
      </c>
      <c r="D30" s="45"/>
      <c r="E30" s="44"/>
      <c r="F30" s="45"/>
      <c r="G30" s="44" t="s">
        <v>13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14</v>
      </c>
      <c r="D31" s="47"/>
      <c r="E31" s="46"/>
      <c r="F31" s="47"/>
      <c r="G31" s="46" t="s">
        <v>14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9" priority="3" stopIfTrue="1">
      <formula>DAY(C4)&gt;8</formula>
    </cfRule>
  </conditionalFormatting>
  <conditionalFormatting sqref="C8:I10">
    <cfRule type="expression" dxfId="18" priority="2" stopIfTrue="1">
      <formula>AND(DAY(C8)&gt;=1,DAY(C8)&lt;=15)</formula>
    </cfRule>
  </conditionalFormatting>
  <conditionalFormatting sqref="C4:I9">
    <cfRule type="expression" dxfId="17" priority="4">
      <formula>VLOOKUP(DAY(C4),ДніЗавдання,1,FALSE)=DAY(C4)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4.7109375" style="1" customWidth="1"/>
    <col min="3" max="10" width="7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18</v>
      </c>
      <c r="L2" s="71">
        <v>2013</v>
      </c>
      <c r="M2" s="71"/>
      <c r="N2" s="79">
        <f>КалендарРік</f>
        <v>2016</v>
      </c>
    </row>
    <row r="3" spans="1:14" ht="21" customHeight="1" x14ac:dyDescent="0.2">
      <c r="A3" s="4"/>
      <c r="B3" s="31" t="s">
        <v>30</v>
      </c>
      <c r="C3" s="2" t="s">
        <v>9</v>
      </c>
      <c r="D3" s="2" t="s">
        <v>31</v>
      </c>
      <c r="E3" s="2" t="s">
        <v>32</v>
      </c>
      <c r="F3" s="2" t="s">
        <v>33</v>
      </c>
      <c r="G3" s="2" t="s">
        <v>34</v>
      </c>
      <c r="H3" s="2" t="s">
        <v>35</v>
      </c>
      <c r="I3" s="2" t="s">
        <v>36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IF(DAY(ВерНд1)=1,ВерНд1-6,ВерНд1+1)</f>
        <v>42611</v>
      </c>
      <c r="D4" s="10">
        <f>IF(DAY(ВерНд1)=1,ВерНд1-5,ВерНд1+2)</f>
        <v>42612</v>
      </c>
      <c r="E4" s="10">
        <f>IF(DAY(ВерНд1)=1,ВерНд1-4,ВерНд1+3)</f>
        <v>42613</v>
      </c>
      <c r="F4" s="10">
        <f>IF(DAY(ВерНд1)=1,ВерНд1-3,ВерНд1+4)</f>
        <v>42614</v>
      </c>
      <c r="G4" s="10">
        <f>IF(DAY(ВерНд1)=1,ВерНд1-2,ВерНд1+5)</f>
        <v>42615</v>
      </c>
      <c r="H4" s="10">
        <f>IF(DAY(ВерНд1)=1,ВерНд1-1,ВерНд1+6)</f>
        <v>42616</v>
      </c>
      <c r="I4" s="10">
        <f>IF(DAY(ВерНд1)=1,ВерНд1,ВерНд1+7)</f>
        <v>42617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IF(DAY(ВерНд1)=1,ВерНд1+1,ВерНд1+8)</f>
        <v>42618</v>
      </c>
      <c r="D5" s="10">
        <f>IF(DAY(ВерНд1)=1,ВерНд1+2,ВерНд1+9)</f>
        <v>42619</v>
      </c>
      <c r="E5" s="10">
        <f>IF(DAY(ВерНд1)=1,ВерНд1+3,ВерНд1+10)</f>
        <v>42620</v>
      </c>
      <c r="F5" s="10">
        <f>IF(DAY(ВерНд1)=1,ВерНд1+4,ВерНд1+11)</f>
        <v>42621</v>
      </c>
      <c r="G5" s="10">
        <f>IF(DAY(ВерНд1)=1,ВерНд1+5,ВерНд1+12)</f>
        <v>42622</v>
      </c>
      <c r="H5" s="10">
        <f>IF(DAY(ВерНд1)=1,ВерНд1+6,ВерНд1+13)</f>
        <v>42623</v>
      </c>
      <c r="I5" s="10">
        <f>IF(DAY(ВерНд1)=1,ВерНд1+7,ВерНд1+14)</f>
        <v>42624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IF(DAY(ВерНд1)=1,ВерНд1+8,ВерНд1+15)</f>
        <v>42625</v>
      </c>
      <c r="D6" s="10">
        <f>IF(DAY(ВерНд1)=1,ВерНд1+9,ВерНд1+16)</f>
        <v>42626</v>
      </c>
      <c r="E6" s="10">
        <f>IF(DAY(ВерНд1)=1,ВерНд1+10,ВерНд1+17)</f>
        <v>42627</v>
      </c>
      <c r="F6" s="10">
        <f>IF(DAY(ВерНд1)=1,ВерНд1+11,ВерНд1+18)</f>
        <v>42628</v>
      </c>
      <c r="G6" s="10">
        <f>IF(DAY(ВерНд1)=1,ВерНд1+12,ВерНд1+19)</f>
        <v>42629</v>
      </c>
      <c r="H6" s="10">
        <f>IF(DAY(ВерНд1)=1,ВерНд1+13,ВерНд1+20)</f>
        <v>42630</v>
      </c>
      <c r="I6" s="10">
        <f>IF(DAY(ВерНд1)=1,ВерНд1+14,ВерНд1+21)</f>
        <v>42631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IF(DAY(ВерНд1)=1,ВерНд1+15,ВерНд1+22)</f>
        <v>42632</v>
      </c>
      <c r="D7" s="10">
        <f>IF(DAY(ВерНд1)=1,ВерНд1+16,ВерНд1+23)</f>
        <v>42633</v>
      </c>
      <c r="E7" s="10">
        <f>IF(DAY(ВерНд1)=1,ВерНд1+17,ВерНд1+24)</f>
        <v>42634</v>
      </c>
      <c r="F7" s="10">
        <f>IF(DAY(ВерНд1)=1,ВерНд1+18,ВерНд1+25)</f>
        <v>42635</v>
      </c>
      <c r="G7" s="10">
        <f>IF(DAY(ВерНд1)=1,ВерНд1+19,ВерНд1+26)</f>
        <v>42636</v>
      </c>
      <c r="H7" s="10">
        <f>IF(DAY(ВерНд1)=1,ВерНд1+20,ВерНд1+27)</f>
        <v>42637</v>
      </c>
      <c r="I7" s="10">
        <f>IF(DAY(ВерНд1)=1,ВерНд1+21,ВерНд1+28)</f>
        <v>42638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IF(DAY(ВерНд1)=1,ВерНд1+22,ВерНд1+29)</f>
        <v>42639</v>
      </c>
      <c r="D8" s="10">
        <f>IF(DAY(ВерНд1)=1,ВерНд1+23,ВерНд1+30)</f>
        <v>42640</v>
      </c>
      <c r="E8" s="10">
        <f>IF(DAY(ВерНд1)=1,ВерНд1+24,ВерНд1+31)</f>
        <v>42641</v>
      </c>
      <c r="F8" s="10">
        <f>IF(DAY(ВерНд1)=1,ВерНд1+25,ВерНд1+32)</f>
        <v>42642</v>
      </c>
      <c r="G8" s="10">
        <f>IF(DAY(ВерНд1)=1,ВерНд1+26,ВерНд1+33)</f>
        <v>42643</v>
      </c>
      <c r="H8" s="10">
        <f>IF(DAY(ВерНд1)=1,ВерНд1+27,ВерНд1+34)</f>
        <v>42644</v>
      </c>
      <c r="I8" s="10">
        <f>IF(DAY(ВерНд1)=1,ВерНд1+28,ВерНд1+35)</f>
        <v>42645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IF(DAY(ВерНд1)=1,ВерНд1+29,ВерНд1+36)</f>
        <v>42646</v>
      </c>
      <c r="D9" s="10">
        <f>IF(DAY(ВерНд1)=1,ВерНд1+30,ВерНд1+37)</f>
        <v>42647</v>
      </c>
      <c r="E9" s="10">
        <f>IF(DAY(ВерНд1)=1,ВерНд1+31,ВерНд1+38)</f>
        <v>42648</v>
      </c>
      <c r="F9" s="10">
        <f>IF(DAY(ВерНд1)=1,ВерНд1+32,ВерНд1+39)</f>
        <v>42649</v>
      </c>
      <c r="G9" s="10">
        <f>IF(DAY(ВерНд1)=1,ВерНд1+33,ВерНд1+40)</f>
        <v>42650</v>
      </c>
      <c r="H9" s="10">
        <f>IF(DAY(ВерНд1)=1,ВерНд1+34,ВерНд1+41)</f>
        <v>42651</v>
      </c>
      <c r="I9" s="10">
        <f>IF(DAY(ВерНд1)=1,ВерНд1+35,ВерНд1+42)</f>
        <v>42652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10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10</v>
      </c>
      <c r="D13" s="69"/>
      <c r="E13" s="67" t="s">
        <v>15</v>
      </c>
      <c r="F13" s="69"/>
      <c r="G13" s="67" t="s">
        <v>16</v>
      </c>
      <c r="H13" s="69"/>
      <c r="I13" s="67" t="s">
        <v>17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11</v>
      </c>
      <c r="D16" s="45"/>
      <c r="E16" s="44"/>
      <c r="F16" s="45"/>
      <c r="G16" s="44" t="s">
        <v>11</v>
      </c>
      <c r="H16" s="45"/>
      <c r="I16" s="53"/>
      <c r="J16" s="54"/>
      <c r="K16" s="65" t="s">
        <v>15</v>
      </c>
      <c r="L16" s="16"/>
      <c r="M16" s="42"/>
      <c r="N16" s="43"/>
    </row>
    <row r="17" spans="2:14" ht="18" customHeight="1" x14ac:dyDescent="0.2">
      <c r="B17" s="6"/>
      <c r="C17" s="46" t="s">
        <v>12</v>
      </c>
      <c r="D17" s="47"/>
      <c r="E17" s="46"/>
      <c r="F17" s="47"/>
      <c r="G17" s="46" t="s">
        <v>12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16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17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13</v>
      </c>
      <c r="D30" s="45"/>
      <c r="E30" s="44"/>
      <c r="F30" s="45"/>
      <c r="G30" s="44" t="s">
        <v>13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14</v>
      </c>
      <c r="D31" s="47"/>
      <c r="E31" s="46"/>
      <c r="F31" s="47"/>
      <c r="G31" s="46" t="s">
        <v>14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5" priority="3" stopIfTrue="1">
      <formula>DAY(C4)&gt;8</formula>
    </cfRule>
  </conditionalFormatting>
  <conditionalFormatting sqref="C8:I10">
    <cfRule type="expression" dxfId="14" priority="2" stopIfTrue="1">
      <formula>AND(DAY(C8)&gt;=1,DAY(C8)&lt;=15)</formula>
    </cfRule>
  </conditionalFormatting>
  <conditionalFormatting sqref="C4:I9">
    <cfRule type="expression" dxfId="13" priority="4">
      <formula>VLOOKUP(DAY(C4),ДніЗавдання,1,FALSE)=DAY(C4)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36</vt:i4>
      </vt:variant>
    </vt:vector>
  </HeadingPairs>
  <TitlesOfParts>
    <vt:vector size="48" baseType="lpstr">
      <vt:lpstr>січ</vt:lpstr>
      <vt:lpstr>лют</vt:lpstr>
      <vt:lpstr>бер</vt:lpstr>
      <vt:lpstr>кві</vt:lpstr>
      <vt:lpstr>тра</vt:lpstr>
      <vt:lpstr>чер</vt:lpstr>
      <vt:lpstr>лип</vt:lpstr>
      <vt:lpstr>сер</vt:lpstr>
      <vt:lpstr>вер</vt:lpstr>
      <vt:lpstr>жов</vt:lpstr>
      <vt:lpstr>лис</vt:lpstr>
      <vt:lpstr>гру</vt:lpstr>
      <vt:lpstr>бер!Print_Area</vt:lpstr>
      <vt:lpstr>вер!Print_Area</vt:lpstr>
      <vt:lpstr>гру!Print_Area</vt:lpstr>
      <vt:lpstr>жов!Print_Area</vt:lpstr>
      <vt:lpstr>кві!Print_Area</vt:lpstr>
      <vt:lpstr>лип!Print_Area</vt:lpstr>
      <vt:lpstr>лис!Print_Area</vt:lpstr>
      <vt:lpstr>лют!Print_Area</vt:lpstr>
      <vt:lpstr>сер!Print_Area</vt:lpstr>
      <vt:lpstr>тра!Print_Area</vt:lpstr>
      <vt:lpstr>чер!Print_Area</vt:lpstr>
      <vt:lpstr>бер!ДніЗавдання</vt:lpstr>
      <vt:lpstr>вер!ДніЗавдання</vt:lpstr>
      <vt:lpstr>гру!ДніЗавдання</vt:lpstr>
      <vt:lpstr>жов!ДніЗавдання</vt:lpstr>
      <vt:lpstr>кві!ДніЗавдання</vt:lpstr>
      <vt:lpstr>лип!ДніЗавдання</vt:lpstr>
      <vt:lpstr>лис!ДніЗавдання</vt:lpstr>
      <vt:lpstr>лют!ДніЗавдання</vt:lpstr>
      <vt:lpstr>сер!ДніЗавдання</vt:lpstr>
      <vt:lpstr>тра!ДніЗавдання</vt:lpstr>
      <vt:lpstr>чер!ДніЗавдання</vt:lpstr>
      <vt:lpstr>ДніЗавдання</vt:lpstr>
      <vt:lpstr>КалендарРік</vt:lpstr>
      <vt:lpstr>бер!ТаблицяВажливихДат</vt:lpstr>
      <vt:lpstr>вер!ТаблицяВажливихДат</vt:lpstr>
      <vt:lpstr>гру!ТаблицяВажливихДат</vt:lpstr>
      <vt:lpstr>жов!ТаблицяВажливихДат</vt:lpstr>
      <vt:lpstr>кві!ТаблицяВажливихДат</vt:lpstr>
      <vt:lpstr>лип!ТаблицяВажливихДат</vt:lpstr>
      <vt:lpstr>лис!ТаблицяВажливихДат</vt:lpstr>
      <vt:lpstr>лют!ТаблицяВажливихДат</vt:lpstr>
      <vt:lpstr>сер!ТаблицяВажливихДат</vt:lpstr>
      <vt:lpstr>тра!ТаблицяВажливихДат</vt:lpstr>
      <vt:lpstr>чер!ТаблицяВажливихДат</vt:lpstr>
      <vt:lpstr>ТаблицяВажливихДат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2013-11-22T23:21:45Z</dcterms:created>
  <dcterms:modified xsi:type="dcterms:W3CDTF">2015-10-27T18:06:21Z</dcterms:modified>
</cp:coreProperties>
</file>