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18"/>
  <workbookPr filterPrivacy="1" autoCompressPictures="0"/>
  <xr:revisionPtr revIDLastSave="11" documentId="13_ncr:1_{BBE439A9-F244-4C5A-8F18-5D2394CBB624}" xr6:coauthVersionLast="45" xr6:coauthVersionMax="45" xr10:uidLastSave="{C8EC8817-45D6-41CE-917C-6FC379D632DB}"/>
  <bookViews>
    <workbookView xWindow="-120" yWindow="-120" windowWidth="28890" windowHeight="16155" xr2:uid="{00000000-000D-0000-FFFF-FFFF00000000}"/>
  </bookViews>
  <sheets>
    <sheet name="Başlangıç" sheetId="2" r:id="rId1"/>
    <sheet name="Yıllık Takvim" sheetId="1" r:id="rId2"/>
  </sheets>
  <definedNames>
    <definedName name="AğuPaz1">DATE(TakvimYılı,8,1)-WEEKDAY(DATE(TakvimYılı,8,1))+1</definedName>
    <definedName name="AraPaz1">DATE(TakvimYılı,12,1)-WEEKDAY(DATE(TakvimYılı,12,1))+1</definedName>
    <definedName name="EkiPaz1">DATE(TakvimYılı,10,1)-WEEKDAY(DATE(TakvimYılı,10,1))+1</definedName>
    <definedName name="EylPaz1">DATE(TakvimYılı,9,1)-WEEKDAY(DATE(TakvimYılı,9,1))+1</definedName>
    <definedName name="HazPaz1">DATE(TakvimYılı,6,1)-WEEKDAY(DATE(TakvimYılı,6,1))+1</definedName>
    <definedName name="KasPaz1">DATE(TakvimYılı,11,1)-WEEKDAY(DATE(TakvimYılı,11,1))+1</definedName>
    <definedName name="MarPaz1">DATE(TakvimYılı,3,1)-WEEKDAY(DATE(TakvimYılı,3,1))+1</definedName>
    <definedName name="MayPaz1">DATE(TakvimYılı,5,1)-WEEKDAY(DATE(TakvimYılı,5,1))+1</definedName>
    <definedName name="NisPaz1">DATE(TakvimYılı,4,1)-WEEKDAY(DATE(TakvimYılı,4,1))+1</definedName>
    <definedName name="OcaPaz1">DATE(TakvimYılı,1,1)-WEEKDAY(DATE(TakvimYılı,1,1))+1</definedName>
    <definedName name="ŞubPaz1">DATE(TakvimYılı,2,1)-WEEKDAY(DATE(TakvimYılı,2,1))+1</definedName>
    <definedName name="TakvimYılı">'Yıllık Takvim'!$C$1</definedName>
    <definedName name="TemPaz1">DATE(TakvimYılı,7,1)-WEEKDAY(DATE(TakvimYılı,7,1))+1</definedName>
    <definedName name="_xlnm.Print_Area" localSheetId="1">'Yıllık Takvim'!$B$1:$W$55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<sst xmlns="http://schemas.openxmlformats.org/spreadsheetml/2006/main" count="135" uniqueCount="58">
  <si>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BU ŞABLON HAKKINDA</t>
  </si>
  <si>
    <t>Bu şablonu kullanarak herhangi bir yıla ait kişisel bir küçük işletme takvimi oluşturabilirsiniz.</t>
  </si>
  <si>
    <t>Şirket Adını ve iletişim bilgilerini girip Şirket logosunu ekleyin.</t>
  </si>
  <si>
    <t>Yılı seçip önemli tarihleri ve özel günleri girin.</t>
  </si>
  <si>
    <t>Not: </t>
  </si>
  <si>
    <t xml:space="preserve">YILLIK TAKVİM çalışma sayfasının A sütununda ek yönergeler sağlanmıştır. Bu metin özellikle gizlenmiştir. Metni kaldırmak için, A sütununu seçin, ardından SİL’i seçin. </t>
  </si>
  <si>
    <t>Tablolar hakkında daha fazla bilgi edinmek için bir tabloda sırasıyla SHIFT ve F10 tuşlarına basıp TABLO seçeneğini belirleyin, ardından ALTERNATİF METİN’i seçin.</t>
  </si>
  <si>
    <t>Bu çalışma sayfasında herhangi bir yıl için bir Küçük İşletme Takvimi oluşturun. Bu çalışma sayfasının nasıl kullanılacağını açıklayan yararlı yönergeler bu sütundaki hücrelerdedir. C1 hücresindeki yılı değiştirmek için sağdaki hücrede yer alan değiştiriciyi seçin. Önemli Tarihler etiketi U1 hücresindedir</t>
  </si>
  <si>
    <t>İpucu sağdaki hücrededir</t>
  </si>
  <si>
    <t>Seçilen yılın takvimi C3 ile Q55 arasındaki hücrelerde, Ocak takvimi C4 ile I10 arasındaki hücrelerde, Şubat takvimi K4 ile Q10 arasındaki hücrelerdedir. Ocak etiketi C3, Şubat etiketi K3 hücresindedir. U3 ile U42 arasında yer alan hücrelere önemli tarihleri ve özel günleri girin</t>
  </si>
  <si>
    <t>Ocak takvim tablosu C4 ile I10 arasındaki hücrelerde, Şubat takvim tablosu K4 ile Q10 arasındaki hücrelerdedir. Sonraki yönerge A12 hücresindedir</t>
  </si>
  <si>
    <t>Mart etiketi C12, Nisan etiketi K12 hücresindedir</t>
  </si>
  <si>
    <t>Mart takvim tablosu C13 ile I19 arasındaki hücrelerde, Nisan takvim tablosu K13 ile Q19 arasındaki hücrelerdedir. Sonraki yönerge A21 hücresindedir</t>
  </si>
  <si>
    <t>Mayıs etiketi C21, Haziran etiketi K21 hücresindedir</t>
  </si>
  <si>
    <t>Mayıs takvim tablosu C22 ile I28 arasındaki hücrelerde, Haziran takvim tablosu K22 ile Q28 arasındaki hücrelerdedir. Sonraki yönerge A30 hücresindedir.</t>
  </si>
  <si>
    <t>Temmuz etiketi C30, Ağustos etiketi K30 hücresindedir</t>
  </si>
  <si>
    <t>Temmuz takvim tablosu C31 ile I37 arasındaki hücrelerde, Ağustos takvim tablosu K31 ile Q37 arasındaki hücrelerdedir. Sonraki yönerge A39 hücresindedir.</t>
  </si>
  <si>
    <t>Eylül etiketi C39, Ekim etiketi K39 hücresindedir</t>
  </si>
  <si>
    <t>Eylül takvim tablosu C40 ile I46 arasındaki hücrelerde, Ağustos takvim tablosu K40 ile Q46 arasındaki hücrelerdedir. Sonraki yönerge A44 hücresindedir</t>
  </si>
  <si>
    <t>U44 hücresine Açık Adresi girin</t>
  </si>
  <si>
    <t>U45 hücresine Şehir ve Posta Kodunu girin. Sonraki yönerge A47 hücresindedir</t>
  </si>
  <si>
    <t>U47 hücresine Şirket Telefon Numarasını girin</t>
  </si>
  <si>
    <t>Kasım etiketi C48, Aralık etiketi K48 hücresindedir. U48 hücresine E-posta adresini girin</t>
  </si>
  <si>
    <t>Kasım takvim tablosu C49 ile I55 arasındaki hücrelerde, Aralık takvim tablosu K49 ile Q55 arasındaki hücrelerdedir. Sonraki yönerge A51 hücresindedir</t>
  </si>
  <si>
    <t>U51 hücresine şirket logosunu ekleyin</t>
  </si>
  <si>
    <t>Takvim yılını değiştirmek için değiştiriciyi kullanın</t>
  </si>
  <si>
    <t>OCAK</t>
  </si>
  <si>
    <t>PZT</t>
  </si>
  <si>
    <t>MART</t>
  </si>
  <si>
    <t>MAYIS</t>
  </si>
  <si>
    <t>TEMMUZ</t>
  </si>
  <si>
    <t>EYLÜL</t>
  </si>
  <si>
    <t>KASIM</t>
  </si>
  <si>
    <t>SAL</t>
  </si>
  <si>
    <t>ÇAR</t>
  </si>
  <si>
    <t>PER</t>
  </si>
  <si>
    <t>CUM</t>
  </si>
  <si>
    <t>CTS</t>
  </si>
  <si>
    <t>PAZ</t>
  </si>
  <si>
    <t>ŞUBAT</t>
  </si>
  <si>
    <t>NİSAN</t>
  </si>
  <si>
    <t>HAZİRAN</t>
  </si>
  <si>
    <t>AĞUSTOS</t>
  </si>
  <si>
    <t>EKİM</t>
  </si>
  <si>
    <t>ARALIK</t>
  </si>
  <si>
    <t>ÖNEMLİ TARİHLER</t>
  </si>
  <si>
    <t>1 OCAK</t>
  </si>
  <si>
    <t>YILBAŞI GÜNÜ</t>
  </si>
  <si>
    <t>14 ŞUBAT</t>
  </si>
  <si>
    <t>SEVGİLİLER GÜNÜ</t>
  </si>
  <si>
    <t>22 ŞUBAT</t>
  </si>
  <si>
    <t>HERKESE AÇIK</t>
  </si>
  <si>
    <t>Açık Adres</t>
  </si>
  <si>
    <t>Şehir, Posta Kodu</t>
  </si>
  <si>
    <t>Telefon</t>
  </si>
  <si>
    <t>E-posta</t>
  </si>
  <si>
    <t>Web Sitesi</t>
  </si>
  <si>
    <t>Logo yer tutucusu bu hücrededir.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</si>
</sst>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d"/>
  </numFmts>
  <fonts count="37"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9" fillId="0" borderId="2" applyNumberFormat="0" applyFill="0" applyAlignment="0" applyProtection="0"/>
    <xf numFmtId="165" fontId="22" fillId="0" borderId="0" applyFont="0" applyFill="0" applyBorder="0" applyAlignment="0" applyProtection="0"/>
    <xf numFmtId="16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5" applyNumberFormat="0" applyAlignment="0" applyProtection="0"/>
    <xf numFmtId="0" fontId="30" fillId="8" borderId="6" applyNumberFormat="0" applyAlignment="0" applyProtection="0"/>
    <xf numFmtId="0" fontId="31" fillId="8" borderId="5" applyNumberFormat="0" applyAlignment="0" applyProtection="0"/>
    <xf numFmtId="0" fontId="32" fillId="0" borderId="7" applyNumberFormat="0" applyFill="0" applyAlignment="0" applyProtection="0"/>
    <xf numFmtId="0" fontId="33" fillId="9" borderId="8" applyNumberFormat="0" applyAlignment="0" applyProtection="0"/>
    <xf numFmtId="0" fontId="34" fillId="0" borderId="0" applyNumberFormat="0" applyFill="0" applyBorder="0" applyAlignment="0" applyProtection="0"/>
    <xf numFmtId="0" fontId="22" fillId="10" borderId="9" applyNumberFormat="0" applyFont="0" applyAlignment="0" applyProtection="0"/>
    <xf numFmtId="0" fontId="35" fillId="0" borderId="0" applyNumberFormat="0" applyFill="0" applyBorder="0" applyAlignment="0" applyProtection="0"/>
    <xf numFmtId="0" fontId="20" fillId="0" borderId="10"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1">
    <xf numFmtId="0" fontId="0" fillId="0" borderId="0" xfId="0"/>
    <xf numFmtId="49" fontId="12" fillId="0" borderId="0" xfId="0" applyNumberFormat="1" applyFont="1"/>
    <xf numFmtId="49" fontId="0" fillId="0" borderId="0" xfId="0" applyNumberFormat="1" applyAlignment="1">
      <alignment horizontal="left"/>
    </xf>
    <xf numFmtId="49" fontId="13" fillId="0" borderId="0" xfId="0" applyNumberFormat="1" applyFont="1" applyAlignment="1">
      <alignment horizontal="left"/>
    </xf>
    <xf numFmtId="0" fontId="0" fillId="3" borderId="0" xfId="0" applyFill="1"/>
    <xf numFmtId="0" fontId="8" fillId="3" borderId="0" xfId="0" applyFont="1" applyFill="1" applyAlignment="1">
      <alignment vertical="center"/>
    </xf>
    <xf numFmtId="0" fontId="9" fillId="3" borderId="0" xfId="0" applyFont="1" applyFill="1"/>
    <xf numFmtId="0" fontId="10" fillId="3" borderId="0" xfId="0" applyFont="1" applyFill="1" applyAlignment="1">
      <alignment vertical="center"/>
    </xf>
    <xf numFmtId="49" fontId="16" fillId="0" borderId="1" xfId="0" applyNumberFormat="1" applyFont="1" applyBorder="1"/>
    <xf numFmtId="49" fontId="16" fillId="0" borderId="0" xfId="0" applyNumberFormat="1" applyFont="1"/>
    <xf numFmtId="49" fontId="17" fillId="0" borderId="0" xfId="0" applyNumberFormat="1" applyFont="1" applyAlignment="1">
      <alignment horizontal="left"/>
    </xf>
    <xf numFmtId="0" fontId="18" fillId="0" borderId="0" xfId="0" applyFont="1" applyAlignment="1">
      <alignment horizontal="center"/>
    </xf>
    <xf numFmtId="0" fontId="5" fillId="0" borderId="0" xfId="0" applyFont="1" applyAlignment="1">
      <alignment vertical="center" wrapText="1"/>
    </xf>
    <xf numFmtId="0" fontId="21" fillId="3" borderId="0" xfId="1" applyFont="1" applyFill="1" applyBorder="1" applyAlignment="1">
      <alignment horizontal="center" vertical="center"/>
    </xf>
    <xf numFmtId="0" fontId="4" fillId="0" borderId="0" xfId="0" applyFont="1" applyAlignment="1">
      <alignment vertical="center" wrapText="1"/>
    </xf>
    <xf numFmtId="0" fontId="20" fillId="0" borderId="0" xfId="0" applyFont="1" applyAlignment="1">
      <alignment wrapText="1"/>
    </xf>
    <xf numFmtId="0" fontId="0" fillId="0" borderId="0" xfId="0" applyAlignment="1">
      <alignment vertical="center"/>
    </xf>
    <xf numFmtId="166" fontId="0" fillId="0" borderId="0" xfId="0" applyNumberFormat="1" applyAlignment="1">
      <alignment wrapText="1"/>
    </xf>
    <xf numFmtId="166" fontId="3" fillId="0" borderId="0" xfId="0" applyNumberFormat="1" applyFont="1" applyAlignment="1">
      <alignment vertical="center"/>
    </xf>
    <xf numFmtId="166" fontId="0" fillId="0" borderId="0" xfId="0" applyNumberFormat="1"/>
    <xf numFmtId="0" fontId="2" fillId="0" borderId="0" xfId="0" applyFont="1" applyAlignment="1">
      <alignment vertical="center" wrapText="1"/>
    </xf>
    <xf numFmtId="0" fontId="7" fillId="0" borderId="0" xfId="0" applyFont="1"/>
    <xf numFmtId="0" fontId="0" fillId="0" borderId="0" xfId="0" applyAlignment="1">
      <alignment horizontal="center"/>
    </xf>
    <xf numFmtId="0" fontId="11" fillId="0" borderId="0" xfId="0" applyFont="1"/>
    <xf numFmtId="0" fontId="0" fillId="2" borderId="0" xfId="0" applyFill="1"/>
    <xf numFmtId="167" fontId="0" fillId="0" borderId="0" xfId="0" applyNumberFormat="1" applyAlignment="1">
      <alignment horizontal="center"/>
    </xf>
    <xf numFmtId="0" fontId="8" fillId="3" borderId="0" xfId="0" applyFont="1" applyFill="1" applyAlignment="1">
      <alignment horizontal="left" vertical="center"/>
    </xf>
    <xf numFmtId="0" fontId="14" fillId="0" borderId="0" xfId="0" applyFont="1" applyAlignment="1">
      <alignment horizontal="left" vertical="center"/>
    </xf>
    <xf numFmtId="0" fontId="15" fillId="0" borderId="0" xfId="0" applyFont="1" applyAlignment="1">
      <alignment horizontal="left"/>
    </xf>
    <xf numFmtId="166" fontId="0" fillId="0" borderId="0" xfId="0" applyNumberFormat="1" applyAlignment="1">
      <alignment horizontal="center"/>
    </xf>
    <xf numFmtId="0" fontId="0" fillId="0" borderId="0" xfId="0" applyAlignment="1">
      <alignment horizontal="center"/>
    </xf>
  </cellXfs>
  <cellStyles count="47">
    <cellStyle name="%20 - Vurgu1" xfId="24" builtinId="30" customBuiltin="1"/>
    <cellStyle name="%20 - Vurgu2" xfId="28" builtinId="34" customBuiltin="1"/>
    <cellStyle name="%20 - Vurgu3" xfId="32" builtinId="38" customBuiltin="1"/>
    <cellStyle name="%20 - Vurgu4" xfId="36" builtinId="42" customBuiltin="1"/>
    <cellStyle name="%20 - Vurgu5" xfId="40" builtinId="46" customBuiltin="1"/>
    <cellStyle name="%20 - Vurgu6" xfId="44" builtinId="50" customBuiltin="1"/>
    <cellStyle name="%40 - Vurgu1" xfId="25" builtinId="31" customBuiltin="1"/>
    <cellStyle name="%40 - Vurgu2" xfId="29" builtinId="35" customBuiltin="1"/>
    <cellStyle name="%40 - Vurgu3" xfId="33" builtinId="39" customBuiltin="1"/>
    <cellStyle name="%40 - Vurgu4" xfId="37" builtinId="43" customBuiltin="1"/>
    <cellStyle name="%40 - Vurgu5" xfId="41" builtinId="47" customBuiltin="1"/>
    <cellStyle name="%40 - Vurgu6" xfId="45" builtinId="51" customBuiltin="1"/>
    <cellStyle name="%60 - Vurgu1" xfId="26" builtinId="32" customBuiltin="1"/>
    <cellStyle name="%60 - Vurgu2" xfId="30" builtinId="36" customBuiltin="1"/>
    <cellStyle name="%60 - Vurgu3" xfId="34" builtinId="40" customBuiltin="1"/>
    <cellStyle name="%60 - Vurgu4" xfId="38" builtinId="44" customBuiltin="1"/>
    <cellStyle name="%60 - Vurgu5" xfId="42" builtinId="48" customBuiltin="1"/>
    <cellStyle name="%60 - Vurgu6" xfId="46" builtinId="52" customBuiltin="1"/>
    <cellStyle name="Açıklama Metni" xfId="21" builtinId="53" customBuiltin="1"/>
    <cellStyle name="Ana Başlık" xfId="7" builtinId="15" customBuiltin="1"/>
    <cellStyle name="Bağlı Hücre" xfId="17" builtinId="24" customBuiltin="1"/>
    <cellStyle name="Başlık 1" xfId="8" builtinId="16" customBuiltin="1"/>
    <cellStyle name="Başlık 2" xfId="1" builtinId="17" customBuiltin="1"/>
    <cellStyle name="Başlık 3" xfId="9" builtinId="18" customBuiltin="1"/>
    <cellStyle name="Başlık 4" xfId="10" builtinId="19" customBuiltin="1"/>
    <cellStyle name="Binlik Ayracı [0]" xfId="3" builtinId="6" customBuiltin="1"/>
    <cellStyle name="Çıkış" xfId="15" builtinId="21" customBuiltin="1"/>
    <cellStyle name="Giriş" xfId="14" builtinId="20" customBuiltin="1"/>
    <cellStyle name="Hesaplama" xfId="16" builtinId="22" customBuiltin="1"/>
    <cellStyle name="İşaretli Hücre" xfId="18" builtinId="23" customBuiltin="1"/>
    <cellStyle name="İyi" xfId="11" builtinId="26" customBuiltin="1"/>
    <cellStyle name="Kötü" xfId="12" builtinId="27" customBuiltin="1"/>
    <cellStyle name="Normal" xfId="0" builtinId="0" customBuiltin="1"/>
    <cellStyle name="Not" xfId="20" builtinId="10" customBuiltin="1"/>
    <cellStyle name="Nötr" xfId="13" builtinId="28" customBuiltin="1"/>
    <cellStyle name="ParaBirimi" xfId="4" builtinId="4" customBuiltin="1"/>
    <cellStyle name="ParaBirimi [0]" xfId="5" builtinId="7" customBuiltin="1"/>
    <cellStyle name="Toplam" xfId="22" builtinId="25" customBuiltin="1"/>
    <cellStyle name="Uyarı Metni" xfId="19" builtinId="11" customBuiltin="1"/>
    <cellStyle name="Virgül" xfId="2" builtinId="3" customBuiltin="1"/>
    <cellStyle name="Vurgu1" xfId="23" builtinId="29" customBuiltin="1"/>
    <cellStyle name="Vurgu2" xfId="27" builtinId="33" customBuiltin="1"/>
    <cellStyle name="Vurgu3" xfId="31" builtinId="37" customBuiltin="1"/>
    <cellStyle name="Vurgu4" xfId="35" builtinId="41" customBuiltin="1"/>
    <cellStyle name="Vurgu5" xfId="39" builtinId="45" customBuiltin="1"/>
    <cellStyle name="Vurgu6" xfId="43" builtinId="49" customBuiltin="1"/>
    <cellStyle name="Yüzde" xfId="6" builtinId="5" customBuiltin="1"/>
  </cellStyles>
  <dxfs count="108">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16" fmlaLink="$C$1" max="2999" min="1900" page="10" val="2020"/>
</file>

<file path=xl/drawings/_rels/drawing1.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682625</xdr:colOff>
      <xdr:row>47</xdr:row>
      <xdr:rowOff>66674</xdr:rowOff>
    </xdr:to>
    <xdr:pic>
      <xdr:nvPicPr>
        <xdr:cNvPr id="2" name="Yapraklar" descr="Çeşitli mesafelerde çiftli ve tekli olarak yerleştirilmiş altı yaprak">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Değiştirici" descr="Takvim yılını değiştirmek için değiştirici düğmesini kullanın veya C1 hücresine yılı girin"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Logo" descr="Şirket logosunun eklenmesi için yer tutucu">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Eylül" displayName="Eylül" ref="C40:I46" totalsRowShown="0" headerRowDxfId="107" dataDxfId="106">
  <autoFilter ref="C40:I46" xr:uid="{00000000-0009-0000-0100-00000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PZT" dataDxfId="105"/>
    <tableColumn id="2" xr3:uid="{00000000-0010-0000-0000-000002000000}" name="SAL" dataDxfId="104"/>
    <tableColumn id="3" xr3:uid="{00000000-0010-0000-0000-000003000000}" name="ÇAR" dataDxfId="103"/>
    <tableColumn id="4" xr3:uid="{00000000-0010-0000-0000-000004000000}" name="PER" dataDxfId="102"/>
    <tableColumn id="5" xr3:uid="{00000000-0010-0000-0000-000005000000}" name="CUM" dataDxfId="101"/>
    <tableColumn id="6" xr3:uid="{00000000-0010-0000-0000-000006000000}" name="CTS" dataDxfId="100"/>
    <tableColumn id="7" xr3:uid="{00000000-0010-0000-0000-000007000000}" name="PAZ" dataDxfId="99"/>
  </tableColumns>
  <tableStyleInfo showFirstColumn="0" showLastColumn="0" showRowStripes="0" showColumnStripes="0"/>
  <extLst>
    <ext xmlns:x14="http://schemas.microsoft.com/office/spreadsheetml/2009/9/main" uri="{504A1905-F514-4f6f-8877-14C23A59335A}">
      <x14:table altTextSummary="Bu tablodaki Eylül takvimine ait günler ve tarihler otomatik olarak güncelleştirilir"/>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Nisan" displayName="Nisan" ref="K13:Q19" totalsRowShown="0" headerRowDxfId="26" dataDxfId="25">
  <autoFilter ref="K13:Q19" xr:uid="{00000000-0009-0000-0100-00001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900-000001000000}" name="PZT" dataDxfId="24"/>
    <tableColumn id="2" xr3:uid="{00000000-0010-0000-0900-000002000000}" name="SAL" dataDxfId="23"/>
    <tableColumn id="3" xr3:uid="{00000000-0010-0000-0900-000003000000}" name="ÇAR" dataDxfId="22"/>
    <tableColumn id="4" xr3:uid="{00000000-0010-0000-0900-000004000000}" name="PER" dataDxfId="21"/>
    <tableColumn id="5" xr3:uid="{00000000-0010-0000-0900-000005000000}" name="CUM" dataDxfId="20"/>
    <tableColumn id="6" xr3:uid="{00000000-0010-0000-0900-000006000000}" name="CTS" dataDxfId="19"/>
    <tableColumn id="7" xr3:uid="{00000000-0010-0000-0900-000007000000}" name="PAZ" dataDxfId="18"/>
  </tableColumns>
  <tableStyleInfo showFirstColumn="0" showLastColumn="0" showRowStripes="0" showColumnStripes="0"/>
  <extLst>
    <ext xmlns:x14="http://schemas.microsoft.com/office/spreadsheetml/2009/9/main" uri="{504A1905-F514-4f6f-8877-14C23A59335A}">
      <x14:table altTextSummary="Bu tablodaki Nisan takvimine ait günler ve tarihler otomatik olarak güncelleştirili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Şubat" displayName="Şubat" ref="K4:Q10" totalsRowShown="0" headerRowDxfId="17" dataDxfId="16">
  <autoFilter ref="K4:Q10"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A00-000001000000}" name="PZT" dataDxfId="15"/>
    <tableColumn id="2" xr3:uid="{00000000-0010-0000-0A00-000002000000}" name="SAL" dataDxfId="14"/>
    <tableColumn id="3" xr3:uid="{00000000-0010-0000-0A00-000003000000}" name="ÇAR" dataDxfId="13"/>
    <tableColumn id="4" xr3:uid="{00000000-0010-0000-0A00-000004000000}" name="PER" dataDxfId="12"/>
    <tableColumn id="5" xr3:uid="{00000000-0010-0000-0A00-000005000000}" name="CUM" dataDxfId="11"/>
    <tableColumn id="6" xr3:uid="{00000000-0010-0000-0A00-000006000000}" name="CTS" dataDxfId="10"/>
    <tableColumn id="7" xr3:uid="{00000000-0010-0000-0A00-000007000000}" name="PAZ" dataDxfId="9"/>
  </tableColumns>
  <tableStyleInfo showFirstColumn="0" showLastColumn="0" showRowStripes="0" showColumnStripes="0"/>
  <extLst>
    <ext xmlns:x14="http://schemas.microsoft.com/office/spreadsheetml/2009/9/main" uri="{504A1905-F514-4f6f-8877-14C23A59335A}">
      <x14:table altTextSummary="Bu tablodaki Şubat takvimine ait günler ve tarihler otomatik olarak güncelleştirilir."/>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Ocak" displayName="Ocak" ref="C4:I10" totalsRowShown="0" headerRowDxfId="8" dataDxfId="7">
  <autoFilter ref="C4:I10" xr:uid="{00000000-0009-0000-0100-00001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B00-000001000000}" name="PZT" dataDxfId="6"/>
    <tableColumn id="2" xr3:uid="{00000000-0010-0000-0B00-000002000000}" name="SAL" dataDxfId="5"/>
    <tableColumn id="3" xr3:uid="{00000000-0010-0000-0B00-000003000000}" name="ÇAR" dataDxfId="4"/>
    <tableColumn id="4" xr3:uid="{00000000-0010-0000-0B00-000004000000}" name="PER" dataDxfId="3"/>
    <tableColumn id="5" xr3:uid="{00000000-0010-0000-0B00-000005000000}" name="CUM" dataDxfId="2"/>
    <tableColumn id="6" xr3:uid="{00000000-0010-0000-0B00-000006000000}" name="CTS" dataDxfId="1"/>
    <tableColumn id="7" xr3:uid="{00000000-0010-0000-0B00-000007000000}" name="PAZ" dataDxfId="0"/>
  </tableColumns>
  <tableStyleInfo showFirstColumn="0" showLastColumn="0" showRowStripes="0" showColumnStripes="0"/>
  <extLst>
    <ext xmlns:x14="http://schemas.microsoft.com/office/spreadsheetml/2009/9/main" uri="{504A1905-F514-4f6f-8877-14C23A59335A}">
      <x14:table altTextSummary="Bu tablodaki Ocak takvimine ait günler ve tarihler otomatik olarak güncelleştirili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Ekim" displayName="Ekim" ref="K40:Q46" totalsRowShown="0" headerRowDxfId="98" dataDxfId="97">
  <autoFilter ref="K40:Q46" xr:uid="{00000000-0009-0000-0100-00000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PZT" dataDxfId="96"/>
    <tableColumn id="2" xr3:uid="{00000000-0010-0000-0100-000002000000}" name="SAL" dataDxfId="95"/>
    <tableColumn id="3" xr3:uid="{00000000-0010-0000-0100-000003000000}" name="ÇAR" dataDxfId="94"/>
    <tableColumn id="4" xr3:uid="{00000000-0010-0000-0100-000004000000}" name="PER" dataDxfId="93"/>
    <tableColumn id="5" xr3:uid="{00000000-0010-0000-0100-000005000000}" name="CUM" dataDxfId="92"/>
    <tableColumn id="6" xr3:uid="{00000000-0010-0000-0100-000006000000}" name="CTS" dataDxfId="91"/>
    <tableColumn id="7" xr3:uid="{00000000-0010-0000-0100-000007000000}" name="PAZ" dataDxfId="90"/>
  </tableColumns>
  <tableStyleInfo showFirstColumn="0" showLastColumn="0" showRowStripes="0" showColumnStripes="0"/>
  <extLst>
    <ext xmlns:x14="http://schemas.microsoft.com/office/spreadsheetml/2009/9/main" uri="{504A1905-F514-4f6f-8877-14C23A59335A}">
      <x14:table altTextSummary="Bu tablodaki Ekim takvimine ait günler ve tarihler otomatik olarak güncelleştirili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Aralık" displayName="Aralık" ref="K49:Q55" totalsRowShown="0" headerRowDxfId="89" dataDxfId="88">
  <autoFilter ref="K49:Q55"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PZT" dataDxfId="87"/>
    <tableColumn id="2" xr3:uid="{00000000-0010-0000-0200-000002000000}" name="SAL" dataDxfId="86"/>
    <tableColumn id="3" xr3:uid="{00000000-0010-0000-0200-000003000000}" name="ÇAR" dataDxfId="85"/>
    <tableColumn id="4" xr3:uid="{00000000-0010-0000-0200-000004000000}" name="PER" dataDxfId="84"/>
    <tableColumn id="5" xr3:uid="{00000000-0010-0000-0200-000005000000}" name="CUM" dataDxfId="83"/>
    <tableColumn id="6" xr3:uid="{00000000-0010-0000-0200-000006000000}" name="CTS" dataDxfId="82"/>
    <tableColumn id="7" xr3:uid="{00000000-0010-0000-0200-000007000000}" name="PAZ" dataDxfId="81"/>
  </tableColumns>
  <tableStyleInfo showFirstColumn="0" showLastColumn="0" showRowStripes="0" showColumnStripes="0"/>
  <extLst>
    <ext xmlns:x14="http://schemas.microsoft.com/office/spreadsheetml/2009/9/main" uri="{504A1905-F514-4f6f-8877-14C23A59335A}">
      <x14:table altTextSummary="Bu tablodaki Aralık takvimine ait günler ve tarihler otomatik olarak güncelleştirili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Kasım" displayName="Kasım" ref="C49:I55" totalsRowShown="0" headerRowDxfId="80" dataDxfId="79">
  <autoFilter ref="C49:I55" xr:uid="{00000000-0009-0000-0100-00000C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PZT" dataDxfId="78"/>
    <tableColumn id="2" xr3:uid="{00000000-0010-0000-0300-000002000000}" name="SAL" dataDxfId="77"/>
    <tableColumn id="3" xr3:uid="{00000000-0010-0000-0300-000003000000}" name="ÇAR" dataDxfId="76"/>
    <tableColumn id="4" xr3:uid="{00000000-0010-0000-0300-000004000000}" name="PER" dataDxfId="75"/>
    <tableColumn id="5" xr3:uid="{00000000-0010-0000-0300-000005000000}" name="CUM" dataDxfId="74"/>
    <tableColumn id="6" xr3:uid="{00000000-0010-0000-0300-000006000000}" name="CTS" dataDxfId="73"/>
    <tableColumn id="7" xr3:uid="{00000000-0010-0000-0300-000007000000}" name="PAZ" dataDxfId="72"/>
  </tableColumns>
  <tableStyleInfo showFirstColumn="0" showLastColumn="0" showRowStripes="0" showColumnStripes="0"/>
  <extLst>
    <ext xmlns:x14="http://schemas.microsoft.com/office/spreadsheetml/2009/9/main" uri="{504A1905-F514-4f6f-8877-14C23A59335A}">
      <x14:table altTextSummary="Bu tablodaki Kasım takvimine ait günler ve tarihler otomatik olarak güncelleştirili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Ağustos" displayName="Ağustos" ref="K31:Q37" totalsRowShown="0" headerRowDxfId="71" dataDxfId="70">
  <autoFilter ref="K31:Q37" xr:uid="{00000000-0009-0000-0100-00000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PZT" dataDxfId="69"/>
    <tableColumn id="2" xr3:uid="{00000000-0010-0000-0400-000002000000}" name="SAL" dataDxfId="68"/>
    <tableColumn id="3" xr3:uid="{00000000-0010-0000-0400-000003000000}" name="ÇAR" dataDxfId="67"/>
    <tableColumn id="4" xr3:uid="{00000000-0010-0000-0400-000004000000}" name="PER" dataDxfId="66"/>
    <tableColumn id="5" xr3:uid="{00000000-0010-0000-0400-000005000000}" name="CUM" dataDxfId="65"/>
    <tableColumn id="6" xr3:uid="{00000000-0010-0000-0400-000006000000}" name="CTS" dataDxfId="64"/>
    <tableColumn id="7" xr3:uid="{00000000-0010-0000-0400-000007000000}" name="PAZ" dataDxfId="63"/>
  </tableColumns>
  <tableStyleInfo showFirstColumn="0" showLastColumn="0" showRowStripes="0" showColumnStripes="0"/>
  <extLst>
    <ext xmlns:x14="http://schemas.microsoft.com/office/spreadsheetml/2009/9/main" uri="{504A1905-F514-4f6f-8877-14C23A59335A}">
      <x14:table altTextSummary="Bu tablodaki Ağustos takvimine ait günler ve tarihler otomatik olarak güncelleştirili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Temmuz" displayName="Temmuz" ref="C31:I37" totalsRowShown="0" headerRowDxfId="62" dataDxfId="61">
  <autoFilter ref="C31:I37" xr:uid="{00000000-0009-0000-0100-00000E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PZT" dataDxfId="60"/>
    <tableColumn id="2" xr3:uid="{00000000-0010-0000-0500-000002000000}" name="SAL" dataDxfId="59"/>
    <tableColumn id="3" xr3:uid="{00000000-0010-0000-0500-000003000000}" name="ÇAR" dataDxfId="58"/>
    <tableColumn id="4" xr3:uid="{00000000-0010-0000-0500-000004000000}" name="PER" dataDxfId="57"/>
    <tableColumn id="5" xr3:uid="{00000000-0010-0000-0500-000005000000}" name="CUM" dataDxfId="56"/>
    <tableColumn id="6" xr3:uid="{00000000-0010-0000-0500-000006000000}" name="CTS" dataDxfId="55"/>
    <tableColumn id="7" xr3:uid="{00000000-0010-0000-0500-000007000000}" name="PAZ" dataDxfId="54"/>
  </tableColumns>
  <tableStyleInfo showFirstColumn="0" showLastColumn="0" showRowStripes="0" showColumnStripes="0"/>
  <extLst>
    <ext xmlns:x14="http://schemas.microsoft.com/office/spreadsheetml/2009/9/main" uri="{504A1905-F514-4f6f-8877-14C23A59335A}">
      <x14:table altTextSummary="Bu tablodaki Temmuz takvimine ait günler ve tarihler otomatik olarak güncelleştirili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Haziran" displayName="Haziran" ref="K22:Q28" totalsRowShown="0" headerRowDxfId="53" dataDxfId="52">
  <autoFilter ref="K22:Q28" xr:uid="{00000000-0009-0000-0100-00000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600-000001000000}" name="PZT" dataDxfId="51"/>
    <tableColumn id="2" xr3:uid="{00000000-0010-0000-0600-000002000000}" name="SAL" dataDxfId="50"/>
    <tableColumn id="3" xr3:uid="{00000000-0010-0000-0600-000003000000}" name="ÇAR" dataDxfId="49"/>
    <tableColumn id="4" xr3:uid="{00000000-0010-0000-0600-000004000000}" name="PER" dataDxfId="48"/>
    <tableColumn id="5" xr3:uid="{00000000-0010-0000-0600-000005000000}" name="CUM" dataDxfId="47"/>
    <tableColumn id="6" xr3:uid="{00000000-0010-0000-0600-000006000000}" name="CTS" dataDxfId="46"/>
    <tableColumn id="7" xr3:uid="{00000000-0010-0000-0600-000007000000}" name="PAZ" dataDxfId="45"/>
  </tableColumns>
  <tableStyleInfo showFirstColumn="0" showLastColumn="0" showRowStripes="0" showColumnStripes="0"/>
  <extLst>
    <ext xmlns:x14="http://schemas.microsoft.com/office/spreadsheetml/2009/9/main" uri="{504A1905-F514-4f6f-8877-14C23A59335A}">
      <x14:table altTextSummary="Bu tablodaki Haziran takvimine ait günler ve tarihler otomatik olarak güncelleştirili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Mayıs" displayName="Mayıs" ref="C22:I28" totalsRowShown="0" headerRowDxfId="44" dataDxfId="43">
  <autoFilter ref="C22:I28"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700-000001000000}" name="PZT" dataDxfId="42"/>
    <tableColumn id="2" xr3:uid="{00000000-0010-0000-0700-000002000000}" name="SAL" dataDxfId="41"/>
    <tableColumn id="3" xr3:uid="{00000000-0010-0000-0700-000003000000}" name="ÇAR" dataDxfId="40"/>
    <tableColumn id="4" xr3:uid="{00000000-0010-0000-0700-000004000000}" name="PER" dataDxfId="39"/>
    <tableColumn id="5" xr3:uid="{00000000-0010-0000-0700-000005000000}" name="CUM" dataDxfId="38"/>
    <tableColumn id="6" xr3:uid="{00000000-0010-0000-0700-000006000000}" name="CTS" dataDxfId="37"/>
    <tableColumn id="7" xr3:uid="{00000000-0010-0000-0700-000007000000}" name="PAZ" dataDxfId="36"/>
  </tableColumns>
  <tableStyleInfo showFirstColumn="0" showLastColumn="0" showRowStripes="0" showColumnStripes="0"/>
  <extLst>
    <ext xmlns:x14="http://schemas.microsoft.com/office/spreadsheetml/2009/9/main" uri="{504A1905-F514-4f6f-8877-14C23A59335A}">
      <x14:table altTextSummary="Bu tablodaki Mayıs takvimine ait günler ve tarihler otomatik olarak güncelleştirili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Mart" displayName="Mart" ref="C13:I19" totalsRowShown="0" headerRowDxfId="35" dataDxfId="34">
  <autoFilter ref="C13:I19" xr:uid="{00000000-0009-0000-0100-00001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800-000001000000}" name="PZT" dataDxfId="33"/>
    <tableColumn id="2" xr3:uid="{00000000-0010-0000-0800-000002000000}" name="SAL" dataDxfId="32"/>
    <tableColumn id="3" xr3:uid="{00000000-0010-0000-0800-000003000000}" name="ÇAR" dataDxfId="31"/>
    <tableColumn id="4" xr3:uid="{00000000-0010-0000-0800-000004000000}" name="PER" dataDxfId="30"/>
    <tableColumn id="5" xr3:uid="{00000000-0010-0000-0800-000005000000}" name="CUM" dataDxfId="29"/>
    <tableColumn id="6" xr3:uid="{00000000-0010-0000-0800-000006000000}" name="CTS" dataDxfId="28"/>
    <tableColumn id="7" xr3:uid="{00000000-0010-0000-0800-000007000000}" name="PAZ" dataDxfId="27"/>
  </tableColumns>
  <tableStyleInfo showFirstColumn="0" showLastColumn="0" showRowStripes="0" showColumnStripes="0"/>
  <extLst>
    <ext xmlns:x14="http://schemas.microsoft.com/office/spreadsheetml/2009/9/main" uri="{504A1905-F514-4f6f-8877-14C23A59335A}">
      <x14:table altTextSummary="Bu tablodaki Mart takvimine ait günler ve tarihler otomatik olarak güncelleştirilir"/>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B1:B8"/>
  <sheetViews>
    <sheetView showGridLines="0" tabSelected="1" workbookViewId="0"/>
  </sheetViews>
  <sheetFormatPr defaultRowHeight="11.25" x14ac:dyDescent="0.2"/>
  <cols>
    <col min="1" max="1" width="2.83203125" customWidth="1"/>
    <col min="2" max="2" width="92.83203125" style="16" customWidth="1"/>
    <col min="3" max="3" width="2.83203125" customWidth="1"/>
  </cols>
  <sheetData>
    <row r="1" spans="2:2" ht="30" customHeight="1" x14ac:dyDescent="0.2">
      <c r="B1" s="13" t="s">
        <v>0</v>
      </c>
    </row>
    <row r="2" spans="2:2" ht="44.25" customHeight="1" x14ac:dyDescent="0.2">
      <c r="B2" s="12" t="s">
        <v>1</v>
      </c>
    </row>
    <row r="3" spans="2:2" ht="30" customHeight="1" x14ac:dyDescent="0.2">
      <c r="B3" s="12" t="s">
        <v>2</v>
      </c>
    </row>
    <row r="4" spans="2:2" ht="30" customHeight="1" x14ac:dyDescent="0.2">
      <c r="B4" s="12" t="s">
        <v>3</v>
      </c>
    </row>
    <row r="5" spans="2:2" ht="30" customHeight="1" x14ac:dyDescent="0.25">
      <c r="B5" s="15" t="s">
        <v>4</v>
      </c>
    </row>
    <row r="6" spans="2:2" ht="57.75" customHeight="1" x14ac:dyDescent="0.2">
      <c r="B6" s="20" t="s">
        <v>5</v>
      </c>
    </row>
    <row r="7" spans="2:2" ht="30" x14ac:dyDescent="0.2">
      <c r="B7" s="14" t="s">
        <v>6</v>
      </c>
    </row>
    <row r="8" spans="2:2" ht="15" x14ac:dyDescent="0.2">
      <c r="B8"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W69"/>
  <sheetViews>
    <sheetView showGridLines="0" zoomScaleNormal="100" workbookViewId="0"/>
  </sheetViews>
  <sheetFormatPr defaultColWidth="9.5" defaultRowHeight="11.25" x14ac:dyDescent="0.2"/>
  <cols>
    <col min="1" max="1" width="2.5" style="19" customWidth="1"/>
    <col min="2" max="2" width="5.1640625" customWidth="1"/>
    <col min="3" max="17" width="5" customWidth="1"/>
    <col min="18" max="18" width="2.1640625" customWidth="1"/>
    <col min="19" max="19" width="1.1640625" customWidth="1"/>
    <col min="20" max="20" width="5.1640625" customWidth="1"/>
    <col min="21" max="21" width="42" customWidth="1"/>
    <col min="22" max="22" width="9.33203125" customWidth="1"/>
    <col min="23" max="23" width="13.5" customWidth="1"/>
    <col min="24" max="24" width="2.83203125" customWidth="1"/>
    <col min="25" max="43" width="9.33203125" customWidth="1"/>
    <col min="44" max="44" width="9.5" customWidth="1"/>
  </cols>
  <sheetData>
    <row r="1" spans="1:23" ht="30" customHeight="1" x14ac:dyDescent="0.2">
      <c r="A1" s="17" t="s">
        <v>7</v>
      </c>
      <c r="B1" s="4"/>
      <c r="C1" s="26">
        <v>2020</v>
      </c>
      <c r="D1" s="26"/>
      <c r="E1" s="26"/>
      <c r="F1" s="26"/>
      <c r="G1" s="5"/>
      <c r="H1" s="6"/>
      <c r="I1" s="6"/>
      <c r="J1" s="6"/>
      <c r="K1" s="6"/>
      <c r="L1" s="6"/>
      <c r="M1" s="6"/>
      <c r="N1" s="6"/>
      <c r="O1" s="6"/>
      <c r="P1" s="6"/>
      <c r="Q1" s="6"/>
      <c r="R1" s="6"/>
      <c r="S1" s="4"/>
      <c r="T1" s="4"/>
      <c r="U1" s="7" t="s">
        <v>45</v>
      </c>
      <c r="V1" s="4"/>
      <c r="W1" s="4"/>
    </row>
    <row r="2" spans="1:23" ht="15" customHeight="1" x14ac:dyDescent="0.2">
      <c r="A2" s="18" t="s">
        <v>8</v>
      </c>
      <c r="B2" s="27" t="s">
        <v>25</v>
      </c>
      <c r="C2" s="27"/>
      <c r="D2" s="27"/>
      <c r="E2" s="27"/>
      <c r="F2" s="27"/>
      <c r="G2" s="27"/>
      <c r="H2" s="27"/>
      <c r="I2" s="27"/>
      <c r="J2" s="27"/>
      <c r="S2" s="24"/>
    </row>
    <row r="3" spans="1:23" ht="15" customHeight="1" x14ac:dyDescent="0.25">
      <c r="A3" s="19" t="s">
        <v>9</v>
      </c>
      <c r="C3" s="28" t="s">
        <v>26</v>
      </c>
      <c r="D3" s="28"/>
      <c r="E3" s="28"/>
      <c r="F3" s="28"/>
      <c r="G3" s="28"/>
      <c r="H3" s="28"/>
      <c r="I3" s="28"/>
      <c r="J3" s="21"/>
      <c r="K3" s="28" t="s">
        <v>39</v>
      </c>
      <c r="L3" s="28"/>
      <c r="M3" s="28"/>
      <c r="N3" s="28"/>
      <c r="O3" s="28"/>
      <c r="P3" s="28"/>
      <c r="Q3" s="28"/>
      <c r="S3" s="24"/>
      <c r="U3" s="10" t="s">
        <v>46</v>
      </c>
      <c r="V3" s="30"/>
      <c r="W3" s="30"/>
    </row>
    <row r="4" spans="1:23" ht="15" customHeight="1" x14ac:dyDescent="0.2">
      <c r="A4" s="18" t="s">
        <v>10</v>
      </c>
      <c r="C4" s="11" t="s">
        <v>27</v>
      </c>
      <c r="D4" s="11" t="s">
        <v>33</v>
      </c>
      <c r="E4" s="11" t="s">
        <v>34</v>
      </c>
      <c r="F4" s="11" t="s">
        <v>35</v>
      </c>
      <c r="G4" s="11" t="s">
        <v>36</v>
      </c>
      <c r="H4" s="11" t="s">
        <v>37</v>
      </c>
      <c r="I4" s="11" t="s">
        <v>38</v>
      </c>
      <c r="J4" s="22"/>
      <c r="K4" s="11" t="s">
        <v>27</v>
      </c>
      <c r="L4" s="11" t="s">
        <v>33</v>
      </c>
      <c r="M4" s="11" t="s">
        <v>34</v>
      </c>
      <c r="N4" s="11" t="s">
        <v>35</v>
      </c>
      <c r="O4" s="11" t="s">
        <v>36</v>
      </c>
      <c r="P4" s="11" t="s">
        <v>37</v>
      </c>
      <c r="Q4" s="11" t="s">
        <v>38</v>
      </c>
      <c r="S4" s="24"/>
      <c r="U4" s="3" t="s">
        <v>47</v>
      </c>
      <c r="V4" s="30"/>
      <c r="W4" s="30"/>
    </row>
    <row r="5" spans="1:23" ht="15" customHeight="1" x14ac:dyDescent="0.2">
      <c r="A5" s="18"/>
      <c r="C5" s="25" t="str">
        <f>IF(DAY(OcaPaz1)=1,"",IF(AND(YEAR(OcaPaz1+1)=TakvimYılı,MONTH(OcaPaz1+1)=1),OcaPaz1+1,""))</f>
        <v/>
      </c>
      <c r="D5" s="25" t="str">
        <f>IF(DAY(OcaPaz1)=1,"",IF(AND(YEAR(OcaPaz1+2)=TakvimYılı,MONTH(OcaPaz1+2)=1),OcaPaz1+2,""))</f>
        <v/>
      </c>
      <c r="E5" s="25">
        <f>IF(DAY(OcaPaz1)=1,"",IF(AND(YEAR(OcaPaz1+3)=TakvimYılı,MONTH(OcaPaz1+3)=1),OcaPaz1+3,""))</f>
        <v>43831</v>
      </c>
      <c r="F5" s="25">
        <f>IF(DAY(OcaPaz1)=1,"",IF(AND(YEAR(OcaPaz1+4)=TakvimYılı,MONTH(OcaPaz1+4)=1),OcaPaz1+4,""))</f>
        <v>43832</v>
      </c>
      <c r="G5" s="25">
        <f>IF(DAY(OcaPaz1)=1,"",IF(AND(YEAR(OcaPaz1+5)=TakvimYılı,MONTH(OcaPaz1+5)=1),OcaPaz1+5,""))</f>
        <v>43833</v>
      </c>
      <c r="H5" s="25">
        <f>IF(DAY(OcaPaz1)=1,"",IF(AND(YEAR(OcaPaz1+6)=TakvimYılı,MONTH(OcaPaz1+6)=1),OcaPaz1+6,""))</f>
        <v>43834</v>
      </c>
      <c r="I5" s="25">
        <f>IF(DAY(OcaPaz1)=1,IF(AND(YEAR(OcaPaz1)=TakvimYılı,MONTH(OcaPaz1)=1),OcaPaz1,""),IF(AND(YEAR(OcaPaz1+7)=TakvimYılı,MONTH(OcaPaz1+7)=1),OcaPaz1+7,""))</f>
        <v>43835</v>
      </c>
      <c r="J5" s="22"/>
      <c r="K5" s="25" t="str">
        <f>IF(DAY(ŞubPaz1)=1,"",IF(AND(YEAR(ŞubPaz1+1)=TakvimYılı,MONTH(ŞubPaz1+1)=2),ŞubPaz1+1,""))</f>
        <v/>
      </c>
      <c r="L5" s="25" t="str">
        <f>IF(DAY(ŞubPaz1)=1,"",IF(AND(YEAR(ŞubPaz1+2)=TakvimYılı,MONTH(ŞubPaz1+2)=2),ŞubPaz1+2,""))</f>
        <v/>
      </c>
      <c r="M5" s="25" t="str">
        <f>IF(DAY(ŞubPaz1)=1,"",IF(AND(YEAR(ŞubPaz1+3)=TakvimYılı,MONTH(ŞubPaz1+3)=2),ŞubPaz1+3,""))</f>
        <v/>
      </c>
      <c r="N5" s="25" t="str">
        <f>IF(DAY(ŞubPaz1)=1,"",IF(AND(YEAR(ŞubPaz1+4)=TakvimYılı,MONTH(ŞubPaz1+4)=2),ŞubPaz1+4,""))</f>
        <v/>
      </c>
      <c r="O5" s="25" t="str">
        <f>IF(DAY(ŞubPaz1)=1,"",IF(AND(YEAR(ŞubPaz1+5)=TakvimYılı,MONTH(ŞubPaz1+5)=2),ŞubPaz1+5,""))</f>
        <v/>
      </c>
      <c r="P5" s="25">
        <f>IF(DAY(ŞubPaz1)=1,"",IF(AND(YEAR(ŞubPaz1+6)=TakvimYılı,MONTH(ŞubPaz1+6)=2),ŞubPaz1+6,""))</f>
        <v>43862</v>
      </c>
      <c r="Q5" s="25">
        <f>IF(DAY(ŞubPaz1)=1,IF(AND(YEAR(ŞubPaz1)=TakvimYılı,MONTH(ŞubPaz1)=2),ŞubPaz1,""),IF(AND(YEAR(ŞubPaz1+7)=TakvimYılı,MONTH(ŞubPaz1+7)=2),ŞubPaz1+7,""))</f>
        <v>43863</v>
      </c>
      <c r="S5" s="24"/>
      <c r="U5" s="2"/>
      <c r="V5" s="30"/>
      <c r="W5" s="30"/>
    </row>
    <row r="6" spans="1:23" ht="15" customHeight="1" x14ac:dyDescent="0.2">
      <c r="A6" s="18"/>
      <c r="C6" s="25">
        <f>IF(DAY(OcaPaz1)=1,IF(AND(YEAR(OcaPaz1+1)=TakvimYılı,MONTH(OcaPaz1+1)=1),OcaPaz1+1,""),IF(AND(YEAR(OcaPaz1+8)=TakvimYılı,MONTH(OcaPaz1+8)=1),OcaPaz1+8,""))</f>
        <v>43836</v>
      </c>
      <c r="D6" s="25">
        <f>IF(DAY(OcaPaz1)=1,IF(AND(YEAR(OcaPaz1+2)=TakvimYılı,MONTH(OcaPaz1+2)=1),OcaPaz1+2,""),IF(AND(YEAR(OcaPaz1+9)=TakvimYılı,MONTH(OcaPaz1+9)=1),OcaPaz1+9,""))</f>
        <v>43837</v>
      </c>
      <c r="E6" s="25">
        <f>IF(DAY(OcaPaz1)=1,IF(AND(YEAR(OcaPaz1+3)=TakvimYılı,MONTH(OcaPaz1+3)=1),OcaPaz1+3,""),IF(AND(YEAR(OcaPaz1+10)=TakvimYılı,MONTH(OcaPaz1+10)=1),OcaPaz1+10,""))</f>
        <v>43838</v>
      </c>
      <c r="F6" s="25">
        <f>IF(DAY(OcaPaz1)=1,IF(AND(YEAR(OcaPaz1+4)=TakvimYılı,MONTH(OcaPaz1+4)=1),OcaPaz1+4,""),IF(AND(YEAR(OcaPaz1+11)=TakvimYılı,MONTH(OcaPaz1+11)=1),OcaPaz1+11,""))</f>
        <v>43839</v>
      </c>
      <c r="G6" s="25">
        <f>IF(DAY(OcaPaz1)=1,IF(AND(YEAR(OcaPaz1+5)=TakvimYılı,MONTH(OcaPaz1+5)=1),OcaPaz1+5,""),IF(AND(YEAR(OcaPaz1+12)=TakvimYılı,MONTH(OcaPaz1+12)=1),OcaPaz1+12,""))</f>
        <v>43840</v>
      </c>
      <c r="H6" s="25">
        <f>IF(DAY(OcaPaz1)=1,IF(AND(YEAR(OcaPaz1+6)=TakvimYılı,MONTH(OcaPaz1+6)=1),OcaPaz1+6,""),IF(AND(YEAR(OcaPaz1+13)=TakvimYılı,MONTH(OcaPaz1+13)=1),OcaPaz1+13,""))</f>
        <v>43841</v>
      </c>
      <c r="I6" s="25">
        <f>IF(DAY(OcaPaz1)=1,IF(AND(YEAR(OcaPaz1+7)=TakvimYılı,MONTH(OcaPaz1+7)=1),OcaPaz1+7,""),IF(AND(YEAR(OcaPaz1+14)=TakvimYılı,MONTH(OcaPaz1+14)=1),OcaPaz1+14,""))</f>
        <v>43842</v>
      </c>
      <c r="J6" s="22"/>
      <c r="K6" s="25">
        <f>IF(DAY(ŞubPaz1)=1,IF(AND(YEAR(ŞubPaz1+1)=TakvimYılı,MONTH(ŞubPaz1+1)=2),ŞubPaz1+1,""),IF(AND(YEAR(ŞubPaz1+8)=TakvimYılı,MONTH(ŞubPaz1+8)=2),ŞubPaz1+8,""))</f>
        <v>43864</v>
      </c>
      <c r="L6" s="25">
        <f>IF(DAY(ŞubPaz1)=1,IF(AND(YEAR(ŞubPaz1+2)=TakvimYılı,MONTH(ŞubPaz1+2)=2),ŞubPaz1+2,""),IF(AND(YEAR(ŞubPaz1+9)=TakvimYılı,MONTH(ŞubPaz1+9)=2),ŞubPaz1+9,""))</f>
        <v>43865</v>
      </c>
      <c r="M6" s="25">
        <f>IF(DAY(ŞubPaz1)=1,IF(AND(YEAR(ŞubPaz1+3)=TakvimYılı,MONTH(ŞubPaz1+3)=2),ŞubPaz1+3,""),IF(AND(YEAR(ŞubPaz1+10)=TakvimYılı,MONTH(ŞubPaz1+10)=2),ŞubPaz1+10,""))</f>
        <v>43866</v>
      </c>
      <c r="N6" s="25">
        <f>IF(DAY(ŞubPaz1)=1,IF(AND(YEAR(ŞubPaz1+4)=TakvimYılı,MONTH(ŞubPaz1+4)=2),ŞubPaz1+4,""),IF(AND(YEAR(ŞubPaz1+11)=TakvimYılı,MONTH(ŞubPaz1+11)=2),ŞubPaz1+11,""))</f>
        <v>43867</v>
      </c>
      <c r="O6" s="25">
        <f>IF(DAY(ŞubPaz1)=1,IF(AND(YEAR(ŞubPaz1+5)=TakvimYılı,MONTH(ŞubPaz1+5)=2),ŞubPaz1+5,""),IF(AND(YEAR(ŞubPaz1+12)=TakvimYılı,MONTH(ŞubPaz1+12)=2),ŞubPaz1+12,""))</f>
        <v>43868</v>
      </c>
      <c r="P6" s="25">
        <f>IF(DAY(ŞubPaz1)=1,IF(AND(YEAR(ŞubPaz1+6)=TakvimYılı,MONTH(ŞubPaz1+6)=2),ŞubPaz1+6,""),IF(AND(YEAR(ŞubPaz1+13)=TakvimYılı,MONTH(ŞubPaz1+13)=2),ŞubPaz1+13,""))</f>
        <v>43869</v>
      </c>
      <c r="Q6" s="25">
        <f>IF(DAY(ŞubPaz1)=1,IF(AND(YEAR(ŞubPaz1+7)=TakvimYılı,MONTH(ŞubPaz1+7)=2),ŞubPaz1+7,""),IF(AND(YEAR(ŞubPaz1+14)=TakvimYılı,MONTH(ŞubPaz1+14)=2),ŞubPaz1+14,""))</f>
        <v>43870</v>
      </c>
      <c r="S6" s="24"/>
      <c r="U6" s="10" t="s">
        <v>48</v>
      </c>
      <c r="V6" s="30"/>
      <c r="W6" s="30"/>
    </row>
    <row r="7" spans="1:23" ht="15" customHeight="1" x14ac:dyDescent="0.2">
      <c r="C7" s="25">
        <f>IF(DAY(OcaPaz1)=1,IF(AND(YEAR(OcaPaz1+8)=TakvimYılı,MONTH(OcaPaz1+8)=1),OcaPaz1+8,""),IF(AND(YEAR(OcaPaz1+15)=TakvimYılı,MONTH(OcaPaz1+15)=1),OcaPaz1+15,""))</f>
        <v>43843</v>
      </c>
      <c r="D7" s="25">
        <f>IF(DAY(OcaPaz1)=1,IF(AND(YEAR(OcaPaz1+9)=TakvimYılı,MONTH(OcaPaz1+9)=1),OcaPaz1+9,""),IF(AND(YEAR(OcaPaz1+16)=TakvimYılı,MONTH(OcaPaz1+16)=1),OcaPaz1+16,""))</f>
        <v>43844</v>
      </c>
      <c r="E7" s="25">
        <f>IF(DAY(OcaPaz1)=1,IF(AND(YEAR(OcaPaz1+10)=TakvimYılı,MONTH(OcaPaz1+10)=1),OcaPaz1+10,""),IF(AND(YEAR(OcaPaz1+17)=TakvimYılı,MONTH(OcaPaz1+17)=1),OcaPaz1+17,""))</f>
        <v>43845</v>
      </c>
      <c r="F7" s="25">
        <f>IF(DAY(OcaPaz1)=1,IF(AND(YEAR(OcaPaz1+11)=TakvimYılı,MONTH(OcaPaz1+11)=1),OcaPaz1+11,""),IF(AND(YEAR(OcaPaz1+18)=TakvimYılı,MONTH(OcaPaz1+18)=1),OcaPaz1+18,""))</f>
        <v>43846</v>
      </c>
      <c r="G7" s="25">
        <f>IF(DAY(OcaPaz1)=1,IF(AND(YEAR(OcaPaz1+12)=TakvimYılı,MONTH(OcaPaz1+12)=1),OcaPaz1+12,""),IF(AND(YEAR(OcaPaz1+19)=TakvimYılı,MONTH(OcaPaz1+19)=1),OcaPaz1+19,""))</f>
        <v>43847</v>
      </c>
      <c r="H7" s="25">
        <f>IF(DAY(OcaPaz1)=1,IF(AND(YEAR(OcaPaz1+13)=TakvimYılı,MONTH(OcaPaz1+13)=1),OcaPaz1+13,""),IF(AND(YEAR(OcaPaz1+20)=TakvimYılı,MONTH(OcaPaz1+20)=1),OcaPaz1+20,""))</f>
        <v>43848</v>
      </c>
      <c r="I7" s="25">
        <f>IF(DAY(OcaPaz1)=1,IF(AND(YEAR(OcaPaz1+14)=TakvimYılı,MONTH(OcaPaz1+14)=1),OcaPaz1+14,""),IF(AND(YEAR(OcaPaz1+21)=TakvimYılı,MONTH(OcaPaz1+21)=1),OcaPaz1+21,""))</f>
        <v>43849</v>
      </c>
      <c r="J7" s="22"/>
      <c r="K7" s="25">
        <f>IF(DAY(ŞubPaz1)=1,IF(AND(YEAR(ŞubPaz1+8)=TakvimYılı,MONTH(ŞubPaz1+8)=2),ŞubPaz1+8,""),IF(AND(YEAR(ŞubPaz1+15)=TakvimYılı,MONTH(ŞubPaz1+15)=2),ŞubPaz1+15,""))</f>
        <v>43871</v>
      </c>
      <c r="L7" s="25">
        <f>IF(DAY(ŞubPaz1)=1,IF(AND(YEAR(ŞubPaz1+9)=TakvimYılı,MONTH(ŞubPaz1+9)=2),ŞubPaz1+9,""),IF(AND(YEAR(ŞubPaz1+16)=TakvimYılı,MONTH(ŞubPaz1+16)=2),ŞubPaz1+16,""))</f>
        <v>43872</v>
      </c>
      <c r="M7" s="25">
        <f>IF(DAY(ŞubPaz1)=1,IF(AND(YEAR(ŞubPaz1+10)=TakvimYılı,MONTH(ŞubPaz1+10)=2),ŞubPaz1+10,""),IF(AND(YEAR(ŞubPaz1+17)=TakvimYılı,MONTH(ŞubPaz1+17)=2),ŞubPaz1+17,""))</f>
        <v>43873</v>
      </c>
      <c r="N7" s="25">
        <f>IF(DAY(ŞubPaz1)=1,IF(AND(YEAR(ŞubPaz1+11)=TakvimYılı,MONTH(ŞubPaz1+11)=2),ŞubPaz1+11,""),IF(AND(YEAR(ŞubPaz1+18)=TakvimYılı,MONTH(ŞubPaz1+18)=2),ŞubPaz1+18,""))</f>
        <v>43874</v>
      </c>
      <c r="O7" s="25">
        <f>IF(DAY(ŞubPaz1)=1,IF(AND(YEAR(ŞubPaz1+12)=TakvimYılı,MONTH(ŞubPaz1+12)=2),ŞubPaz1+12,""),IF(AND(YEAR(ŞubPaz1+19)=TakvimYılı,MONTH(ŞubPaz1+19)=2),ŞubPaz1+19,""))</f>
        <v>43875</v>
      </c>
      <c r="P7" s="25">
        <f>IF(DAY(ŞubPaz1)=1,IF(AND(YEAR(ŞubPaz1+13)=TakvimYılı,MONTH(ŞubPaz1+13)=2),ŞubPaz1+13,""),IF(AND(YEAR(ŞubPaz1+20)=TakvimYılı,MONTH(ŞubPaz1+20)=2),ŞubPaz1+20,""))</f>
        <v>43876</v>
      </c>
      <c r="Q7" s="25">
        <f>IF(DAY(ŞubPaz1)=1,IF(AND(YEAR(ŞubPaz1+14)=TakvimYılı,MONTH(ŞubPaz1+14)=2),ŞubPaz1+14,""),IF(AND(YEAR(ŞubPaz1+21)=TakvimYılı,MONTH(ŞubPaz1+21)=2),ŞubPaz1+21,""))</f>
        <v>43877</v>
      </c>
      <c r="S7" s="24"/>
      <c r="U7" s="3" t="s">
        <v>49</v>
      </c>
      <c r="V7" s="30"/>
      <c r="W7" s="30"/>
    </row>
    <row r="8" spans="1:23" ht="15" customHeight="1" x14ac:dyDescent="0.2">
      <c r="C8" s="25">
        <f>IF(DAY(OcaPaz1)=1,IF(AND(YEAR(OcaPaz1+15)=TakvimYılı,MONTH(OcaPaz1+15)=1),OcaPaz1+15,""),IF(AND(YEAR(OcaPaz1+22)=TakvimYılı,MONTH(OcaPaz1+22)=1),OcaPaz1+22,""))</f>
        <v>43850</v>
      </c>
      <c r="D8" s="25">
        <f>IF(DAY(OcaPaz1)=1,IF(AND(YEAR(OcaPaz1+16)=TakvimYılı,MONTH(OcaPaz1+16)=1),OcaPaz1+16,""),IF(AND(YEAR(OcaPaz1+23)=TakvimYılı,MONTH(OcaPaz1+23)=1),OcaPaz1+23,""))</f>
        <v>43851</v>
      </c>
      <c r="E8" s="25">
        <f>IF(DAY(OcaPaz1)=1,IF(AND(YEAR(OcaPaz1+17)=TakvimYılı,MONTH(OcaPaz1+17)=1),OcaPaz1+17,""),IF(AND(YEAR(OcaPaz1+24)=TakvimYılı,MONTH(OcaPaz1+24)=1),OcaPaz1+24,""))</f>
        <v>43852</v>
      </c>
      <c r="F8" s="25">
        <f>IF(DAY(OcaPaz1)=1,IF(AND(YEAR(OcaPaz1+18)=TakvimYılı,MONTH(OcaPaz1+18)=1),OcaPaz1+18,""),IF(AND(YEAR(OcaPaz1+25)=TakvimYılı,MONTH(OcaPaz1+25)=1),OcaPaz1+25,""))</f>
        <v>43853</v>
      </c>
      <c r="G8" s="25">
        <f>IF(DAY(OcaPaz1)=1,IF(AND(YEAR(OcaPaz1+19)=TakvimYılı,MONTH(OcaPaz1+19)=1),OcaPaz1+19,""),IF(AND(YEAR(OcaPaz1+26)=TakvimYılı,MONTH(OcaPaz1+26)=1),OcaPaz1+26,""))</f>
        <v>43854</v>
      </c>
      <c r="H8" s="25">
        <f>IF(DAY(OcaPaz1)=1,IF(AND(YEAR(OcaPaz1+20)=TakvimYılı,MONTH(OcaPaz1+20)=1),OcaPaz1+20,""),IF(AND(YEAR(OcaPaz1+27)=TakvimYılı,MONTH(OcaPaz1+27)=1),OcaPaz1+27,""))</f>
        <v>43855</v>
      </c>
      <c r="I8" s="25">
        <f>IF(DAY(OcaPaz1)=1,IF(AND(YEAR(OcaPaz1+21)=TakvimYılı,MONTH(OcaPaz1+21)=1),OcaPaz1+21,""),IF(AND(YEAR(OcaPaz1+28)=TakvimYılı,MONTH(OcaPaz1+28)=1),OcaPaz1+28,""))</f>
        <v>43856</v>
      </c>
      <c r="J8" s="22"/>
      <c r="K8" s="25">
        <f>IF(DAY(ŞubPaz1)=1,IF(AND(YEAR(ŞubPaz1+15)=TakvimYılı,MONTH(ŞubPaz1+15)=2),ŞubPaz1+15,""),IF(AND(YEAR(ŞubPaz1+22)=TakvimYılı,MONTH(ŞubPaz1+22)=2),ŞubPaz1+22,""))</f>
        <v>43878</v>
      </c>
      <c r="L8" s="25">
        <f>IF(DAY(ŞubPaz1)=1,IF(AND(YEAR(ŞubPaz1+16)=TakvimYılı,MONTH(ŞubPaz1+16)=2),ŞubPaz1+16,""),IF(AND(YEAR(ŞubPaz1+23)=TakvimYılı,MONTH(ŞubPaz1+23)=2),ŞubPaz1+23,""))</f>
        <v>43879</v>
      </c>
      <c r="M8" s="25">
        <f>IF(DAY(ŞubPaz1)=1,IF(AND(YEAR(ŞubPaz1+17)=TakvimYılı,MONTH(ŞubPaz1+17)=2),ŞubPaz1+17,""),IF(AND(YEAR(ŞubPaz1+24)=TakvimYılı,MONTH(ŞubPaz1+24)=2),ŞubPaz1+24,""))</f>
        <v>43880</v>
      </c>
      <c r="N8" s="25">
        <f>IF(DAY(ŞubPaz1)=1,IF(AND(YEAR(ŞubPaz1+18)=TakvimYılı,MONTH(ŞubPaz1+18)=2),ŞubPaz1+18,""),IF(AND(YEAR(ŞubPaz1+25)=TakvimYılı,MONTH(ŞubPaz1+25)=2),ŞubPaz1+25,""))</f>
        <v>43881</v>
      </c>
      <c r="O8" s="25">
        <f>IF(DAY(ŞubPaz1)=1,IF(AND(YEAR(ŞubPaz1+19)=TakvimYılı,MONTH(ŞubPaz1+19)=2),ŞubPaz1+19,""),IF(AND(YEAR(ŞubPaz1+26)=TakvimYılı,MONTH(ŞubPaz1+26)=2),ŞubPaz1+26,""))</f>
        <v>43882</v>
      </c>
      <c r="P8" s="25">
        <f>IF(DAY(ŞubPaz1)=1,IF(AND(YEAR(ŞubPaz1+20)=TakvimYılı,MONTH(ŞubPaz1+20)=2),ŞubPaz1+20,""),IF(AND(YEAR(ŞubPaz1+27)=TakvimYılı,MONTH(ŞubPaz1+27)=2),ŞubPaz1+27,""))</f>
        <v>43883</v>
      </c>
      <c r="Q8" s="25">
        <f>IF(DAY(ŞubPaz1)=1,IF(AND(YEAR(ŞubPaz1+21)=TakvimYılı,MONTH(ŞubPaz1+21)=2),ŞubPaz1+21,""),IF(AND(YEAR(ŞubPaz1+28)=TakvimYılı,MONTH(ŞubPaz1+28)=2),ŞubPaz1+28,""))</f>
        <v>43884</v>
      </c>
      <c r="S8" s="24"/>
      <c r="U8" s="2"/>
      <c r="V8" s="30"/>
      <c r="W8" s="30"/>
    </row>
    <row r="9" spans="1:23" ht="15" customHeight="1" x14ac:dyDescent="0.2">
      <c r="C9" s="25">
        <f>IF(DAY(OcaPaz1)=1,IF(AND(YEAR(OcaPaz1+22)=TakvimYılı,MONTH(OcaPaz1+22)=1),OcaPaz1+22,""),IF(AND(YEAR(OcaPaz1+29)=TakvimYılı,MONTH(OcaPaz1+29)=1),OcaPaz1+29,""))</f>
        <v>43857</v>
      </c>
      <c r="D9" s="25">
        <f>IF(DAY(OcaPaz1)=1,IF(AND(YEAR(OcaPaz1+23)=TakvimYılı,MONTH(OcaPaz1+23)=1),OcaPaz1+23,""),IF(AND(YEAR(OcaPaz1+30)=TakvimYılı,MONTH(OcaPaz1+30)=1),OcaPaz1+30,""))</f>
        <v>43858</v>
      </c>
      <c r="E9" s="25">
        <f>IF(DAY(OcaPaz1)=1,IF(AND(YEAR(OcaPaz1+24)=TakvimYılı,MONTH(OcaPaz1+24)=1),OcaPaz1+24,""),IF(AND(YEAR(OcaPaz1+31)=TakvimYılı,MONTH(OcaPaz1+31)=1),OcaPaz1+31,""))</f>
        <v>43859</v>
      </c>
      <c r="F9" s="25">
        <f>IF(DAY(OcaPaz1)=1,IF(AND(YEAR(OcaPaz1+25)=TakvimYılı,MONTH(OcaPaz1+25)=1),OcaPaz1+25,""),IF(AND(YEAR(OcaPaz1+32)=TakvimYılı,MONTH(OcaPaz1+32)=1),OcaPaz1+32,""))</f>
        <v>43860</v>
      </c>
      <c r="G9" s="25">
        <f>IF(DAY(OcaPaz1)=1,IF(AND(YEAR(OcaPaz1+26)=TakvimYılı,MONTH(OcaPaz1+26)=1),OcaPaz1+26,""),IF(AND(YEAR(OcaPaz1+33)=TakvimYılı,MONTH(OcaPaz1+33)=1),OcaPaz1+33,""))</f>
        <v>43861</v>
      </c>
      <c r="H9" s="25" t="str">
        <f>IF(DAY(OcaPaz1)=1,IF(AND(YEAR(OcaPaz1+27)=TakvimYılı,MONTH(OcaPaz1+27)=1),OcaPaz1+27,""),IF(AND(YEAR(OcaPaz1+34)=TakvimYılı,MONTH(OcaPaz1+34)=1),OcaPaz1+34,""))</f>
        <v/>
      </c>
      <c r="I9" s="25" t="str">
        <f>IF(DAY(OcaPaz1)=1,IF(AND(YEAR(OcaPaz1+28)=TakvimYılı,MONTH(OcaPaz1+28)=1),OcaPaz1+28,""),IF(AND(YEAR(OcaPaz1+35)=TakvimYılı,MONTH(OcaPaz1+35)=1),OcaPaz1+35,""))</f>
        <v/>
      </c>
      <c r="J9" s="22"/>
      <c r="K9" s="25">
        <f>IF(DAY(ŞubPaz1)=1,IF(AND(YEAR(ŞubPaz1+22)=TakvimYılı,MONTH(ŞubPaz1+22)=2),ŞubPaz1+22,""),IF(AND(YEAR(ŞubPaz1+29)=TakvimYılı,MONTH(ŞubPaz1+29)=2),ŞubPaz1+29,""))</f>
        <v>43885</v>
      </c>
      <c r="L9" s="25">
        <f>IF(DAY(ŞubPaz1)=1,IF(AND(YEAR(ŞubPaz1+23)=TakvimYılı,MONTH(ŞubPaz1+23)=2),ŞubPaz1+23,""),IF(AND(YEAR(ŞubPaz1+30)=TakvimYılı,MONTH(ŞubPaz1+30)=2),ŞubPaz1+30,""))</f>
        <v>43886</v>
      </c>
      <c r="M9" s="25">
        <f>IF(DAY(ŞubPaz1)=1,IF(AND(YEAR(ŞubPaz1+24)=TakvimYılı,MONTH(ŞubPaz1+24)=2),ŞubPaz1+24,""),IF(AND(YEAR(ŞubPaz1+31)=TakvimYılı,MONTH(ŞubPaz1+31)=2),ŞubPaz1+31,""))</f>
        <v>43887</v>
      </c>
      <c r="N9" s="25">
        <f>IF(DAY(ŞubPaz1)=1,IF(AND(YEAR(ŞubPaz1+25)=TakvimYılı,MONTH(ŞubPaz1+25)=2),ŞubPaz1+25,""),IF(AND(YEAR(ŞubPaz1+32)=TakvimYılı,MONTH(ŞubPaz1+32)=2),ŞubPaz1+32,""))</f>
        <v>43888</v>
      </c>
      <c r="O9" s="25">
        <f>IF(DAY(ŞubPaz1)=1,IF(AND(YEAR(ŞubPaz1+26)=TakvimYılı,MONTH(ŞubPaz1+26)=2),ŞubPaz1+26,""),IF(AND(YEAR(ŞubPaz1+33)=TakvimYılı,MONTH(ŞubPaz1+33)=2),ŞubPaz1+33,""))</f>
        <v>43889</v>
      </c>
      <c r="P9" s="25">
        <f>IF(DAY(ŞubPaz1)=1,IF(AND(YEAR(ŞubPaz1+27)=TakvimYılı,MONTH(ŞubPaz1+27)=2),ŞubPaz1+27,""),IF(AND(YEAR(ŞubPaz1+34)=TakvimYılı,MONTH(ŞubPaz1+34)=2),ŞubPaz1+34,""))</f>
        <v>43890</v>
      </c>
      <c r="Q9" s="25" t="str">
        <f>IF(DAY(ŞubPaz1)=1,IF(AND(YEAR(ŞubPaz1+28)=TakvimYılı,MONTH(ŞubPaz1+28)=2),ŞubPaz1+28,""),IF(AND(YEAR(ŞubPaz1+35)=TakvimYılı,MONTH(ŞubPaz1+35)=2),ŞubPaz1+35,""))</f>
        <v/>
      </c>
      <c r="S9" s="24"/>
      <c r="U9" s="10" t="s">
        <v>50</v>
      </c>
      <c r="V9" s="30"/>
      <c r="W9" s="30"/>
    </row>
    <row r="10" spans="1:23" ht="15" customHeight="1" x14ac:dyDescent="0.2">
      <c r="C10" s="25" t="str">
        <f>IF(DAY(OcaPaz1)=1,IF(AND(YEAR(OcaPaz1+29)=TakvimYılı,MONTH(OcaPaz1+29)=1),OcaPaz1+29,""),IF(AND(YEAR(OcaPaz1+36)=TakvimYılı,MONTH(OcaPaz1+36)=1),OcaPaz1+36,""))</f>
        <v/>
      </c>
      <c r="D10" s="25" t="str">
        <f>IF(DAY(OcaPaz1)=1,IF(AND(YEAR(OcaPaz1+30)=TakvimYılı,MONTH(OcaPaz1+30)=1),OcaPaz1+30,""),IF(AND(YEAR(OcaPaz1+37)=TakvimYılı,MONTH(OcaPaz1+37)=1),OcaPaz1+37,""))</f>
        <v/>
      </c>
      <c r="E10" s="25" t="str">
        <f>IF(DAY(OcaPaz1)=1,IF(AND(YEAR(OcaPaz1+31)=TakvimYılı,MONTH(OcaPaz1+31)=1),OcaPaz1+31,""),IF(AND(YEAR(OcaPaz1+38)=TakvimYılı,MONTH(OcaPaz1+38)=1),OcaPaz1+38,""))</f>
        <v/>
      </c>
      <c r="F10" s="25" t="str">
        <f>IF(DAY(OcaPaz1)=1,IF(AND(YEAR(OcaPaz1+32)=TakvimYılı,MONTH(OcaPaz1+32)=1),OcaPaz1+32,""),IF(AND(YEAR(OcaPaz1+39)=TakvimYılı,MONTH(OcaPaz1+39)=1),OcaPaz1+39,""))</f>
        <v/>
      </c>
      <c r="G10" s="25" t="str">
        <f>IF(DAY(OcaPaz1)=1,IF(AND(YEAR(OcaPaz1+33)=TakvimYılı,MONTH(OcaPaz1+33)=1),OcaPaz1+33,""),IF(AND(YEAR(OcaPaz1+40)=TakvimYılı,MONTH(OcaPaz1+40)=1),OcaPaz1+40,""))</f>
        <v/>
      </c>
      <c r="H10" s="25" t="str">
        <f>IF(DAY(OcaPaz1)=1,IF(AND(YEAR(OcaPaz1+34)=TakvimYılı,MONTH(OcaPaz1+34)=1),OcaPaz1+34,""),IF(AND(YEAR(OcaPaz1+41)=TakvimYılı,MONTH(OcaPaz1+41)=1),OcaPaz1+41,""))</f>
        <v/>
      </c>
      <c r="I10" s="25" t="str">
        <f>IF(DAY(OcaPaz1)=1,IF(AND(YEAR(OcaPaz1+35)=TakvimYılı,MONTH(OcaPaz1+35)=1),OcaPaz1+35,""),IF(AND(YEAR(OcaPaz1+42)=TakvimYılı,MONTH(OcaPaz1+42)=1),OcaPaz1+42,""))</f>
        <v/>
      </c>
      <c r="J10" s="22"/>
      <c r="K10" s="25" t="str">
        <f>IF(DAY(ŞubPaz1)=1,IF(AND(YEAR(ŞubPaz1+29)=TakvimYılı,MONTH(ŞubPaz1+29)=2),ŞubPaz1+29,""),IF(AND(YEAR(ŞubPaz1+36)=TakvimYılı,MONTH(ŞubPaz1+36)=2),ŞubPaz1+36,""))</f>
        <v/>
      </c>
      <c r="L10" s="25" t="str">
        <f>IF(DAY(ŞubPaz1)=1,IF(AND(YEAR(ŞubPaz1+30)=TakvimYılı,MONTH(ŞubPaz1+30)=2),ŞubPaz1+30,""),IF(AND(YEAR(ŞubPaz1+37)=TakvimYılı,MONTH(ŞubPaz1+37)=2),ŞubPaz1+37,""))</f>
        <v/>
      </c>
      <c r="M10" s="25" t="str">
        <f>IF(DAY(ŞubPaz1)=1,IF(AND(YEAR(ŞubPaz1+31)=TakvimYılı,MONTH(ŞubPaz1+31)=2),ŞubPaz1+31,""),IF(AND(YEAR(ŞubPaz1+38)=TakvimYılı,MONTH(ŞubPaz1+38)=2),ŞubPaz1+38,""))</f>
        <v/>
      </c>
      <c r="N10" s="25" t="str">
        <f>IF(DAY(ŞubPaz1)=1,IF(AND(YEAR(ŞubPaz1+32)=TakvimYılı,MONTH(ŞubPaz1+32)=2),ŞubPaz1+32,""),IF(AND(YEAR(ŞubPaz1+39)=TakvimYılı,MONTH(ŞubPaz1+39)=2),ŞubPaz1+39,""))</f>
        <v/>
      </c>
      <c r="O10" s="25" t="str">
        <f>IF(DAY(ŞubPaz1)=1,IF(AND(YEAR(ŞubPaz1+33)=TakvimYılı,MONTH(ŞubPaz1+33)=2),ŞubPaz1+33,""),IF(AND(YEAR(ŞubPaz1+40)=TakvimYılı,MONTH(ŞubPaz1+40)=2),ŞubPaz1+40,""))</f>
        <v/>
      </c>
      <c r="P10" s="25" t="str">
        <f>IF(DAY(ŞubPaz1)=1,IF(AND(YEAR(ŞubPaz1+34)=TakvimYılı,MONTH(ŞubPaz1+34)=2),ŞubPaz1+34,""),IF(AND(YEAR(ŞubPaz1+41)=TakvimYılı,MONTH(ŞubPaz1+41)=2),ŞubPaz1+41,""))</f>
        <v/>
      </c>
      <c r="Q10" s="25" t="str">
        <f>IF(DAY(ŞubPaz1)=1,IF(AND(YEAR(ŞubPaz1+35)=TakvimYılı,MONTH(ŞubPaz1+35)=2),ŞubPaz1+35,""),IF(AND(YEAR(ŞubPaz1+42)=TakvimYılı,MONTH(ŞubPaz1+42)=2),ŞubPaz1+42,""))</f>
        <v/>
      </c>
      <c r="S10" s="24"/>
      <c r="U10" s="3" t="s">
        <v>51</v>
      </c>
      <c r="V10" s="30"/>
      <c r="W10" s="30"/>
    </row>
    <row r="11" spans="1:23" ht="15" customHeight="1" x14ac:dyDescent="0.2">
      <c r="C11" s="22"/>
      <c r="D11" s="22"/>
      <c r="E11" s="22"/>
      <c r="F11" s="22"/>
      <c r="G11" s="22"/>
      <c r="H11" s="22"/>
      <c r="I11" s="22"/>
      <c r="J11" s="22"/>
      <c r="K11" s="22"/>
      <c r="L11" s="22"/>
      <c r="M11" s="22"/>
      <c r="N11" s="22"/>
      <c r="O11" s="22"/>
      <c r="P11" s="22"/>
      <c r="Q11" s="22"/>
      <c r="S11" s="24"/>
      <c r="U11" s="2"/>
      <c r="V11" s="30"/>
      <c r="W11" s="30"/>
    </row>
    <row r="12" spans="1:23" ht="15" customHeight="1" x14ac:dyDescent="0.2">
      <c r="A12" s="18" t="s">
        <v>11</v>
      </c>
      <c r="C12" s="28" t="s">
        <v>28</v>
      </c>
      <c r="D12" s="28"/>
      <c r="E12" s="28"/>
      <c r="F12" s="28"/>
      <c r="G12" s="28"/>
      <c r="H12" s="28"/>
      <c r="I12" s="28"/>
      <c r="K12" s="28" t="s">
        <v>40</v>
      </c>
      <c r="L12" s="28"/>
      <c r="M12" s="28"/>
      <c r="N12" s="28"/>
      <c r="O12" s="28"/>
      <c r="P12" s="28"/>
      <c r="Q12" s="28"/>
      <c r="S12" s="24"/>
      <c r="U12" s="10"/>
      <c r="V12" s="30"/>
      <c r="W12" s="30"/>
    </row>
    <row r="13" spans="1:23" ht="15" customHeight="1" x14ac:dyDescent="0.25">
      <c r="A13" s="18" t="s">
        <v>12</v>
      </c>
      <c r="C13" s="11" t="s">
        <v>27</v>
      </c>
      <c r="D13" s="11" t="s">
        <v>33</v>
      </c>
      <c r="E13" s="11" t="s">
        <v>34</v>
      </c>
      <c r="F13" s="11" t="s">
        <v>35</v>
      </c>
      <c r="G13" s="11" t="s">
        <v>36</v>
      </c>
      <c r="H13" s="11" t="s">
        <v>37</v>
      </c>
      <c r="I13" s="11" t="s">
        <v>38</v>
      </c>
      <c r="J13" s="21"/>
      <c r="K13" s="11" t="s">
        <v>27</v>
      </c>
      <c r="L13" s="11" t="s">
        <v>33</v>
      </c>
      <c r="M13" s="11" t="s">
        <v>34</v>
      </c>
      <c r="N13" s="11" t="s">
        <v>35</v>
      </c>
      <c r="O13" s="11" t="s">
        <v>36</v>
      </c>
      <c r="P13" s="11" t="s">
        <v>37</v>
      </c>
      <c r="Q13" s="11" t="s">
        <v>38</v>
      </c>
      <c r="S13" s="24"/>
      <c r="U13" s="3"/>
      <c r="V13" s="30"/>
      <c r="W13" s="30"/>
    </row>
    <row r="14" spans="1:23" ht="15" customHeight="1" x14ac:dyDescent="0.2">
      <c r="C14" s="25" t="str">
        <f>IF(DAY(MarPaz1)=1,"",IF(AND(YEAR(MarPaz1+1)=TakvimYılı,MONTH(MarPaz1+1)=3),MarPaz1+1,""))</f>
        <v/>
      </c>
      <c r="D14" s="25" t="str">
        <f>IF(DAY(MarPaz1)=1,"",IF(AND(YEAR(MarPaz1+2)=TakvimYılı,MONTH(MarPaz1+2)=3),MarPaz1+2,""))</f>
        <v/>
      </c>
      <c r="E14" s="25" t="str">
        <f>IF(DAY(MarPaz1)=1,"",IF(AND(YEAR(MarPaz1+3)=TakvimYılı,MONTH(MarPaz1+3)=3),MarPaz1+3,""))</f>
        <v/>
      </c>
      <c r="F14" s="25" t="str">
        <f>IF(DAY(MarPaz1)=1,"",IF(AND(YEAR(MarPaz1+4)=TakvimYılı,MONTH(MarPaz1+4)=3),MarPaz1+4,""))</f>
        <v/>
      </c>
      <c r="G14" s="25" t="str">
        <f>IF(DAY(MarPaz1)=1,"",IF(AND(YEAR(MarPaz1+5)=TakvimYılı,MONTH(MarPaz1+5)=3),MarPaz1+5,""))</f>
        <v/>
      </c>
      <c r="H14" s="25" t="str">
        <f>IF(DAY(MarPaz1)=1,"",IF(AND(YEAR(MarPaz1+6)=TakvimYılı,MONTH(MarPaz1+6)=3),MarPaz1+6,""))</f>
        <v/>
      </c>
      <c r="I14" s="25">
        <f>IF(DAY(MarPaz1)=1,IF(AND(YEAR(MarPaz1)=TakvimYılı,MONTH(MarPaz1)=3),MarPaz1,""),IF(AND(YEAR(MarPaz1+7)=TakvimYılı,MONTH(MarPaz1+7)=3),MarPaz1+7,""))</f>
        <v>43891</v>
      </c>
      <c r="J14" s="22"/>
      <c r="K14" s="25" t="str">
        <f>IF(DAY(NisPaz1)=1,"",IF(AND(YEAR(NisPaz1+1)=TakvimYılı,MONTH(NisPaz1+1)=4),NisPaz1+1,""))</f>
        <v/>
      </c>
      <c r="L14" s="25" t="str">
        <f>IF(DAY(NisPaz1)=1,"",IF(AND(YEAR(NisPaz1+2)=TakvimYılı,MONTH(NisPaz1+2)=4),NisPaz1+2,""))</f>
        <v/>
      </c>
      <c r="M14" s="25">
        <f>IF(DAY(NisPaz1)=1,"",IF(AND(YEAR(NisPaz1+3)=TakvimYılı,MONTH(NisPaz1+3)=4),NisPaz1+3,""))</f>
        <v>43922</v>
      </c>
      <c r="N14" s="25">
        <f>IF(DAY(NisPaz1)=1,"",IF(AND(YEAR(NisPaz1+4)=TakvimYılı,MONTH(NisPaz1+4)=4),NisPaz1+4,""))</f>
        <v>43923</v>
      </c>
      <c r="O14" s="25">
        <f>IF(DAY(NisPaz1)=1,"",IF(AND(YEAR(NisPaz1+5)=TakvimYılı,MONTH(NisPaz1+5)=4),NisPaz1+5,""))</f>
        <v>43924</v>
      </c>
      <c r="P14" s="25">
        <f>IF(DAY(NisPaz1)=1,"",IF(AND(YEAR(NisPaz1+6)=TakvimYılı,MONTH(NisPaz1+6)=4),NisPaz1+6,""))</f>
        <v>43925</v>
      </c>
      <c r="Q14" s="25">
        <f>IF(DAY(NisPaz1)=1,IF(AND(YEAR(NisPaz1)=TakvimYılı,MONTH(NisPaz1)=4),NisPaz1,""),IF(AND(YEAR(NisPaz1+7)=TakvimYılı,MONTH(NisPaz1+7)=4),NisPaz1+7,""))</f>
        <v>43926</v>
      </c>
      <c r="S14" s="24"/>
      <c r="U14" s="2"/>
      <c r="V14" s="30"/>
      <c r="W14" s="30"/>
    </row>
    <row r="15" spans="1:23" ht="15" customHeight="1" x14ac:dyDescent="0.2">
      <c r="A15" s="18"/>
      <c r="C15" s="25">
        <f>IF(DAY(MarPaz1)=1,IF(AND(YEAR(MarPaz1+1)=TakvimYılı,MONTH(MarPaz1+1)=3),MarPaz1+1,""),IF(AND(YEAR(MarPaz1+8)=TakvimYılı,MONTH(MarPaz1+8)=3),MarPaz1+8,""))</f>
        <v>43892</v>
      </c>
      <c r="D15" s="25">
        <f>IF(DAY(MarPaz1)=1,IF(AND(YEAR(MarPaz1+2)=TakvimYılı,MONTH(MarPaz1+2)=3),MarPaz1+2,""),IF(AND(YEAR(MarPaz1+9)=TakvimYılı,MONTH(MarPaz1+9)=3),MarPaz1+9,""))</f>
        <v>43893</v>
      </c>
      <c r="E15" s="25">
        <f>IF(DAY(MarPaz1)=1,IF(AND(YEAR(MarPaz1+3)=TakvimYılı,MONTH(MarPaz1+3)=3),MarPaz1+3,""),IF(AND(YEAR(MarPaz1+10)=TakvimYılı,MONTH(MarPaz1+10)=3),MarPaz1+10,""))</f>
        <v>43894</v>
      </c>
      <c r="F15" s="25">
        <f>IF(DAY(MarPaz1)=1,IF(AND(YEAR(MarPaz1+4)=TakvimYılı,MONTH(MarPaz1+4)=3),MarPaz1+4,""),IF(AND(YEAR(MarPaz1+11)=TakvimYılı,MONTH(MarPaz1+11)=3),MarPaz1+11,""))</f>
        <v>43895</v>
      </c>
      <c r="G15" s="25">
        <f>IF(DAY(MarPaz1)=1,IF(AND(YEAR(MarPaz1+5)=TakvimYılı,MONTH(MarPaz1+5)=3),MarPaz1+5,""),IF(AND(YEAR(MarPaz1+12)=TakvimYılı,MONTH(MarPaz1+12)=3),MarPaz1+12,""))</f>
        <v>43896</v>
      </c>
      <c r="H15" s="25">
        <f>IF(DAY(MarPaz1)=1,IF(AND(YEAR(MarPaz1+6)=TakvimYılı,MONTH(MarPaz1+6)=3),MarPaz1+6,""),IF(AND(YEAR(MarPaz1+13)=TakvimYılı,MONTH(MarPaz1+13)=3),MarPaz1+13,""))</f>
        <v>43897</v>
      </c>
      <c r="I15" s="25">
        <f>IF(DAY(MarPaz1)=1,IF(AND(YEAR(MarPaz1+7)=TakvimYılı,MONTH(MarPaz1+7)=3),MarPaz1+7,""),IF(AND(YEAR(MarPaz1+14)=TakvimYılı,MONTH(MarPaz1+14)=3),MarPaz1+14,""))</f>
        <v>43898</v>
      </c>
      <c r="J15" s="22"/>
      <c r="K15" s="25">
        <f>IF(DAY(NisPaz1)=1,IF(AND(YEAR(NisPaz1+1)=TakvimYılı,MONTH(NisPaz1+1)=4),NisPaz1+1,""),IF(AND(YEAR(NisPaz1+8)=TakvimYılı,MONTH(NisPaz1+8)=4),NisPaz1+8,""))</f>
        <v>43927</v>
      </c>
      <c r="L15" s="25">
        <f>IF(DAY(NisPaz1)=1,IF(AND(YEAR(NisPaz1+2)=TakvimYılı,MONTH(NisPaz1+2)=4),NisPaz1+2,""),IF(AND(YEAR(NisPaz1+9)=TakvimYılı,MONTH(NisPaz1+9)=4),NisPaz1+9,""))</f>
        <v>43928</v>
      </c>
      <c r="M15" s="25">
        <f>IF(DAY(NisPaz1)=1,IF(AND(YEAR(NisPaz1+3)=TakvimYılı,MONTH(NisPaz1+3)=4),NisPaz1+3,""),IF(AND(YEAR(NisPaz1+10)=TakvimYılı,MONTH(NisPaz1+10)=4),NisPaz1+10,""))</f>
        <v>43929</v>
      </c>
      <c r="N15" s="25">
        <f>IF(DAY(NisPaz1)=1,IF(AND(YEAR(NisPaz1+4)=TakvimYılı,MONTH(NisPaz1+4)=4),NisPaz1+4,""),IF(AND(YEAR(NisPaz1+11)=TakvimYılı,MONTH(NisPaz1+11)=4),NisPaz1+11,""))</f>
        <v>43930</v>
      </c>
      <c r="O15" s="25">
        <f>IF(DAY(NisPaz1)=1,IF(AND(YEAR(NisPaz1+5)=TakvimYılı,MONTH(NisPaz1+5)=4),NisPaz1+5,""),IF(AND(YEAR(NisPaz1+12)=TakvimYılı,MONTH(NisPaz1+12)=4),NisPaz1+12,""))</f>
        <v>43931</v>
      </c>
      <c r="P15" s="25">
        <f>IF(DAY(NisPaz1)=1,IF(AND(YEAR(NisPaz1+6)=TakvimYılı,MONTH(NisPaz1+6)=4),NisPaz1+6,""),IF(AND(YEAR(NisPaz1+13)=TakvimYılı,MONTH(NisPaz1+13)=4),NisPaz1+13,""))</f>
        <v>43932</v>
      </c>
      <c r="Q15" s="25">
        <f>IF(DAY(NisPaz1)=1,IF(AND(YEAR(NisPaz1+7)=TakvimYılı,MONTH(NisPaz1+7)=4),NisPaz1+7,""),IF(AND(YEAR(NisPaz1+14)=TakvimYılı,MONTH(NisPaz1+14)=4),NisPaz1+14,""))</f>
        <v>43933</v>
      </c>
      <c r="S15" s="24"/>
      <c r="U15" s="10"/>
      <c r="V15" s="30"/>
      <c r="W15" s="30"/>
    </row>
    <row r="16" spans="1:23" ht="15" customHeight="1" x14ac:dyDescent="0.2">
      <c r="C16" s="25">
        <f>IF(DAY(MarPaz1)=1,IF(AND(YEAR(MarPaz1+8)=TakvimYılı,MONTH(MarPaz1+8)=3),MarPaz1+8,""),IF(AND(YEAR(MarPaz1+15)=TakvimYılı,MONTH(MarPaz1+15)=3),MarPaz1+15,""))</f>
        <v>43899</v>
      </c>
      <c r="D16" s="25">
        <f>IF(DAY(MarPaz1)=1,IF(AND(YEAR(MarPaz1+9)=TakvimYılı,MONTH(MarPaz1+9)=3),MarPaz1+9,""),IF(AND(YEAR(MarPaz1+16)=TakvimYılı,MONTH(MarPaz1+16)=3),MarPaz1+16,""))</f>
        <v>43900</v>
      </c>
      <c r="E16" s="25">
        <f>IF(DAY(MarPaz1)=1,IF(AND(YEAR(MarPaz1+10)=TakvimYılı,MONTH(MarPaz1+10)=3),MarPaz1+10,""),IF(AND(YEAR(MarPaz1+17)=TakvimYılı,MONTH(MarPaz1+17)=3),MarPaz1+17,""))</f>
        <v>43901</v>
      </c>
      <c r="F16" s="25">
        <f>IF(DAY(MarPaz1)=1,IF(AND(YEAR(MarPaz1+11)=TakvimYılı,MONTH(MarPaz1+11)=3),MarPaz1+11,""),IF(AND(YEAR(MarPaz1+18)=TakvimYılı,MONTH(MarPaz1+18)=3),MarPaz1+18,""))</f>
        <v>43902</v>
      </c>
      <c r="G16" s="25">
        <f>IF(DAY(MarPaz1)=1,IF(AND(YEAR(MarPaz1+12)=TakvimYılı,MONTH(MarPaz1+12)=3),MarPaz1+12,""),IF(AND(YEAR(MarPaz1+19)=TakvimYılı,MONTH(MarPaz1+19)=3),MarPaz1+19,""))</f>
        <v>43903</v>
      </c>
      <c r="H16" s="25">
        <f>IF(DAY(MarPaz1)=1,IF(AND(YEAR(MarPaz1+13)=TakvimYılı,MONTH(MarPaz1+13)=3),MarPaz1+13,""),IF(AND(YEAR(MarPaz1+20)=TakvimYılı,MONTH(MarPaz1+20)=3),MarPaz1+20,""))</f>
        <v>43904</v>
      </c>
      <c r="I16" s="25">
        <f>IF(DAY(MarPaz1)=1,IF(AND(YEAR(MarPaz1+14)=TakvimYılı,MONTH(MarPaz1+14)=3),MarPaz1+14,""),IF(AND(YEAR(MarPaz1+21)=TakvimYılı,MONTH(MarPaz1+21)=3),MarPaz1+21,""))</f>
        <v>43905</v>
      </c>
      <c r="J16" s="22"/>
      <c r="K16" s="25">
        <f>IF(DAY(NisPaz1)=1,IF(AND(YEAR(NisPaz1+8)=TakvimYılı,MONTH(NisPaz1+8)=4),NisPaz1+8,""),IF(AND(YEAR(NisPaz1+15)=TakvimYılı,MONTH(NisPaz1+15)=4),NisPaz1+15,""))</f>
        <v>43934</v>
      </c>
      <c r="L16" s="25">
        <f>IF(DAY(NisPaz1)=1,IF(AND(YEAR(NisPaz1+9)=TakvimYılı,MONTH(NisPaz1+9)=4),NisPaz1+9,""),IF(AND(YEAR(NisPaz1+16)=TakvimYılı,MONTH(NisPaz1+16)=4),NisPaz1+16,""))</f>
        <v>43935</v>
      </c>
      <c r="M16" s="25">
        <f>IF(DAY(NisPaz1)=1,IF(AND(YEAR(NisPaz1+10)=TakvimYılı,MONTH(NisPaz1+10)=4),NisPaz1+10,""),IF(AND(YEAR(NisPaz1+17)=TakvimYılı,MONTH(NisPaz1+17)=4),NisPaz1+17,""))</f>
        <v>43936</v>
      </c>
      <c r="N16" s="25">
        <f>IF(DAY(NisPaz1)=1,IF(AND(YEAR(NisPaz1+11)=TakvimYılı,MONTH(NisPaz1+11)=4),NisPaz1+11,""),IF(AND(YEAR(NisPaz1+18)=TakvimYılı,MONTH(NisPaz1+18)=4),NisPaz1+18,""))</f>
        <v>43937</v>
      </c>
      <c r="O16" s="25">
        <f>IF(DAY(NisPaz1)=1,IF(AND(YEAR(NisPaz1+12)=TakvimYılı,MONTH(NisPaz1+12)=4),NisPaz1+12,""),IF(AND(YEAR(NisPaz1+19)=TakvimYılı,MONTH(NisPaz1+19)=4),NisPaz1+19,""))</f>
        <v>43938</v>
      </c>
      <c r="P16" s="25">
        <f>IF(DAY(NisPaz1)=1,IF(AND(YEAR(NisPaz1+13)=TakvimYılı,MONTH(NisPaz1+13)=4),NisPaz1+13,""),IF(AND(YEAR(NisPaz1+20)=TakvimYılı,MONTH(NisPaz1+20)=4),NisPaz1+20,""))</f>
        <v>43939</v>
      </c>
      <c r="Q16" s="25">
        <f>IF(DAY(NisPaz1)=1,IF(AND(YEAR(NisPaz1+14)=TakvimYılı,MONTH(NisPaz1+14)=4),NisPaz1+14,""),IF(AND(YEAR(NisPaz1+21)=TakvimYılı,MONTH(NisPaz1+21)=4),NisPaz1+21,""))</f>
        <v>43940</v>
      </c>
      <c r="S16" s="24"/>
      <c r="U16" s="3"/>
      <c r="V16" s="30"/>
      <c r="W16" s="30"/>
    </row>
    <row r="17" spans="1:23" ht="15" customHeight="1" x14ac:dyDescent="0.2">
      <c r="C17" s="25">
        <f>IF(DAY(MarPaz1)=1,IF(AND(YEAR(MarPaz1+15)=TakvimYılı,MONTH(MarPaz1+15)=3),MarPaz1+15,""),IF(AND(YEAR(MarPaz1+22)=TakvimYılı,MONTH(MarPaz1+22)=3),MarPaz1+22,""))</f>
        <v>43906</v>
      </c>
      <c r="D17" s="25">
        <f>IF(DAY(MarPaz1)=1,IF(AND(YEAR(MarPaz1+16)=TakvimYılı,MONTH(MarPaz1+16)=3),MarPaz1+16,""),IF(AND(YEAR(MarPaz1+23)=TakvimYılı,MONTH(MarPaz1+23)=3),MarPaz1+23,""))</f>
        <v>43907</v>
      </c>
      <c r="E17" s="25">
        <f>IF(DAY(MarPaz1)=1,IF(AND(YEAR(MarPaz1+17)=TakvimYılı,MONTH(MarPaz1+17)=3),MarPaz1+17,""),IF(AND(YEAR(MarPaz1+24)=TakvimYılı,MONTH(MarPaz1+24)=3),MarPaz1+24,""))</f>
        <v>43908</v>
      </c>
      <c r="F17" s="25">
        <f>IF(DAY(MarPaz1)=1,IF(AND(YEAR(MarPaz1+18)=TakvimYılı,MONTH(MarPaz1+18)=3),MarPaz1+18,""),IF(AND(YEAR(MarPaz1+25)=TakvimYılı,MONTH(MarPaz1+25)=3),MarPaz1+25,""))</f>
        <v>43909</v>
      </c>
      <c r="G17" s="25">
        <f>IF(DAY(MarPaz1)=1,IF(AND(YEAR(MarPaz1+19)=TakvimYılı,MONTH(MarPaz1+19)=3),MarPaz1+19,""),IF(AND(YEAR(MarPaz1+26)=TakvimYılı,MONTH(MarPaz1+26)=3),MarPaz1+26,""))</f>
        <v>43910</v>
      </c>
      <c r="H17" s="25">
        <f>IF(DAY(MarPaz1)=1,IF(AND(YEAR(MarPaz1+20)=TakvimYılı,MONTH(MarPaz1+20)=3),MarPaz1+20,""),IF(AND(YEAR(MarPaz1+27)=TakvimYılı,MONTH(MarPaz1+27)=3),MarPaz1+27,""))</f>
        <v>43911</v>
      </c>
      <c r="I17" s="25">
        <f>IF(DAY(MarPaz1)=1,IF(AND(YEAR(MarPaz1+21)=TakvimYılı,MONTH(MarPaz1+21)=3),MarPaz1+21,""),IF(AND(YEAR(MarPaz1+28)=TakvimYılı,MONTH(MarPaz1+28)=3),MarPaz1+28,""))</f>
        <v>43912</v>
      </c>
      <c r="J17" s="22"/>
      <c r="K17" s="25">
        <f>IF(DAY(NisPaz1)=1,IF(AND(YEAR(NisPaz1+15)=TakvimYılı,MONTH(NisPaz1+15)=4),NisPaz1+15,""),IF(AND(YEAR(NisPaz1+22)=TakvimYılı,MONTH(NisPaz1+22)=4),NisPaz1+22,""))</f>
        <v>43941</v>
      </c>
      <c r="L17" s="25">
        <f>IF(DAY(NisPaz1)=1,IF(AND(YEAR(NisPaz1+16)=TakvimYılı,MONTH(NisPaz1+16)=4),NisPaz1+16,""),IF(AND(YEAR(NisPaz1+23)=TakvimYılı,MONTH(NisPaz1+23)=4),NisPaz1+23,""))</f>
        <v>43942</v>
      </c>
      <c r="M17" s="25">
        <f>IF(DAY(NisPaz1)=1,IF(AND(YEAR(NisPaz1+17)=TakvimYılı,MONTH(NisPaz1+17)=4),NisPaz1+17,""),IF(AND(YEAR(NisPaz1+24)=TakvimYılı,MONTH(NisPaz1+24)=4),NisPaz1+24,""))</f>
        <v>43943</v>
      </c>
      <c r="N17" s="25">
        <f>IF(DAY(NisPaz1)=1,IF(AND(YEAR(NisPaz1+18)=TakvimYılı,MONTH(NisPaz1+18)=4),NisPaz1+18,""),IF(AND(YEAR(NisPaz1+25)=TakvimYılı,MONTH(NisPaz1+25)=4),NisPaz1+25,""))</f>
        <v>43944</v>
      </c>
      <c r="O17" s="25">
        <f>IF(DAY(NisPaz1)=1,IF(AND(YEAR(NisPaz1+19)=TakvimYılı,MONTH(NisPaz1+19)=4),NisPaz1+19,""),IF(AND(YEAR(NisPaz1+26)=TakvimYılı,MONTH(NisPaz1+26)=4),NisPaz1+26,""))</f>
        <v>43945</v>
      </c>
      <c r="P17" s="25">
        <f>IF(DAY(NisPaz1)=1,IF(AND(YEAR(NisPaz1+20)=TakvimYılı,MONTH(NisPaz1+20)=4),NisPaz1+20,""),IF(AND(YEAR(NisPaz1+27)=TakvimYılı,MONTH(NisPaz1+27)=4),NisPaz1+27,""))</f>
        <v>43946</v>
      </c>
      <c r="Q17" s="25">
        <f>IF(DAY(NisPaz1)=1,IF(AND(YEAR(NisPaz1+21)=TakvimYılı,MONTH(NisPaz1+21)=4),NisPaz1+21,""),IF(AND(YEAR(NisPaz1+28)=TakvimYılı,MONTH(NisPaz1+28)=4),NisPaz1+28,""))</f>
        <v>43947</v>
      </c>
      <c r="S17" s="24"/>
      <c r="U17" s="2"/>
      <c r="V17" s="30"/>
      <c r="W17" s="30"/>
    </row>
    <row r="18" spans="1:23" ht="15" customHeight="1" x14ac:dyDescent="0.2">
      <c r="C18" s="25">
        <f>IF(DAY(MarPaz1)=1,IF(AND(YEAR(MarPaz1+22)=TakvimYılı,MONTH(MarPaz1+22)=3),MarPaz1+22,""),IF(AND(YEAR(MarPaz1+29)=TakvimYılı,MONTH(MarPaz1+29)=3),MarPaz1+29,""))</f>
        <v>43913</v>
      </c>
      <c r="D18" s="25">
        <f>IF(DAY(MarPaz1)=1,IF(AND(YEAR(MarPaz1+23)=TakvimYılı,MONTH(MarPaz1+23)=3),MarPaz1+23,""),IF(AND(YEAR(MarPaz1+30)=TakvimYılı,MONTH(MarPaz1+30)=3),MarPaz1+30,""))</f>
        <v>43914</v>
      </c>
      <c r="E18" s="25">
        <f>IF(DAY(MarPaz1)=1,IF(AND(YEAR(MarPaz1+24)=TakvimYılı,MONTH(MarPaz1+24)=3),MarPaz1+24,""),IF(AND(YEAR(MarPaz1+31)=TakvimYılı,MONTH(MarPaz1+31)=3),MarPaz1+31,""))</f>
        <v>43915</v>
      </c>
      <c r="F18" s="25">
        <f>IF(DAY(MarPaz1)=1,IF(AND(YEAR(MarPaz1+25)=TakvimYılı,MONTH(MarPaz1+25)=3),MarPaz1+25,""),IF(AND(YEAR(MarPaz1+32)=TakvimYılı,MONTH(MarPaz1+32)=3),MarPaz1+32,""))</f>
        <v>43916</v>
      </c>
      <c r="G18" s="25">
        <f>IF(DAY(MarPaz1)=1,IF(AND(YEAR(MarPaz1+26)=TakvimYılı,MONTH(MarPaz1+26)=3),MarPaz1+26,""),IF(AND(YEAR(MarPaz1+33)=TakvimYılı,MONTH(MarPaz1+33)=3),MarPaz1+33,""))</f>
        <v>43917</v>
      </c>
      <c r="H18" s="25">
        <f>IF(DAY(MarPaz1)=1,IF(AND(YEAR(MarPaz1+27)=TakvimYılı,MONTH(MarPaz1+27)=3),MarPaz1+27,""),IF(AND(YEAR(MarPaz1+34)=TakvimYılı,MONTH(MarPaz1+34)=3),MarPaz1+34,""))</f>
        <v>43918</v>
      </c>
      <c r="I18" s="25">
        <f>IF(DAY(MarPaz1)=1,IF(AND(YEAR(MarPaz1+28)=TakvimYılı,MONTH(MarPaz1+28)=3),MarPaz1+28,""),IF(AND(YEAR(MarPaz1+35)=TakvimYılı,MONTH(MarPaz1+35)=3),MarPaz1+35,""))</f>
        <v>43919</v>
      </c>
      <c r="J18" s="22"/>
      <c r="K18" s="25">
        <f>IF(DAY(NisPaz1)=1,IF(AND(YEAR(NisPaz1+22)=TakvimYılı,MONTH(NisPaz1+22)=4),NisPaz1+22,""),IF(AND(YEAR(NisPaz1+29)=TakvimYılı,MONTH(NisPaz1+29)=4),NisPaz1+29,""))</f>
        <v>43948</v>
      </c>
      <c r="L18" s="25">
        <f>IF(DAY(NisPaz1)=1,IF(AND(YEAR(NisPaz1+23)=TakvimYılı,MONTH(NisPaz1+23)=4),NisPaz1+23,""),IF(AND(YEAR(NisPaz1+30)=TakvimYılı,MONTH(NisPaz1+30)=4),NisPaz1+30,""))</f>
        <v>43949</v>
      </c>
      <c r="M18" s="25">
        <f>IF(DAY(NisPaz1)=1,IF(AND(YEAR(NisPaz1+24)=TakvimYılı,MONTH(NisPaz1+24)=4),NisPaz1+24,""),IF(AND(YEAR(NisPaz1+31)=TakvimYılı,MONTH(NisPaz1+31)=4),NisPaz1+31,""))</f>
        <v>43950</v>
      </c>
      <c r="N18" s="25">
        <f>IF(DAY(NisPaz1)=1,IF(AND(YEAR(NisPaz1+25)=TakvimYılı,MONTH(NisPaz1+25)=4),NisPaz1+25,""),IF(AND(YEAR(NisPaz1+32)=TakvimYılı,MONTH(NisPaz1+32)=4),NisPaz1+32,""))</f>
        <v>43951</v>
      </c>
      <c r="O18" s="25" t="str">
        <f>IF(DAY(NisPaz1)=1,IF(AND(YEAR(NisPaz1+26)=TakvimYılı,MONTH(NisPaz1+26)=4),NisPaz1+26,""),IF(AND(YEAR(NisPaz1+33)=TakvimYılı,MONTH(NisPaz1+33)=4),NisPaz1+33,""))</f>
        <v/>
      </c>
      <c r="P18" s="25" t="str">
        <f>IF(DAY(NisPaz1)=1,IF(AND(YEAR(NisPaz1+27)=TakvimYılı,MONTH(NisPaz1+27)=4),NisPaz1+27,""),IF(AND(YEAR(NisPaz1+34)=TakvimYılı,MONTH(NisPaz1+34)=4),NisPaz1+34,""))</f>
        <v/>
      </c>
      <c r="Q18" s="25" t="str">
        <f>IF(DAY(NisPaz1)=1,IF(AND(YEAR(NisPaz1+28)=TakvimYılı,MONTH(NisPaz1+28)=4),NisPaz1+28,""),IF(AND(YEAR(NisPaz1+35)=TakvimYılı,MONTH(NisPaz1+35)=4),NisPaz1+35,""))</f>
        <v/>
      </c>
      <c r="S18" s="24"/>
      <c r="U18" s="10"/>
      <c r="V18" s="30"/>
      <c r="W18" s="30"/>
    </row>
    <row r="19" spans="1:23" ht="15" customHeight="1" x14ac:dyDescent="0.2">
      <c r="C19" s="25">
        <f>IF(DAY(MarPaz1)=1,IF(AND(YEAR(MarPaz1+29)=TakvimYılı,MONTH(MarPaz1+29)=3),MarPaz1+29,""),IF(AND(YEAR(MarPaz1+36)=TakvimYılı,MONTH(MarPaz1+36)=3),MarPaz1+36,""))</f>
        <v>43920</v>
      </c>
      <c r="D19" s="25">
        <f>IF(DAY(MarPaz1)=1,IF(AND(YEAR(MarPaz1+30)=TakvimYılı,MONTH(MarPaz1+30)=3),MarPaz1+30,""),IF(AND(YEAR(MarPaz1+37)=TakvimYılı,MONTH(MarPaz1+37)=3),MarPaz1+37,""))</f>
        <v>43921</v>
      </c>
      <c r="E19" s="25" t="str">
        <f>IF(DAY(MarPaz1)=1,IF(AND(YEAR(MarPaz1+31)=TakvimYılı,MONTH(MarPaz1+31)=3),MarPaz1+31,""),IF(AND(YEAR(MarPaz1+38)=TakvimYılı,MONTH(MarPaz1+38)=3),MarPaz1+38,""))</f>
        <v/>
      </c>
      <c r="F19" s="25" t="str">
        <f>IF(DAY(MarPaz1)=1,IF(AND(YEAR(MarPaz1+32)=TakvimYılı,MONTH(MarPaz1+32)=3),MarPaz1+32,""),IF(AND(YEAR(MarPaz1+39)=TakvimYılı,MONTH(MarPaz1+39)=3),MarPaz1+39,""))</f>
        <v/>
      </c>
      <c r="G19" s="25" t="str">
        <f>IF(DAY(MarPaz1)=1,IF(AND(YEAR(MarPaz1+33)=TakvimYılı,MONTH(MarPaz1+33)=3),MarPaz1+33,""),IF(AND(YEAR(MarPaz1+40)=TakvimYılı,MONTH(MarPaz1+40)=3),MarPaz1+40,""))</f>
        <v/>
      </c>
      <c r="H19" s="25" t="str">
        <f>IF(DAY(MarPaz1)=1,IF(AND(YEAR(MarPaz1+34)=TakvimYılı,MONTH(MarPaz1+34)=3),MarPaz1+34,""),IF(AND(YEAR(MarPaz1+41)=TakvimYılı,MONTH(MarPaz1+41)=3),MarPaz1+41,""))</f>
        <v/>
      </c>
      <c r="I19" s="25" t="str">
        <f>IF(DAY(MarPaz1)=1,IF(AND(YEAR(MarPaz1+35)=TakvimYılı,MONTH(MarPaz1+35)=3),MarPaz1+35,""),IF(AND(YEAR(MarPaz1+42)=TakvimYılı,MONTH(MarPaz1+42)=3),MarPaz1+42,""))</f>
        <v/>
      </c>
      <c r="J19" s="22"/>
      <c r="K19" s="25" t="str">
        <f>IF(DAY(NisPaz1)=1,IF(AND(YEAR(NisPaz1+29)=TakvimYılı,MONTH(NisPaz1+29)=4),NisPaz1+29,""),IF(AND(YEAR(NisPaz1+36)=TakvimYılı,MONTH(NisPaz1+36)=4),NisPaz1+36,""))</f>
        <v/>
      </c>
      <c r="L19" s="25" t="str">
        <f>IF(DAY(NisPaz1)=1,IF(AND(YEAR(NisPaz1+30)=TakvimYılı,MONTH(NisPaz1+30)=4),NisPaz1+30,""),IF(AND(YEAR(NisPaz1+37)=TakvimYılı,MONTH(NisPaz1+37)=4),NisPaz1+37,""))</f>
        <v/>
      </c>
      <c r="M19" s="25" t="str">
        <f>IF(DAY(NisPaz1)=1,IF(AND(YEAR(NisPaz1+31)=TakvimYılı,MONTH(NisPaz1+31)=4),NisPaz1+31,""),IF(AND(YEAR(NisPaz1+38)=TakvimYılı,MONTH(NisPaz1+38)=4),NisPaz1+38,""))</f>
        <v/>
      </c>
      <c r="N19" s="25" t="str">
        <f>IF(DAY(NisPaz1)=1,IF(AND(YEAR(NisPaz1+32)=TakvimYılı,MONTH(NisPaz1+32)=4),NisPaz1+32,""),IF(AND(YEAR(NisPaz1+39)=TakvimYılı,MONTH(NisPaz1+39)=4),NisPaz1+39,""))</f>
        <v/>
      </c>
      <c r="O19" s="25" t="str">
        <f>IF(DAY(NisPaz1)=1,IF(AND(YEAR(NisPaz1+33)=TakvimYılı,MONTH(NisPaz1+33)=4),NisPaz1+33,""),IF(AND(YEAR(NisPaz1+40)=TakvimYılı,MONTH(NisPaz1+40)=4),NisPaz1+40,""))</f>
        <v/>
      </c>
      <c r="P19" s="25" t="str">
        <f>IF(DAY(NisPaz1)=1,IF(AND(YEAR(NisPaz1+34)=TakvimYılı,MONTH(NisPaz1+34)=4),NisPaz1+34,""),IF(AND(YEAR(NisPaz1+41)=TakvimYılı,MONTH(NisPaz1+41)=4),NisPaz1+41,""))</f>
        <v/>
      </c>
      <c r="Q19" s="25" t="str">
        <f>IF(DAY(NisPaz1)=1,IF(AND(YEAR(NisPaz1+35)=TakvimYılı,MONTH(NisPaz1+35)=4),NisPaz1+35,""),IF(AND(YEAR(NisPaz1+42)=TakvimYılı,MONTH(NisPaz1+42)=4),NisPaz1+42,""))</f>
        <v/>
      </c>
      <c r="S19" s="24"/>
      <c r="U19" s="3"/>
      <c r="V19" s="30"/>
      <c r="W19" s="30"/>
    </row>
    <row r="20" spans="1:23" ht="15" customHeight="1" x14ac:dyDescent="0.2">
      <c r="J20" s="22"/>
      <c r="S20" s="24"/>
      <c r="U20" s="2"/>
      <c r="V20" s="30"/>
      <c r="W20" s="30"/>
    </row>
    <row r="21" spans="1:23" ht="15" customHeight="1" x14ac:dyDescent="0.2">
      <c r="A21" s="18" t="s">
        <v>13</v>
      </c>
      <c r="C21" s="28" t="s">
        <v>29</v>
      </c>
      <c r="D21" s="28"/>
      <c r="E21" s="28"/>
      <c r="F21" s="28"/>
      <c r="G21" s="28"/>
      <c r="H21" s="28"/>
      <c r="I21" s="28"/>
      <c r="J21" s="22"/>
      <c r="K21" s="28" t="s">
        <v>41</v>
      </c>
      <c r="L21" s="28"/>
      <c r="M21" s="28"/>
      <c r="N21" s="28"/>
      <c r="O21" s="28"/>
      <c r="P21" s="28"/>
      <c r="Q21" s="28"/>
      <c r="S21" s="24"/>
      <c r="U21" s="10"/>
      <c r="V21" s="30"/>
      <c r="W21" s="30"/>
    </row>
    <row r="22" spans="1:23" ht="15" customHeight="1" x14ac:dyDescent="0.2">
      <c r="A22" s="18" t="s">
        <v>14</v>
      </c>
      <c r="C22" s="11" t="s">
        <v>27</v>
      </c>
      <c r="D22" s="11" t="s">
        <v>33</v>
      </c>
      <c r="E22" s="11" t="s">
        <v>34</v>
      </c>
      <c r="F22" s="11" t="s">
        <v>35</v>
      </c>
      <c r="G22" s="11" t="s">
        <v>36</v>
      </c>
      <c r="H22" s="11" t="s">
        <v>37</v>
      </c>
      <c r="I22" s="11" t="s">
        <v>38</v>
      </c>
      <c r="K22" s="11" t="s">
        <v>27</v>
      </c>
      <c r="L22" s="11" t="s">
        <v>33</v>
      </c>
      <c r="M22" s="11" t="s">
        <v>34</v>
      </c>
      <c r="N22" s="11" t="s">
        <v>35</v>
      </c>
      <c r="O22" s="11" t="s">
        <v>36</v>
      </c>
      <c r="P22" s="11" t="s">
        <v>37</v>
      </c>
      <c r="Q22" s="11" t="s">
        <v>38</v>
      </c>
      <c r="S22" s="24"/>
      <c r="U22" s="3"/>
      <c r="V22" s="30"/>
      <c r="W22" s="30"/>
    </row>
    <row r="23" spans="1:23" ht="15" customHeight="1" x14ac:dyDescent="0.25">
      <c r="A23" s="18"/>
      <c r="C23" s="25" t="str">
        <f>IF(DAY(MayPaz1)=1,"",IF(AND(YEAR(MayPaz1+1)=TakvimYılı,MONTH(MayPaz1+1)=5),MayPaz1+1,""))</f>
        <v/>
      </c>
      <c r="D23" s="25" t="str">
        <f>IF(DAY(MayPaz1)=1,"",IF(AND(YEAR(MayPaz1+2)=TakvimYılı,MONTH(MayPaz1+2)=5),MayPaz1+2,""))</f>
        <v/>
      </c>
      <c r="E23" s="25" t="str">
        <f>IF(DAY(MayPaz1)=1,"",IF(AND(YEAR(MayPaz1+3)=TakvimYılı,MONTH(MayPaz1+3)=5),MayPaz1+3,""))</f>
        <v/>
      </c>
      <c r="F23" s="25" t="str">
        <f>IF(DAY(MayPaz1)=1,"",IF(AND(YEAR(MayPaz1+4)=TakvimYılı,MONTH(MayPaz1+4)=5),MayPaz1+4,""))</f>
        <v/>
      </c>
      <c r="G23" s="25">
        <f>IF(DAY(MayPaz1)=1,"",IF(AND(YEAR(MayPaz1+5)=TakvimYılı,MONTH(MayPaz1+5)=5),MayPaz1+5,""))</f>
        <v>43952</v>
      </c>
      <c r="H23" s="25">
        <f>IF(DAY(MayPaz1)=1,"",IF(AND(YEAR(MayPaz1+6)=TakvimYılı,MONTH(MayPaz1+6)=5),MayPaz1+6,""))</f>
        <v>43953</v>
      </c>
      <c r="I23" s="25">
        <f>IF(DAY(MayPaz1)=1,IF(AND(YEAR(MayPaz1)=TakvimYılı,MONTH(MayPaz1)=5),MayPaz1,""),IF(AND(YEAR(MayPaz1+7)=TakvimYılı,MONTH(MayPaz1+7)=5),MayPaz1+7,""))</f>
        <v>43954</v>
      </c>
      <c r="J23" s="21"/>
      <c r="K23" s="25">
        <f>IF(DAY(HazPaz1)=1,"",IF(AND(YEAR(HazPaz1+1)=TakvimYılı,MONTH(HazPaz1+1)=6),HazPaz1+1,""))</f>
        <v>43983</v>
      </c>
      <c r="L23" s="25">
        <f>IF(DAY(HazPaz1)=1,"",IF(AND(YEAR(HazPaz1+2)=TakvimYılı,MONTH(HazPaz1+2)=6),HazPaz1+2,""))</f>
        <v>43984</v>
      </c>
      <c r="M23" s="25">
        <f>IF(DAY(HazPaz1)=1,"",IF(AND(YEAR(HazPaz1+3)=TakvimYılı,MONTH(HazPaz1+3)=6),HazPaz1+3,""))</f>
        <v>43985</v>
      </c>
      <c r="N23" s="25">
        <f>IF(DAY(HazPaz1)=1,"",IF(AND(YEAR(HazPaz1+4)=TakvimYılı,MONTH(HazPaz1+4)=6),HazPaz1+4,""))</f>
        <v>43986</v>
      </c>
      <c r="O23" s="25">
        <f>IF(DAY(HazPaz1)=1,"",IF(AND(YEAR(HazPaz1+5)=TakvimYılı,MONTH(HazPaz1+5)=6),HazPaz1+5,""))</f>
        <v>43987</v>
      </c>
      <c r="P23" s="25">
        <f>IF(DAY(HazPaz1)=1,"",IF(AND(YEAR(HazPaz1+6)=TakvimYılı,MONTH(HazPaz1+6)=6),HazPaz1+6,""))</f>
        <v>43988</v>
      </c>
      <c r="Q23" s="25">
        <f>IF(DAY(HazPaz1)=1,IF(AND(YEAR(HazPaz1)=TakvimYılı,MONTH(HazPaz1)=6),HazPaz1,""),IF(AND(YEAR(HazPaz1+7)=TakvimYılı,MONTH(HazPaz1+7)=6),HazPaz1+7,""))</f>
        <v>43989</v>
      </c>
      <c r="S23" s="24"/>
      <c r="U23" s="2"/>
      <c r="V23" s="30"/>
      <c r="W23" s="30"/>
    </row>
    <row r="24" spans="1:23" ht="15" customHeight="1" x14ac:dyDescent="0.2">
      <c r="C24" s="25">
        <f>IF(DAY(MayPaz1)=1,IF(AND(YEAR(MayPaz1+1)=TakvimYılı,MONTH(MayPaz1+1)=5),MayPaz1+1,""),IF(AND(YEAR(MayPaz1+8)=TakvimYılı,MONTH(MayPaz1+8)=5),MayPaz1+8,""))</f>
        <v>43955</v>
      </c>
      <c r="D24" s="25">
        <f>IF(DAY(MayPaz1)=1,IF(AND(YEAR(MayPaz1+2)=TakvimYılı,MONTH(MayPaz1+2)=5),MayPaz1+2,""),IF(AND(YEAR(MayPaz1+9)=TakvimYılı,MONTH(MayPaz1+9)=5),MayPaz1+9,""))</f>
        <v>43956</v>
      </c>
      <c r="E24" s="25">
        <f>IF(DAY(MayPaz1)=1,IF(AND(YEAR(MayPaz1+3)=TakvimYılı,MONTH(MayPaz1+3)=5),MayPaz1+3,""),IF(AND(YEAR(MayPaz1+10)=TakvimYılı,MONTH(MayPaz1+10)=5),MayPaz1+10,""))</f>
        <v>43957</v>
      </c>
      <c r="F24" s="25">
        <f>IF(DAY(MayPaz1)=1,IF(AND(YEAR(MayPaz1+4)=TakvimYılı,MONTH(MayPaz1+4)=5),MayPaz1+4,""),IF(AND(YEAR(MayPaz1+11)=TakvimYılı,MONTH(MayPaz1+11)=5),MayPaz1+11,""))</f>
        <v>43958</v>
      </c>
      <c r="G24" s="25">
        <f>IF(DAY(MayPaz1)=1,IF(AND(YEAR(MayPaz1+5)=TakvimYılı,MONTH(MayPaz1+5)=5),MayPaz1+5,""),IF(AND(YEAR(MayPaz1+12)=TakvimYılı,MONTH(MayPaz1+12)=5),MayPaz1+12,""))</f>
        <v>43959</v>
      </c>
      <c r="H24" s="25">
        <f>IF(DAY(MayPaz1)=1,IF(AND(YEAR(MayPaz1+6)=TakvimYılı,MONTH(MayPaz1+6)=5),MayPaz1+6,""),IF(AND(YEAR(MayPaz1+13)=TakvimYılı,MONTH(MayPaz1+13)=5),MayPaz1+13,""))</f>
        <v>43960</v>
      </c>
      <c r="I24" s="25">
        <f>IF(DAY(MayPaz1)=1,IF(AND(YEAR(MayPaz1+7)=TakvimYılı,MONTH(MayPaz1+7)=5),MayPaz1+7,""),IF(AND(YEAR(MayPaz1+14)=TakvimYılı,MONTH(MayPaz1+14)=5),MayPaz1+14,""))</f>
        <v>43961</v>
      </c>
      <c r="J24" s="22"/>
      <c r="K24" s="25">
        <f>IF(DAY(HazPaz1)=1,IF(AND(YEAR(HazPaz1+1)=TakvimYılı,MONTH(HazPaz1+1)=6),HazPaz1+1,""),IF(AND(YEAR(HazPaz1+8)=TakvimYılı,MONTH(HazPaz1+8)=6),HazPaz1+8,""))</f>
        <v>43990</v>
      </c>
      <c r="L24" s="25">
        <f>IF(DAY(HazPaz1)=1,IF(AND(YEAR(HazPaz1+2)=TakvimYılı,MONTH(HazPaz1+2)=6),HazPaz1+2,""),IF(AND(YEAR(HazPaz1+9)=TakvimYılı,MONTH(HazPaz1+9)=6),HazPaz1+9,""))</f>
        <v>43991</v>
      </c>
      <c r="M24" s="25">
        <f>IF(DAY(HazPaz1)=1,IF(AND(YEAR(HazPaz1+3)=TakvimYılı,MONTH(HazPaz1+3)=6),HazPaz1+3,""),IF(AND(YEAR(HazPaz1+10)=TakvimYılı,MONTH(HazPaz1+10)=6),HazPaz1+10,""))</f>
        <v>43992</v>
      </c>
      <c r="N24" s="25">
        <f>IF(DAY(HazPaz1)=1,IF(AND(YEAR(HazPaz1+4)=TakvimYılı,MONTH(HazPaz1+4)=6),HazPaz1+4,""),IF(AND(YEAR(HazPaz1+11)=TakvimYılı,MONTH(HazPaz1+11)=6),HazPaz1+11,""))</f>
        <v>43993</v>
      </c>
      <c r="O24" s="25">
        <f>IF(DAY(HazPaz1)=1,IF(AND(YEAR(HazPaz1+5)=TakvimYılı,MONTH(HazPaz1+5)=6),HazPaz1+5,""),IF(AND(YEAR(HazPaz1+12)=TakvimYılı,MONTH(HazPaz1+12)=6),HazPaz1+12,""))</f>
        <v>43994</v>
      </c>
      <c r="P24" s="25">
        <f>IF(DAY(HazPaz1)=1,IF(AND(YEAR(HazPaz1+6)=TakvimYılı,MONTH(HazPaz1+6)=6),HazPaz1+6,""),IF(AND(YEAR(HazPaz1+13)=TakvimYılı,MONTH(HazPaz1+13)=6),HazPaz1+13,""))</f>
        <v>43995</v>
      </c>
      <c r="Q24" s="25">
        <f>IF(DAY(HazPaz1)=1,IF(AND(YEAR(HazPaz1+7)=TakvimYılı,MONTH(HazPaz1+7)=6),HazPaz1+7,""),IF(AND(YEAR(HazPaz1+14)=TakvimYılı,MONTH(HazPaz1+14)=6),HazPaz1+14,""))</f>
        <v>43996</v>
      </c>
      <c r="S24" s="24"/>
      <c r="U24" s="10"/>
      <c r="V24" s="30"/>
      <c r="W24" s="30"/>
    </row>
    <row r="25" spans="1:23" ht="15" customHeight="1" x14ac:dyDescent="0.2">
      <c r="C25" s="25">
        <f>IF(DAY(MayPaz1)=1,IF(AND(YEAR(MayPaz1+8)=TakvimYılı,MONTH(MayPaz1+8)=5),MayPaz1+8,""),IF(AND(YEAR(MayPaz1+15)=TakvimYılı,MONTH(MayPaz1+15)=5),MayPaz1+15,""))</f>
        <v>43962</v>
      </c>
      <c r="D25" s="25">
        <f>IF(DAY(MayPaz1)=1,IF(AND(YEAR(MayPaz1+9)=TakvimYılı,MONTH(MayPaz1+9)=5),MayPaz1+9,""),IF(AND(YEAR(MayPaz1+16)=TakvimYılı,MONTH(MayPaz1+16)=5),MayPaz1+16,""))</f>
        <v>43963</v>
      </c>
      <c r="E25" s="25">
        <f>IF(DAY(MayPaz1)=1,IF(AND(YEAR(MayPaz1+10)=TakvimYılı,MONTH(MayPaz1+10)=5),MayPaz1+10,""),IF(AND(YEAR(MayPaz1+17)=TakvimYılı,MONTH(MayPaz1+17)=5),MayPaz1+17,""))</f>
        <v>43964</v>
      </c>
      <c r="F25" s="25">
        <f>IF(DAY(MayPaz1)=1,IF(AND(YEAR(MayPaz1+11)=TakvimYılı,MONTH(MayPaz1+11)=5),MayPaz1+11,""),IF(AND(YEAR(MayPaz1+18)=TakvimYılı,MONTH(MayPaz1+18)=5),MayPaz1+18,""))</f>
        <v>43965</v>
      </c>
      <c r="G25" s="25">
        <f>IF(DAY(MayPaz1)=1,IF(AND(YEAR(MayPaz1+12)=TakvimYılı,MONTH(MayPaz1+12)=5),MayPaz1+12,""),IF(AND(YEAR(MayPaz1+19)=TakvimYılı,MONTH(MayPaz1+19)=5),MayPaz1+19,""))</f>
        <v>43966</v>
      </c>
      <c r="H25" s="25">
        <f>IF(DAY(MayPaz1)=1,IF(AND(YEAR(MayPaz1+13)=TakvimYılı,MONTH(MayPaz1+13)=5),MayPaz1+13,""),IF(AND(YEAR(MayPaz1+20)=TakvimYılı,MONTH(MayPaz1+20)=5),MayPaz1+20,""))</f>
        <v>43967</v>
      </c>
      <c r="I25" s="25">
        <f>IF(DAY(MayPaz1)=1,IF(AND(YEAR(MayPaz1+14)=TakvimYılı,MONTH(MayPaz1+14)=5),MayPaz1+14,""),IF(AND(YEAR(MayPaz1+21)=TakvimYılı,MONTH(MayPaz1+21)=5),MayPaz1+21,""))</f>
        <v>43968</v>
      </c>
      <c r="J25" s="22"/>
      <c r="K25" s="25">
        <f>IF(DAY(HazPaz1)=1,IF(AND(YEAR(HazPaz1+8)=TakvimYılı,MONTH(HazPaz1+8)=6),HazPaz1+8,""),IF(AND(YEAR(HazPaz1+15)=TakvimYılı,MONTH(HazPaz1+15)=6),HazPaz1+15,""))</f>
        <v>43997</v>
      </c>
      <c r="L25" s="25">
        <f>IF(DAY(HazPaz1)=1,IF(AND(YEAR(HazPaz1+9)=TakvimYılı,MONTH(HazPaz1+9)=6),HazPaz1+9,""),IF(AND(YEAR(HazPaz1+16)=TakvimYılı,MONTH(HazPaz1+16)=6),HazPaz1+16,""))</f>
        <v>43998</v>
      </c>
      <c r="M25" s="25">
        <f>IF(DAY(HazPaz1)=1,IF(AND(YEAR(HazPaz1+10)=TakvimYılı,MONTH(HazPaz1+10)=6),HazPaz1+10,""),IF(AND(YEAR(HazPaz1+17)=TakvimYılı,MONTH(HazPaz1+17)=6),HazPaz1+17,""))</f>
        <v>43999</v>
      </c>
      <c r="N25" s="25">
        <f>IF(DAY(HazPaz1)=1,IF(AND(YEAR(HazPaz1+11)=TakvimYılı,MONTH(HazPaz1+11)=6),HazPaz1+11,""),IF(AND(YEAR(HazPaz1+18)=TakvimYılı,MONTH(HazPaz1+18)=6),HazPaz1+18,""))</f>
        <v>44000</v>
      </c>
      <c r="O25" s="25">
        <f>IF(DAY(HazPaz1)=1,IF(AND(YEAR(HazPaz1+12)=TakvimYılı,MONTH(HazPaz1+12)=6),HazPaz1+12,""),IF(AND(YEAR(HazPaz1+19)=TakvimYılı,MONTH(HazPaz1+19)=6),HazPaz1+19,""))</f>
        <v>44001</v>
      </c>
      <c r="P25" s="25">
        <f>IF(DAY(HazPaz1)=1,IF(AND(YEAR(HazPaz1+13)=TakvimYılı,MONTH(HazPaz1+13)=6),HazPaz1+13,""),IF(AND(YEAR(HazPaz1+20)=TakvimYılı,MONTH(HazPaz1+20)=6),HazPaz1+20,""))</f>
        <v>44002</v>
      </c>
      <c r="Q25" s="25">
        <f>IF(DAY(HazPaz1)=1,IF(AND(YEAR(HazPaz1+14)=TakvimYılı,MONTH(HazPaz1+14)=6),HazPaz1+14,""),IF(AND(YEAR(HazPaz1+21)=TakvimYılı,MONTH(HazPaz1+21)=6),HazPaz1+21,""))</f>
        <v>44003</v>
      </c>
      <c r="S25" s="24"/>
      <c r="U25" s="3"/>
      <c r="V25" s="30"/>
      <c r="W25" s="30"/>
    </row>
    <row r="26" spans="1:23" ht="15" customHeight="1" x14ac:dyDescent="0.2">
      <c r="C26" s="25">
        <f>IF(DAY(MayPaz1)=1,IF(AND(YEAR(MayPaz1+15)=TakvimYılı,MONTH(MayPaz1+15)=5),MayPaz1+15,""),IF(AND(YEAR(MayPaz1+22)=TakvimYılı,MONTH(MayPaz1+22)=5),MayPaz1+22,""))</f>
        <v>43969</v>
      </c>
      <c r="D26" s="25">
        <f>IF(DAY(MayPaz1)=1,IF(AND(YEAR(MayPaz1+16)=TakvimYılı,MONTH(MayPaz1+16)=5),MayPaz1+16,""),IF(AND(YEAR(MayPaz1+23)=TakvimYılı,MONTH(MayPaz1+23)=5),MayPaz1+23,""))</f>
        <v>43970</v>
      </c>
      <c r="E26" s="25">
        <f>IF(DAY(MayPaz1)=1,IF(AND(YEAR(MayPaz1+17)=TakvimYılı,MONTH(MayPaz1+17)=5),MayPaz1+17,""),IF(AND(YEAR(MayPaz1+24)=TakvimYılı,MONTH(MayPaz1+24)=5),MayPaz1+24,""))</f>
        <v>43971</v>
      </c>
      <c r="F26" s="25">
        <f>IF(DAY(MayPaz1)=1,IF(AND(YEAR(MayPaz1+18)=TakvimYılı,MONTH(MayPaz1+18)=5),MayPaz1+18,""),IF(AND(YEAR(MayPaz1+25)=TakvimYılı,MONTH(MayPaz1+25)=5),MayPaz1+25,""))</f>
        <v>43972</v>
      </c>
      <c r="G26" s="25">
        <f>IF(DAY(MayPaz1)=1,IF(AND(YEAR(MayPaz1+19)=TakvimYılı,MONTH(MayPaz1+19)=5),MayPaz1+19,""),IF(AND(YEAR(MayPaz1+26)=TakvimYılı,MONTH(MayPaz1+26)=5),MayPaz1+26,""))</f>
        <v>43973</v>
      </c>
      <c r="H26" s="25">
        <f>IF(DAY(MayPaz1)=1,IF(AND(YEAR(MayPaz1+20)=TakvimYılı,MONTH(MayPaz1+20)=5),MayPaz1+20,""),IF(AND(YEAR(MayPaz1+27)=TakvimYılı,MONTH(MayPaz1+27)=5),MayPaz1+27,""))</f>
        <v>43974</v>
      </c>
      <c r="I26" s="25">
        <f>IF(DAY(MayPaz1)=1,IF(AND(YEAR(MayPaz1+21)=TakvimYılı,MONTH(MayPaz1+21)=5),MayPaz1+21,""),IF(AND(YEAR(MayPaz1+28)=TakvimYılı,MONTH(MayPaz1+28)=5),MayPaz1+28,""))</f>
        <v>43975</v>
      </c>
      <c r="J26" s="22"/>
      <c r="K26" s="25">
        <f>IF(DAY(HazPaz1)=1,IF(AND(YEAR(HazPaz1+15)=TakvimYılı,MONTH(HazPaz1+15)=6),HazPaz1+15,""),IF(AND(YEAR(HazPaz1+22)=TakvimYılı,MONTH(HazPaz1+22)=6),HazPaz1+22,""))</f>
        <v>44004</v>
      </c>
      <c r="L26" s="25">
        <f>IF(DAY(HazPaz1)=1,IF(AND(YEAR(HazPaz1+16)=TakvimYılı,MONTH(HazPaz1+16)=6),HazPaz1+16,""),IF(AND(YEAR(HazPaz1+23)=TakvimYılı,MONTH(HazPaz1+23)=6),HazPaz1+23,""))</f>
        <v>44005</v>
      </c>
      <c r="M26" s="25">
        <f>IF(DAY(HazPaz1)=1,IF(AND(YEAR(HazPaz1+17)=TakvimYılı,MONTH(HazPaz1+17)=6),HazPaz1+17,""),IF(AND(YEAR(HazPaz1+24)=TakvimYılı,MONTH(HazPaz1+24)=6),HazPaz1+24,""))</f>
        <v>44006</v>
      </c>
      <c r="N26" s="25">
        <f>IF(DAY(HazPaz1)=1,IF(AND(YEAR(HazPaz1+18)=TakvimYılı,MONTH(HazPaz1+18)=6),HazPaz1+18,""),IF(AND(YEAR(HazPaz1+25)=TakvimYılı,MONTH(HazPaz1+25)=6),HazPaz1+25,""))</f>
        <v>44007</v>
      </c>
      <c r="O26" s="25">
        <f>IF(DAY(HazPaz1)=1,IF(AND(YEAR(HazPaz1+19)=TakvimYılı,MONTH(HazPaz1+19)=6),HazPaz1+19,""),IF(AND(YEAR(HazPaz1+26)=TakvimYılı,MONTH(HazPaz1+26)=6),HazPaz1+26,""))</f>
        <v>44008</v>
      </c>
      <c r="P26" s="25">
        <f>IF(DAY(HazPaz1)=1,IF(AND(YEAR(HazPaz1+20)=TakvimYılı,MONTH(HazPaz1+20)=6),HazPaz1+20,""),IF(AND(YEAR(HazPaz1+27)=TakvimYılı,MONTH(HazPaz1+27)=6),HazPaz1+27,""))</f>
        <v>44009</v>
      </c>
      <c r="Q26" s="25">
        <f>IF(DAY(HazPaz1)=1,IF(AND(YEAR(HazPaz1+21)=TakvimYılı,MONTH(HazPaz1+21)=6),HazPaz1+21,""),IF(AND(YEAR(HazPaz1+28)=TakvimYılı,MONTH(HazPaz1+28)=6),HazPaz1+28,""))</f>
        <v>44010</v>
      </c>
      <c r="S26" s="24"/>
      <c r="U26" s="2"/>
      <c r="V26" s="30"/>
      <c r="W26" s="30"/>
    </row>
    <row r="27" spans="1:23" ht="15" customHeight="1" x14ac:dyDescent="0.2">
      <c r="C27" s="25">
        <f>IF(DAY(MayPaz1)=1,IF(AND(YEAR(MayPaz1+22)=TakvimYılı,MONTH(MayPaz1+22)=5),MayPaz1+22,""),IF(AND(YEAR(MayPaz1+29)=TakvimYılı,MONTH(MayPaz1+29)=5),MayPaz1+29,""))</f>
        <v>43976</v>
      </c>
      <c r="D27" s="25">
        <f>IF(DAY(MayPaz1)=1,IF(AND(YEAR(MayPaz1+23)=TakvimYılı,MONTH(MayPaz1+23)=5),MayPaz1+23,""),IF(AND(YEAR(MayPaz1+30)=TakvimYılı,MONTH(MayPaz1+30)=5),MayPaz1+30,""))</f>
        <v>43977</v>
      </c>
      <c r="E27" s="25">
        <f>IF(DAY(MayPaz1)=1,IF(AND(YEAR(MayPaz1+24)=TakvimYılı,MONTH(MayPaz1+24)=5),MayPaz1+24,""),IF(AND(YEAR(MayPaz1+31)=TakvimYılı,MONTH(MayPaz1+31)=5),MayPaz1+31,""))</f>
        <v>43978</v>
      </c>
      <c r="F27" s="25">
        <f>IF(DAY(MayPaz1)=1,IF(AND(YEAR(MayPaz1+25)=TakvimYılı,MONTH(MayPaz1+25)=5),MayPaz1+25,""),IF(AND(YEAR(MayPaz1+32)=TakvimYılı,MONTH(MayPaz1+32)=5),MayPaz1+32,""))</f>
        <v>43979</v>
      </c>
      <c r="G27" s="25">
        <f>IF(DAY(MayPaz1)=1,IF(AND(YEAR(MayPaz1+26)=TakvimYılı,MONTH(MayPaz1+26)=5),MayPaz1+26,""),IF(AND(YEAR(MayPaz1+33)=TakvimYılı,MONTH(MayPaz1+33)=5),MayPaz1+33,""))</f>
        <v>43980</v>
      </c>
      <c r="H27" s="25">
        <f>IF(DAY(MayPaz1)=1,IF(AND(YEAR(MayPaz1+27)=TakvimYılı,MONTH(MayPaz1+27)=5),MayPaz1+27,""),IF(AND(YEAR(MayPaz1+34)=TakvimYılı,MONTH(MayPaz1+34)=5),MayPaz1+34,""))</f>
        <v>43981</v>
      </c>
      <c r="I27" s="25">
        <f>IF(DAY(MayPaz1)=1,IF(AND(YEAR(MayPaz1+28)=TakvimYılı,MONTH(MayPaz1+28)=5),MayPaz1+28,""),IF(AND(YEAR(MayPaz1+35)=TakvimYılı,MONTH(MayPaz1+35)=5),MayPaz1+35,""))</f>
        <v>43982</v>
      </c>
      <c r="J27" s="22"/>
      <c r="K27" s="25">
        <f>IF(DAY(HazPaz1)=1,IF(AND(YEAR(HazPaz1+22)=TakvimYılı,MONTH(HazPaz1+22)=6),HazPaz1+22,""),IF(AND(YEAR(HazPaz1+29)=TakvimYılı,MONTH(HazPaz1+29)=6),HazPaz1+29,""))</f>
        <v>44011</v>
      </c>
      <c r="L27" s="25">
        <f>IF(DAY(HazPaz1)=1,IF(AND(YEAR(HazPaz1+23)=TakvimYılı,MONTH(HazPaz1+23)=6),HazPaz1+23,""),IF(AND(YEAR(HazPaz1+30)=TakvimYılı,MONTH(HazPaz1+30)=6),HazPaz1+30,""))</f>
        <v>44012</v>
      </c>
      <c r="M27" s="25" t="str">
        <f>IF(DAY(HazPaz1)=1,IF(AND(YEAR(HazPaz1+24)=TakvimYılı,MONTH(HazPaz1+24)=6),HazPaz1+24,""),IF(AND(YEAR(HazPaz1+31)=TakvimYılı,MONTH(HazPaz1+31)=6),HazPaz1+31,""))</f>
        <v/>
      </c>
      <c r="N27" s="25" t="str">
        <f>IF(DAY(HazPaz1)=1,IF(AND(YEAR(HazPaz1+25)=TakvimYılı,MONTH(HazPaz1+25)=6),HazPaz1+25,""),IF(AND(YEAR(HazPaz1+32)=TakvimYılı,MONTH(HazPaz1+32)=6),HazPaz1+32,""))</f>
        <v/>
      </c>
      <c r="O27" s="25" t="str">
        <f>IF(DAY(HazPaz1)=1,IF(AND(YEAR(HazPaz1+26)=TakvimYılı,MONTH(HazPaz1+26)=6),HazPaz1+26,""),IF(AND(YEAR(HazPaz1+33)=TakvimYılı,MONTH(HazPaz1+33)=6),HazPaz1+33,""))</f>
        <v/>
      </c>
      <c r="P27" s="25" t="str">
        <f>IF(DAY(HazPaz1)=1,IF(AND(YEAR(HazPaz1+27)=TakvimYılı,MONTH(HazPaz1+27)=6),HazPaz1+27,""),IF(AND(YEAR(HazPaz1+34)=TakvimYılı,MONTH(HazPaz1+34)=6),HazPaz1+34,""))</f>
        <v/>
      </c>
      <c r="Q27" s="25" t="str">
        <f>IF(DAY(HazPaz1)=1,IF(AND(YEAR(HazPaz1+28)=TakvimYılı,MONTH(HazPaz1+28)=6),HazPaz1+28,""),IF(AND(YEAR(HazPaz1+35)=TakvimYılı,MONTH(HazPaz1+35)=6),HazPaz1+35,""))</f>
        <v/>
      </c>
      <c r="S27" s="24"/>
      <c r="U27" s="10"/>
      <c r="V27" s="30"/>
      <c r="W27" s="30"/>
    </row>
    <row r="28" spans="1:23" ht="15" customHeight="1" x14ac:dyDescent="0.2">
      <c r="C28" s="25" t="str">
        <f>IF(DAY(MayPaz1)=1,IF(AND(YEAR(MayPaz1+29)=TakvimYılı,MONTH(MayPaz1+29)=5),MayPaz1+29,""),IF(AND(YEAR(MayPaz1+36)=TakvimYılı,MONTH(MayPaz1+36)=5),MayPaz1+36,""))</f>
        <v/>
      </c>
      <c r="D28" s="25" t="str">
        <f>IF(DAY(MayPaz1)=1,IF(AND(YEAR(MayPaz1+30)=TakvimYılı,MONTH(MayPaz1+30)=5),MayPaz1+30,""),IF(AND(YEAR(MayPaz1+37)=TakvimYılı,MONTH(MayPaz1+37)=5),MayPaz1+37,""))</f>
        <v/>
      </c>
      <c r="E28" s="25" t="str">
        <f>IF(DAY(MayPaz1)=1,IF(AND(YEAR(MayPaz1+31)=TakvimYılı,MONTH(MayPaz1+31)=5),MayPaz1+31,""),IF(AND(YEAR(MayPaz1+38)=TakvimYılı,MONTH(MayPaz1+38)=5),MayPaz1+38,""))</f>
        <v/>
      </c>
      <c r="F28" s="25" t="str">
        <f>IF(DAY(MayPaz1)=1,IF(AND(YEAR(MayPaz1+32)=TakvimYılı,MONTH(MayPaz1+32)=5),MayPaz1+32,""),IF(AND(YEAR(MayPaz1+39)=TakvimYılı,MONTH(MayPaz1+39)=5),MayPaz1+39,""))</f>
        <v/>
      </c>
      <c r="G28" s="25" t="str">
        <f>IF(DAY(MayPaz1)=1,IF(AND(YEAR(MayPaz1+33)=TakvimYılı,MONTH(MayPaz1+33)=5),MayPaz1+33,""),IF(AND(YEAR(MayPaz1+40)=TakvimYılı,MONTH(MayPaz1+40)=5),MayPaz1+40,""))</f>
        <v/>
      </c>
      <c r="H28" s="25" t="str">
        <f>IF(DAY(MayPaz1)=1,IF(AND(YEAR(MayPaz1+34)=TakvimYılı,MONTH(MayPaz1+34)=5),MayPaz1+34,""),IF(AND(YEAR(MayPaz1+41)=TakvimYılı,MONTH(MayPaz1+41)=5),MayPaz1+41,""))</f>
        <v/>
      </c>
      <c r="I28" s="25" t="str">
        <f>IF(DAY(MayPaz1)=1,IF(AND(YEAR(MayPaz1+35)=TakvimYılı,MONTH(MayPaz1+35)=5),MayPaz1+35,""),IF(AND(YEAR(MayPaz1+42)=TakvimYılı,MONTH(MayPaz1+42)=5),MayPaz1+42,""))</f>
        <v/>
      </c>
      <c r="J28" s="22"/>
      <c r="K28" s="25" t="str">
        <f>IF(DAY(HazPaz1)=1,IF(AND(YEAR(HazPaz1+29)=TakvimYılı,MONTH(HazPaz1+29)=6),HazPaz1+29,""),IF(AND(YEAR(HazPaz1+36)=TakvimYılı,MONTH(HazPaz1+36)=6),HazPaz1+36,""))</f>
        <v/>
      </c>
      <c r="L28" s="25" t="str">
        <f>IF(DAY(HazPaz1)=1,IF(AND(YEAR(HazPaz1+30)=TakvimYılı,MONTH(HazPaz1+30)=6),HazPaz1+30,""),IF(AND(YEAR(HazPaz1+37)=TakvimYılı,MONTH(HazPaz1+37)=6),HazPaz1+37,""))</f>
        <v/>
      </c>
      <c r="M28" s="25" t="str">
        <f>IF(DAY(HazPaz1)=1,IF(AND(YEAR(HazPaz1+31)=TakvimYılı,MONTH(HazPaz1+31)=6),HazPaz1+31,""),IF(AND(YEAR(HazPaz1+38)=TakvimYılı,MONTH(HazPaz1+38)=6),HazPaz1+38,""))</f>
        <v/>
      </c>
      <c r="N28" s="25" t="str">
        <f>IF(DAY(HazPaz1)=1,IF(AND(YEAR(HazPaz1+32)=TakvimYılı,MONTH(HazPaz1+32)=6),HazPaz1+32,""),IF(AND(YEAR(HazPaz1+39)=TakvimYılı,MONTH(HazPaz1+39)=6),HazPaz1+39,""))</f>
        <v/>
      </c>
      <c r="O28" s="25" t="str">
        <f>IF(DAY(HazPaz1)=1,IF(AND(YEAR(HazPaz1+33)=TakvimYılı,MONTH(HazPaz1+33)=6),HazPaz1+33,""),IF(AND(YEAR(HazPaz1+40)=TakvimYılı,MONTH(HazPaz1+40)=6),HazPaz1+40,""))</f>
        <v/>
      </c>
      <c r="P28" s="25" t="str">
        <f>IF(DAY(HazPaz1)=1,IF(AND(YEAR(HazPaz1+34)=TakvimYılı,MONTH(HazPaz1+34)=6),HazPaz1+34,""),IF(AND(YEAR(HazPaz1+41)=TakvimYılı,MONTH(HazPaz1+41)=6),HazPaz1+41,""))</f>
        <v/>
      </c>
      <c r="Q28" s="25" t="str">
        <f>IF(DAY(HazPaz1)=1,IF(AND(YEAR(HazPaz1+35)=TakvimYılı,MONTH(HazPaz1+35)=6),HazPaz1+35,""),IF(AND(YEAR(HazPaz1+42)=TakvimYılı,MONTH(HazPaz1+42)=6),HazPaz1+42,""))</f>
        <v/>
      </c>
      <c r="S28" s="24"/>
      <c r="U28" s="3"/>
      <c r="V28" s="30"/>
      <c r="W28" s="30"/>
    </row>
    <row r="29" spans="1:23" ht="15" customHeight="1" x14ac:dyDescent="0.2">
      <c r="J29" s="22"/>
      <c r="S29" s="24"/>
      <c r="U29" s="2"/>
      <c r="V29" s="30"/>
      <c r="W29" s="30"/>
    </row>
    <row r="30" spans="1:23" ht="15" customHeight="1" x14ac:dyDescent="0.2">
      <c r="A30" s="18" t="s">
        <v>15</v>
      </c>
      <c r="C30" s="28" t="s">
        <v>30</v>
      </c>
      <c r="D30" s="28"/>
      <c r="E30" s="28"/>
      <c r="F30" s="28"/>
      <c r="G30" s="28"/>
      <c r="H30" s="28"/>
      <c r="I30" s="28"/>
      <c r="J30" s="22"/>
      <c r="K30" s="28" t="s">
        <v>42</v>
      </c>
      <c r="L30" s="28"/>
      <c r="M30" s="28"/>
      <c r="N30" s="28"/>
      <c r="O30" s="28"/>
      <c r="P30" s="28"/>
      <c r="Q30" s="28"/>
      <c r="S30" s="24"/>
      <c r="U30" s="10"/>
      <c r="V30" s="30"/>
      <c r="W30" s="30"/>
    </row>
    <row r="31" spans="1:23" ht="15" customHeight="1" x14ac:dyDescent="0.2">
      <c r="A31" s="18" t="s">
        <v>16</v>
      </c>
      <c r="C31" s="11" t="s">
        <v>27</v>
      </c>
      <c r="D31" s="11" t="s">
        <v>33</v>
      </c>
      <c r="E31" s="11" t="s">
        <v>34</v>
      </c>
      <c r="F31" s="11" t="s">
        <v>35</v>
      </c>
      <c r="G31" s="11" t="s">
        <v>36</v>
      </c>
      <c r="H31" s="11" t="s">
        <v>37</v>
      </c>
      <c r="I31" s="11" t="s">
        <v>38</v>
      </c>
      <c r="J31" s="22"/>
      <c r="K31" s="11" t="s">
        <v>27</v>
      </c>
      <c r="L31" s="11" t="s">
        <v>33</v>
      </c>
      <c r="M31" s="11" t="s">
        <v>34</v>
      </c>
      <c r="N31" s="11" t="s">
        <v>35</v>
      </c>
      <c r="O31" s="11" t="s">
        <v>36</v>
      </c>
      <c r="P31" s="11" t="s">
        <v>37</v>
      </c>
      <c r="Q31" s="11" t="s">
        <v>38</v>
      </c>
      <c r="S31" s="24"/>
      <c r="U31" s="3"/>
      <c r="V31" s="30"/>
      <c r="W31" s="30"/>
    </row>
    <row r="32" spans="1:23" ht="15" customHeight="1" x14ac:dyDescent="0.2">
      <c r="A32" s="18"/>
      <c r="C32" s="25" t="str">
        <f>IF(DAY(TemPaz1)=1,"",IF(AND(YEAR(TemPaz1+1)=TakvimYılı,MONTH(TemPaz1+1)=7),TemPaz1+1,""))</f>
        <v/>
      </c>
      <c r="D32" s="25" t="str">
        <f>IF(DAY(TemPaz1)=1,"",IF(AND(YEAR(TemPaz1+2)=TakvimYılı,MONTH(TemPaz1+2)=7),TemPaz1+2,""))</f>
        <v/>
      </c>
      <c r="E32" s="25">
        <f>IF(DAY(TemPaz1)=1,"",IF(AND(YEAR(TemPaz1+3)=TakvimYılı,MONTH(TemPaz1+3)=7),TemPaz1+3,""))</f>
        <v>44013</v>
      </c>
      <c r="F32" s="25">
        <f>IF(DAY(TemPaz1)=1,"",IF(AND(YEAR(TemPaz1+4)=TakvimYılı,MONTH(TemPaz1+4)=7),TemPaz1+4,""))</f>
        <v>44014</v>
      </c>
      <c r="G32" s="25">
        <f>IF(DAY(TemPaz1)=1,"",IF(AND(YEAR(TemPaz1+5)=TakvimYılı,MONTH(TemPaz1+5)=7),TemPaz1+5,""))</f>
        <v>44015</v>
      </c>
      <c r="H32" s="25">
        <f>IF(DAY(TemPaz1)=1,"",IF(AND(YEAR(TemPaz1+6)=TakvimYılı,MONTH(TemPaz1+6)=7),TemPaz1+6,""))</f>
        <v>44016</v>
      </c>
      <c r="I32" s="25">
        <f>IF(DAY(TemPaz1)=1,IF(AND(YEAR(TemPaz1)=TakvimYılı,MONTH(TemPaz1)=7),TemPaz1,""),IF(AND(YEAR(TemPaz1+7)=TakvimYılı,MONTH(TemPaz1+7)=7),TemPaz1+7,""))</f>
        <v>44017</v>
      </c>
      <c r="K32" s="25" t="str">
        <f>IF(DAY(AğuPaz1)=1,"",IF(AND(YEAR(AğuPaz1+1)=TakvimYılı,MONTH(AğuPaz1+1)=8),AğuPaz1+1,""))</f>
        <v/>
      </c>
      <c r="L32" s="25" t="str">
        <f>IF(DAY(AğuPaz1)=1,"",IF(AND(YEAR(AğuPaz1+2)=TakvimYılı,MONTH(AğuPaz1+2)=8),AğuPaz1+2,""))</f>
        <v/>
      </c>
      <c r="M32" s="25" t="str">
        <f>IF(DAY(AğuPaz1)=1,"",IF(AND(YEAR(AğuPaz1+3)=TakvimYılı,MONTH(AğuPaz1+3)=8),AğuPaz1+3,""))</f>
        <v/>
      </c>
      <c r="N32" s="25" t="str">
        <f>IF(DAY(AğuPaz1)=1,"",IF(AND(YEAR(AğuPaz1+4)=TakvimYılı,MONTH(AğuPaz1+4)=8),AğuPaz1+4,""))</f>
        <v/>
      </c>
      <c r="O32" s="25" t="str">
        <f>IF(DAY(AğuPaz1)=1,"",IF(AND(YEAR(AğuPaz1+5)=TakvimYılı,MONTH(AğuPaz1+5)=8),AğuPaz1+5,""))</f>
        <v/>
      </c>
      <c r="P32" s="25">
        <f>IF(DAY(AğuPaz1)=1,"",IF(AND(YEAR(AğuPaz1+6)=TakvimYılı,MONTH(AğuPaz1+6)=8),AğuPaz1+6,""))</f>
        <v>44044</v>
      </c>
      <c r="Q32" s="25">
        <f>IF(DAY(AğuPaz1)=1,IF(AND(YEAR(AğuPaz1)=TakvimYılı,MONTH(AğuPaz1)=8),AğuPaz1,""),IF(AND(YEAR(AğuPaz1+7)=TakvimYılı,MONTH(AğuPaz1+7)=8),AğuPaz1+7,""))</f>
        <v>44045</v>
      </c>
      <c r="S32" s="24"/>
      <c r="U32" s="2"/>
      <c r="V32" s="30"/>
      <c r="W32" s="30"/>
    </row>
    <row r="33" spans="1:23" ht="15" customHeight="1" x14ac:dyDescent="0.2">
      <c r="A33" s="18"/>
      <c r="C33" s="25">
        <f>IF(DAY(TemPaz1)=1,IF(AND(YEAR(TemPaz1+1)=TakvimYılı,MONTH(TemPaz1+1)=7),TemPaz1+1,""),IF(AND(YEAR(TemPaz1+8)=TakvimYılı,MONTH(TemPaz1+8)=7),TemPaz1+8,""))</f>
        <v>44018</v>
      </c>
      <c r="D33" s="25">
        <f>IF(DAY(TemPaz1)=1,IF(AND(YEAR(TemPaz1+2)=TakvimYılı,MONTH(TemPaz1+2)=7),TemPaz1+2,""),IF(AND(YEAR(TemPaz1+9)=TakvimYılı,MONTH(TemPaz1+9)=7),TemPaz1+9,""))</f>
        <v>44019</v>
      </c>
      <c r="E33" s="25">
        <f>IF(DAY(TemPaz1)=1,IF(AND(YEAR(TemPaz1+3)=TakvimYılı,MONTH(TemPaz1+3)=7),TemPaz1+3,""),IF(AND(YEAR(TemPaz1+10)=TakvimYılı,MONTH(TemPaz1+10)=7),TemPaz1+10,""))</f>
        <v>44020</v>
      </c>
      <c r="F33" s="25">
        <f>IF(DAY(TemPaz1)=1,IF(AND(YEAR(TemPaz1+4)=TakvimYılı,MONTH(TemPaz1+4)=7),TemPaz1+4,""),IF(AND(YEAR(TemPaz1+11)=TakvimYılı,MONTH(TemPaz1+11)=7),TemPaz1+11,""))</f>
        <v>44021</v>
      </c>
      <c r="G33" s="25">
        <f>IF(DAY(TemPaz1)=1,IF(AND(YEAR(TemPaz1+5)=TakvimYılı,MONTH(TemPaz1+5)=7),TemPaz1+5,""),IF(AND(YEAR(TemPaz1+12)=TakvimYılı,MONTH(TemPaz1+12)=7),TemPaz1+12,""))</f>
        <v>44022</v>
      </c>
      <c r="H33" s="25">
        <f>IF(DAY(TemPaz1)=1,IF(AND(YEAR(TemPaz1+6)=TakvimYılı,MONTH(TemPaz1+6)=7),TemPaz1+6,""),IF(AND(YEAR(TemPaz1+13)=TakvimYılı,MONTH(TemPaz1+13)=7),TemPaz1+13,""))</f>
        <v>44023</v>
      </c>
      <c r="I33" s="25">
        <f>IF(DAY(TemPaz1)=1,IF(AND(YEAR(TemPaz1+7)=TakvimYılı,MONTH(TemPaz1+7)=7),TemPaz1+7,""),IF(AND(YEAR(TemPaz1+14)=TakvimYılı,MONTH(TemPaz1+14)=7),TemPaz1+14,""))</f>
        <v>44024</v>
      </c>
      <c r="K33" s="25">
        <f>IF(DAY(AğuPaz1)=1,IF(AND(YEAR(AğuPaz1+1)=TakvimYılı,MONTH(AğuPaz1+1)=8),AğuPaz1+1,""),IF(AND(YEAR(AğuPaz1+8)=TakvimYılı,MONTH(AğuPaz1+8)=8),AğuPaz1+8,""))</f>
        <v>44046</v>
      </c>
      <c r="L33" s="25">
        <f>IF(DAY(AğuPaz1)=1,IF(AND(YEAR(AğuPaz1+2)=TakvimYılı,MONTH(AğuPaz1+2)=8),AğuPaz1+2,""),IF(AND(YEAR(AğuPaz1+9)=TakvimYılı,MONTH(AğuPaz1+9)=8),AğuPaz1+9,""))</f>
        <v>44047</v>
      </c>
      <c r="M33" s="25">
        <f>IF(DAY(AğuPaz1)=1,IF(AND(YEAR(AğuPaz1+3)=TakvimYılı,MONTH(AğuPaz1+3)=8),AğuPaz1+3,""),IF(AND(YEAR(AğuPaz1+10)=TakvimYılı,MONTH(AğuPaz1+10)=8),AğuPaz1+10,""))</f>
        <v>44048</v>
      </c>
      <c r="N33" s="25">
        <f>IF(DAY(AğuPaz1)=1,IF(AND(YEAR(AğuPaz1+4)=TakvimYılı,MONTH(AğuPaz1+4)=8),AğuPaz1+4,""),IF(AND(YEAR(AğuPaz1+11)=TakvimYılı,MONTH(AğuPaz1+11)=8),AğuPaz1+11,""))</f>
        <v>44049</v>
      </c>
      <c r="O33" s="25">
        <f>IF(DAY(AğuPaz1)=1,IF(AND(YEAR(AğuPaz1+5)=TakvimYılı,MONTH(AğuPaz1+5)=8),AğuPaz1+5,""),IF(AND(YEAR(AğuPaz1+12)=TakvimYılı,MONTH(AğuPaz1+12)=8),AğuPaz1+12,""))</f>
        <v>44050</v>
      </c>
      <c r="P33" s="25">
        <f>IF(DAY(AğuPaz1)=1,IF(AND(YEAR(AğuPaz1+6)=TakvimYılı,MONTH(AğuPaz1+6)=8),AğuPaz1+6,""),IF(AND(YEAR(AğuPaz1+13)=TakvimYılı,MONTH(AğuPaz1+13)=8),AğuPaz1+13,""))</f>
        <v>44051</v>
      </c>
      <c r="Q33" s="25">
        <f>IF(DAY(AğuPaz1)=1,IF(AND(YEAR(AğuPaz1+7)=TakvimYılı,MONTH(AğuPaz1+7)=8),AğuPaz1+7,""),IF(AND(YEAR(AğuPaz1+14)=TakvimYılı,MONTH(AğuPaz1+14)=8),AğuPaz1+14,""))</f>
        <v>44052</v>
      </c>
      <c r="S33" s="24"/>
      <c r="U33" s="10"/>
      <c r="V33" s="30"/>
      <c r="W33" s="30"/>
    </row>
    <row r="34" spans="1:23" ht="15" customHeight="1" x14ac:dyDescent="0.2">
      <c r="C34" s="25">
        <f>IF(DAY(TemPaz1)=1,IF(AND(YEAR(TemPaz1+8)=TakvimYılı,MONTH(TemPaz1+8)=7),TemPaz1+8,""),IF(AND(YEAR(TemPaz1+15)=TakvimYılı,MONTH(TemPaz1+15)=7),TemPaz1+15,""))</f>
        <v>44025</v>
      </c>
      <c r="D34" s="25">
        <f>IF(DAY(TemPaz1)=1,IF(AND(YEAR(TemPaz1+9)=TakvimYılı,MONTH(TemPaz1+9)=7),TemPaz1+9,""),IF(AND(YEAR(TemPaz1+16)=TakvimYılı,MONTH(TemPaz1+16)=7),TemPaz1+16,""))</f>
        <v>44026</v>
      </c>
      <c r="E34" s="25">
        <f>IF(DAY(TemPaz1)=1,IF(AND(YEAR(TemPaz1+10)=TakvimYılı,MONTH(TemPaz1+10)=7),TemPaz1+10,""),IF(AND(YEAR(TemPaz1+17)=TakvimYılı,MONTH(TemPaz1+17)=7),TemPaz1+17,""))</f>
        <v>44027</v>
      </c>
      <c r="F34" s="25">
        <f>IF(DAY(TemPaz1)=1,IF(AND(YEAR(TemPaz1+11)=TakvimYılı,MONTH(TemPaz1+11)=7),TemPaz1+11,""),IF(AND(YEAR(TemPaz1+18)=TakvimYılı,MONTH(TemPaz1+18)=7),TemPaz1+18,""))</f>
        <v>44028</v>
      </c>
      <c r="G34" s="25">
        <f>IF(DAY(TemPaz1)=1,IF(AND(YEAR(TemPaz1+12)=TakvimYılı,MONTH(TemPaz1+12)=7),TemPaz1+12,""),IF(AND(YEAR(TemPaz1+19)=TakvimYılı,MONTH(TemPaz1+19)=7),TemPaz1+19,""))</f>
        <v>44029</v>
      </c>
      <c r="H34" s="25">
        <f>IF(DAY(TemPaz1)=1,IF(AND(YEAR(TemPaz1+13)=TakvimYılı,MONTH(TemPaz1+13)=7),TemPaz1+13,""),IF(AND(YEAR(TemPaz1+20)=TakvimYılı,MONTH(TemPaz1+20)=7),TemPaz1+20,""))</f>
        <v>44030</v>
      </c>
      <c r="I34" s="25">
        <f>IF(DAY(TemPaz1)=1,IF(AND(YEAR(TemPaz1+14)=TakvimYılı,MONTH(TemPaz1+14)=7),TemPaz1+14,""),IF(AND(YEAR(TemPaz1+21)=TakvimYılı,MONTH(TemPaz1+21)=7),TemPaz1+21,""))</f>
        <v>44031</v>
      </c>
      <c r="K34" s="25">
        <f>IF(DAY(AğuPaz1)=1,IF(AND(YEAR(AğuPaz1+8)=TakvimYılı,MONTH(AğuPaz1+8)=8),AğuPaz1+8,""),IF(AND(YEAR(AğuPaz1+15)=TakvimYılı,MONTH(AğuPaz1+15)=8),AğuPaz1+15,""))</f>
        <v>44053</v>
      </c>
      <c r="L34" s="25">
        <f>IF(DAY(AğuPaz1)=1,IF(AND(YEAR(AğuPaz1+9)=TakvimYılı,MONTH(AğuPaz1+9)=8),AğuPaz1+9,""),IF(AND(YEAR(AğuPaz1+16)=TakvimYılı,MONTH(AğuPaz1+16)=8),AğuPaz1+16,""))</f>
        <v>44054</v>
      </c>
      <c r="M34" s="25">
        <f>IF(DAY(AğuPaz1)=1,IF(AND(YEAR(AğuPaz1+10)=TakvimYılı,MONTH(AğuPaz1+10)=8),AğuPaz1+10,""),IF(AND(YEAR(AğuPaz1+17)=TakvimYılı,MONTH(AğuPaz1+17)=8),AğuPaz1+17,""))</f>
        <v>44055</v>
      </c>
      <c r="N34" s="25">
        <f>IF(DAY(AğuPaz1)=1,IF(AND(YEAR(AğuPaz1+11)=TakvimYılı,MONTH(AğuPaz1+11)=8),AğuPaz1+11,""),IF(AND(YEAR(AğuPaz1+18)=TakvimYılı,MONTH(AğuPaz1+18)=8),AğuPaz1+18,""))</f>
        <v>44056</v>
      </c>
      <c r="O34" s="25">
        <f>IF(DAY(AğuPaz1)=1,IF(AND(YEAR(AğuPaz1+12)=TakvimYılı,MONTH(AğuPaz1+12)=8),AğuPaz1+12,""),IF(AND(YEAR(AğuPaz1+19)=TakvimYılı,MONTH(AğuPaz1+19)=8),AğuPaz1+19,""))</f>
        <v>44057</v>
      </c>
      <c r="P34" s="25">
        <f>IF(DAY(AğuPaz1)=1,IF(AND(YEAR(AğuPaz1+13)=TakvimYılı,MONTH(AğuPaz1+13)=8),AğuPaz1+13,""),IF(AND(YEAR(AğuPaz1+20)=TakvimYılı,MONTH(AğuPaz1+20)=8),AğuPaz1+20,""))</f>
        <v>44058</v>
      </c>
      <c r="Q34" s="25">
        <f>IF(DAY(AğuPaz1)=1,IF(AND(YEAR(AğuPaz1+14)=TakvimYılı,MONTH(AğuPaz1+14)=8),AğuPaz1+14,""),IF(AND(YEAR(AğuPaz1+21)=TakvimYılı,MONTH(AğuPaz1+21)=8),AğuPaz1+21,""))</f>
        <v>44059</v>
      </c>
      <c r="S34" s="24"/>
      <c r="U34" s="3"/>
      <c r="V34" s="30"/>
      <c r="W34" s="30"/>
    </row>
    <row r="35" spans="1:23" ht="15" customHeight="1" x14ac:dyDescent="0.2">
      <c r="C35" s="25">
        <f>IF(DAY(TemPaz1)=1,IF(AND(YEAR(TemPaz1+15)=TakvimYılı,MONTH(TemPaz1+15)=7),TemPaz1+15,""),IF(AND(YEAR(TemPaz1+22)=TakvimYılı,MONTH(TemPaz1+22)=7),TemPaz1+22,""))</f>
        <v>44032</v>
      </c>
      <c r="D35" s="25">
        <f>IF(DAY(TemPaz1)=1,IF(AND(YEAR(TemPaz1+16)=TakvimYılı,MONTH(TemPaz1+16)=7),TemPaz1+16,""),IF(AND(YEAR(TemPaz1+23)=TakvimYılı,MONTH(TemPaz1+23)=7),TemPaz1+23,""))</f>
        <v>44033</v>
      </c>
      <c r="E35" s="25">
        <f>IF(DAY(TemPaz1)=1,IF(AND(YEAR(TemPaz1+17)=TakvimYılı,MONTH(TemPaz1+17)=7),TemPaz1+17,""),IF(AND(YEAR(TemPaz1+24)=TakvimYılı,MONTH(TemPaz1+24)=7),TemPaz1+24,""))</f>
        <v>44034</v>
      </c>
      <c r="F35" s="25">
        <f>IF(DAY(TemPaz1)=1,IF(AND(YEAR(TemPaz1+18)=TakvimYılı,MONTH(TemPaz1+18)=7),TemPaz1+18,""),IF(AND(YEAR(TemPaz1+25)=TakvimYılı,MONTH(TemPaz1+25)=7),TemPaz1+25,""))</f>
        <v>44035</v>
      </c>
      <c r="G35" s="25">
        <f>IF(DAY(TemPaz1)=1,IF(AND(YEAR(TemPaz1+19)=TakvimYılı,MONTH(TemPaz1+19)=7),TemPaz1+19,""),IF(AND(YEAR(TemPaz1+26)=TakvimYılı,MONTH(TemPaz1+26)=7),TemPaz1+26,""))</f>
        <v>44036</v>
      </c>
      <c r="H35" s="25">
        <f>IF(DAY(TemPaz1)=1,IF(AND(YEAR(TemPaz1+20)=TakvimYılı,MONTH(TemPaz1+20)=7),TemPaz1+20,""),IF(AND(YEAR(TemPaz1+27)=TakvimYılı,MONTH(TemPaz1+27)=7),TemPaz1+27,""))</f>
        <v>44037</v>
      </c>
      <c r="I35" s="25">
        <f>IF(DAY(TemPaz1)=1,IF(AND(YEAR(TemPaz1+21)=TakvimYılı,MONTH(TemPaz1+21)=7),TemPaz1+21,""),IF(AND(YEAR(TemPaz1+28)=TakvimYılı,MONTH(TemPaz1+28)=7),TemPaz1+28,""))</f>
        <v>44038</v>
      </c>
      <c r="K35" s="25">
        <f>IF(DAY(AğuPaz1)=1,IF(AND(YEAR(AğuPaz1+15)=TakvimYılı,MONTH(AğuPaz1+15)=8),AğuPaz1+15,""),IF(AND(YEAR(AğuPaz1+22)=TakvimYılı,MONTH(AğuPaz1+22)=8),AğuPaz1+22,""))</f>
        <v>44060</v>
      </c>
      <c r="L35" s="25">
        <f>IF(DAY(AğuPaz1)=1,IF(AND(YEAR(AğuPaz1+16)=TakvimYılı,MONTH(AğuPaz1+16)=8),AğuPaz1+16,""),IF(AND(YEAR(AğuPaz1+23)=TakvimYılı,MONTH(AğuPaz1+23)=8),AğuPaz1+23,""))</f>
        <v>44061</v>
      </c>
      <c r="M35" s="25">
        <f>IF(DAY(AğuPaz1)=1,IF(AND(YEAR(AğuPaz1+17)=TakvimYılı,MONTH(AğuPaz1+17)=8),AğuPaz1+17,""),IF(AND(YEAR(AğuPaz1+24)=TakvimYılı,MONTH(AğuPaz1+24)=8),AğuPaz1+24,""))</f>
        <v>44062</v>
      </c>
      <c r="N35" s="25">
        <f>IF(DAY(AğuPaz1)=1,IF(AND(YEAR(AğuPaz1+18)=TakvimYılı,MONTH(AğuPaz1+18)=8),AğuPaz1+18,""),IF(AND(YEAR(AğuPaz1+25)=TakvimYılı,MONTH(AğuPaz1+25)=8),AğuPaz1+25,""))</f>
        <v>44063</v>
      </c>
      <c r="O35" s="25">
        <f>IF(DAY(AğuPaz1)=1,IF(AND(YEAR(AğuPaz1+19)=TakvimYılı,MONTH(AğuPaz1+19)=8),AğuPaz1+19,""),IF(AND(YEAR(AğuPaz1+26)=TakvimYılı,MONTH(AğuPaz1+26)=8),AğuPaz1+26,""))</f>
        <v>44064</v>
      </c>
      <c r="P35" s="25">
        <f>IF(DAY(AğuPaz1)=1,IF(AND(YEAR(AğuPaz1+20)=TakvimYılı,MONTH(AğuPaz1+20)=8),AğuPaz1+20,""),IF(AND(YEAR(AğuPaz1+27)=TakvimYılı,MONTH(AğuPaz1+27)=8),AğuPaz1+27,""))</f>
        <v>44065</v>
      </c>
      <c r="Q35" s="25">
        <f>IF(DAY(AğuPaz1)=1,IF(AND(YEAR(AğuPaz1+21)=TakvimYılı,MONTH(AğuPaz1+21)=8),AğuPaz1+21,""),IF(AND(YEAR(AğuPaz1+28)=TakvimYılı,MONTH(AğuPaz1+28)=8),AğuPaz1+28,""))</f>
        <v>44066</v>
      </c>
      <c r="S35" s="24"/>
      <c r="U35" s="2"/>
      <c r="V35" s="30"/>
      <c r="W35" s="30"/>
    </row>
    <row r="36" spans="1:23" ht="15" customHeight="1" x14ac:dyDescent="0.2">
      <c r="C36" s="25">
        <f>IF(DAY(TemPaz1)=1,IF(AND(YEAR(TemPaz1+22)=TakvimYılı,MONTH(TemPaz1+22)=7),TemPaz1+22,""),IF(AND(YEAR(TemPaz1+29)=TakvimYılı,MONTH(TemPaz1+29)=7),TemPaz1+29,""))</f>
        <v>44039</v>
      </c>
      <c r="D36" s="25">
        <f>IF(DAY(TemPaz1)=1,IF(AND(YEAR(TemPaz1+23)=TakvimYılı,MONTH(TemPaz1+23)=7),TemPaz1+23,""),IF(AND(YEAR(TemPaz1+30)=TakvimYılı,MONTH(TemPaz1+30)=7),TemPaz1+30,""))</f>
        <v>44040</v>
      </c>
      <c r="E36" s="25">
        <f>IF(DAY(TemPaz1)=1,IF(AND(YEAR(TemPaz1+24)=TakvimYılı,MONTH(TemPaz1+24)=7),TemPaz1+24,""),IF(AND(YEAR(TemPaz1+31)=TakvimYılı,MONTH(TemPaz1+31)=7),TemPaz1+31,""))</f>
        <v>44041</v>
      </c>
      <c r="F36" s="25">
        <f>IF(DAY(TemPaz1)=1,IF(AND(YEAR(TemPaz1+25)=TakvimYılı,MONTH(TemPaz1+25)=7),TemPaz1+25,""),IF(AND(YEAR(TemPaz1+32)=TakvimYılı,MONTH(TemPaz1+32)=7),TemPaz1+32,""))</f>
        <v>44042</v>
      </c>
      <c r="G36" s="25">
        <f>IF(DAY(TemPaz1)=1,IF(AND(YEAR(TemPaz1+26)=TakvimYılı,MONTH(TemPaz1+26)=7),TemPaz1+26,""),IF(AND(YEAR(TemPaz1+33)=TakvimYılı,MONTH(TemPaz1+33)=7),TemPaz1+33,""))</f>
        <v>44043</v>
      </c>
      <c r="H36" s="25" t="str">
        <f>IF(DAY(TemPaz1)=1,IF(AND(YEAR(TemPaz1+27)=TakvimYılı,MONTH(TemPaz1+27)=7),TemPaz1+27,""),IF(AND(YEAR(TemPaz1+34)=TakvimYılı,MONTH(TemPaz1+34)=7),TemPaz1+34,""))</f>
        <v/>
      </c>
      <c r="I36" s="25" t="str">
        <f>IF(DAY(TemPaz1)=1,IF(AND(YEAR(TemPaz1+28)=TakvimYılı,MONTH(TemPaz1+28)=7),TemPaz1+28,""),IF(AND(YEAR(TemPaz1+35)=TakvimYılı,MONTH(TemPaz1+35)=7),TemPaz1+35,""))</f>
        <v/>
      </c>
      <c r="K36" s="25">
        <f>IF(DAY(AğuPaz1)=1,IF(AND(YEAR(AğuPaz1+22)=TakvimYılı,MONTH(AğuPaz1+22)=8),AğuPaz1+22,""),IF(AND(YEAR(AğuPaz1+29)=TakvimYılı,MONTH(AğuPaz1+29)=8),AğuPaz1+29,""))</f>
        <v>44067</v>
      </c>
      <c r="L36" s="25">
        <f>IF(DAY(AğuPaz1)=1,IF(AND(YEAR(AğuPaz1+23)=TakvimYılı,MONTH(AğuPaz1+23)=8),AğuPaz1+23,""),IF(AND(YEAR(AğuPaz1+30)=TakvimYılı,MONTH(AğuPaz1+30)=8),AğuPaz1+30,""))</f>
        <v>44068</v>
      </c>
      <c r="M36" s="25">
        <f>IF(DAY(AğuPaz1)=1,IF(AND(YEAR(AğuPaz1+24)=TakvimYılı,MONTH(AğuPaz1+24)=8),AğuPaz1+24,""),IF(AND(YEAR(AğuPaz1+31)=TakvimYılı,MONTH(AğuPaz1+31)=8),AğuPaz1+31,""))</f>
        <v>44069</v>
      </c>
      <c r="N36" s="25">
        <f>IF(DAY(AğuPaz1)=1,IF(AND(YEAR(AğuPaz1+25)=TakvimYılı,MONTH(AğuPaz1+25)=8),AğuPaz1+25,""),IF(AND(YEAR(AğuPaz1+32)=TakvimYılı,MONTH(AğuPaz1+32)=8),AğuPaz1+32,""))</f>
        <v>44070</v>
      </c>
      <c r="O36" s="25">
        <f>IF(DAY(AğuPaz1)=1,IF(AND(YEAR(AğuPaz1+26)=TakvimYılı,MONTH(AğuPaz1+26)=8),AğuPaz1+26,""),IF(AND(YEAR(AğuPaz1+33)=TakvimYılı,MONTH(AğuPaz1+33)=8),AğuPaz1+33,""))</f>
        <v>44071</v>
      </c>
      <c r="P36" s="25">
        <f>IF(DAY(AğuPaz1)=1,IF(AND(YEAR(AğuPaz1+27)=TakvimYılı,MONTH(AğuPaz1+27)=8),AğuPaz1+27,""),IF(AND(YEAR(AğuPaz1+34)=TakvimYılı,MONTH(AğuPaz1+34)=8),AğuPaz1+34,""))</f>
        <v>44072</v>
      </c>
      <c r="Q36" s="25">
        <f>IF(DAY(AğuPaz1)=1,IF(AND(YEAR(AğuPaz1+28)=TakvimYılı,MONTH(AğuPaz1+28)=8),AğuPaz1+28,""),IF(AND(YEAR(AğuPaz1+35)=TakvimYılı,MONTH(AğuPaz1+35)=8),AğuPaz1+35,""))</f>
        <v>44073</v>
      </c>
      <c r="S36" s="24"/>
      <c r="U36" s="10"/>
      <c r="V36" s="30"/>
      <c r="W36" s="30"/>
    </row>
    <row r="37" spans="1:23" ht="15" customHeight="1" x14ac:dyDescent="0.2">
      <c r="C37" s="25" t="str">
        <f>IF(DAY(TemPaz1)=1,IF(AND(YEAR(TemPaz1+29)=TakvimYılı,MONTH(TemPaz1+29)=7),TemPaz1+29,""),IF(AND(YEAR(TemPaz1+36)=TakvimYılı,MONTH(TemPaz1+36)=7),TemPaz1+36,""))</f>
        <v/>
      </c>
      <c r="D37" s="25" t="str">
        <f>IF(DAY(TemPaz1)=1,IF(AND(YEAR(TemPaz1+30)=TakvimYılı,MONTH(TemPaz1+30)=7),TemPaz1+30,""),IF(AND(YEAR(TemPaz1+37)=TakvimYılı,MONTH(TemPaz1+37)=7),TemPaz1+37,""))</f>
        <v/>
      </c>
      <c r="E37" s="25" t="str">
        <f>IF(DAY(TemPaz1)=1,IF(AND(YEAR(TemPaz1+31)=TakvimYılı,MONTH(TemPaz1+31)=7),TemPaz1+31,""),IF(AND(YEAR(TemPaz1+38)=TakvimYılı,MONTH(TemPaz1+38)=7),TemPaz1+38,""))</f>
        <v/>
      </c>
      <c r="F37" s="25" t="str">
        <f>IF(DAY(TemPaz1)=1,IF(AND(YEAR(TemPaz1+32)=TakvimYılı,MONTH(TemPaz1+32)=7),TemPaz1+32,""),IF(AND(YEAR(TemPaz1+39)=TakvimYılı,MONTH(TemPaz1+39)=7),TemPaz1+39,""))</f>
        <v/>
      </c>
      <c r="G37" s="25" t="str">
        <f>IF(DAY(TemPaz1)=1,IF(AND(YEAR(TemPaz1+33)=TakvimYılı,MONTH(TemPaz1+33)=7),TemPaz1+33,""),IF(AND(YEAR(TemPaz1+40)=TakvimYılı,MONTH(TemPaz1+40)=7),TemPaz1+40,""))</f>
        <v/>
      </c>
      <c r="H37" s="25" t="str">
        <f>IF(DAY(TemPaz1)=1,IF(AND(YEAR(TemPaz1+34)=TakvimYılı,MONTH(TemPaz1+34)=7),TemPaz1+34,""),IF(AND(YEAR(TemPaz1+41)=TakvimYılı,MONTH(TemPaz1+41)=7),TemPaz1+41,""))</f>
        <v/>
      </c>
      <c r="I37" s="25" t="str">
        <f>IF(DAY(TemPaz1)=1,IF(AND(YEAR(TemPaz1+35)=TakvimYılı,MONTH(TemPaz1+35)=7),TemPaz1+35,""),IF(AND(YEAR(TemPaz1+42)=TakvimYılı,MONTH(TemPaz1+42)=7),TemPaz1+42,""))</f>
        <v/>
      </c>
      <c r="K37" s="25">
        <f>IF(DAY(AğuPaz1)=1,IF(AND(YEAR(AğuPaz1+29)=TakvimYılı,MONTH(AğuPaz1+29)=8),AğuPaz1+29,""),IF(AND(YEAR(AğuPaz1+36)=TakvimYılı,MONTH(AğuPaz1+36)=8),AğuPaz1+36,""))</f>
        <v>44074</v>
      </c>
      <c r="L37" s="25" t="str">
        <f>IF(DAY(AğuPaz1)=1,IF(AND(YEAR(AğuPaz1+30)=TakvimYılı,MONTH(AğuPaz1+30)=8),AğuPaz1+30,""),IF(AND(YEAR(AğuPaz1+37)=TakvimYılı,MONTH(AğuPaz1+37)=8),AğuPaz1+37,""))</f>
        <v/>
      </c>
      <c r="M37" s="25" t="str">
        <f>IF(DAY(AğuPaz1)=1,IF(AND(YEAR(AğuPaz1+31)=TakvimYılı,MONTH(AğuPaz1+31)=8),AğuPaz1+31,""),IF(AND(YEAR(AğuPaz1+38)=TakvimYılı,MONTH(AğuPaz1+38)=8),AğuPaz1+38,""))</f>
        <v/>
      </c>
      <c r="N37" s="25" t="str">
        <f>IF(DAY(AğuPaz1)=1,IF(AND(YEAR(AğuPaz1+32)=TakvimYılı,MONTH(AğuPaz1+32)=8),AğuPaz1+32,""),IF(AND(YEAR(AğuPaz1+39)=TakvimYılı,MONTH(AğuPaz1+39)=8),AğuPaz1+39,""))</f>
        <v/>
      </c>
      <c r="O37" s="25" t="str">
        <f>IF(DAY(AğuPaz1)=1,IF(AND(YEAR(AğuPaz1+33)=TakvimYılı,MONTH(AğuPaz1+33)=8),AğuPaz1+33,""),IF(AND(YEAR(AğuPaz1+40)=TakvimYılı,MONTH(AğuPaz1+40)=8),AğuPaz1+40,""))</f>
        <v/>
      </c>
      <c r="P37" s="25" t="str">
        <f>IF(DAY(AğuPaz1)=1,IF(AND(YEAR(AğuPaz1+34)=TakvimYılı,MONTH(AğuPaz1+34)=8),AğuPaz1+34,""),IF(AND(YEAR(AğuPaz1+41)=TakvimYılı,MONTH(AğuPaz1+41)=8),AğuPaz1+41,""))</f>
        <v/>
      </c>
      <c r="Q37" s="25" t="str">
        <f>IF(DAY(AğuPaz1)=1,IF(AND(YEAR(AğuPaz1+35)=TakvimYılı,MONTH(AğuPaz1+35)=8),AğuPaz1+35,""),IF(AND(YEAR(AğuPaz1+42)=TakvimYılı,MONTH(AğuPaz1+42)=8),AğuPaz1+42,""))</f>
        <v/>
      </c>
      <c r="S37" s="24"/>
      <c r="U37" s="3"/>
      <c r="V37" s="30"/>
      <c r="W37" s="30"/>
    </row>
    <row r="38" spans="1:23" ht="15" customHeight="1" x14ac:dyDescent="0.2">
      <c r="C38" s="22"/>
      <c r="D38" s="22"/>
      <c r="E38" s="22"/>
      <c r="F38" s="22"/>
      <c r="G38" s="22"/>
      <c r="H38" s="22"/>
      <c r="I38" s="22"/>
      <c r="K38" s="22"/>
      <c r="L38" s="22"/>
      <c r="M38" s="22"/>
      <c r="N38" s="22"/>
      <c r="O38" s="22"/>
      <c r="P38" s="22"/>
      <c r="Q38" s="22"/>
      <c r="S38" s="24"/>
      <c r="U38" s="2"/>
      <c r="V38" s="30"/>
      <c r="W38" s="30"/>
    </row>
    <row r="39" spans="1:23" ht="15" customHeight="1" x14ac:dyDescent="0.2">
      <c r="A39" s="18" t="s">
        <v>17</v>
      </c>
      <c r="C39" s="28" t="s">
        <v>31</v>
      </c>
      <c r="D39" s="28"/>
      <c r="E39" s="28"/>
      <c r="F39" s="28"/>
      <c r="G39" s="28"/>
      <c r="H39" s="28"/>
      <c r="I39" s="28"/>
      <c r="K39" s="28" t="s">
        <v>43</v>
      </c>
      <c r="L39" s="28"/>
      <c r="M39" s="28"/>
      <c r="N39" s="28"/>
      <c r="O39" s="28"/>
      <c r="P39" s="28"/>
      <c r="Q39" s="28"/>
      <c r="S39" s="24"/>
      <c r="U39" s="10"/>
      <c r="V39" s="30"/>
      <c r="W39" s="30"/>
    </row>
    <row r="40" spans="1:23" ht="15" customHeight="1" x14ac:dyDescent="0.2">
      <c r="A40" s="18" t="s">
        <v>18</v>
      </c>
      <c r="C40" s="11" t="s">
        <v>27</v>
      </c>
      <c r="D40" s="11" t="s">
        <v>33</v>
      </c>
      <c r="E40" s="11" t="s">
        <v>34</v>
      </c>
      <c r="F40" s="11" t="s">
        <v>35</v>
      </c>
      <c r="G40" s="11" t="s">
        <v>36</v>
      </c>
      <c r="H40" s="11" t="s">
        <v>37</v>
      </c>
      <c r="I40" s="11" t="s">
        <v>38</v>
      </c>
      <c r="K40" s="11" t="s">
        <v>27</v>
      </c>
      <c r="L40" s="11" t="s">
        <v>33</v>
      </c>
      <c r="M40" s="11" t="s">
        <v>34</v>
      </c>
      <c r="N40" s="11" t="s">
        <v>35</v>
      </c>
      <c r="O40" s="11" t="s">
        <v>36</v>
      </c>
      <c r="P40" s="11" t="s">
        <v>37</v>
      </c>
      <c r="Q40" s="11" t="s">
        <v>38</v>
      </c>
      <c r="S40" s="24"/>
      <c r="U40" s="3"/>
      <c r="V40" s="30"/>
      <c r="W40" s="30"/>
    </row>
    <row r="41" spans="1:23" ht="15" customHeight="1" x14ac:dyDescent="0.2">
      <c r="C41" s="25" t="str">
        <f>IF(DAY(EylPaz1)=1,"",IF(AND(YEAR(EylPaz1+1)=TakvimYılı,MONTH(EylPaz1+1)=9),EylPaz1+1,""))</f>
        <v/>
      </c>
      <c r="D41" s="25">
        <f>IF(DAY(EylPaz1)=1,"",IF(AND(YEAR(EylPaz1+2)=TakvimYılı,MONTH(EylPaz1+2)=9),EylPaz1+2,""))</f>
        <v>44075</v>
      </c>
      <c r="E41" s="25">
        <f>IF(DAY(EylPaz1)=1,"",IF(AND(YEAR(EylPaz1+3)=TakvimYılı,MONTH(EylPaz1+3)=9),EylPaz1+3,""))</f>
        <v>44076</v>
      </c>
      <c r="F41" s="25">
        <f>IF(DAY(EylPaz1)=1,"",IF(AND(YEAR(EylPaz1+4)=TakvimYılı,MONTH(EylPaz1+4)=9),EylPaz1+4,""))</f>
        <v>44077</v>
      </c>
      <c r="G41" s="25">
        <f>IF(DAY(EylPaz1)=1,"",IF(AND(YEAR(EylPaz1+5)=TakvimYılı,MONTH(EylPaz1+5)=9),EylPaz1+5,""))</f>
        <v>44078</v>
      </c>
      <c r="H41" s="25">
        <f>IF(DAY(EylPaz1)=1,"",IF(AND(YEAR(EylPaz1+6)=TakvimYılı,MONTH(EylPaz1+6)=9),EylPaz1+6,""))</f>
        <v>44079</v>
      </c>
      <c r="I41" s="25">
        <f>IF(DAY(EylPaz1)=1,IF(AND(YEAR(EylPaz1)=TakvimYılı,MONTH(EylPaz1)=9),EylPaz1,""),IF(AND(YEAR(EylPaz1+7)=TakvimYılı,MONTH(EylPaz1+7)=9),EylPaz1+7,""))</f>
        <v>44080</v>
      </c>
      <c r="K41" s="25" t="str">
        <f>IF(DAY(EkiPaz1)=1,"",IF(AND(YEAR(EkiPaz1+1)=TakvimYılı,MONTH(EkiPaz1+1)=10),EkiPaz1+1,""))</f>
        <v/>
      </c>
      <c r="L41" s="25" t="str">
        <f>IF(DAY(EkiPaz1)=1,"",IF(AND(YEAR(EkiPaz1+2)=TakvimYılı,MONTH(EkiPaz1+2)=10),EkiPaz1+2,""))</f>
        <v/>
      </c>
      <c r="M41" s="25" t="str">
        <f>IF(DAY(EkiPaz1)=1,"",IF(AND(YEAR(EkiPaz1+3)=TakvimYılı,MONTH(EkiPaz1+3)=10),EkiPaz1+3,""))</f>
        <v/>
      </c>
      <c r="N41" s="25">
        <f>IF(DAY(EkiPaz1)=1,"",IF(AND(YEAR(EkiPaz1+4)=TakvimYılı,MONTH(EkiPaz1+4)=10),EkiPaz1+4,""))</f>
        <v>44105</v>
      </c>
      <c r="O41" s="25">
        <f>IF(DAY(EkiPaz1)=1,"",IF(AND(YEAR(EkiPaz1+5)=TakvimYılı,MONTH(EkiPaz1+5)=10),EkiPaz1+5,""))</f>
        <v>44106</v>
      </c>
      <c r="P41" s="25">
        <f>IF(DAY(EkiPaz1)=1,"",IF(AND(YEAR(EkiPaz1+6)=TakvimYılı,MONTH(EkiPaz1+6)=10),EkiPaz1+6,""))</f>
        <v>44107</v>
      </c>
      <c r="Q41" s="25">
        <f>IF(DAY(EkiPaz1)=1,IF(AND(YEAR(EkiPaz1)=TakvimYılı,MONTH(EkiPaz1)=10),EkiPaz1,""),IF(AND(YEAR(EkiPaz1+7)=TakvimYılı,MONTH(EkiPaz1+7)=10),EkiPaz1+7,""))</f>
        <v>44108</v>
      </c>
      <c r="S41" s="24"/>
      <c r="U41" s="2"/>
      <c r="V41" s="30"/>
      <c r="W41" s="30"/>
    </row>
    <row r="42" spans="1:23" ht="15" customHeight="1" x14ac:dyDescent="0.2">
      <c r="C42" s="25">
        <f>IF(DAY(EylPaz1)=1,IF(AND(YEAR(EylPaz1+1)=TakvimYılı,MONTH(EylPaz1+1)=9),EylPaz1+1,""),IF(AND(YEAR(EylPaz1+8)=TakvimYılı,MONTH(EylPaz1+8)=9),EylPaz1+8,""))</f>
        <v>44081</v>
      </c>
      <c r="D42" s="25">
        <f>IF(DAY(EylPaz1)=1,IF(AND(YEAR(EylPaz1+2)=TakvimYılı,MONTH(EylPaz1+2)=9),EylPaz1+2,""),IF(AND(YEAR(EylPaz1+9)=TakvimYılı,MONTH(EylPaz1+9)=9),EylPaz1+9,""))</f>
        <v>44082</v>
      </c>
      <c r="E42" s="25">
        <f>IF(DAY(EylPaz1)=1,IF(AND(YEAR(EylPaz1+3)=TakvimYılı,MONTH(EylPaz1+3)=9),EylPaz1+3,""),IF(AND(YEAR(EylPaz1+10)=TakvimYılı,MONTH(EylPaz1+10)=9),EylPaz1+10,""))</f>
        <v>44083</v>
      </c>
      <c r="F42" s="25">
        <f>IF(DAY(EylPaz1)=1,IF(AND(YEAR(EylPaz1+4)=TakvimYılı,MONTH(EylPaz1+4)=9),EylPaz1+4,""),IF(AND(YEAR(EylPaz1+11)=TakvimYılı,MONTH(EylPaz1+11)=9),EylPaz1+11,""))</f>
        <v>44084</v>
      </c>
      <c r="G42" s="25">
        <f>IF(DAY(EylPaz1)=1,IF(AND(YEAR(EylPaz1+5)=TakvimYılı,MONTH(EylPaz1+5)=9),EylPaz1+5,""),IF(AND(YEAR(EylPaz1+12)=TakvimYılı,MONTH(EylPaz1+12)=9),EylPaz1+12,""))</f>
        <v>44085</v>
      </c>
      <c r="H42" s="25">
        <f>IF(DAY(EylPaz1)=1,IF(AND(YEAR(EylPaz1+6)=TakvimYılı,MONTH(EylPaz1+6)=9),EylPaz1+6,""),IF(AND(YEAR(EylPaz1+13)=TakvimYılı,MONTH(EylPaz1+13)=9),EylPaz1+13,""))</f>
        <v>44086</v>
      </c>
      <c r="I42" s="25">
        <f>IF(DAY(EylPaz1)=1,IF(AND(YEAR(EylPaz1+7)=TakvimYılı,MONTH(EylPaz1+7)=9),EylPaz1+7,""),IF(AND(YEAR(EylPaz1+14)=TakvimYılı,MONTH(EylPaz1+14)=9),EylPaz1+14,""))</f>
        <v>44087</v>
      </c>
      <c r="K42" s="25">
        <f>IF(DAY(EkiPaz1)=1,IF(AND(YEAR(EkiPaz1+1)=TakvimYılı,MONTH(EkiPaz1+1)=10),EkiPaz1+1,""),IF(AND(YEAR(EkiPaz1+8)=TakvimYılı,MONTH(EkiPaz1+8)=10),EkiPaz1+8,""))</f>
        <v>44109</v>
      </c>
      <c r="L42" s="25">
        <f>IF(DAY(EkiPaz1)=1,IF(AND(YEAR(EkiPaz1+2)=TakvimYılı,MONTH(EkiPaz1+2)=10),EkiPaz1+2,""),IF(AND(YEAR(EkiPaz1+9)=TakvimYılı,MONTH(EkiPaz1+9)=10),EkiPaz1+9,""))</f>
        <v>44110</v>
      </c>
      <c r="M42" s="25">
        <f>IF(DAY(EkiPaz1)=1,IF(AND(YEAR(EkiPaz1+3)=TakvimYılı,MONTH(EkiPaz1+3)=10),EkiPaz1+3,""),IF(AND(YEAR(EkiPaz1+10)=TakvimYılı,MONTH(EkiPaz1+10)=10),EkiPaz1+10,""))</f>
        <v>44111</v>
      </c>
      <c r="N42" s="25">
        <f>IF(DAY(EkiPaz1)=1,IF(AND(YEAR(EkiPaz1+4)=TakvimYılı,MONTH(EkiPaz1+4)=10),EkiPaz1+4,""),IF(AND(YEAR(EkiPaz1+11)=TakvimYılı,MONTH(EkiPaz1+11)=10),EkiPaz1+11,""))</f>
        <v>44112</v>
      </c>
      <c r="O42" s="25">
        <f>IF(DAY(EkiPaz1)=1,IF(AND(YEAR(EkiPaz1+5)=TakvimYılı,MONTH(EkiPaz1+5)=10),EkiPaz1+5,""),IF(AND(YEAR(EkiPaz1+12)=TakvimYılı,MONTH(EkiPaz1+12)=10),EkiPaz1+12,""))</f>
        <v>44113</v>
      </c>
      <c r="P42" s="25">
        <f>IF(DAY(EkiPaz1)=1,IF(AND(YEAR(EkiPaz1+6)=TakvimYılı,MONTH(EkiPaz1+6)=10),EkiPaz1+6,""),IF(AND(YEAR(EkiPaz1+13)=TakvimYılı,MONTH(EkiPaz1+13)=10),EkiPaz1+13,""))</f>
        <v>44114</v>
      </c>
      <c r="Q42" s="25">
        <f>IF(DAY(EkiPaz1)=1,IF(AND(YEAR(EkiPaz1+7)=TakvimYılı,MONTH(EkiPaz1+7)=10),EkiPaz1+7,""),IF(AND(YEAR(EkiPaz1+14)=TakvimYılı,MONTH(EkiPaz1+14)=10),EkiPaz1+14,""))</f>
        <v>44115</v>
      </c>
      <c r="S42" s="24"/>
      <c r="U42" s="10"/>
      <c r="V42" s="30"/>
      <c r="W42" s="30"/>
    </row>
    <row r="43" spans="1:23" ht="15" customHeight="1" x14ac:dyDescent="0.2">
      <c r="C43" s="25">
        <f>IF(DAY(EylPaz1)=1,IF(AND(YEAR(EylPaz1+8)=TakvimYılı,MONTH(EylPaz1+8)=9),EylPaz1+8,""),IF(AND(YEAR(EylPaz1+15)=TakvimYılı,MONTH(EylPaz1+15)=9),EylPaz1+15,""))</f>
        <v>44088</v>
      </c>
      <c r="D43" s="25">
        <f>IF(DAY(EylPaz1)=1,IF(AND(YEAR(EylPaz1+9)=TakvimYılı,MONTH(EylPaz1+9)=9),EylPaz1+9,""),IF(AND(YEAR(EylPaz1+16)=TakvimYılı,MONTH(EylPaz1+16)=9),EylPaz1+16,""))</f>
        <v>44089</v>
      </c>
      <c r="E43" s="25">
        <f>IF(DAY(EylPaz1)=1,IF(AND(YEAR(EylPaz1+10)=TakvimYılı,MONTH(EylPaz1+10)=9),EylPaz1+10,""),IF(AND(YEAR(EylPaz1+17)=TakvimYılı,MONTH(EylPaz1+17)=9),EylPaz1+17,""))</f>
        <v>44090</v>
      </c>
      <c r="F43" s="25">
        <f>IF(DAY(EylPaz1)=1,IF(AND(YEAR(EylPaz1+11)=TakvimYılı,MONTH(EylPaz1+11)=9),EylPaz1+11,""),IF(AND(YEAR(EylPaz1+18)=TakvimYılı,MONTH(EylPaz1+18)=9),EylPaz1+18,""))</f>
        <v>44091</v>
      </c>
      <c r="G43" s="25">
        <f>IF(DAY(EylPaz1)=1,IF(AND(YEAR(EylPaz1+12)=TakvimYılı,MONTH(EylPaz1+12)=9),EylPaz1+12,""),IF(AND(YEAR(EylPaz1+19)=TakvimYılı,MONTH(EylPaz1+19)=9),EylPaz1+19,""))</f>
        <v>44092</v>
      </c>
      <c r="H43" s="25">
        <f>IF(DAY(EylPaz1)=1,IF(AND(YEAR(EylPaz1+13)=TakvimYılı,MONTH(EylPaz1+13)=9),EylPaz1+13,""),IF(AND(YEAR(EylPaz1+20)=TakvimYılı,MONTH(EylPaz1+20)=9),EylPaz1+20,""))</f>
        <v>44093</v>
      </c>
      <c r="I43" s="25">
        <f>IF(DAY(EylPaz1)=1,IF(AND(YEAR(EylPaz1+14)=TakvimYılı,MONTH(EylPaz1+14)=9),EylPaz1+14,""),IF(AND(YEAR(EylPaz1+21)=TakvimYılı,MONTH(EylPaz1+21)=9),EylPaz1+21,""))</f>
        <v>44094</v>
      </c>
      <c r="K43" s="25">
        <f>IF(DAY(EkiPaz1)=1,IF(AND(YEAR(EkiPaz1+8)=TakvimYılı,MONTH(EkiPaz1+8)=10),EkiPaz1+8,""),IF(AND(YEAR(EkiPaz1+15)=TakvimYılı,MONTH(EkiPaz1+15)=10),EkiPaz1+15,""))</f>
        <v>44116</v>
      </c>
      <c r="L43" s="25">
        <f>IF(DAY(EkiPaz1)=1,IF(AND(YEAR(EkiPaz1+9)=TakvimYılı,MONTH(EkiPaz1+9)=10),EkiPaz1+9,""),IF(AND(YEAR(EkiPaz1+16)=TakvimYılı,MONTH(EkiPaz1+16)=10),EkiPaz1+16,""))</f>
        <v>44117</v>
      </c>
      <c r="M43" s="25">
        <f>IF(DAY(EkiPaz1)=1,IF(AND(YEAR(EkiPaz1+10)=TakvimYılı,MONTH(EkiPaz1+10)=10),EkiPaz1+10,""),IF(AND(YEAR(EkiPaz1+17)=TakvimYılı,MONTH(EkiPaz1+17)=10),EkiPaz1+17,""))</f>
        <v>44118</v>
      </c>
      <c r="N43" s="25">
        <f>IF(DAY(EkiPaz1)=1,IF(AND(YEAR(EkiPaz1+11)=TakvimYılı,MONTH(EkiPaz1+11)=10),EkiPaz1+11,""),IF(AND(YEAR(EkiPaz1+18)=TakvimYılı,MONTH(EkiPaz1+18)=10),EkiPaz1+18,""))</f>
        <v>44119</v>
      </c>
      <c r="O43" s="25">
        <f>IF(DAY(EkiPaz1)=1,IF(AND(YEAR(EkiPaz1+12)=TakvimYılı,MONTH(EkiPaz1+12)=10),EkiPaz1+12,""),IF(AND(YEAR(EkiPaz1+19)=TakvimYılı,MONTH(EkiPaz1+19)=10),EkiPaz1+19,""))</f>
        <v>44120</v>
      </c>
      <c r="P43" s="25">
        <f>IF(DAY(EkiPaz1)=1,IF(AND(YEAR(EkiPaz1+13)=TakvimYılı,MONTH(EkiPaz1+13)=10),EkiPaz1+13,""),IF(AND(YEAR(EkiPaz1+20)=TakvimYılı,MONTH(EkiPaz1+20)=10),EkiPaz1+20,""))</f>
        <v>44121</v>
      </c>
      <c r="Q43" s="25">
        <f>IF(DAY(EkiPaz1)=1,IF(AND(YEAR(EkiPaz1+14)=TakvimYılı,MONTH(EkiPaz1+14)=10),EkiPaz1+14,""),IF(AND(YEAR(EkiPaz1+21)=TakvimYılı,MONTH(EkiPaz1+21)=10),EkiPaz1+21,""))</f>
        <v>44122</v>
      </c>
      <c r="S43" s="24"/>
      <c r="U43" s="3"/>
      <c r="V43" s="30"/>
      <c r="W43" s="30"/>
    </row>
    <row r="44" spans="1:23" ht="15" customHeight="1" x14ac:dyDescent="0.2">
      <c r="A44" s="18" t="s">
        <v>19</v>
      </c>
      <c r="C44" s="25">
        <f>IF(DAY(EylPaz1)=1,IF(AND(YEAR(EylPaz1+15)=TakvimYılı,MONTH(EylPaz1+15)=9),EylPaz1+15,""),IF(AND(YEAR(EylPaz1+22)=TakvimYılı,MONTH(EylPaz1+22)=9),EylPaz1+22,""))</f>
        <v>44095</v>
      </c>
      <c r="D44" s="25">
        <f>IF(DAY(EylPaz1)=1,IF(AND(YEAR(EylPaz1+16)=TakvimYılı,MONTH(EylPaz1+16)=9),EylPaz1+16,""),IF(AND(YEAR(EylPaz1+23)=TakvimYılı,MONTH(EylPaz1+23)=9),EylPaz1+23,""))</f>
        <v>44096</v>
      </c>
      <c r="E44" s="25">
        <f>IF(DAY(EylPaz1)=1,IF(AND(YEAR(EylPaz1+17)=TakvimYılı,MONTH(EylPaz1+17)=9),EylPaz1+17,""),IF(AND(YEAR(EylPaz1+24)=TakvimYılı,MONTH(EylPaz1+24)=9),EylPaz1+24,""))</f>
        <v>44097</v>
      </c>
      <c r="F44" s="25">
        <f>IF(DAY(EylPaz1)=1,IF(AND(YEAR(EylPaz1+18)=TakvimYılı,MONTH(EylPaz1+18)=9),EylPaz1+18,""),IF(AND(YEAR(EylPaz1+25)=TakvimYılı,MONTH(EylPaz1+25)=9),EylPaz1+25,""))</f>
        <v>44098</v>
      </c>
      <c r="G44" s="25">
        <f>IF(DAY(EylPaz1)=1,IF(AND(YEAR(EylPaz1+19)=TakvimYılı,MONTH(EylPaz1+19)=9),EylPaz1+19,""),IF(AND(YEAR(EylPaz1+26)=TakvimYılı,MONTH(EylPaz1+26)=9),EylPaz1+26,""))</f>
        <v>44099</v>
      </c>
      <c r="H44" s="25">
        <f>IF(DAY(EylPaz1)=1,IF(AND(YEAR(EylPaz1+20)=TakvimYılı,MONTH(EylPaz1+20)=9),EylPaz1+20,""),IF(AND(YEAR(EylPaz1+27)=TakvimYılı,MONTH(EylPaz1+27)=9),EylPaz1+27,""))</f>
        <v>44100</v>
      </c>
      <c r="I44" s="25">
        <f>IF(DAY(EylPaz1)=1,IF(AND(YEAR(EylPaz1+21)=TakvimYılı,MONTH(EylPaz1+21)=9),EylPaz1+21,""),IF(AND(YEAR(EylPaz1+28)=TakvimYılı,MONTH(EylPaz1+28)=9),EylPaz1+28,""))</f>
        <v>44101</v>
      </c>
      <c r="K44" s="25">
        <f>IF(DAY(EkiPaz1)=1,IF(AND(YEAR(EkiPaz1+15)=TakvimYılı,MONTH(EkiPaz1+15)=10),EkiPaz1+15,""),IF(AND(YEAR(EkiPaz1+22)=TakvimYılı,MONTH(EkiPaz1+22)=10),EkiPaz1+22,""))</f>
        <v>44123</v>
      </c>
      <c r="L44" s="25">
        <f>IF(DAY(EkiPaz1)=1,IF(AND(YEAR(EkiPaz1+16)=TakvimYılı,MONTH(EkiPaz1+16)=10),EkiPaz1+16,""),IF(AND(YEAR(EkiPaz1+23)=TakvimYılı,MONTH(EkiPaz1+23)=10),EkiPaz1+23,""))</f>
        <v>44124</v>
      </c>
      <c r="M44" s="25">
        <f>IF(DAY(EkiPaz1)=1,IF(AND(YEAR(EkiPaz1+17)=TakvimYılı,MONTH(EkiPaz1+17)=10),EkiPaz1+17,""),IF(AND(YEAR(EkiPaz1+24)=TakvimYılı,MONTH(EkiPaz1+24)=10),EkiPaz1+24,""))</f>
        <v>44125</v>
      </c>
      <c r="N44" s="25">
        <f>IF(DAY(EkiPaz1)=1,IF(AND(YEAR(EkiPaz1+18)=TakvimYılı,MONTH(EkiPaz1+18)=10),EkiPaz1+18,""),IF(AND(YEAR(EkiPaz1+25)=TakvimYılı,MONTH(EkiPaz1+25)=10),EkiPaz1+25,""))</f>
        <v>44126</v>
      </c>
      <c r="O44" s="25">
        <f>IF(DAY(EkiPaz1)=1,IF(AND(YEAR(EkiPaz1+19)=TakvimYılı,MONTH(EkiPaz1+19)=10),EkiPaz1+19,""),IF(AND(YEAR(EkiPaz1+26)=TakvimYılı,MONTH(EkiPaz1+26)=10),EkiPaz1+26,""))</f>
        <v>44127</v>
      </c>
      <c r="P44" s="25">
        <f>IF(DAY(EkiPaz1)=1,IF(AND(YEAR(EkiPaz1+20)=TakvimYılı,MONTH(EkiPaz1+20)=10),EkiPaz1+20,""),IF(AND(YEAR(EkiPaz1+27)=TakvimYılı,MONTH(EkiPaz1+27)=10),EkiPaz1+27,""))</f>
        <v>44128</v>
      </c>
      <c r="Q44" s="25">
        <f>IF(DAY(EkiPaz1)=1,IF(AND(YEAR(EkiPaz1+21)=TakvimYılı,MONTH(EkiPaz1+21)=10),EkiPaz1+21,""),IF(AND(YEAR(EkiPaz1+28)=TakvimYılı,MONTH(EkiPaz1+28)=10),EkiPaz1+28,""))</f>
        <v>44129</v>
      </c>
      <c r="S44" s="24"/>
      <c r="U44" s="8" t="s">
        <v>52</v>
      </c>
      <c r="V44" s="30"/>
      <c r="W44" s="30"/>
    </row>
    <row r="45" spans="1:23" ht="15" customHeight="1" x14ac:dyDescent="0.2">
      <c r="A45" s="18" t="s">
        <v>20</v>
      </c>
      <c r="C45" s="25">
        <f>IF(DAY(EylPaz1)=1,IF(AND(YEAR(EylPaz1+22)=TakvimYılı,MONTH(EylPaz1+22)=9),EylPaz1+22,""),IF(AND(YEAR(EylPaz1+29)=TakvimYılı,MONTH(EylPaz1+29)=9),EylPaz1+29,""))</f>
        <v>44102</v>
      </c>
      <c r="D45" s="25">
        <f>IF(DAY(EylPaz1)=1,IF(AND(YEAR(EylPaz1+23)=TakvimYılı,MONTH(EylPaz1+23)=9),EylPaz1+23,""),IF(AND(YEAR(EylPaz1+30)=TakvimYılı,MONTH(EylPaz1+30)=9),EylPaz1+30,""))</f>
        <v>44103</v>
      </c>
      <c r="E45" s="25">
        <f>IF(DAY(EylPaz1)=1,IF(AND(YEAR(EylPaz1+24)=TakvimYılı,MONTH(EylPaz1+24)=9),EylPaz1+24,""),IF(AND(YEAR(EylPaz1+31)=TakvimYılı,MONTH(EylPaz1+31)=9),EylPaz1+31,""))</f>
        <v>44104</v>
      </c>
      <c r="F45" s="25" t="str">
        <f>IF(DAY(EylPaz1)=1,IF(AND(YEAR(EylPaz1+25)=TakvimYılı,MONTH(EylPaz1+25)=9),EylPaz1+25,""),IF(AND(YEAR(EylPaz1+32)=TakvimYılı,MONTH(EylPaz1+32)=9),EylPaz1+32,""))</f>
        <v/>
      </c>
      <c r="G45" s="25" t="str">
        <f>IF(DAY(EylPaz1)=1,IF(AND(YEAR(EylPaz1+26)=TakvimYılı,MONTH(EylPaz1+26)=9),EylPaz1+26,""),IF(AND(YEAR(EylPaz1+33)=TakvimYılı,MONTH(EylPaz1+33)=9),EylPaz1+33,""))</f>
        <v/>
      </c>
      <c r="H45" s="25" t="str">
        <f>IF(DAY(EylPaz1)=1,IF(AND(YEAR(EylPaz1+27)=TakvimYılı,MONTH(EylPaz1+27)=9),EylPaz1+27,""),IF(AND(YEAR(EylPaz1+34)=TakvimYılı,MONTH(EylPaz1+34)=9),EylPaz1+34,""))</f>
        <v/>
      </c>
      <c r="I45" s="25" t="str">
        <f>IF(DAY(EylPaz1)=1,IF(AND(YEAR(EylPaz1+28)=TakvimYılı,MONTH(EylPaz1+28)=9),EylPaz1+28,""),IF(AND(YEAR(EylPaz1+35)=TakvimYılı,MONTH(EylPaz1+35)=9),EylPaz1+35,""))</f>
        <v/>
      </c>
      <c r="K45" s="25">
        <f>IF(DAY(EkiPaz1)=1,IF(AND(YEAR(EkiPaz1+22)=TakvimYılı,MONTH(EkiPaz1+22)=10),EkiPaz1+22,""),IF(AND(YEAR(EkiPaz1+29)=TakvimYılı,MONTH(EkiPaz1+29)=10),EkiPaz1+29,""))</f>
        <v>44130</v>
      </c>
      <c r="L45" s="25">
        <f>IF(DAY(EkiPaz1)=1,IF(AND(YEAR(EkiPaz1+23)=TakvimYılı,MONTH(EkiPaz1+23)=10),EkiPaz1+23,""),IF(AND(YEAR(EkiPaz1+30)=TakvimYılı,MONTH(EkiPaz1+30)=10),EkiPaz1+30,""))</f>
        <v>44131</v>
      </c>
      <c r="M45" s="25">
        <f>IF(DAY(EkiPaz1)=1,IF(AND(YEAR(EkiPaz1+24)=TakvimYılı,MONTH(EkiPaz1+24)=10),EkiPaz1+24,""),IF(AND(YEAR(EkiPaz1+31)=TakvimYılı,MONTH(EkiPaz1+31)=10),EkiPaz1+31,""))</f>
        <v>44132</v>
      </c>
      <c r="N45" s="25">
        <f>IF(DAY(EkiPaz1)=1,IF(AND(YEAR(EkiPaz1+25)=TakvimYılı,MONTH(EkiPaz1+25)=10),EkiPaz1+25,""),IF(AND(YEAR(EkiPaz1+32)=TakvimYılı,MONTH(EkiPaz1+32)=10),EkiPaz1+32,""))</f>
        <v>44133</v>
      </c>
      <c r="O45" s="25">
        <f>IF(DAY(EkiPaz1)=1,IF(AND(YEAR(EkiPaz1+26)=TakvimYılı,MONTH(EkiPaz1+26)=10),EkiPaz1+26,""),IF(AND(YEAR(EkiPaz1+33)=TakvimYılı,MONTH(EkiPaz1+33)=10),EkiPaz1+33,""))</f>
        <v>44134</v>
      </c>
      <c r="P45" s="25">
        <f>IF(DAY(EkiPaz1)=1,IF(AND(YEAR(EkiPaz1+27)=TakvimYılı,MONTH(EkiPaz1+27)=10),EkiPaz1+27,""),IF(AND(YEAR(EkiPaz1+34)=TakvimYılı,MONTH(EkiPaz1+34)=10),EkiPaz1+34,""))</f>
        <v>44135</v>
      </c>
      <c r="Q45" s="25" t="str">
        <f>IF(DAY(EkiPaz1)=1,IF(AND(YEAR(EkiPaz1+28)=TakvimYılı,MONTH(EkiPaz1+28)=10),EkiPaz1+28,""),IF(AND(YEAR(EkiPaz1+35)=TakvimYılı,MONTH(EkiPaz1+35)=10),EkiPaz1+35,""))</f>
        <v/>
      </c>
      <c r="S45" s="24"/>
      <c r="U45" s="9" t="s">
        <v>53</v>
      </c>
      <c r="V45" s="30"/>
      <c r="W45" s="30"/>
    </row>
    <row r="46" spans="1:23" ht="15" customHeight="1" x14ac:dyDescent="0.2">
      <c r="A46" s="18"/>
      <c r="C46" s="25" t="str">
        <f>IF(DAY(EylPaz1)=1,IF(AND(YEAR(EylPaz1+29)=TakvimYılı,MONTH(EylPaz1+29)=9),EylPaz1+29,""),IF(AND(YEAR(EylPaz1+36)=TakvimYılı,MONTH(EylPaz1+36)=9),EylPaz1+36,""))</f>
        <v/>
      </c>
      <c r="D46" s="25" t="str">
        <f>IF(DAY(EylPaz1)=1,IF(AND(YEAR(EylPaz1+30)=TakvimYılı,MONTH(EylPaz1+30)=9),EylPaz1+30,""),IF(AND(YEAR(EylPaz1+37)=TakvimYılı,MONTH(EylPaz1+37)=9),EylPaz1+37,""))</f>
        <v/>
      </c>
      <c r="E46" s="25" t="str">
        <f>IF(DAY(EylPaz1)=1,IF(AND(YEAR(EylPaz1+31)=TakvimYılı,MONTH(EylPaz1+31)=9),EylPaz1+31,""),IF(AND(YEAR(EylPaz1+38)=TakvimYılı,MONTH(EylPaz1+38)=9),EylPaz1+38,""))</f>
        <v/>
      </c>
      <c r="F46" s="25" t="str">
        <f>IF(DAY(EylPaz1)=1,IF(AND(YEAR(EylPaz1+32)=TakvimYılı,MONTH(EylPaz1+32)=9),EylPaz1+32,""),IF(AND(YEAR(EylPaz1+39)=TakvimYılı,MONTH(EylPaz1+39)=9),EylPaz1+39,""))</f>
        <v/>
      </c>
      <c r="G46" s="25" t="str">
        <f>IF(DAY(EylPaz1)=1,IF(AND(YEAR(EylPaz1+33)=TakvimYılı,MONTH(EylPaz1+33)=9),EylPaz1+33,""),IF(AND(YEAR(EylPaz1+40)=TakvimYılı,MONTH(EylPaz1+40)=9),EylPaz1+40,""))</f>
        <v/>
      </c>
      <c r="H46" s="25" t="str">
        <f>IF(DAY(EylPaz1)=1,IF(AND(YEAR(EylPaz1+34)=TakvimYılı,MONTH(EylPaz1+34)=9),EylPaz1+34,""),IF(AND(YEAR(EylPaz1+41)=TakvimYılı,MONTH(EylPaz1+41)=9),EylPaz1+41,""))</f>
        <v/>
      </c>
      <c r="I46" s="25" t="str">
        <f>IF(DAY(EylPaz1)=1,IF(AND(YEAR(EylPaz1+35)=TakvimYılı,MONTH(EylPaz1+35)=9),EylPaz1+35,""),IF(AND(YEAR(EylPaz1+42)=TakvimYılı,MONTH(EylPaz1+42)=9),EylPaz1+42,""))</f>
        <v/>
      </c>
      <c r="K46" s="25" t="str">
        <f>IF(DAY(EkiPaz1)=1,IF(AND(YEAR(EkiPaz1+29)=TakvimYılı,MONTH(EkiPaz1+29)=10),EkiPaz1+29,""),IF(AND(YEAR(EkiPaz1+36)=TakvimYılı,MONTH(EkiPaz1+36)=10),EkiPaz1+36,""))</f>
        <v/>
      </c>
      <c r="L46" s="25" t="str">
        <f>IF(DAY(EkiPaz1)=1,IF(AND(YEAR(EkiPaz1+30)=TakvimYılı,MONTH(EkiPaz1+30)=10),EkiPaz1+30,""),IF(AND(YEAR(EkiPaz1+37)=TakvimYılı,MONTH(EkiPaz1+37)=10),EkiPaz1+37,""))</f>
        <v/>
      </c>
      <c r="M46" s="25" t="str">
        <f>IF(DAY(EkiPaz1)=1,IF(AND(YEAR(EkiPaz1+31)=TakvimYılı,MONTH(EkiPaz1+31)=10),EkiPaz1+31,""),IF(AND(YEAR(EkiPaz1+38)=TakvimYılı,MONTH(EkiPaz1+38)=10),EkiPaz1+38,""))</f>
        <v/>
      </c>
      <c r="N46" s="25" t="str">
        <f>IF(DAY(EkiPaz1)=1,IF(AND(YEAR(EkiPaz1+32)=TakvimYılı,MONTH(EkiPaz1+32)=10),EkiPaz1+32,""),IF(AND(YEAR(EkiPaz1+39)=TakvimYılı,MONTH(EkiPaz1+39)=10),EkiPaz1+39,""))</f>
        <v/>
      </c>
      <c r="O46" s="25" t="str">
        <f>IF(DAY(EkiPaz1)=1,IF(AND(YEAR(EkiPaz1+33)=TakvimYılı,MONTH(EkiPaz1+33)=10),EkiPaz1+33,""),IF(AND(YEAR(EkiPaz1+40)=TakvimYılı,MONTH(EkiPaz1+40)=10),EkiPaz1+40,""))</f>
        <v/>
      </c>
      <c r="P46" s="25" t="str">
        <f>IF(DAY(EkiPaz1)=1,IF(AND(YEAR(EkiPaz1+34)=TakvimYılı,MONTH(EkiPaz1+34)=10),EkiPaz1+34,""),IF(AND(YEAR(EkiPaz1+41)=TakvimYılı,MONTH(EkiPaz1+41)=10),EkiPaz1+41,""))</f>
        <v/>
      </c>
      <c r="Q46" s="25" t="str">
        <f>IF(DAY(EkiPaz1)=1,IF(AND(YEAR(EkiPaz1+35)=TakvimYılı,MONTH(EkiPaz1+35)=10),EkiPaz1+35,""),IF(AND(YEAR(EkiPaz1+42)=TakvimYılı,MONTH(EkiPaz1+42)=10),EkiPaz1+42,""))</f>
        <v/>
      </c>
      <c r="S46" s="24"/>
      <c r="U46" s="9"/>
      <c r="V46" s="30"/>
      <c r="W46" s="30"/>
    </row>
    <row r="47" spans="1:23" ht="15" customHeight="1" x14ac:dyDescent="0.2">
      <c r="A47" s="18" t="s">
        <v>21</v>
      </c>
      <c r="S47" s="24"/>
      <c r="U47" s="9" t="s">
        <v>54</v>
      </c>
      <c r="V47" s="30"/>
      <c r="W47" s="30"/>
    </row>
    <row r="48" spans="1:23" ht="15" customHeight="1" x14ac:dyDescent="0.2">
      <c r="A48" s="18" t="s">
        <v>22</v>
      </c>
      <c r="C48" s="28" t="s">
        <v>32</v>
      </c>
      <c r="D48" s="28"/>
      <c r="E48" s="28"/>
      <c r="F48" s="28"/>
      <c r="G48" s="28"/>
      <c r="H48" s="28"/>
      <c r="I48" s="28"/>
      <c r="K48" s="28" t="s">
        <v>44</v>
      </c>
      <c r="L48" s="28"/>
      <c r="M48" s="28"/>
      <c r="N48" s="28"/>
      <c r="O48" s="28"/>
      <c r="P48" s="28"/>
      <c r="Q48" s="28"/>
      <c r="S48" s="24"/>
      <c r="U48" s="9" t="s">
        <v>55</v>
      </c>
      <c r="V48" s="30"/>
      <c r="W48" s="30"/>
    </row>
    <row r="49" spans="1:21" ht="15" customHeight="1" x14ac:dyDescent="0.2">
      <c r="A49" s="18" t="s">
        <v>23</v>
      </c>
      <c r="C49" s="11" t="s">
        <v>27</v>
      </c>
      <c r="D49" s="11" t="s">
        <v>33</v>
      </c>
      <c r="E49" s="11" t="s">
        <v>34</v>
      </c>
      <c r="F49" s="11" t="s">
        <v>35</v>
      </c>
      <c r="G49" s="11" t="s">
        <v>36</v>
      </c>
      <c r="H49" s="11" t="s">
        <v>37</v>
      </c>
      <c r="I49" s="11" t="s">
        <v>38</v>
      </c>
      <c r="J49" s="23"/>
      <c r="K49" s="11" t="s">
        <v>27</v>
      </c>
      <c r="L49" s="11" t="s">
        <v>33</v>
      </c>
      <c r="M49" s="11" t="s">
        <v>34</v>
      </c>
      <c r="N49" s="11" t="s">
        <v>35</v>
      </c>
      <c r="O49" s="11" t="s">
        <v>36</v>
      </c>
      <c r="P49" s="11" t="s">
        <v>37</v>
      </c>
      <c r="Q49" s="11" t="s">
        <v>38</v>
      </c>
      <c r="S49" s="24"/>
      <c r="U49" s="9" t="s">
        <v>56</v>
      </c>
    </row>
    <row r="50" spans="1:21" ht="15" customHeight="1" x14ac:dyDescent="0.2">
      <c r="A50" s="18"/>
      <c r="C50" s="25" t="str">
        <f>IF(DAY(KasPaz1)=1,"",IF(AND(YEAR(KasPaz1+1)=TakvimYılı,MONTH(KasPaz1+1)=11),KasPaz1+1,""))</f>
        <v/>
      </c>
      <c r="D50" s="25" t="str">
        <f>IF(DAY(KasPaz1)=1,"",IF(AND(YEAR(KasPaz1+2)=TakvimYılı,MONTH(KasPaz1+2)=11),KasPaz1+2,""))</f>
        <v/>
      </c>
      <c r="E50" s="25" t="str">
        <f>IF(DAY(KasPaz1)=1,"",IF(AND(YEAR(KasPaz1+3)=TakvimYılı,MONTH(KasPaz1+3)=11),KasPaz1+3,""))</f>
        <v/>
      </c>
      <c r="F50" s="25" t="str">
        <f>IF(DAY(KasPaz1)=1,"",IF(AND(YEAR(KasPaz1+4)=TakvimYılı,MONTH(KasPaz1+4)=11),KasPaz1+4,""))</f>
        <v/>
      </c>
      <c r="G50" s="25" t="str">
        <f>IF(DAY(KasPaz1)=1,"",IF(AND(YEAR(KasPaz1+5)=TakvimYılı,MONTH(KasPaz1+5)=11),KasPaz1+5,""))</f>
        <v/>
      </c>
      <c r="H50" s="25" t="str">
        <f>IF(DAY(KasPaz1)=1,"",IF(AND(YEAR(KasPaz1+6)=TakvimYılı,MONTH(KasPaz1+6)=11),KasPaz1+6,""))</f>
        <v/>
      </c>
      <c r="I50" s="25">
        <f>IF(DAY(KasPaz1)=1,IF(AND(YEAR(KasPaz1)=TakvimYılı,MONTH(KasPaz1)=11),KasPaz1,""),IF(AND(YEAR(KasPaz1+7)=TakvimYılı,MONTH(KasPaz1+7)=11),KasPaz1+7,""))</f>
        <v>44136</v>
      </c>
      <c r="K50" s="25" t="str">
        <f>IF(DAY(AraPaz1)=1,"",IF(AND(YEAR(AraPaz1+1)=TakvimYılı,MONTH(AraPaz1+1)=12),AraPaz1+1,""))</f>
        <v/>
      </c>
      <c r="L50" s="25">
        <f>IF(DAY(AraPaz1)=1,"",IF(AND(YEAR(AraPaz1+2)=TakvimYılı,MONTH(AraPaz1+2)=12),AraPaz1+2,""))</f>
        <v>44166</v>
      </c>
      <c r="M50" s="25">
        <f>IF(DAY(AraPaz1)=1,"",IF(AND(YEAR(AraPaz1+3)=TakvimYılı,MONTH(AraPaz1+3)=12),AraPaz1+3,""))</f>
        <v>44167</v>
      </c>
      <c r="N50" s="25">
        <f>IF(DAY(AraPaz1)=1,"",IF(AND(YEAR(AraPaz1+4)=TakvimYılı,MONTH(AraPaz1+4)=12),AraPaz1+4,""))</f>
        <v>44168</v>
      </c>
      <c r="O50" s="25">
        <f>IF(DAY(AraPaz1)=1,"",IF(AND(YEAR(AraPaz1+5)=TakvimYılı,MONTH(AraPaz1+5)=12),AraPaz1+5,""))</f>
        <v>44169</v>
      </c>
      <c r="P50" s="25">
        <f>IF(DAY(AraPaz1)=1,"",IF(AND(YEAR(AraPaz1+6)=TakvimYılı,MONTH(AraPaz1+6)=12),AraPaz1+6,""))</f>
        <v>44170</v>
      </c>
      <c r="Q50" s="25">
        <f>IF(DAY(AraPaz1)=1,IF(AND(YEAR(AraPaz1)=TakvimYılı,MONTH(AraPaz1)=12),AraPaz1,""),IF(AND(YEAR(AraPaz1+7)=TakvimYılı,MONTH(AraPaz1+7)=12),AraPaz1+7,""))</f>
        <v>44171</v>
      </c>
      <c r="S50" s="24"/>
      <c r="U50" s="1"/>
    </row>
    <row r="51" spans="1:21" ht="15" customHeight="1" x14ac:dyDescent="0.2">
      <c r="A51" s="18" t="s">
        <v>24</v>
      </c>
      <c r="C51" s="25">
        <f>IF(DAY(KasPaz1)=1,IF(AND(YEAR(KasPaz1+1)=TakvimYılı,MONTH(KasPaz1+1)=11),KasPaz1+1,""),IF(AND(YEAR(KasPaz1+8)=TakvimYılı,MONTH(KasPaz1+8)=11),KasPaz1+8,""))</f>
        <v>44137</v>
      </c>
      <c r="D51" s="25">
        <f>IF(DAY(KasPaz1)=1,IF(AND(YEAR(KasPaz1+2)=TakvimYılı,MONTH(KasPaz1+2)=11),KasPaz1+2,""),IF(AND(YEAR(KasPaz1+9)=TakvimYılı,MONTH(KasPaz1+9)=11),KasPaz1+9,""))</f>
        <v>44138</v>
      </c>
      <c r="E51" s="25">
        <f>IF(DAY(KasPaz1)=1,IF(AND(YEAR(KasPaz1+3)=TakvimYılı,MONTH(KasPaz1+3)=11),KasPaz1+3,""),IF(AND(YEAR(KasPaz1+10)=TakvimYılı,MONTH(KasPaz1+10)=11),KasPaz1+10,""))</f>
        <v>44139</v>
      </c>
      <c r="F51" s="25">
        <f>IF(DAY(KasPaz1)=1,IF(AND(YEAR(KasPaz1+4)=TakvimYılı,MONTH(KasPaz1+4)=11),KasPaz1+4,""),IF(AND(YEAR(KasPaz1+11)=TakvimYılı,MONTH(KasPaz1+11)=11),KasPaz1+11,""))</f>
        <v>44140</v>
      </c>
      <c r="G51" s="25">
        <f>IF(DAY(KasPaz1)=1,IF(AND(YEAR(KasPaz1+5)=TakvimYılı,MONTH(KasPaz1+5)=11),KasPaz1+5,""),IF(AND(YEAR(KasPaz1+12)=TakvimYılı,MONTH(KasPaz1+12)=11),KasPaz1+12,""))</f>
        <v>44141</v>
      </c>
      <c r="H51" s="25">
        <f>IF(DAY(KasPaz1)=1,IF(AND(YEAR(KasPaz1+6)=TakvimYılı,MONTH(KasPaz1+6)=11),KasPaz1+6,""),IF(AND(YEAR(KasPaz1+13)=TakvimYılı,MONTH(KasPaz1+13)=11),KasPaz1+13,""))</f>
        <v>44142</v>
      </c>
      <c r="I51" s="25">
        <f>IF(DAY(KasPaz1)=1,IF(AND(YEAR(KasPaz1+7)=TakvimYılı,MONTH(KasPaz1+7)=11),KasPaz1+7,""),IF(AND(YEAR(KasPaz1+14)=TakvimYılı,MONTH(KasPaz1+14)=11),KasPaz1+14,""))</f>
        <v>44143</v>
      </c>
      <c r="K51" s="25">
        <f>IF(DAY(AraPaz1)=1,IF(AND(YEAR(AraPaz1+1)=TakvimYılı,MONTH(AraPaz1+1)=12),AraPaz1+1,""),IF(AND(YEAR(AraPaz1+8)=TakvimYılı,MONTH(AraPaz1+8)=12),AraPaz1+8,""))</f>
        <v>44172</v>
      </c>
      <c r="L51" s="25">
        <f>IF(DAY(AraPaz1)=1,IF(AND(YEAR(AraPaz1+2)=TakvimYılı,MONTH(AraPaz1+2)=12),AraPaz1+2,""),IF(AND(YEAR(AraPaz1+9)=TakvimYılı,MONTH(AraPaz1+9)=12),AraPaz1+9,""))</f>
        <v>44173</v>
      </c>
      <c r="M51" s="25">
        <f>IF(DAY(AraPaz1)=1,IF(AND(YEAR(AraPaz1+3)=TakvimYılı,MONTH(AraPaz1+3)=12),AraPaz1+3,""),IF(AND(YEAR(AraPaz1+10)=TakvimYılı,MONTH(AraPaz1+10)=12),AraPaz1+10,""))</f>
        <v>44174</v>
      </c>
      <c r="N51" s="25">
        <f>IF(DAY(AraPaz1)=1,IF(AND(YEAR(AraPaz1+4)=TakvimYılı,MONTH(AraPaz1+4)=12),AraPaz1+4,""),IF(AND(YEAR(AraPaz1+11)=TakvimYılı,MONTH(AraPaz1+11)=12),AraPaz1+11,""))</f>
        <v>44175</v>
      </c>
      <c r="O51" s="25">
        <f>IF(DAY(AraPaz1)=1,IF(AND(YEAR(AraPaz1+5)=TakvimYılı,MONTH(AraPaz1+5)=12),AraPaz1+5,""),IF(AND(YEAR(AraPaz1+12)=TakvimYılı,MONTH(AraPaz1+12)=12),AraPaz1+12,""))</f>
        <v>44176</v>
      </c>
      <c r="P51" s="25">
        <f>IF(DAY(AraPaz1)=1,IF(AND(YEAR(AraPaz1+6)=TakvimYılı,MONTH(AraPaz1+6)=12),AraPaz1+6,""),IF(AND(YEAR(AraPaz1+13)=TakvimYılı,MONTH(AraPaz1+13)=12),AraPaz1+13,""))</f>
        <v>44177</v>
      </c>
      <c r="Q51" s="25">
        <f>IF(DAY(AraPaz1)=1,IF(AND(YEAR(AraPaz1+7)=TakvimYılı,MONTH(AraPaz1+7)=12),AraPaz1+7,""),IF(AND(YEAR(AraPaz1+14)=TakvimYılı,MONTH(AraPaz1+14)=12),AraPaz1+14,""))</f>
        <v>44178</v>
      </c>
      <c r="S51" s="24"/>
      <c r="U51" s="29" t="s">
        <v>57</v>
      </c>
    </row>
    <row r="52" spans="1:21" ht="15" customHeight="1" x14ac:dyDescent="0.2">
      <c r="C52" s="25">
        <f>IF(DAY(KasPaz1)=1,IF(AND(YEAR(KasPaz1+8)=TakvimYılı,MONTH(KasPaz1+8)=11),KasPaz1+8,""),IF(AND(YEAR(KasPaz1+15)=TakvimYılı,MONTH(KasPaz1+15)=11),KasPaz1+15,""))</f>
        <v>44144</v>
      </c>
      <c r="D52" s="25">
        <f>IF(DAY(KasPaz1)=1,IF(AND(YEAR(KasPaz1+9)=TakvimYılı,MONTH(KasPaz1+9)=11),KasPaz1+9,""),IF(AND(YEAR(KasPaz1+16)=TakvimYılı,MONTH(KasPaz1+16)=11),KasPaz1+16,""))</f>
        <v>44145</v>
      </c>
      <c r="E52" s="25">
        <f>IF(DAY(KasPaz1)=1,IF(AND(YEAR(KasPaz1+10)=TakvimYılı,MONTH(KasPaz1+10)=11),KasPaz1+10,""),IF(AND(YEAR(KasPaz1+17)=TakvimYılı,MONTH(KasPaz1+17)=11),KasPaz1+17,""))</f>
        <v>44146</v>
      </c>
      <c r="F52" s="25">
        <f>IF(DAY(KasPaz1)=1,IF(AND(YEAR(KasPaz1+11)=TakvimYılı,MONTH(KasPaz1+11)=11),KasPaz1+11,""),IF(AND(YEAR(KasPaz1+18)=TakvimYılı,MONTH(KasPaz1+18)=11),KasPaz1+18,""))</f>
        <v>44147</v>
      </c>
      <c r="G52" s="25">
        <f>IF(DAY(KasPaz1)=1,IF(AND(YEAR(KasPaz1+12)=TakvimYılı,MONTH(KasPaz1+12)=11),KasPaz1+12,""),IF(AND(YEAR(KasPaz1+19)=TakvimYılı,MONTH(KasPaz1+19)=11),KasPaz1+19,""))</f>
        <v>44148</v>
      </c>
      <c r="H52" s="25">
        <f>IF(DAY(KasPaz1)=1,IF(AND(YEAR(KasPaz1+13)=TakvimYılı,MONTH(KasPaz1+13)=11),KasPaz1+13,""),IF(AND(YEAR(KasPaz1+20)=TakvimYılı,MONTH(KasPaz1+20)=11),KasPaz1+20,""))</f>
        <v>44149</v>
      </c>
      <c r="I52" s="25">
        <f>IF(DAY(KasPaz1)=1,IF(AND(YEAR(KasPaz1+14)=TakvimYılı,MONTH(KasPaz1+14)=11),KasPaz1+14,""),IF(AND(YEAR(KasPaz1+21)=TakvimYılı,MONTH(KasPaz1+21)=11),KasPaz1+21,""))</f>
        <v>44150</v>
      </c>
      <c r="K52" s="25">
        <f>IF(DAY(AraPaz1)=1,IF(AND(YEAR(AraPaz1+8)=TakvimYılı,MONTH(AraPaz1+8)=12),AraPaz1+8,""),IF(AND(YEAR(AraPaz1+15)=TakvimYılı,MONTH(AraPaz1+15)=12),AraPaz1+15,""))</f>
        <v>44179</v>
      </c>
      <c r="L52" s="25">
        <f>IF(DAY(AraPaz1)=1,IF(AND(YEAR(AraPaz1+9)=TakvimYılı,MONTH(AraPaz1+9)=12),AraPaz1+9,""),IF(AND(YEAR(AraPaz1+16)=TakvimYılı,MONTH(AraPaz1+16)=12),AraPaz1+16,""))</f>
        <v>44180</v>
      </c>
      <c r="M52" s="25">
        <f>IF(DAY(AraPaz1)=1,IF(AND(YEAR(AraPaz1+10)=TakvimYılı,MONTH(AraPaz1+10)=12),AraPaz1+10,""),IF(AND(YEAR(AraPaz1+17)=TakvimYılı,MONTH(AraPaz1+17)=12),AraPaz1+17,""))</f>
        <v>44181</v>
      </c>
      <c r="N52" s="25">
        <f>IF(DAY(AraPaz1)=1,IF(AND(YEAR(AraPaz1+11)=TakvimYılı,MONTH(AraPaz1+11)=12),AraPaz1+11,""),IF(AND(YEAR(AraPaz1+18)=TakvimYılı,MONTH(AraPaz1+18)=12),AraPaz1+18,""))</f>
        <v>44182</v>
      </c>
      <c r="O52" s="25">
        <f>IF(DAY(AraPaz1)=1,IF(AND(YEAR(AraPaz1+12)=TakvimYılı,MONTH(AraPaz1+12)=12),AraPaz1+12,""),IF(AND(YEAR(AraPaz1+19)=TakvimYılı,MONTH(AraPaz1+19)=12),AraPaz1+19,""))</f>
        <v>44183</v>
      </c>
      <c r="P52" s="25">
        <f>IF(DAY(AraPaz1)=1,IF(AND(YEAR(AraPaz1+13)=TakvimYılı,MONTH(AraPaz1+13)=12),AraPaz1+13,""),IF(AND(YEAR(AraPaz1+20)=TakvimYılı,MONTH(AraPaz1+20)=12),AraPaz1+20,""))</f>
        <v>44184</v>
      </c>
      <c r="Q52" s="25">
        <f>IF(DAY(AraPaz1)=1,IF(AND(YEAR(AraPaz1+14)=TakvimYılı,MONTH(AraPaz1+14)=12),AraPaz1+14,""),IF(AND(YEAR(AraPaz1+21)=TakvimYılı,MONTH(AraPaz1+21)=12),AraPaz1+21,""))</f>
        <v>44185</v>
      </c>
      <c r="S52" s="24"/>
      <c r="U52" s="29"/>
    </row>
    <row r="53" spans="1:21" ht="15" customHeight="1" x14ac:dyDescent="0.2">
      <c r="C53" s="25">
        <f>IF(DAY(KasPaz1)=1,IF(AND(YEAR(KasPaz1+15)=TakvimYılı,MONTH(KasPaz1+15)=11),KasPaz1+15,""),IF(AND(YEAR(KasPaz1+22)=TakvimYılı,MONTH(KasPaz1+22)=11),KasPaz1+22,""))</f>
        <v>44151</v>
      </c>
      <c r="D53" s="25">
        <f>IF(DAY(KasPaz1)=1,IF(AND(YEAR(KasPaz1+16)=TakvimYılı,MONTH(KasPaz1+16)=11),KasPaz1+16,""),IF(AND(YEAR(KasPaz1+23)=TakvimYılı,MONTH(KasPaz1+23)=11),KasPaz1+23,""))</f>
        <v>44152</v>
      </c>
      <c r="E53" s="25">
        <f>IF(DAY(KasPaz1)=1,IF(AND(YEAR(KasPaz1+17)=TakvimYılı,MONTH(KasPaz1+17)=11),KasPaz1+17,""),IF(AND(YEAR(KasPaz1+24)=TakvimYılı,MONTH(KasPaz1+24)=11),KasPaz1+24,""))</f>
        <v>44153</v>
      </c>
      <c r="F53" s="25">
        <f>IF(DAY(KasPaz1)=1,IF(AND(YEAR(KasPaz1+18)=TakvimYılı,MONTH(KasPaz1+18)=11),KasPaz1+18,""),IF(AND(YEAR(KasPaz1+25)=TakvimYılı,MONTH(KasPaz1+25)=11),KasPaz1+25,""))</f>
        <v>44154</v>
      </c>
      <c r="G53" s="25">
        <f>IF(DAY(KasPaz1)=1,IF(AND(YEAR(KasPaz1+19)=TakvimYılı,MONTH(KasPaz1+19)=11),KasPaz1+19,""),IF(AND(YEAR(KasPaz1+26)=TakvimYılı,MONTH(KasPaz1+26)=11),KasPaz1+26,""))</f>
        <v>44155</v>
      </c>
      <c r="H53" s="25">
        <f>IF(DAY(KasPaz1)=1,IF(AND(YEAR(KasPaz1+20)=TakvimYılı,MONTH(KasPaz1+20)=11),KasPaz1+20,""),IF(AND(YEAR(KasPaz1+27)=TakvimYılı,MONTH(KasPaz1+27)=11),KasPaz1+27,""))</f>
        <v>44156</v>
      </c>
      <c r="I53" s="25">
        <f>IF(DAY(KasPaz1)=1,IF(AND(YEAR(KasPaz1+21)=TakvimYılı,MONTH(KasPaz1+21)=11),KasPaz1+21,""),IF(AND(YEAR(KasPaz1+28)=TakvimYılı,MONTH(KasPaz1+28)=11),KasPaz1+28,""))</f>
        <v>44157</v>
      </c>
      <c r="K53" s="25">
        <f>IF(DAY(AraPaz1)=1,IF(AND(YEAR(AraPaz1+15)=TakvimYılı,MONTH(AraPaz1+15)=12),AraPaz1+15,""),IF(AND(YEAR(AraPaz1+22)=TakvimYılı,MONTH(AraPaz1+22)=12),AraPaz1+22,""))</f>
        <v>44186</v>
      </c>
      <c r="L53" s="25">
        <f>IF(DAY(AraPaz1)=1,IF(AND(YEAR(AraPaz1+16)=TakvimYılı,MONTH(AraPaz1+16)=12),AraPaz1+16,""),IF(AND(YEAR(AraPaz1+23)=TakvimYılı,MONTH(AraPaz1+23)=12),AraPaz1+23,""))</f>
        <v>44187</v>
      </c>
      <c r="M53" s="25">
        <f>IF(DAY(AraPaz1)=1,IF(AND(YEAR(AraPaz1+17)=TakvimYılı,MONTH(AraPaz1+17)=12),AraPaz1+17,""),IF(AND(YEAR(AraPaz1+24)=TakvimYılı,MONTH(AraPaz1+24)=12),AraPaz1+24,""))</f>
        <v>44188</v>
      </c>
      <c r="N53" s="25">
        <f>IF(DAY(AraPaz1)=1,IF(AND(YEAR(AraPaz1+18)=TakvimYılı,MONTH(AraPaz1+18)=12),AraPaz1+18,""),IF(AND(YEAR(AraPaz1+25)=TakvimYılı,MONTH(AraPaz1+25)=12),AraPaz1+25,""))</f>
        <v>44189</v>
      </c>
      <c r="O53" s="25">
        <f>IF(DAY(AraPaz1)=1,IF(AND(YEAR(AraPaz1+19)=TakvimYılı,MONTH(AraPaz1+19)=12),AraPaz1+19,""),IF(AND(YEAR(AraPaz1+26)=TakvimYılı,MONTH(AraPaz1+26)=12),AraPaz1+26,""))</f>
        <v>44190</v>
      </c>
      <c r="P53" s="25">
        <f>IF(DAY(AraPaz1)=1,IF(AND(YEAR(AraPaz1+20)=TakvimYılı,MONTH(AraPaz1+20)=12),AraPaz1+20,""),IF(AND(YEAR(AraPaz1+27)=TakvimYılı,MONTH(AraPaz1+27)=12),AraPaz1+27,""))</f>
        <v>44191</v>
      </c>
      <c r="Q53" s="25">
        <f>IF(DAY(AraPaz1)=1,IF(AND(YEAR(AraPaz1+21)=TakvimYılı,MONTH(AraPaz1+21)=12),AraPaz1+21,""),IF(AND(YEAR(AraPaz1+28)=TakvimYılı,MONTH(AraPaz1+28)=12),AraPaz1+28,""))</f>
        <v>44192</v>
      </c>
      <c r="S53" s="24"/>
      <c r="U53" s="29"/>
    </row>
    <row r="54" spans="1:21" ht="15" customHeight="1" x14ac:dyDescent="0.2">
      <c r="C54" s="25">
        <f>IF(DAY(KasPaz1)=1,IF(AND(YEAR(KasPaz1+22)=TakvimYılı,MONTH(KasPaz1+22)=11),KasPaz1+22,""),IF(AND(YEAR(KasPaz1+29)=TakvimYılı,MONTH(KasPaz1+29)=11),KasPaz1+29,""))</f>
        <v>44158</v>
      </c>
      <c r="D54" s="25">
        <f>IF(DAY(KasPaz1)=1,IF(AND(YEAR(KasPaz1+23)=TakvimYılı,MONTH(KasPaz1+23)=11),KasPaz1+23,""),IF(AND(YEAR(KasPaz1+30)=TakvimYılı,MONTH(KasPaz1+30)=11),KasPaz1+30,""))</f>
        <v>44159</v>
      </c>
      <c r="E54" s="25">
        <f>IF(DAY(KasPaz1)=1,IF(AND(YEAR(KasPaz1+24)=TakvimYılı,MONTH(KasPaz1+24)=11),KasPaz1+24,""),IF(AND(YEAR(KasPaz1+31)=TakvimYılı,MONTH(KasPaz1+31)=11),KasPaz1+31,""))</f>
        <v>44160</v>
      </c>
      <c r="F54" s="25">
        <f>IF(DAY(KasPaz1)=1,IF(AND(YEAR(KasPaz1+25)=TakvimYılı,MONTH(KasPaz1+25)=11),KasPaz1+25,""),IF(AND(YEAR(KasPaz1+32)=TakvimYılı,MONTH(KasPaz1+32)=11),KasPaz1+32,""))</f>
        <v>44161</v>
      </c>
      <c r="G54" s="25">
        <f>IF(DAY(KasPaz1)=1,IF(AND(YEAR(KasPaz1+26)=TakvimYılı,MONTH(KasPaz1+26)=11),KasPaz1+26,""),IF(AND(YEAR(KasPaz1+33)=TakvimYılı,MONTH(KasPaz1+33)=11),KasPaz1+33,""))</f>
        <v>44162</v>
      </c>
      <c r="H54" s="25">
        <f>IF(DAY(KasPaz1)=1,IF(AND(YEAR(KasPaz1+27)=TakvimYılı,MONTH(KasPaz1+27)=11),KasPaz1+27,""),IF(AND(YEAR(KasPaz1+34)=TakvimYılı,MONTH(KasPaz1+34)=11),KasPaz1+34,""))</f>
        <v>44163</v>
      </c>
      <c r="I54" s="25">
        <f>IF(DAY(KasPaz1)=1,IF(AND(YEAR(KasPaz1+28)=TakvimYılı,MONTH(KasPaz1+28)=11),KasPaz1+28,""),IF(AND(YEAR(KasPaz1+35)=TakvimYılı,MONTH(KasPaz1+35)=11),KasPaz1+35,""))</f>
        <v>44164</v>
      </c>
      <c r="K54" s="25">
        <f>IF(DAY(AraPaz1)=1,IF(AND(YEAR(AraPaz1+22)=TakvimYılı,MONTH(AraPaz1+22)=12),AraPaz1+22,""),IF(AND(YEAR(AraPaz1+29)=TakvimYılı,MONTH(AraPaz1+29)=12),AraPaz1+29,""))</f>
        <v>44193</v>
      </c>
      <c r="L54" s="25">
        <f>IF(DAY(AraPaz1)=1,IF(AND(YEAR(AraPaz1+23)=TakvimYılı,MONTH(AraPaz1+23)=12),AraPaz1+23,""),IF(AND(YEAR(AraPaz1+30)=TakvimYılı,MONTH(AraPaz1+30)=12),AraPaz1+30,""))</f>
        <v>44194</v>
      </c>
      <c r="M54" s="25">
        <f>IF(DAY(AraPaz1)=1,IF(AND(YEAR(AraPaz1+24)=TakvimYılı,MONTH(AraPaz1+24)=12),AraPaz1+24,""),IF(AND(YEAR(AraPaz1+31)=TakvimYılı,MONTH(AraPaz1+31)=12),AraPaz1+31,""))</f>
        <v>44195</v>
      </c>
      <c r="N54" s="25">
        <f>IF(DAY(AraPaz1)=1,IF(AND(YEAR(AraPaz1+25)=TakvimYılı,MONTH(AraPaz1+25)=12),AraPaz1+25,""),IF(AND(YEAR(AraPaz1+32)=TakvimYılı,MONTH(AraPaz1+32)=12),AraPaz1+32,""))</f>
        <v>44196</v>
      </c>
      <c r="O54" s="25" t="str">
        <f>IF(DAY(AraPaz1)=1,IF(AND(YEAR(AraPaz1+26)=TakvimYılı,MONTH(AraPaz1+26)=12),AraPaz1+26,""),IF(AND(YEAR(AraPaz1+33)=TakvimYılı,MONTH(AraPaz1+33)=12),AraPaz1+33,""))</f>
        <v/>
      </c>
      <c r="P54" s="25" t="str">
        <f>IF(DAY(AraPaz1)=1,IF(AND(YEAR(AraPaz1+27)=TakvimYılı,MONTH(AraPaz1+27)=12),AraPaz1+27,""),IF(AND(YEAR(AraPaz1+34)=TakvimYılı,MONTH(AraPaz1+34)=12),AraPaz1+34,""))</f>
        <v/>
      </c>
      <c r="Q54" s="25" t="str">
        <f>IF(DAY(AraPaz1)=1,IF(AND(YEAR(AraPaz1+28)=TakvimYılı,MONTH(AraPaz1+28)=12),AraPaz1+28,""),IF(AND(YEAR(AraPaz1+35)=TakvimYılı,MONTH(AraPaz1+35)=12),AraPaz1+35,""))</f>
        <v/>
      </c>
      <c r="S54" s="24"/>
      <c r="U54" s="29"/>
    </row>
    <row r="55" spans="1:21" ht="15" customHeight="1" x14ac:dyDescent="0.2">
      <c r="C55" s="25">
        <f>IF(DAY(KasPaz1)=1,IF(AND(YEAR(KasPaz1+29)=TakvimYılı,MONTH(KasPaz1+29)=11),KasPaz1+29,""),IF(AND(YEAR(KasPaz1+36)=TakvimYılı,MONTH(KasPaz1+36)=11),KasPaz1+36,""))</f>
        <v>44165</v>
      </c>
      <c r="D55" s="25" t="str">
        <f>IF(DAY(KasPaz1)=1,IF(AND(YEAR(KasPaz1+30)=TakvimYılı,MONTH(KasPaz1+30)=11),KasPaz1+30,""),IF(AND(YEAR(KasPaz1+37)=TakvimYılı,MONTH(KasPaz1+37)=11),KasPaz1+37,""))</f>
        <v/>
      </c>
      <c r="E55" s="25" t="str">
        <f>IF(DAY(KasPaz1)=1,IF(AND(YEAR(KasPaz1+31)=TakvimYılı,MONTH(KasPaz1+31)=11),KasPaz1+31,""),IF(AND(YEAR(KasPaz1+38)=TakvimYılı,MONTH(KasPaz1+38)=11),KasPaz1+38,""))</f>
        <v/>
      </c>
      <c r="F55" s="25" t="str">
        <f>IF(DAY(KasPaz1)=1,IF(AND(YEAR(KasPaz1+32)=TakvimYılı,MONTH(KasPaz1+32)=11),KasPaz1+32,""),IF(AND(YEAR(KasPaz1+39)=TakvimYılı,MONTH(KasPaz1+39)=11),KasPaz1+39,""))</f>
        <v/>
      </c>
      <c r="G55" s="25" t="str">
        <f>IF(DAY(KasPaz1)=1,IF(AND(YEAR(KasPaz1+33)=TakvimYılı,MONTH(KasPaz1+33)=11),KasPaz1+33,""),IF(AND(YEAR(KasPaz1+40)=TakvimYılı,MONTH(KasPaz1+40)=11),KasPaz1+40,""))</f>
        <v/>
      </c>
      <c r="H55" s="25" t="str">
        <f>IF(DAY(KasPaz1)=1,IF(AND(YEAR(KasPaz1+34)=TakvimYılı,MONTH(KasPaz1+34)=11),KasPaz1+34,""),IF(AND(YEAR(KasPaz1+41)=TakvimYılı,MONTH(KasPaz1+41)=11),KasPaz1+41,""))</f>
        <v/>
      </c>
      <c r="I55" s="25" t="str">
        <f>IF(DAY(KasPaz1)=1,IF(AND(YEAR(KasPaz1+35)=TakvimYılı,MONTH(KasPaz1+35)=11),KasPaz1+35,""),IF(AND(YEAR(KasPaz1+42)=TakvimYılı,MONTH(KasPaz1+42)=11),KasPaz1+42,""))</f>
        <v/>
      </c>
      <c r="K55" s="25" t="str">
        <f>IF(DAY(AraPaz1)=1,IF(AND(YEAR(AraPaz1+29)=TakvimYılı,MONTH(AraPaz1+29)=12),AraPaz1+29,""),IF(AND(YEAR(AraPaz1+36)=TakvimYılı,MONTH(AraPaz1+36)=12),AraPaz1+36,""))</f>
        <v/>
      </c>
      <c r="L55" s="25" t="str">
        <f>IF(DAY(AraPaz1)=1,IF(AND(YEAR(AraPaz1+30)=TakvimYılı,MONTH(AraPaz1+30)=12),AraPaz1+30,""),IF(AND(YEAR(AraPaz1+37)=TakvimYılı,MONTH(AraPaz1+37)=12),AraPaz1+37,""))</f>
        <v/>
      </c>
      <c r="M55" s="25" t="str">
        <f>IF(DAY(AraPaz1)=1,IF(AND(YEAR(AraPaz1+31)=TakvimYılı,MONTH(AraPaz1+31)=12),AraPaz1+31,""),IF(AND(YEAR(AraPaz1+38)=TakvimYılı,MONTH(AraPaz1+38)=12),AraPaz1+38,""))</f>
        <v/>
      </c>
      <c r="N55" s="25" t="str">
        <f>IF(DAY(AraPaz1)=1,IF(AND(YEAR(AraPaz1+32)=TakvimYılı,MONTH(AraPaz1+32)=12),AraPaz1+32,""),IF(AND(YEAR(AraPaz1+39)=TakvimYılı,MONTH(AraPaz1+39)=12),AraPaz1+39,""))</f>
        <v/>
      </c>
      <c r="O55" s="25" t="str">
        <f>IF(DAY(AraPaz1)=1,IF(AND(YEAR(AraPaz1+33)=TakvimYılı,MONTH(AraPaz1+33)=12),AraPaz1+33,""),IF(AND(YEAR(AraPaz1+40)=TakvimYılı,MONTH(AraPaz1+40)=12),AraPaz1+40,""))</f>
        <v/>
      </c>
      <c r="P55" s="25" t="str">
        <f>IF(DAY(AraPaz1)=1,IF(AND(YEAR(AraPaz1+34)=TakvimYılı,MONTH(AraPaz1+34)=12),AraPaz1+34,""),IF(AND(YEAR(AraPaz1+41)=TakvimYılı,MONTH(AraPaz1+41)=12),AraPaz1+41,""))</f>
        <v/>
      </c>
      <c r="Q55" s="25" t="str">
        <f>IF(DAY(AraPaz1)=1,IF(AND(YEAR(AraPaz1+35)=TakvimYılı,MONTH(AraPaz1+35)=12),AraPaz1+35,""),IF(AND(YEAR(AraPaz1+42)=TakvimYılı,MONTH(AraPaz1+42)=12),AraPaz1+42,""))</f>
        <v/>
      </c>
      <c r="S55" s="24"/>
      <c r="U55" s="29"/>
    </row>
    <row r="56" spans="1:21" ht="15" customHeight="1" x14ac:dyDescent="0.2"/>
    <row r="57" spans="1:21" ht="15" customHeight="1" x14ac:dyDescent="0.2"/>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V3:W48"/>
    <mergeCell ref="C12:I12"/>
    <mergeCell ref="K12:Q12"/>
    <mergeCell ref="C21:I21"/>
    <mergeCell ref="K21:Q21"/>
    <mergeCell ref="C30:I30"/>
    <mergeCell ref="K30:Q30"/>
    <mergeCell ref="C1:F1"/>
    <mergeCell ref="B2:J2"/>
    <mergeCell ref="C3:I3"/>
    <mergeCell ref="K3:Q3"/>
    <mergeCell ref="U51:U55"/>
    <mergeCell ref="C39:I39"/>
    <mergeCell ref="K39:Q39"/>
    <mergeCell ref="C48:I48"/>
    <mergeCell ref="K48:Q48"/>
  </mergeCells>
  <phoneticPr fontId="6" type="noConversion"/>
  <dataValidations count="1">
    <dataValidation allowBlank="1" showInputMessage="1" showErrorMessage="1" errorTitle="Geçersiz Yıl" error="1900 ve 9999 arasında bir yıl girin veya kaydırma çubuğunu kullanarak bir yıl seçin." sqref="C1:F1" xr:uid="{00000000-0002-0000-0100-000000000000}"/>
  </dataValidations>
  <printOptions horizontalCentered="1" verticalCentered="1"/>
  <pageMargins left="0.5" right="0.5" top="0.5" bottom="0.5" header="0.3" footer="0.3"/>
  <pageSetup paperSize="9" scale="83"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Değiştirici">
              <controlPr defaultSize="0" print="0" autoPict="0" altText="Takvim yılını değiştirmek için değiştirici düğmesini kullanın veya C1 hücresine yılı girin">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477D36-9C31-4E01-8098-E1A11F5C4BF3}">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910982-F24E-49CE-AAE3-0CDBB69F7F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Başlangıç</vt:lpstr>
      <vt:lpstr>Yıllık Takvim</vt:lpstr>
      <vt:lpstr>TakvimYılı</vt:lpstr>
      <vt:lpstr>'Yıllık Takvim'!Yazdırma_Alanı</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2020-02-19T03:51:31Z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