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ör\Desktop\sv-SE\"/>
    </mc:Choice>
  </mc:AlternateContent>
  <bookViews>
    <workbookView xWindow="0" yWindow="0" windowWidth="21600" windowHeight="9510" tabRatio="741"/>
  </bookViews>
  <sheets>
    <sheet name="Jan" sheetId="1" r:id="rId1"/>
    <sheet name="Feb" sheetId="6" r:id="rId2"/>
    <sheet name="Mar" sheetId="17" r:id="rId3"/>
    <sheet name="Apr" sheetId="18" r:id="rId4"/>
    <sheet name="Maj" sheetId="19" r:id="rId5"/>
    <sheet name="Jun" sheetId="20" r:id="rId6"/>
    <sheet name="Jul" sheetId="21" r:id="rId7"/>
    <sheet name="Aug" sheetId="22" r:id="rId8"/>
    <sheet name="Sep" sheetId="23" r:id="rId9"/>
    <sheet name="Okt" sheetId="24" r:id="rId10"/>
    <sheet name="Nov" sheetId="25" r:id="rId11"/>
    <sheet name="Dec" sheetId="26" r:id="rId12"/>
  </sheets>
  <definedNames>
    <definedName name="AprSön1">DATE(KalenderÅr,4,1)-WEEKDAY(DATE(KalenderÅr,4,1))+1</definedName>
    <definedName name="AugSön1">DATE(KalenderÅr,8,1)-WEEKDAY(DATE(KalenderÅr,8,1))+1</definedName>
    <definedName name="DecSön1">DATE(KalenderÅr,12,1)-WEEKDAY(DATE(KalenderÅr,12,1))+1</definedName>
    <definedName name="FebSön1">DATE(KalenderÅr,2,1)-WEEKDAY(DATE(KalenderÅr,2,1))+1</definedName>
    <definedName name="JanSön1">DATE(KalenderÅr,1,1)-WEEKDAY(DATE(KalenderÅr,1,1))+1</definedName>
    <definedName name="JulSön1">DATE(KalenderÅr,7,1)-WEEKDAY(DATE(KalenderÅr,7,1))+1</definedName>
    <definedName name="JunSön1">DATE(KalenderÅr,6,1)-WEEKDAY(DATE(KalenderÅr,6,1))+1</definedName>
    <definedName name="KalenderÅr">Jan!$B$1</definedName>
    <definedName name="KolumnRubrik1">JanuariUppgifter[[#Headers],[Veckodag]]</definedName>
    <definedName name="KolumnRubrik10">OktoberUppgifter[[#Headers],[Veckodag]]</definedName>
    <definedName name="KolumnRubrik11">NovemberUppgifter[[#Headers],[Veckodag]]</definedName>
    <definedName name="KolumnRubrik12">DecemberUppgifter[[#Headers],[Veckodag]]</definedName>
    <definedName name="KolumnRubrik2">FebruariUppgifter[[#Headers],[Veckodag]]</definedName>
    <definedName name="KolumnRubrik3">MarsUppgifter[[#Headers],[Veckodag]]</definedName>
    <definedName name="KolumnRubrik4">AprilUppgifter[[#Headers],[Veckodag]]</definedName>
    <definedName name="KolumnRubrik5">MajUppgifter[[#Headers],[Veckodag]]</definedName>
    <definedName name="KolumnRubrik6">JuniUppgifter[[#Headers],[Veckodag]]</definedName>
    <definedName name="KolumnRubrik7">JuliUppgifter[[#Headers],[Veckodag]]</definedName>
    <definedName name="KolumnRubrik8">AugustiUppgifter[[#Headers],[Veckodag]]</definedName>
    <definedName name="KolumnRubrik9">SeptemberUppgifter[[#Headers],[Veckodag]]</definedName>
    <definedName name="KolumnRubrikAvsnitt1..I8.1">Jan!$C$2</definedName>
    <definedName name="KolumnRubrikAvsnitt1..I8.10">Okt!$C$2</definedName>
    <definedName name="KolumnRubrikAvsnitt1..I8.11">Nov!$C$2</definedName>
    <definedName name="KolumnRubrikAvsnitt1..I8.12">Dec!$C$2</definedName>
    <definedName name="KolumnRubrikAvsnitt1..I8.2">Feb!$C$2</definedName>
    <definedName name="KolumnRubrikAvsnitt1..I8.3">Mar!$C$2</definedName>
    <definedName name="KolumnRubrikAvsnitt1..I8.4">Apr!$C$2</definedName>
    <definedName name="KolumnRubrikAvsnitt1..I8.5">Maj!$C$2</definedName>
    <definedName name="KolumnRubrikAvsnitt1..I8.6">Jun!$C$2</definedName>
    <definedName name="KolumnRubrikAvsnitt1..I8.7">Jul!$C$2</definedName>
    <definedName name="KolumnRubrikAvsnitt1..I8.8">Aug!$C$2</definedName>
    <definedName name="KolumnRubrikAvsnitt1..I8.9">Sep!$C$2</definedName>
    <definedName name="MajSön1">DATE(KalenderÅr,5,1)-WEEKDAY(DATE(KalenderÅr,5,1))+1</definedName>
    <definedName name="MarSön1">DATE(KalenderÅr,3,1)-WEEKDAY(DATE(KalenderÅr,3,1))+1</definedName>
    <definedName name="NovSön1">DATE(KalenderÅr,11,1)-WEEKDAY(DATE(KalenderÅr,11,1))+1</definedName>
    <definedName name="OktSön1">DATE(KalenderÅr,10,1)-WEEKDAY(DATE(KalenderÅr,10,1))+1</definedName>
    <definedName name="RubrikAvsnitt2..I31.1">Jan!$A$11</definedName>
    <definedName name="RubrikAvsnitt2..I31.10">Okt!$A$11</definedName>
    <definedName name="RubrikAvsnitt2..I31.11">Nov!$A$11</definedName>
    <definedName name="RubrikAvsnitt2..I31.12">Dec!$A$11</definedName>
    <definedName name="RubrikAvsnitt2..I31.2">Feb!$A$11</definedName>
    <definedName name="RubrikAvsnitt2..I31.3">Mar!$A$11</definedName>
    <definedName name="RubrikAvsnitt2..I31.4">Apr!$A$11</definedName>
    <definedName name="RubrikAvsnitt2..I31.5">Maj!$A$11</definedName>
    <definedName name="RubrikAvsnitt2..I31.6">Jun!$A$11</definedName>
    <definedName name="RubrikAvsnitt2..I31.7">Jul!$A$11</definedName>
    <definedName name="RubrikAvsnitt2..I31.8">Aug!$A$11</definedName>
    <definedName name="RubrikAvsnitt2..I31.9">Sep!$A$11</definedName>
    <definedName name="SepSön1">DATE(KalenderÅr,9,1)-WEEKDAY(DATE(KalenderÅr,9,1))+1</definedName>
    <definedName name="UppgiftsDagar" localSheetId="3">Apr!$K$2:$K$31</definedName>
    <definedName name="UppgiftsDagar" localSheetId="7">Aug!$K$2:$K$31</definedName>
    <definedName name="UppgiftsDagar" localSheetId="11">Dec!$K$2:$K$31</definedName>
    <definedName name="UppgiftsDagar" localSheetId="1">Feb!$K$2:$K$31</definedName>
    <definedName name="UppgiftsDagar" localSheetId="6">Jul!$K$2:$K$31</definedName>
    <definedName name="UppgiftsDagar" localSheetId="5">Jun!$K$2:$K$31</definedName>
    <definedName name="UppgiftsDagar" localSheetId="4">Maj!$K$2:$K$31</definedName>
    <definedName name="UppgiftsDagar" localSheetId="2">Mar!$K$2:$K$31</definedName>
    <definedName name="UppgiftsDagar" localSheetId="10">Nov!$K$2:$K$31</definedName>
    <definedName name="UppgiftsDagar" localSheetId="9">Okt!$K$2:$K$31</definedName>
    <definedName name="UppgiftsDagar" localSheetId="8">Sep!$K$2:$K$31</definedName>
    <definedName name="UppgiftsDagar">Jan!$K$2:$K$31</definedName>
    <definedName name="ViktigaDatumTabell" localSheetId="3">Apr!$K$2:$L$6</definedName>
    <definedName name="ViktigaDatumTabell" localSheetId="7">Aug!$K$2:$L$6</definedName>
    <definedName name="ViktigaDatumTabell" localSheetId="11">Dec!$K$2:$L$6</definedName>
    <definedName name="ViktigaDatumTabell" localSheetId="1">Feb!$K$2:$L$6</definedName>
    <definedName name="ViktigaDatumTabell" localSheetId="6">Jul!$K$2:$L$6</definedName>
    <definedName name="ViktigaDatumTabell" localSheetId="5">Jun!$K$2:$L$6</definedName>
    <definedName name="ViktigaDatumTabell" localSheetId="4">Maj!$K$2:$L$6</definedName>
    <definedName name="ViktigaDatumTabell" localSheetId="2">Mar!$K$2:$L$6</definedName>
    <definedName name="ViktigaDatumTabell" localSheetId="10">Nov!$K$2:$L$6</definedName>
    <definedName name="ViktigaDatumTabell" localSheetId="9">Okt!$K$2:$L$6</definedName>
    <definedName name="ViktigaDatumTabell" localSheetId="8">Sep!$K$2:$L$6</definedName>
    <definedName name="ViktigaDatumTabell">Jan!$K$2:$L$6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B1" i="6" s="1"/>
  <c r="B1" i="18" l="1"/>
  <c r="B1" i="17"/>
  <c r="B1" i="20"/>
  <c r="B1" i="19"/>
  <c r="B1" i="22"/>
  <c r="B1" i="21"/>
  <c r="B1" i="24"/>
  <c r="B1" i="23"/>
  <c r="B1" i="26"/>
  <c r="B1" i="25"/>
  <c r="I8" i="26"/>
  <c r="H8" i="26"/>
  <c r="G8" i="26"/>
  <c r="F8" i="26"/>
  <c r="E8" i="26"/>
  <c r="D8" i="26"/>
  <c r="C8" i="26"/>
  <c r="I7" i="26"/>
  <c r="H7" i="26"/>
  <c r="G7" i="26"/>
  <c r="F7" i="26"/>
  <c r="E7" i="26"/>
  <c r="D7" i="26"/>
  <c r="C7" i="26"/>
  <c r="I6" i="26"/>
  <c r="H6" i="26"/>
  <c r="G6" i="26"/>
  <c r="F6" i="26"/>
  <c r="E6" i="26"/>
  <c r="D6" i="26"/>
  <c r="C6" i="26"/>
  <c r="I5" i="26"/>
  <c r="H5" i="26"/>
  <c r="G5" i="26"/>
  <c r="F5" i="26"/>
  <c r="E5" i="26"/>
  <c r="D5" i="26"/>
  <c r="C5" i="26"/>
  <c r="I4" i="26"/>
  <c r="H4" i="26"/>
  <c r="G4" i="26"/>
  <c r="F4" i="26"/>
  <c r="E4" i="26"/>
  <c r="D4" i="26"/>
  <c r="C4" i="26"/>
  <c r="I3" i="26"/>
  <c r="H3" i="26"/>
  <c r="G3" i="26"/>
  <c r="F3" i="26"/>
  <c r="E3" i="26"/>
  <c r="D3" i="26"/>
  <c r="C3" i="26"/>
  <c r="I8" i="25"/>
  <c r="H8" i="25"/>
  <c r="G8" i="25"/>
  <c r="F8" i="25"/>
  <c r="E8" i="25"/>
  <c r="D8" i="25"/>
  <c r="C8" i="25"/>
  <c r="I7" i="25"/>
  <c r="H7" i="25"/>
  <c r="G7" i="25"/>
  <c r="F7" i="25"/>
  <c r="E7" i="25"/>
  <c r="D7" i="25"/>
  <c r="C7" i="25"/>
  <c r="I6" i="25"/>
  <c r="H6" i="25"/>
  <c r="G6" i="25"/>
  <c r="F6" i="25"/>
  <c r="E6" i="25"/>
  <c r="D6" i="25"/>
  <c r="C6" i="25"/>
  <c r="I5" i="25"/>
  <c r="H5" i="25"/>
  <c r="G5" i="25"/>
  <c r="F5" i="25"/>
  <c r="E5" i="25"/>
  <c r="D5" i="25"/>
  <c r="C5" i="25"/>
  <c r="I4" i="25"/>
  <c r="H4" i="25"/>
  <c r="G4" i="25"/>
  <c r="F4" i="25"/>
  <c r="E4" i="25"/>
  <c r="D4" i="25"/>
  <c r="C4" i="25"/>
  <c r="I3" i="25"/>
  <c r="H3" i="25"/>
  <c r="G3" i="25"/>
  <c r="F3" i="25"/>
  <c r="E3" i="25"/>
  <c r="D3" i="25"/>
  <c r="C3" i="25"/>
  <c r="I8" i="24"/>
  <c r="H8" i="24"/>
  <c r="G8" i="24"/>
  <c r="F8" i="24"/>
  <c r="E8" i="24"/>
  <c r="D8" i="24"/>
  <c r="C8" i="24"/>
  <c r="I7" i="24"/>
  <c r="H7" i="24"/>
  <c r="G7" i="24"/>
  <c r="F7" i="24"/>
  <c r="E7" i="24"/>
  <c r="D7" i="24"/>
  <c r="C7" i="24"/>
  <c r="I6" i="24"/>
  <c r="H6" i="24"/>
  <c r="G6" i="24"/>
  <c r="F6" i="24"/>
  <c r="E6" i="24"/>
  <c r="D6" i="24"/>
  <c r="C6" i="24"/>
  <c r="I5" i="24"/>
  <c r="H5" i="24"/>
  <c r="G5" i="24"/>
  <c r="F5" i="24"/>
  <c r="E5" i="24"/>
  <c r="D5" i="24"/>
  <c r="C5" i="24"/>
  <c r="I4" i="24"/>
  <c r="H4" i="24"/>
  <c r="G4" i="24"/>
  <c r="F4" i="24"/>
  <c r="E4" i="24"/>
  <c r="D4" i="24"/>
  <c r="C4" i="24"/>
  <c r="I3" i="24"/>
  <c r="H3" i="24"/>
  <c r="G3" i="24"/>
  <c r="F3" i="24"/>
  <c r="E3" i="24"/>
  <c r="D3" i="24"/>
  <c r="C3" i="24"/>
  <c r="I8" i="23"/>
  <c r="H8" i="23"/>
  <c r="G8" i="23"/>
  <c r="F8" i="23"/>
  <c r="E8" i="23"/>
  <c r="D8" i="23"/>
  <c r="C8" i="23"/>
  <c r="I7" i="23"/>
  <c r="H7" i="23"/>
  <c r="G7" i="23"/>
  <c r="F7" i="23"/>
  <c r="E7" i="23"/>
  <c r="D7" i="23"/>
  <c r="C7" i="23"/>
  <c r="I6" i="23"/>
  <c r="H6" i="23"/>
  <c r="G6" i="23"/>
  <c r="F6" i="23"/>
  <c r="E6" i="23"/>
  <c r="D6" i="23"/>
  <c r="C6" i="23"/>
  <c r="I5" i="23"/>
  <c r="H5" i="23"/>
  <c r="G5" i="23"/>
  <c r="F5" i="23"/>
  <c r="E5" i="23"/>
  <c r="D5" i="23"/>
  <c r="C5" i="23"/>
  <c r="I4" i="23"/>
  <c r="H4" i="23"/>
  <c r="G4" i="23"/>
  <c r="F4" i="23"/>
  <c r="E4" i="23"/>
  <c r="D4" i="23"/>
  <c r="C4" i="23"/>
  <c r="I3" i="23"/>
  <c r="H3" i="23"/>
  <c r="G3" i="23"/>
  <c r="F3" i="23"/>
  <c r="E3" i="23"/>
  <c r="D3" i="23"/>
  <c r="C3" i="23"/>
  <c r="I8" i="22"/>
  <c r="H8" i="22"/>
  <c r="G8" i="22"/>
  <c r="F8" i="22"/>
  <c r="E8" i="22"/>
  <c r="D8" i="22"/>
  <c r="C8" i="22"/>
  <c r="I7" i="22"/>
  <c r="H7" i="22"/>
  <c r="G7" i="22"/>
  <c r="F7" i="22"/>
  <c r="E7" i="22"/>
  <c r="D7" i="22"/>
  <c r="C7" i="22"/>
  <c r="I6" i="22"/>
  <c r="H6" i="22"/>
  <c r="G6" i="22"/>
  <c r="F6" i="22"/>
  <c r="E6" i="22"/>
  <c r="D6" i="22"/>
  <c r="C6" i="22"/>
  <c r="I5" i="22"/>
  <c r="H5" i="22"/>
  <c r="G5" i="22"/>
  <c r="F5" i="22"/>
  <c r="E5" i="22"/>
  <c r="D5" i="22"/>
  <c r="C5" i="22"/>
  <c r="I4" i="22"/>
  <c r="H4" i="22"/>
  <c r="G4" i="22"/>
  <c r="F4" i="22"/>
  <c r="E4" i="22"/>
  <c r="D4" i="22"/>
  <c r="C4" i="22"/>
  <c r="I3" i="22"/>
  <c r="H3" i="22"/>
  <c r="G3" i="22"/>
  <c r="F3" i="22"/>
  <c r="E3" i="22"/>
  <c r="D3" i="22"/>
  <c r="C3" i="22"/>
  <c r="I8" i="21"/>
  <c r="H8" i="21"/>
  <c r="G8" i="21"/>
  <c r="F8" i="21"/>
  <c r="E8" i="21"/>
  <c r="D8" i="21"/>
  <c r="C8" i="21"/>
  <c r="I7" i="21"/>
  <c r="H7" i="21"/>
  <c r="G7" i="21"/>
  <c r="F7" i="21"/>
  <c r="E7" i="21"/>
  <c r="D7" i="21"/>
  <c r="C7" i="21"/>
  <c r="I6" i="21"/>
  <c r="H6" i="21"/>
  <c r="G6" i="21"/>
  <c r="F6" i="21"/>
  <c r="E6" i="21"/>
  <c r="D6" i="21"/>
  <c r="C6" i="21"/>
  <c r="I5" i="21"/>
  <c r="H5" i="21"/>
  <c r="G5" i="21"/>
  <c r="F5" i="21"/>
  <c r="E5" i="21"/>
  <c r="D5" i="21"/>
  <c r="C5" i="21"/>
  <c r="I4" i="21"/>
  <c r="H4" i="21"/>
  <c r="G4" i="21"/>
  <c r="F4" i="21"/>
  <c r="E4" i="21"/>
  <c r="D4" i="21"/>
  <c r="C4" i="21"/>
  <c r="I3" i="21"/>
  <c r="H3" i="21"/>
  <c r="G3" i="21"/>
  <c r="F3" i="21"/>
  <c r="E3" i="21"/>
  <c r="D3" i="21"/>
  <c r="C3" i="21"/>
  <c r="I8" i="20"/>
  <c r="H8" i="20"/>
  <c r="G8" i="20"/>
  <c r="F8" i="20"/>
  <c r="E8" i="20"/>
  <c r="D8" i="20"/>
  <c r="C8" i="20"/>
  <c r="I7" i="20"/>
  <c r="H7" i="20"/>
  <c r="G7" i="20"/>
  <c r="F7" i="20"/>
  <c r="E7" i="20"/>
  <c r="D7" i="20"/>
  <c r="C7" i="20"/>
  <c r="I6" i="20"/>
  <c r="H6" i="20"/>
  <c r="G6" i="20"/>
  <c r="F6" i="20"/>
  <c r="E6" i="20"/>
  <c r="D6" i="20"/>
  <c r="C6" i="20"/>
  <c r="I5" i="20"/>
  <c r="H5" i="20"/>
  <c r="G5" i="20"/>
  <c r="F5" i="20"/>
  <c r="E5" i="20"/>
  <c r="D5" i="20"/>
  <c r="C5" i="20"/>
  <c r="I4" i="20"/>
  <c r="H4" i="20"/>
  <c r="G4" i="20"/>
  <c r="F4" i="20"/>
  <c r="E4" i="20"/>
  <c r="D4" i="20"/>
  <c r="C4" i="20"/>
  <c r="I3" i="20"/>
  <c r="H3" i="20"/>
  <c r="G3" i="20"/>
  <c r="F3" i="20"/>
  <c r="E3" i="20"/>
  <c r="D3" i="20"/>
  <c r="C3" i="20"/>
  <c r="I8" i="19"/>
  <c r="H8" i="19"/>
  <c r="G8" i="19"/>
  <c r="F8" i="19"/>
  <c r="E8" i="19"/>
  <c r="D8" i="19"/>
  <c r="C8" i="19"/>
  <c r="I7" i="19"/>
  <c r="H7" i="19"/>
  <c r="G7" i="19"/>
  <c r="F7" i="19"/>
  <c r="E7" i="19"/>
  <c r="D7" i="19"/>
  <c r="C7" i="19"/>
  <c r="I6" i="19"/>
  <c r="H6" i="19"/>
  <c r="G6" i="19"/>
  <c r="F6" i="19"/>
  <c r="E6" i="19"/>
  <c r="D6" i="19"/>
  <c r="C6" i="19"/>
  <c r="I5" i="19"/>
  <c r="H5" i="19"/>
  <c r="G5" i="19"/>
  <c r="F5" i="19"/>
  <c r="E5" i="19"/>
  <c r="D5" i="19"/>
  <c r="C5" i="19"/>
  <c r="I4" i="19"/>
  <c r="H4" i="19"/>
  <c r="G4" i="19"/>
  <c r="F4" i="19"/>
  <c r="E4" i="19"/>
  <c r="D4" i="19"/>
  <c r="C4" i="19"/>
  <c r="I3" i="19"/>
  <c r="H3" i="19"/>
  <c r="G3" i="19"/>
  <c r="F3" i="19"/>
  <c r="E3" i="19"/>
  <c r="D3" i="19"/>
  <c r="C3" i="19"/>
  <c r="I8" i="18"/>
  <c r="H8" i="18"/>
  <c r="G8" i="18"/>
  <c r="F8" i="18"/>
  <c r="E8" i="18"/>
  <c r="D8" i="18"/>
  <c r="C8" i="18"/>
  <c r="I7" i="18"/>
  <c r="H7" i="18"/>
  <c r="G7" i="18"/>
  <c r="F7" i="18"/>
  <c r="E7" i="18"/>
  <c r="D7" i="18"/>
  <c r="C7" i="18"/>
  <c r="I6" i="18"/>
  <c r="H6" i="18"/>
  <c r="G6" i="18"/>
  <c r="F6" i="18"/>
  <c r="E6" i="18"/>
  <c r="D6" i="18"/>
  <c r="C6" i="18"/>
  <c r="I5" i="18"/>
  <c r="H5" i="18"/>
  <c r="G5" i="18"/>
  <c r="F5" i="18"/>
  <c r="E5" i="18"/>
  <c r="D5" i="18"/>
  <c r="C5" i="18"/>
  <c r="I4" i="18"/>
  <c r="H4" i="18"/>
  <c r="G4" i="18"/>
  <c r="F4" i="18"/>
  <c r="E4" i="18"/>
  <c r="D4" i="18"/>
  <c r="C4" i="18"/>
  <c r="I3" i="18"/>
  <c r="H3" i="18"/>
  <c r="G3" i="18"/>
  <c r="F3" i="18"/>
  <c r="E3" i="18"/>
  <c r="D3" i="18"/>
  <c r="C3" i="18"/>
  <c r="I8" i="17"/>
  <c r="H8" i="17"/>
  <c r="G8" i="17"/>
  <c r="F8" i="17"/>
  <c r="E8" i="17"/>
  <c r="D8" i="17"/>
  <c r="C8" i="17"/>
  <c r="I7" i="17"/>
  <c r="H7" i="17"/>
  <c r="G7" i="17"/>
  <c r="F7" i="17"/>
  <c r="E7" i="17"/>
  <c r="D7" i="17"/>
  <c r="C7" i="17"/>
  <c r="I6" i="17"/>
  <c r="H6" i="17"/>
  <c r="G6" i="17"/>
  <c r="F6" i="17"/>
  <c r="E6" i="17"/>
  <c r="D6" i="17"/>
  <c r="C6" i="17"/>
  <c r="I5" i="17"/>
  <c r="H5" i="17"/>
  <c r="G5" i="17"/>
  <c r="F5" i="17"/>
  <c r="E5" i="17"/>
  <c r="D5" i="17"/>
  <c r="C5" i="17"/>
  <c r="I4" i="17"/>
  <c r="H4" i="17"/>
  <c r="G4" i="17"/>
  <c r="F4" i="17"/>
  <c r="E4" i="17"/>
  <c r="D4" i="17"/>
  <c r="C4" i="17"/>
  <c r="I3" i="17"/>
  <c r="H3" i="17"/>
  <c r="G3" i="17"/>
  <c r="F3" i="17"/>
  <c r="E3" i="17"/>
  <c r="D3" i="17"/>
  <c r="C3" i="17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C4" i="1"/>
  <c r="I3" i="1"/>
  <c r="H3" i="1"/>
  <c r="G3" i="1"/>
  <c r="F3" i="1"/>
  <c r="E3" i="1"/>
  <c r="D3" i="1"/>
  <c r="C3" i="1"/>
  <c r="D4" i="1"/>
</calcChain>
</file>

<file path=xl/sharedStrings.xml><?xml version="1.0" encoding="utf-8"?>
<sst xmlns="http://schemas.openxmlformats.org/spreadsheetml/2006/main" count="676" uniqueCount="34">
  <si>
    <t>Veckodag</t>
  </si>
  <si>
    <t>Tid</t>
  </si>
  <si>
    <t>Klass</t>
  </si>
  <si>
    <t>JAN</t>
  </si>
  <si>
    <t>VECKOSCHEMA</t>
  </si>
  <si>
    <t>MÅN</t>
  </si>
  <si>
    <t>Franska</t>
  </si>
  <si>
    <t>Matematik</t>
  </si>
  <si>
    <t>Engelska</t>
  </si>
  <si>
    <t>Ange kalenderår i cell B1 till vänster</t>
  </si>
  <si>
    <t>TIS</t>
  </si>
  <si>
    <t>Historia</t>
  </si>
  <si>
    <t>Programmering</t>
  </si>
  <si>
    <t>ONS</t>
  </si>
  <si>
    <t>TOR</t>
  </si>
  <si>
    <t>FRE</t>
  </si>
  <si>
    <t>LÖR</t>
  </si>
  <si>
    <t>SÖN</t>
  </si>
  <si>
    <t>kalenderdag</t>
  </si>
  <si>
    <t>UPPGIFTER</t>
  </si>
  <si>
    <t>Franska: Inlämning av första utkastet</t>
  </si>
  <si>
    <t>Historia: Skrivning</t>
  </si>
  <si>
    <t>FEB</t>
  </si>
  <si>
    <t>MAR</t>
  </si>
  <si>
    <t>APR</t>
  </si>
  <si>
    <t xml:space="preserve"> </t>
  </si>
  <si>
    <t>MAJ</t>
  </si>
  <si>
    <t>JUN</t>
  </si>
  <si>
    <t>JUL</t>
  </si>
  <si>
    <t>AUG</t>
  </si>
  <si>
    <t>SEP</t>
  </si>
  <si>
    <t>OKT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</si>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</sst>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"/>
    <numFmt numFmtId="169" formatCode="m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1"/>
      <color theme="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</borders>
  <cellStyleXfs count="22">
    <xf numFmtId="0" fontId="0" fillId="0" borderId="0">
      <alignment wrapText="1"/>
    </xf>
    <xf numFmtId="0" fontId="11" fillId="0" borderId="0" applyFill="0" applyBorder="0" applyProtection="0">
      <alignment horizontal="center" vertical="center"/>
    </xf>
    <xf numFmtId="169" fontId="6" fillId="0" borderId="0" applyFill="0" applyBorder="0" applyProtection="0">
      <alignment horizontal="center" vertical="center"/>
    </xf>
    <xf numFmtId="0" fontId="7" fillId="0" borderId="0" applyFill="0" applyProtection="0">
      <alignment horizontal="left" vertical="center" indent="2"/>
    </xf>
    <xf numFmtId="0" fontId="8" fillId="0" borderId="0" applyNumberFormat="0" applyFill="0" applyBorder="0" applyProtection="0">
      <alignment horizontal="left" vertical="center"/>
    </xf>
    <xf numFmtId="0" fontId="8" fillId="0" borderId="0" applyFill="0" applyBorder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4" fillId="3" borderId="4" applyNumberFormat="0" applyAlignment="0" applyProtection="0"/>
    <xf numFmtId="0" fontId="5" fillId="4" borderId="1">
      <alignment horizontal="left" indent="1"/>
    </xf>
    <xf numFmtId="0" fontId="9" fillId="0" borderId="0">
      <alignment vertical="center"/>
    </xf>
    <xf numFmtId="0" fontId="9" fillId="0" borderId="5" applyNumberFormat="0" applyFont="0" applyFill="0" applyAlignment="0" applyProtection="0">
      <alignment horizontal="left" vertical="center" indent="2"/>
    </xf>
    <xf numFmtId="1" fontId="10" fillId="0" borderId="0" applyFill="0" applyBorder="0">
      <alignment horizontal="center"/>
    </xf>
    <xf numFmtId="0" fontId="12" fillId="0" borderId="6" applyNumberFormat="0" applyFont="0" applyFill="0" applyAlignment="0" applyProtection="0">
      <alignment horizontal="center"/>
    </xf>
    <xf numFmtId="0" fontId="12" fillId="0" borderId="8" applyNumberFormat="0" applyFont="0" applyFill="0" applyAlignment="0" applyProtection="0"/>
    <xf numFmtId="168" fontId="3" fillId="0" borderId="0" applyNumberFormat="0" applyFill="0" applyBorder="0">
      <alignment horizontal="left" vertical="center" indent="1"/>
    </xf>
    <xf numFmtId="0" fontId="12" fillId="2" borderId="0" applyFont="0" applyBorder="0">
      <alignment horizontal="left" vertical="top" indent="1"/>
    </xf>
    <xf numFmtId="0" fontId="5" fillId="0" borderId="0" applyNumberFormat="0" applyFill="0" applyBorder="0" applyAlignment="0">
      <alignment wrapText="1"/>
    </xf>
    <xf numFmtId="20" fontId="12" fillId="2" borderId="0" applyFill="0" applyBorder="0">
      <alignment horizontal="left" indent="1"/>
    </xf>
  </cellStyleXfs>
  <cellXfs count="66">
    <xf numFmtId="0" fontId="0" fillId="0" borderId="0" xfId="0">
      <alignment wrapText="1"/>
    </xf>
    <xf numFmtId="0" fontId="0" fillId="0" borderId="0" xfId="0" applyFont="1">
      <alignment wrapText="1"/>
    </xf>
    <xf numFmtId="1" fontId="10" fillId="0" borderId="0" xfId="15">
      <alignment horizontal="center"/>
    </xf>
    <xf numFmtId="0" fontId="0" fillId="0" borderId="0" xfId="0">
      <alignment wrapText="1"/>
    </xf>
    <xf numFmtId="0" fontId="5" fillId="4" borderId="8" xfId="17" applyFont="1" applyFill="1" applyAlignment="1">
      <alignment horizontal="left" indent="1"/>
    </xf>
    <xf numFmtId="0" fontId="8" fillId="0" borderId="5" xfId="14" applyFont="1" applyAlignment="1">
      <alignment vertical="center"/>
    </xf>
    <xf numFmtId="0" fontId="9" fillId="0" borderId="0" xfId="13">
      <alignment vertical="center"/>
    </xf>
    <xf numFmtId="168" fontId="3" fillId="0" borderId="0" xfId="18" applyNumberFormat="1" applyFill="1" applyBorder="1">
      <alignment horizontal="left" vertical="center" indent="1"/>
    </xf>
    <xf numFmtId="0" fontId="3" fillId="0" borderId="5" xfId="14" applyNumberFormat="1" applyFont="1" applyAlignment="1">
      <alignment horizontal="left" vertical="center" indent="1"/>
    </xf>
    <xf numFmtId="0" fontId="11" fillId="0" borderId="6" xfId="1" applyBorder="1">
      <alignment horizontal="center" vertical="center"/>
    </xf>
    <xf numFmtId="0" fontId="0" fillId="0" borderId="0" xfId="14" applyFont="1" applyBorder="1" applyAlignment="1">
      <alignment wrapText="1"/>
    </xf>
    <xf numFmtId="0" fontId="7" fillId="0" borderId="0" xfId="3">
      <alignment horizontal="left" vertical="center" indent="2"/>
    </xf>
    <xf numFmtId="0" fontId="11" fillId="0" borderId="0" xfId="1">
      <alignment horizontal="center" vertical="center"/>
    </xf>
    <xf numFmtId="0" fontId="0" fillId="0" borderId="8" xfId="17" applyFont="1" applyAlignment="1">
      <alignment wrapText="1"/>
    </xf>
    <xf numFmtId="0" fontId="5" fillId="4" borderId="1" xfId="12">
      <alignment horizontal="left" indent="1"/>
    </xf>
    <xf numFmtId="0" fontId="8" fillId="0" borderId="0" xfId="4">
      <alignment horizontal="left" vertical="center"/>
    </xf>
    <xf numFmtId="0" fontId="0" fillId="0" borderId="0" xfId="0">
      <alignment wrapText="1"/>
    </xf>
    <xf numFmtId="0" fontId="0" fillId="0" borderId="6" xfId="16" applyFont="1" applyAlignment="1">
      <alignment wrapText="1"/>
    </xf>
    <xf numFmtId="0" fontId="5" fillId="0" borderId="0" xfId="20">
      <alignment wrapText="1"/>
    </xf>
    <xf numFmtId="20" fontId="12" fillId="2" borderId="0" xfId="21">
      <alignment horizontal="left" indent="1"/>
    </xf>
    <xf numFmtId="20" fontId="12" fillId="2" borderId="3" xfId="21" applyBorder="1">
      <alignment horizontal="left" indent="1"/>
    </xf>
    <xf numFmtId="169" fontId="6" fillId="0" borderId="5" xfId="2" applyBorder="1">
      <alignment horizontal="center" vertical="center"/>
    </xf>
    <xf numFmtId="0" fontId="5" fillId="4" borderId="1" xfId="12">
      <alignment horizontal="left" indent="1"/>
    </xf>
    <xf numFmtId="0" fontId="5" fillId="0" borderId="8" xfId="20" applyBorder="1" applyAlignment="1">
      <alignment wrapText="1"/>
    </xf>
    <xf numFmtId="0" fontId="0" fillId="2" borderId="0" xfId="19" applyFont="1">
      <alignment horizontal="left" vertical="top" indent="1"/>
    </xf>
    <xf numFmtId="0" fontId="0" fillId="2" borderId="6" xfId="19" applyFont="1" applyBorder="1">
      <alignment horizontal="left" vertical="top" indent="1"/>
    </xf>
    <xf numFmtId="0" fontId="1" fillId="2" borderId="6" xfId="19" applyFont="1" applyBorder="1">
      <alignment horizontal="left" vertical="top" indent="1"/>
    </xf>
    <xf numFmtId="0" fontId="1" fillId="2" borderId="0" xfId="19" applyFont="1">
      <alignment horizontal="left" vertical="top" indent="1"/>
    </xf>
    <xf numFmtId="0" fontId="12" fillId="2" borderId="6" xfId="19" applyBorder="1">
      <alignment horizontal="left" vertical="top" indent="1"/>
    </xf>
    <xf numFmtId="0" fontId="13" fillId="2" borderId="0" xfId="19" applyFont="1">
      <alignment horizontal="left" vertical="top" indent="1"/>
    </xf>
    <xf numFmtId="20" fontId="12" fillId="2" borderId="0" xfId="21" applyNumberFormat="1">
      <alignment horizontal="left" indent="1"/>
    </xf>
    <xf numFmtId="0" fontId="1" fillId="2" borderId="6" xfId="19" applyFont="1" applyBorder="1">
      <alignment horizontal="left" vertical="top" indent="1"/>
    </xf>
    <xf numFmtId="20" fontId="12" fillId="2" borderId="0" xfId="21">
      <alignment horizontal="left" indent="1"/>
    </xf>
    <xf numFmtId="169" fontId="6" fillId="0" borderId="0" xfId="2" applyNumberFormat="1">
      <alignment horizontal="center" vertical="center"/>
    </xf>
    <xf numFmtId="1" fontId="10" fillId="0" borderId="0" xfId="15" applyFill="1">
      <alignment horizontal="center"/>
    </xf>
    <xf numFmtId="1" fontId="10" fillId="0" borderId="0" xfId="15" applyFill="1" applyBorder="1">
      <alignment horizontal="center"/>
    </xf>
    <xf numFmtId="0" fontId="8" fillId="0" borderId="0" xfId="5" applyBorder="1"/>
    <xf numFmtId="0" fontId="8" fillId="0" borderId="0" xfId="5" applyFont="1" applyBorder="1" applyAlignment="1"/>
    <xf numFmtId="0" fontId="0" fillId="0" borderId="5" xfId="14" applyFont="1" applyAlignment="1">
      <alignment wrapText="1"/>
    </xf>
    <xf numFmtId="0" fontId="1" fillId="2" borderId="0" xfId="19" applyFont="1" applyBorder="1">
      <alignment horizontal="left" vertical="top" indent="1"/>
    </xf>
    <xf numFmtId="20" fontId="12" fillId="2" borderId="0" xfId="21" applyBorder="1">
      <alignment horizontal="left" indent="1"/>
    </xf>
    <xf numFmtId="0" fontId="13" fillId="2" borderId="0" xfId="19" applyFont="1" applyBorder="1">
      <alignment horizontal="left" vertical="top" indent="1"/>
    </xf>
    <xf numFmtId="168" fontId="3" fillId="0" borderId="6" xfId="18" applyNumberFormat="1" applyFill="1" applyBorder="1">
      <alignment horizontal="left" vertical="center" indent="1"/>
    </xf>
    <xf numFmtId="0" fontId="8" fillId="0" borderId="6" xfId="5" applyFont="1" applyBorder="1" applyAlignment="1"/>
    <xf numFmtId="1" fontId="10" fillId="0" borderId="6" xfId="15" applyFill="1" applyBorder="1">
      <alignment horizontal="center"/>
    </xf>
    <xf numFmtId="0" fontId="8" fillId="0" borderId="6" xfId="5" applyBorder="1"/>
    <xf numFmtId="0" fontId="8" fillId="0" borderId="6" xfId="5" applyFont="1" applyFill="1" applyBorder="1" applyAlignment="1"/>
    <xf numFmtId="1" fontId="10" fillId="0" borderId="10" xfId="15" applyBorder="1">
      <alignment horizontal="center"/>
    </xf>
    <xf numFmtId="1" fontId="10" fillId="0" borderId="6" xfId="15" applyBorder="1">
      <alignment horizontal="center"/>
    </xf>
    <xf numFmtId="1" fontId="10" fillId="0" borderId="0" xfId="15" applyBorder="1">
      <alignment horizontal="center"/>
    </xf>
    <xf numFmtId="0" fontId="0" fillId="0" borderId="0" xfId="0" applyBorder="1">
      <alignment wrapText="1"/>
    </xf>
    <xf numFmtId="0" fontId="8" fillId="0" borderId="5" xfId="5" applyBorder="1"/>
    <xf numFmtId="1" fontId="10" fillId="0" borderId="5" xfId="15" applyFill="1" applyBorder="1">
      <alignment horizontal="center"/>
    </xf>
    <xf numFmtId="0" fontId="0" fillId="0" borderId="5" xfId="0" applyBorder="1">
      <alignment wrapText="1"/>
    </xf>
    <xf numFmtId="0" fontId="5" fillId="4" borderId="0" xfId="17" applyFont="1" applyFill="1" applyBorder="1" applyAlignment="1">
      <alignment horizontal="left" indent="1"/>
    </xf>
    <xf numFmtId="0" fontId="8" fillId="0" borderId="5" xfId="5" applyFont="1" applyBorder="1" applyAlignment="1"/>
    <xf numFmtId="1" fontId="10" fillId="0" borderId="5" xfId="15" applyBorder="1">
      <alignment horizontal="center"/>
    </xf>
    <xf numFmtId="0" fontId="8" fillId="0" borderId="0" xfId="5" applyFill="1" applyBorder="1"/>
    <xf numFmtId="0" fontId="5" fillId="4" borderId="7" xfId="12" applyBorder="1">
      <alignment horizontal="left" indent="1"/>
    </xf>
    <xf numFmtId="0" fontId="5" fillId="4" borderId="2" xfId="12" applyBorder="1">
      <alignment horizontal="left" indent="1"/>
    </xf>
    <xf numFmtId="0" fontId="1" fillId="2" borderId="0" xfId="19" applyFont="1">
      <alignment horizontal="left" vertical="top" indent="1"/>
    </xf>
    <xf numFmtId="20" fontId="12" fillId="2" borderId="9" xfId="21" applyNumberFormat="1" applyBorder="1">
      <alignment horizontal="left" indent="1"/>
    </xf>
    <xf numFmtId="20" fontId="12" fillId="2" borderId="9" xfId="21" applyBorder="1">
      <alignment horizontal="left" indent="1"/>
    </xf>
    <xf numFmtId="0" fontId="1" fillId="2" borderId="6" xfId="19" applyFont="1" applyBorder="1">
      <alignment horizontal="left" vertical="top" indent="1"/>
    </xf>
    <xf numFmtId="20" fontId="12" fillId="2" borderId="0" xfId="21">
      <alignment horizontal="left" indent="1"/>
    </xf>
    <xf numFmtId="0" fontId="12" fillId="2" borderId="6" xfId="19" applyBorder="1">
      <alignment horizontal="left" vertical="top" indent="1"/>
    </xf>
  </cellXfs>
  <cellStyles count="22">
    <cellStyle name="Anteckning" xfId="11" builtinId="10" customBuiltin="1"/>
    <cellStyle name="Datum" xfId="15"/>
    <cellStyle name="Etikett" xfId="13"/>
    <cellStyle name="Höger kantlinje" xfId="17"/>
    <cellStyle name="Kalenderjustering" xfId="18"/>
    <cellStyle name="Nedre kantlinje" xfId="16"/>
    <cellStyle name="Normal" xfId="0" builtinId="0" customBuiltin="1"/>
    <cellStyle name="Procent" xfId="10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id" xfId="21"/>
    <cellStyle name="Tom tabellrubrik" xfId="20"/>
    <cellStyle name="Tusental" xfId="6" builtinId="3" customBuiltin="1"/>
    <cellStyle name="Tusental [0]" xfId="7" builtinId="6" customBuiltin="1"/>
    <cellStyle name="Valuta" xfId="8" builtinId="4" customBuiltin="1"/>
    <cellStyle name="Valuta [0]" xfId="9" builtinId="7" customBuiltin="1"/>
    <cellStyle name="Veckodagar" xfId="12"/>
    <cellStyle name="Veckoschema fyllning" xfId="19"/>
    <cellStyle name="Övre kantlinje" xfId="14"/>
  </cellStyles>
  <dxfs count="312"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family val="2"/>
      </font>
      <alignment horizontal="general" vertical="bottom" textRotation="0" wrapText="0" indent="0" justifyLastLine="0" shrinkToFit="0" readingOrder="0"/>
    </dxf>
    <dxf>
      <font>
        <b/>
        <family val="2"/>
      </font>
      <alignment horizontal="general" vertical="bottom" textRotation="0" wrapText="0" indent="0" justifyLastLine="0" shrinkToFit="0" readingOrder="0"/>
    </dxf>
    <dxf>
      <font>
        <b/>
        <family val="2"/>
      </font>
      <alignment horizontal="general" vertical="bottom" textRotation="0" wrapText="0" indent="0" justifyLastLine="0" shrinkToFit="0" readingOrder="0"/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Uppgifter" defaultPivotStyle="PivotStyleLight16">
    <tableStyle name="Uppgifter" pivot="0" count="3">
      <tableStyleElement type="wholeTable" dxfId="311"/>
      <tableStyleElement type="headerRow" dxfId="310"/>
      <tableStyleElement type="firstColumn" dxfId="30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JanuariUppgifter" displayName="Januari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10.xml><?xml version="1.0" encoding="utf-8"?>
<table xmlns="http://schemas.openxmlformats.org/spreadsheetml/2006/main" id="10" name="OktoberUppgifter" displayName="Oktober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11.xml><?xml version="1.0" encoding="utf-8"?>
<table xmlns="http://schemas.openxmlformats.org/spreadsheetml/2006/main" id="11" name="NovemberUppgifter" displayName="November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12.xml><?xml version="1.0" encoding="utf-8"?>
<table xmlns="http://schemas.openxmlformats.org/spreadsheetml/2006/main" id="12" name="DecemberUppgifter" displayName="DecemberUppgifter" ref="J1:L31" totalsRowShown="0" dataCellStyle="Normal">
  <autoFilter ref="J1:L31">
    <filterColumn colId="0" hiddenButton="1"/>
    <filterColumn colId="1" hiddenButton="1"/>
    <filterColumn colId="2" hiddenButton="1"/>
  </autoFilter>
  <tableColumns count="3">
    <tableColumn id="1" name="Veckodag" dataDxfId="306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2.xml><?xml version="1.0" encoding="utf-8"?>
<table xmlns="http://schemas.openxmlformats.org/spreadsheetml/2006/main" id="2" name="FebruariUppgifter" displayName="Februari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3.xml><?xml version="1.0" encoding="utf-8"?>
<table xmlns="http://schemas.openxmlformats.org/spreadsheetml/2006/main" id="3" name="MarsUppgifter" displayName="Mars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4.xml><?xml version="1.0" encoding="utf-8"?>
<table xmlns="http://schemas.openxmlformats.org/spreadsheetml/2006/main" id="4" name="AprilUppgifter" displayName="April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DxfId="308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5.xml><?xml version="1.0" encoding="utf-8"?>
<table xmlns="http://schemas.openxmlformats.org/spreadsheetml/2006/main" id="5" name="MajUppgifter" displayName="Maj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6.xml><?xml version="1.0" encoding="utf-8"?>
<table xmlns="http://schemas.openxmlformats.org/spreadsheetml/2006/main" id="6" name="JuniUppgifter" displayName="Juni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DxfId="307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7.xml><?xml version="1.0" encoding="utf-8"?>
<table xmlns="http://schemas.openxmlformats.org/spreadsheetml/2006/main" id="7" name="JuliUppgifter" displayName="Juli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8.xml><?xml version="1.0" encoding="utf-8"?>
<table xmlns="http://schemas.openxmlformats.org/spreadsheetml/2006/main" id="8" name="AugustiUppgifter" displayName="Augusti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ables/table9.xml><?xml version="1.0" encoding="utf-8"?>
<table xmlns="http://schemas.openxmlformats.org/spreadsheetml/2006/main" id="9" name="SeptemberUppgifter" displayName="SeptemberUppgifter" ref="J1:L31" totalsRowShown="0">
  <autoFilter ref="J1:L31">
    <filterColumn colId="0" hiddenButton="1"/>
    <filterColumn colId="1" hiddenButton="1"/>
    <filterColumn colId="2" hiddenButton="1"/>
  </autoFilter>
  <tableColumns count="3">
    <tableColumn id="1" name="Veckodag" dataCellStyle="Rubrik 4"/>
    <tableColumn id="2" name="kalenderdag" dataCellStyle="Datum"/>
    <tableColumn id="3" name="UPPGIFTER" dataCellStyle="Normal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g och uppgift för veckodagen i kolumnen J. Uppgifter markeras i kalendern för den här månaden i det här kalkylbladet"/>
    </ext>
  </extLst>
</table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31"/>
  <sheetViews>
    <sheetView showGridLines="0" tabSelected="1" zoomScaleNormal="100" zoomScalePageLayoutView="84" workbookViewId="0"/>
  </sheetViews>
  <sheetFormatPr defaultColWidth="8.625" defaultRowHeight="30" customHeight="1" x14ac:dyDescent="0.2"/>
  <cols>
    <col min="1" max="1" width="2.625" customWidth="1"/>
    <col min="2" max="2" width="20.625" customWidth="1"/>
    <col min="3" max="8" width="10.625" customWidth="1"/>
    <col min="9" max="9" width="20.625" customWidth="1"/>
    <col min="10" max="11" width="10.625" customWidth="1"/>
    <col min="12" max="12" width="70.625" customWidth="1"/>
    <col min="13" max="13" width="2.625" customWidth="1"/>
    <col min="14" max="14" width="8.625" customWidth="1"/>
  </cols>
  <sheetData>
    <row r="1" spans="1:12" ht="30" customHeight="1" x14ac:dyDescent="0.2">
      <c r="A1" s="16"/>
      <c r="B1" s="9">
        <f ca="1">YEAR(TODAY())</f>
        <v>2017</v>
      </c>
      <c r="C1" s="6" t="s">
        <v>9</v>
      </c>
      <c r="D1" s="1"/>
      <c r="E1" s="1"/>
      <c r="F1" s="1"/>
      <c r="G1" s="1"/>
      <c r="H1" s="1"/>
      <c r="I1" s="1"/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33" t="s">
        <v>3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49">
        <v>2</v>
      </c>
      <c r="L2" s="50" t="s">
        <v>20</v>
      </c>
    </row>
    <row r="3" spans="1:12" ht="30" customHeight="1" x14ac:dyDescent="0.25">
      <c r="A3" s="13"/>
      <c r="B3" s="16"/>
      <c r="C3" s="7">
        <f ca="1">IF(DAY(JanSön1)=1,JanSön1-6,JanSön1+1)</f>
        <v>42730</v>
      </c>
      <c r="D3" s="7">
        <f ca="1">IF(DAY(JanSön1)=1,JanSön1-5,JanSön1+2)</f>
        <v>42731</v>
      </c>
      <c r="E3" s="7">
        <f ca="1">IF(DAY(JanSön1)=1,JanSön1-4,JanSön1+3)</f>
        <v>42732</v>
      </c>
      <c r="F3" s="7">
        <f ca="1">IF(DAY(JanSön1)=1,JanSön1-3,JanSön1+4)</f>
        <v>42733</v>
      </c>
      <c r="G3" s="7">
        <f ca="1">IF(DAY(JanSön1)=1,JanSön1-2,JanSön1+5)</f>
        <v>42734</v>
      </c>
      <c r="H3" s="7">
        <f ca="1">IF(DAY(JanSön1)=1,JanSön1-1,JanSön1+6)</f>
        <v>42735</v>
      </c>
      <c r="I3" s="7">
        <f ca="1">IF(DAY(JanSön1)=1,JanSön1,JanSön1+7)</f>
        <v>42736</v>
      </c>
      <c r="J3" s="36"/>
      <c r="K3" s="49"/>
      <c r="L3" s="50"/>
    </row>
    <row r="4" spans="1:12" ht="30" customHeight="1" x14ac:dyDescent="0.25">
      <c r="A4" s="13"/>
      <c r="B4" s="16"/>
      <c r="C4" s="7">
        <f ca="1">IF(DAY(JanSön1)=1,JanSön1+1,JanSön1+8)</f>
        <v>42737</v>
      </c>
      <c r="D4" s="7">
        <f ca="1">IF(DAY(JanSön1)=1,JanSön1+2,JanSön1+9)</f>
        <v>42738</v>
      </c>
      <c r="E4" s="7">
        <f ca="1">IF(DAY(JanSön1)=1,JanSön1+3,JanSön1+10)</f>
        <v>42739</v>
      </c>
      <c r="F4" s="7">
        <f ca="1">IF(DAY(JanSön1)=1,JanSön1+4,JanSön1+11)</f>
        <v>42740</v>
      </c>
      <c r="G4" s="7">
        <f ca="1">IF(DAY(JanSön1)=1,JanSön1+5,JanSön1+12)</f>
        <v>42741</v>
      </c>
      <c r="H4" s="7">
        <f ca="1">IF(DAY(JanSön1)=1,JanSön1+6,JanSön1+13)</f>
        <v>42742</v>
      </c>
      <c r="I4" s="7">
        <f ca="1">IF(DAY(JanSön1)=1,JanSön1+7,JanSön1+14)</f>
        <v>42743</v>
      </c>
      <c r="J4" s="36"/>
      <c r="K4" s="49"/>
      <c r="L4" s="50"/>
    </row>
    <row r="5" spans="1:12" ht="30" customHeight="1" x14ac:dyDescent="0.25">
      <c r="A5" s="13"/>
      <c r="B5" s="16"/>
      <c r="C5" s="7">
        <f ca="1">IF(DAY(JanSön1)=1,JanSön1+8,JanSön1+15)</f>
        <v>42744</v>
      </c>
      <c r="D5" s="7">
        <f ca="1">IF(DAY(JanSön1)=1,JanSön1+9,JanSön1+16)</f>
        <v>42745</v>
      </c>
      <c r="E5" s="7">
        <f ca="1">IF(DAY(JanSön1)=1,JanSön1+10,JanSön1+17)</f>
        <v>42746</v>
      </c>
      <c r="F5" s="7">
        <f ca="1">IF(DAY(JanSön1)=1,JanSön1+11,JanSön1+18)</f>
        <v>42747</v>
      </c>
      <c r="G5" s="7">
        <f ca="1">IF(DAY(JanSön1)=1,JanSön1+12,JanSön1+19)</f>
        <v>42748</v>
      </c>
      <c r="H5" s="7">
        <f ca="1">IF(DAY(JanSön1)=1,JanSön1+13,JanSön1+20)</f>
        <v>42749</v>
      </c>
      <c r="I5" s="7">
        <f ca="1">IF(DAY(JanSön1)=1,JanSön1+14,JanSön1+21)</f>
        <v>42750</v>
      </c>
      <c r="J5" s="36"/>
      <c r="K5" s="49"/>
      <c r="L5" s="50"/>
    </row>
    <row r="6" spans="1:12" ht="30" customHeight="1" x14ac:dyDescent="0.25">
      <c r="A6" s="13"/>
      <c r="B6" s="16"/>
      <c r="C6" s="7">
        <f ca="1">IF(DAY(JanSön1)=1,JanSön1+15,JanSön1+22)</f>
        <v>42751</v>
      </c>
      <c r="D6" s="7">
        <f ca="1">IF(DAY(JanSön1)=1,JanSön1+16,JanSön1+23)</f>
        <v>42752</v>
      </c>
      <c r="E6" s="7">
        <f ca="1">IF(DAY(JanSön1)=1,JanSön1+17,JanSön1+24)</f>
        <v>42753</v>
      </c>
      <c r="F6" s="7">
        <f ca="1">IF(DAY(JanSön1)=1,JanSön1+18,JanSön1+25)</f>
        <v>42754</v>
      </c>
      <c r="G6" s="7">
        <f ca="1">IF(DAY(JanSön1)=1,JanSön1+19,JanSön1+26)</f>
        <v>42755</v>
      </c>
      <c r="H6" s="7">
        <f ca="1">IF(DAY(JanSön1)=1,JanSön1+20,JanSön1+27)</f>
        <v>42756</v>
      </c>
      <c r="I6" s="7">
        <f ca="1">IF(DAY(JanSön1)=1,JanSön1+21,JanSön1+28)</f>
        <v>42757</v>
      </c>
      <c r="J6" s="36"/>
      <c r="K6" s="49"/>
      <c r="L6" s="50"/>
    </row>
    <row r="7" spans="1:12" ht="30" customHeight="1" x14ac:dyDescent="0.25">
      <c r="A7" s="13"/>
      <c r="B7" s="16"/>
      <c r="C7" s="7">
        <f ca="1">IF(DAY(JanSön1)=1,JanSön1+22,JanSön1+29)</f>
        <v>42758</v>
      </c>
      <c r="D7" s="7">
        <f ca="1">IF(DAY(JanSön1)=1,JanSön1+23,JanSön1+30)</f>
        <v>42759</v>
      </c>
      <c r="E7" s="7">
        <f ca="1">IF(DAY(JanSön1)=1,JanSön1+24,JanSön1+31)</f>
        <v>42760</v>
      </c>
      <c r="F7" s="7">
        <f ca="1">IF(DAY(JanSön1)=1,JanSön1+25,JanSön1+32)</f>
        <v>42761</v>
      </c>
      <c r="G7" s="7">
        <f ca="1">IF(DAY(JanSön1)=1,JanSön1+26,JanSön1+33)</f>
        <v>42762</v>
      </c>
      <c r="H7" s="7">
        <f ca="1">IF(DAY(JanSön1)=1,JanSön1+27,JanSön1+34)</f>
        <v>42763</v>
      </c>
      <c r="I7" s="7">
        <f ca="1">IF(DAY(JanSön1)=1,JanSön1+28,JanSön1+35)</f>
        <v>42764</v>
      </c>
      <c r="J7" s="36"/>
      <c r="K7" s="47"/>
      <c r="L7" s="17"/>
    </row>
    <row r="8" spans="1:12" ht="30" customHeight="1" x14ac:dyDescent="0.25">
      <c r="A8" s="13"/>
      <c r="B8" s="17"/>
      <c r="C8" s="42">
        <f ca="1">IF(DAY(JanSön1)=1,JanSön1+29,JanSön1+36)</f>
        <v>42765</v>
      </c>
      <c r="D8" s="42">
        <f ca="1">IF(DAY(JanSön1)=1,JanSön1+30,JanSön1+37)</f>
        <v>42766</v>
      </c>
      <c r="E8" s="42">
        <f ca="1">IF(DAY(JanSön1)=1,JanSön1+31,JanSön1+38)</f>
        <v>42767</v>
      </c>
      <c r="F8" s="42">
        <f ca="1">IF(DAY(JanSön1)=1,JanSön1+32,JanSön1+39)</f>
        <v>42768</v>
      </c>
      <c r="G8" s="42">
        <f ca="1">IF(DAY(JanSön1)=1,JanSön1+33,JanSön1+40)</f>
        <v>42769</v>
      </c>
      <c r="H8" s="42">
        <f ca="1">IF(DAY(JanSön1)=1,JanSön1+34,JanSön1+41)</f>
        <v>42770</v>
      </c>
      <c r="I8" s="42">
        <f ca="1">IF(DAY(JanSön1)=1,JanSön1+35,JanSön1+42)</f>
        <v>42771</v>
      </c>
      <c r="J8" s="51" t="s">
        <v>10</v>
      </c>
      <c r="K8" s="2">
        <v>17</v>
      </c>
      <c r="L8" s="16" t="s">
        <v>21</v>
      </c>
    </row>
    <row r="9" spans="1:12" ht="30" customHeight="1" x14ac:dyDescent="0.25">
      <c r="A9" s="13"/>
      <c r="B9" s="16"/>
      <c r="C9" s="38"/>
      <c r="D9" s="38"/>
      <c r="E9" s="38"/>
      <c r="F9" s="38"/>
      <c r="G9" s="38"/>
      <c r="H9" s="38"/>
      <c r="I9" s="38"/>
      <c r="J9" s="36"/>
      <c r="K9" s="2"/>
      <c r="L9" s="16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2"/>
      <c r="L10" s="16"/>
    </row>
    <row r="11" spans="1:12" ht="30" customHeight="1" x14ac:dyDescent="0.25">
      <c r="A11" s="23" t="s">
        <v>0</v>
      </c>
      <c r="B11" s="14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2"/>
      <c r="L11" s="16"/>
    </row>
    <row r="12" spans="1:12" ht="30" customHeight="1" x14ac:dyDescent="0.25">
      <c r="A12" s="23" t="s">
        <v>1</v>
      </c>
      <c r="B12" s="30">
        <v>0.33333333333333331</v>
      </c>
      <c r="C12" s="61"/>
      <c r="D12" s="61"/>
      <c r="E12" s="61">
        <v>0.33333333333333331</v>
      </c>
      <c r="F12" s="61"/>
      <c r="G12" s="61"/>
      <c r="H12" s="61"/>
      <c r="I12" s="30">
        <v>0.33333333333333331</v>
      </c>
      <c r="J12" s="36"/>
      <c r="K12" s="2"/>
      <c r="L12" s="16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39" t="s">
        <v>6</v>
      </c>
      <c r="J13" s="45"/>
      <c r="K13" s="48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40"/>
      <c r="J14" s="36" t="s">
        <v>13</v>
      </c>
      <c r="K14" s="2"/>
      <c r="L14" s="16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39"/>
      <c r="J15" s="36"/>
      <c r="K15" s="2"/>
      <c r="L15" s="16"/>
    </row>
    <row r="16" spans="1:12" ht="30" customHeight="1" x14ac:dyDescent="0.25">
      <c r="A16" s="23" t="s">
        <v>1</v>
      </c>
      <c r="B16" s="19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6"/>
      <c r="K16" s="2"/>
      <c r="L16" s="16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39" t="s">
        <v>7</v>
      </c>
      <c r="J17" s="36"/>
      <c r="K17" s="2"/>
      <c r="L17" s="16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40"/>
      <c r="J18" s="36"/>
      <c r="K18" s="2"/>
      <c r="L18" s="16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41"/>
      <c r="J19" s="45"/>
      <c r="K19" s="48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40"/>
      <c r="J20" s="36" t="s">
        <v>14</v>
      </c>
      <c r="K20" s="2"/>
      <c r="L20" s="16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39"/>
      <c r="J21" s="36"/>
      <c r="K21" s="2"/>
      <c r="L21" s="16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40"/>
      <c r="J22" s="36"/>
      <c r="K22" s="2"/>
      <c r="L22" s="16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39"/>
      <c r="J23" s="36"/>
      <c r="K23" s="2"/>
      <c r="L23" s="16"/>
    </row>
    <row r="24" spans="1:12" ht="30" customHeight="1" x14ac:dyDescent="0.25">
      <c r="A24" s="23" t="s">
        <v>1</v>
      </c>
      <c r="B24" s="19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6"/>
      <c r="K24" s="2"/>
      <c r="L24" s="16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39" t="s">
        <v>8</v>
      </c>
      <c r="J25" s="45"/>
      <c r="K25" s="48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40"/>
      <c r="J26" s="51" t="s">
        <v>15</v>
      </c>
      <c r="K26" s="56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39"/>
      <c r="J27" s="36"/>
      <c r="K27" s="49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40"/>
      <c r="J28" s="36"/>
      <c r="K28" s="49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39"/>
      <c r="J29" s="36"/>
      <c r="K29" s="49"/>
      <c r="L29" s="50"/>
    </row>
    <row r="30" spans="1:12" ht="30" customHeight="1" x14ac:dyDescent="0.25">
      <c r="A30" s="23" t="s">
        <v>1</v>
      </c>
      <c r="B30" s="19"/>
      <c r="C30" s="64"/>
      <c r="D30" s="64"/>
      <c r="E30" s="64"/>
      <c r="F30" s="64"/>
      <c r="G30" s="64"/>
      <c r="H30" s="64"/>
      <c r="I30" s="40"/>
      <c r="J30" s="36"/>
      <c r="K30" s="49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57"/>
      <c r="K31" s="49"/>
      <c r="L31" s="16"/>
    </row>
  </sheetData>
  <dataConsolidate/>
  <mergeCells count="63">
    <mergeCell ref="G11:H11"/>
    <mergeCell ref="G12:H12"/>
    <mergeCell ref="G13:H13"/>
    <mergeCell ref="G16:H16"/>
    <mergeCell ref="G17:H17"/>
    <mergeCell ref="G18:H18"/>
    <mergeCell ref="G19:H19"/>
    <mergeCell ref="G14:H14"/>
    <mergeCell ref="G15:H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E19:F19"/>
    <mergeCell ref="E18:F18"/>
    <mergeCell ref="E17:F17"/>
    <mergeCell ref="E16:F16"/>
    <mergeCell ref="E15:F15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</mergeCells>
  <phoneticPr fontId="2" type="noConversion"/>
  <conditionalFormatting sqref="C3:H3">
    <cfRule type="expression" dxfId="305" priority="9" stopIfTrue="1">
      <formula>DAY(C3)&gt;8</formula>
    </cfRule>
  </conditionalFormatting>
  <conditionalFormatting sqref="C7:I8">
    <cfRule type="expression" dxfId="304" priority="8" stopIfTrue="1">
      <formula>AND(DAY(C7)&gt;=1,DAY(C7)&lt;=15)</formula>
    </cfRule>
  </conditionalFormatting>
  <conditionalFormatting sqref="C3:I8">
    <cfRule type="expression" dxfId="303" priority="20">
      <formula>VLOOKUP(DAY(C3),UppgiftsDagar,1,FALSE)=DAY(C3)</formula>
    </cfRule>
  </conditionalFormatting>
  <conditionalFormatting sqref="B18:I18 B20:I20 B22:I22 B26:I26 B30:I30 B12:I12 B14:I14 B16:I16 B24:I24 B28:I28">
    <cfRule type="expression" dxfId="302" priority="6">
      <formula>B12&lt;&gt;""</formula>
    </cfRule>
  </conditionalFormatting>
  <conditionalFormatting sqref="B13:I13 B15:I15 B17:I17 B19:I19 B21:I21 B23:I23 B25:I25 B27:I27 B29:I29 B31:I31">
    <cfRule type="expression" dxfId="301" priority="4">
      <formula>B13&lt;&gt;""</formula>
    </cfRule>
  </conditionalFormatting>
  <conditionalFormatting sqref="B13:I13 B15:I15 B17:I17 B19:I19 B21:I21 B23:I23 B25:I25 B27:I27 B29:I29">
    <cfRule type="expression" dxfId="300" priority="3">
      <formula>COLUMN(B12)&gt;=2</formula>
    </cfRule>
  </conditionalFormatting>
  <conditionalFormatting sqref="B12:I31">
    <cfRule type="expression" dxfId="299" priority="1">
      <formula>COLUMN(B11)&gt;2</formula>
    </cfRule>
  </conditionalFormatting>
  <dataValidations xWindow="250" yWindow="581" count="13">
    <dataValidation allowBlank="1" showInputMessage="1" showErrorMessage="1" prompt="I den här cellen anger du år" sqref="B1"/>
    <dataValidation allowBlank="1" showInputMessage="1" showErrorMessage="1" prompt="Förbered ett veckoschema och skapa en uppgiftslista i det här kalkylbladet. Poster i uppgiftslistan markeras automatiskt i månadskalendern. Ange kalenderår i cell B1" sqref="A1"/>
    <dataValidation allowBlank="1" showInputMessage="1" showErrorMessage="1" prompt="Januari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Cellerna C2:I2 innehåller veckodagar" sqref="C2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  <dataValidation allowBlank="1" showInputMessage="1" showErrorMessage="1" prompt="Ange klass i den här raden från kolumn B till I" sqref="B13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Ange tid i den här raden från kolumn B till I" sqref="B12 I12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Veckodagar, från måndag till fredag, finns i den här raden" sqref="B11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31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50"/>
    </row>
    <row r="3" spans="1:12" ht="30" customHeight="1" x14ac:dyDescent="0.25">
      <c r="A3" s="13"/>
      <c r="C3" s="7">
        <f ca="1">IF(DAY(OktSön1)=1,OktSön1-6,OktSön1+1)</f>
        <v>43003</v>
      </c>
      <c r="D3" s="7">
        <f ca="1">IF(DAY(OktSön1)=1,OktSön1-5,OktSön1+2)</f>
        <v>43004</v>
      </c>
      <c r="E3" s="7">
        <f ca="1">IF(DAY(OktSön1)=1,OktSön1-4,OktSön1+3)</f>
        <v>43005</v>
      </c>
      <c r="F3" s="7">
        <f ca="1">IF(DAY(OktSön1)=1,OktSön1-3,OktSön1+4)</f>
        <v>43006</v>
      </c>
      <c r="G3" s="7">
        <f ca="1">IF(DAY(OktSön1)=1,OktSön1-2,OktSön1+5)</f>
        <v>43007</v>
      </c>
      <c r="H3" s="7">
        <f ca="1">IF(DAY(OktSön1)=1,OktSön1-1,OktSön1+6)</f>
        <v>43008</v>
      </c>
      <c r="I3" s="7">
        <f ca="1">IF(DAY(OktSön1)=1,OktSön1,OktSön1+7)</f>
        <v>43009</v>
      </c>
      <c r="J3" s="36"/>
      <c r="K3" s="35"/>
      <c r="L3" s="50"/>
    </row>
    <row r="4" spans="1:12" ht="30" customHeight="1" x14ac:dyDescent="0.25">
      <c r="A4" s="13"/>
      <c r="C4" s="7">
        <f ca="1">IF(DAY(OktSön1)=1,OktSön1+1,OktSön1+8)</f>
        <v>43010</v>
      </c>
      <c r="D4" s="7">
        <f ca="1">IF(DAY(OktSön1)=1,OktSön1+2,OktSön1+9)</f>
        <v>43011</v>
      </c>
      <c r="E4" s="7">
        <f ca="1">IF(DAY(OktSön1)=1,OktSön1+3,OktSön1+10)</f>
        <v>43012</v>
      </c>
      <c r="F4" s="7">
        <f ca="1">IF(DAY(OktSön1)=1,OktSön1+4,OktSön1+11)</f>
        <v>43013</v>
      </c>
      <c r="G4" s="7">
        <f ca="1">IF(DAY(OktSön1)=1,OktSön1+5,OktSön1+12)</f>
        <v>43014</v>
      </c>
      <c r="H4" s="7">
        <f ca="1">IF(DAY(OktSön1)=1,OktSön1+6,OktSön1+13)</f>
        <v>43015</v>
      </c>
      <c r="I4" s="7">
        <f ca="1">IF(DAY(OktSön1)=1,OktSön1+7,OktSön1+14)</f>
        <v>43016</v>
      </c>
      <c r="J4" s="36"/>
      <c r="K4" s="35"/>
      <c r="L4" s="50"/>
    </row>
    <row r="5" spans="1:12" ht="30" customHeight="1" x14ac:dyDescent="0.25">
      <c r="A5" s="13"/>
      <c r="C5" s="7">
        <f ca="1">IF(DAY(OktSön1)=1,OktSön1+8,OktSön1+15)</f>
        <v>43017</v>
      </c>
      <c r="D5" s="7">
        <f ca="1">IF(DAY(OktSön1)=1,OktSön1+9,OktSön1+16)</f>
        <v>43018</v>
      </c>
      <c r="E5" s="7">
        <f ca="1">IF(DAY(OktSön1)=1,OktSön1+10,OktSön1+17)</f>
        <v>43019</v>
      </c>
      <c r="F5" s="7">
        <f ca="1">IF(DAY(OktSön1)=1,OktSön1+11,OktSön1+18)</f>
        <v>43020</v>
      </c>
      <c r="G5" s="7">
        <f ca="1">IF(DAY(OktSön1)=1,OktSön1+12,OktSön1+19)</f>
        <v>43021</v>
      </c>
      <c r="H5" s="7">
        <f ca="1">IF(DAY(OktSön1)=1,OktSön1+13,OktSön1+20)</f>
        <v>43022</v>
      </c>
      <c r="I5" s="7">
        <f ca="1">IF(DAY(OktSön1)=1,OktSön1+14,OktSön1+21)</f>
        <v>43023</v>
      </c>
      <c r="J5" s="36"/>
      <c r="K5" s="35"/>
      <c r="L5" s="50"/>
    </row>
    <row r="6" spans="1:12" ht="30" customHeight="1" x14ac:dyDescent="0.25">
      <c r="A6" s="13"/>
      <c r="C6" s="7">
        <f ca="1">IF(DAY(OktSön1)=1,OktSön1+15,OktSön1+22)</f>
        <v>43024</v>
      </c>
      <c r="D6" s="7">
        <f ca="1">IF(DAY(OktSön1)=1,OktSön1+16,OktSön1+23)</f>
        <v>43025</v>
      </c>
      <c r="E6" s="7">
        <f ca="1">IF(DAY(OktSön1)=1,OktSön1+17,OktSön1+24)</f>
        <v>43026</v>
      </c>
      <c r="F6" s="7">
        <f ca="1">IF(DAY(OktSön1)=1,OktSön1+18,OktSön1+25)</f>
        <v>43027</v>
      </c>
      <c r="G6" s="7">
        <f ca="1">IF(DAY(OktSön1)=1,OktSön1+19,OktSön1+26)</f>
        <v>43028</v>
      </c>
      <c r="H6" s="7">
        <f ca="1">IF(DAY(OktSön1)=1,OktSön1+20,OktSön1+27)</f>
        <v>43029</v>
      </c>
      <c r="I6" s="7">
        <f ca="1">IF(DAY(OktSön1)=1,OktSön1+21,OktSön1+28)</f>
        <v>43030</v>
      </c>
      <c r="J6" s="36"/>
      <c r="K6" s="35"/>
      <c r="L6" s="50"/>
    </row>
    <row r="7" spans="1:12" ht="30" customHeight="1" x14ac:dyDescent="0.25">
      <c r="A7" s="13"/>
      <c r="C7" s="7">
        <f ca="1">IF(DAY(OktSön1)=1,OktSön1+22,OktSön1+29)</f>
        <v>43031</v>
      </c>
      <c r="D7" s="7">
        <f ca="1">IF(DAY(OktSön1)=1,OktSön1+23,OktSön1+30)</f>
        <v>43032</v>
      </c>
      <c r="E7" s="7">
        <f ca="1">IF(DAY(OktSön1)=1,OktSön1+24,OktSön1+31)</f>
        <v>43033</v>
      </c>
      <c r="F7" s="7">
        <f ca="1">IF(DAY(OktSön1)=1,OktSön1+25,OktSön1+32)</f>
        <v>43034</v>
      </c>
      <c r="G7" s="7">
        <f ca="1">IF(DAY(OktSön1)=1,OktSön1+26,OktSön1+33)</f>
        <v>43035</v>
      </c>
      <c r="H7" s="7">
        <f ca="1">IF(DAY(OktSön1)=1,OktSön1+27,OktSön1+34)</f>
        <v>43036</v>
      </c>
      <c r="I7" s="7">
        <f ca="1">IF(DAY(OktSön1)=1,OktSön1+28,OktSön1+35)</f>
        <v>43037</v>
      </c>
      <c r="J7" s="45"/>
      <c r="K7" s="44"/>
      <c r="L7" s="17"/>
    </row>
    <row r="8" spans="1:12" ht="30" customHeight="1" x14ac:dyDescent="0.25">
      <c r="A8" s="13"/>
      <c r="B8" s="17"/>
      <c r="C8" s="7">
        <f ca="1">IF(DAY(OktSön1)=1,OktSön1+29,OktSön1+36)</f>
        <v>43038</v>
      </c>
      <c r="D8" s="7">
        <f ca="1">IF(DAY(OktSön1)=1,OktSön1+30,OktSön1+37)</f>
        <v>43039</v>
      </c>
      <c r="E8" s="7">
        <f ca="1">IF(DAY(OktSön1)=1,OktSön1+31,OktSön1+38)</f>
        <v>43040</v>
      </c>
      <c r="F8" s="7">
        <f ca="1">IF(DAY(OktSön1)=1,OktSön1+32,OktSön1+39)</f>
        <v>43041</v>
      </c>
      <c r="G8" s="7">
        <f ca="1">IF(DAY(OktSön1)=1,OktSön1+33,OktSön1+40)</f>
        <v>43042</v>
      </c>
      <c r="H8" s="7">
        <f ca="1">IF(DAY(OktSön1)=1,OktSön1+34,OktSön1+41)</f>
        <v>43043</v>
      </c>
      <c r="I8" s="7">
        <f ca="1">IF(DAY(OktSön1)=1,OktSön1+35,OktSön1+42)</f>
        <v>43044</v>
      </c>
      <c r="J8" s="51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4"/>
      <c r="D12" s="64"/>
      <c r="E12" s="64">
        <v>0.33333333333333331</v>
      </c>
      <c r="F12" s="64"/>
      <c r="G12" s="64"/>
      <c r="H12" s="64"/>
      <c r="I12" s="30">
        <v>0.33333333333333331</v>
      </c>
      <c r="J12" s="36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4"/>
      <c r="F14" s="64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4"/>
      <c r="D16" s="64"/>
      <c r="E16" s="64">
        <v>0.41666666666666669</v>
      </c>
      <c r="F16" s="64"/>
      <c r="G16" s="64"/>
      <c r="H16" s="64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4"/>
      <c r="D18" s="64"/>
      <c r="E18" s="64"/>
      <c r="F18" s="64"/>
      <c r="G18" s="64"/>
      <c r="H18" s="64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4"/>
      <c r="D20" s="64"/>
      <c r="E20" s="64"/>
      <c r="F20" s="64"/>
      <c r="G20" s="64"/>
      <c r="H20" s="64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4"/>
      <c r="D22" s="64"/>
      <c r="E22" s="64"/>
      <c r="F22" s="64"/>
      <c r="G22" s="64"/>
      <c r="H22" s="64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4"/>
      <c r="D24" s="64"/>
      <c r="E24" s="64">
        <v>0.58333333333333337</v>
      </c>
      <c r="F24" s="64"/>
      <c r="G24" s="64"/>
      <c r="H24" s="64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4"/>
      <c r="D26" s="64"/>
      <c r="E26" s="64"/>
      <c r="F26" s="64"/>
      <c r="G26" s="64"/>
      <c r="H26" s="64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4"/>
      <c r="F28" s="64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4"/>
      <c r="D30" s="64"/>
      <c r="E30" s="64"/>
      <c r="F30" s="64"/>
      <c r="G30" s="64"/>
      <c r="H30" s="64"/>
      <c r="I30" s="20"/>
      <c r="J30" s="36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36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82" priority="48" stopIfTrue="1">
      <formula>DAY(C3)&gt;8</formula>
    </cfRule>
  </conditionalFormatting>
  <conditionalFormatting sqref="C7:I8">
    <cfRule type="expression" dxfId="81" priority="47" stopIfTrue="1">
      <formula>AND(DAY(C7)&gt;=1,DAY(C7)&lt;=15)</formula>
    </cfRule>
  </conditionalFormatting>
  <conditionalFormatting sqref="C3:I8">
    <cfRule type="expression" dxfId="80" priority="49">
      <formula>VLOOKUP(DAY(C3),UppgiftsDagar,1,FALSE)=DAY(C3)</formula>
    </cfRule>
  </conditionalFormatting>
  <conditionalFormatting sqref="B13:I13 B15:I15 B17:I17 B19:I19 B21:I21 B23:I23 B25:I25 B27:I27 B29:I29 B31:I31">
    <cfRule type="expression" dxfId="79" priority="46">
      <formula>B13&lt;&gt;""</formula>
    </cfRule>
  </conditionalFormatting>
  <conditionalFormatting sqref="C12:H12 B14 C16:H16 B18:I18 B20:I20 B22:I22 C24:H24 B26:I26 B28 B30:I30 E14:F14 I14 E28:F28 I28">
    <cfRule type="expression" dxfId="78" priority="45">
      <formula>B12&lt;&gt;""</formula>
    </cfRule>
  </conditionalFormatting>
  <conditionalFormatting sqref="B13:I13 B15:I15 B17:I17 B19:I19 B21:I21 B23:I23 B25:I25 B27:I27 B29:I29">
    <cfRule type="expression" dxfId="77" priority="42">
      <formula>COLUMN(B13)&gt;=2</formula>
    </cfRule>
    <cfRule type="expression" dxfId="76" priority="44">
      <formula>COLUMN(B11)&gt;2</formula>
    </cfRule>
  </conditionalFormatting>
  <conditionalFormatting sqref="B31:I31">
    <cfRule type="expression" dxfId="75" priority="43">
      <formula>COLUMN(B12)&gt;2</formula>
    </cfRule>
  </conditionalFormatting>
  <conditionalFormatting sqref="B13:I13 B15:I15 B14 E14:F14 I14 C12:H12 B17:I23 C16:H16 B25:I27 C24:H24 B29:I31 B28 E28:F28 I28">
    <cfRule type="expression" dxfId="74" priority="41">
      <formula>COLUMN(B12)&gt;2</formula>
    </cfRule>
  </conditionalFormatting>
  <conditionalFormatting sqref="B12">
    <cfRule type="expression" dxfId="73" priority="20">
      <formula>B12&lt;&gt;""</formula>
    </cfRule>
  </conditionalFormatting>
  <conditionalFormatting sqref="B12">
    <cfRule type="expression" dxfId="72" priority="19">
      <formula>COLUMN(B11)&gt;2</formula>
    </cfRule>
  </conditionalFormatting>
  <conditionalFormatting sqref="I12">
    <cfRule type="expression" dxfId="71" priority="18">
      <formula>I12&lt;&gt;""</formula>
    </cfRule>
  </conditionalFormatting>
  <conditionalFormatting sqref="I12">
    <cfRule type="expression" dxfId="70" priority="17">
      <formula>COLUMN(I11)&gt;2</formula>
    </cfRule>
  </conditionalFormatting>
  <conditionalFormatting sqref="C14:D14">
    <cfRule type="expression" dxfId="69" priority="16">
      <formula>C14&lt;&gt;""</formula>
    </cfRule>
  </conditionalFormatting>
  <conditionalFormatting sqref="C14:D14">
    <cfRule type="expression" dxfId="68" priority="15">
      <formula>COLUMN(C13)&gt;2</formula>
    </cfRule>
  </conditionalFormatting>
  <conditionalFormatting sqref="G14:H14">
    <cfRule type="expression" dxfId="67" priority="14">
      <formula>G14&lt;&gt;""</formula>
    </cfRule>
  </conditionalFormatting>
  <conditionalFormatting sqref="G14:H14">
    <cfRule type="expression" dxfId="66" priority="13">
      <formula>COLUMN(G13)&gt;2</formula>
    </cfRule>
  </conditionalFormatting>
  <conditionalFormatting sqref="B16">
    <cfRule type="expression" dxfId="65" priority="12">
      <formula>B16&lt;&gt;""</formula>
    </cfRule>
  </conditionalFormatting>
  <conditionalFormatting sqref="B16">
    <cfRule type="expression" dxfId="64" priority="11">
      <formula>COLUMN(B15)&gt;2</formula>
    </cfRule>
  </conditionalFormatting>
  <conditionalFormatting sqref="I16">
    <cfRule type="expression" dxfId="63" priority="10">
      <formula>I16&lt;&gt;""</formula>
    </cfRule>
  </conditionalFormatting>
  <conditionalFormatting sqref="I16">
    <cfRule type="expression" dxfId="62" priority="9">
      <formula>COLUMN(I15)&gt;2</formula>
    </cfRule>
  </conditionalFormatting>
  <conditionalFormatting sqref="B24">
    <cfRule type="expression" dxfId="61" priority="8">
      <formula>B24&lt;&gt;""</formula>
    </cfRule>
  </conditionalFormatting>
  <conditionalFormatting sqref="B24">
    <cfRule type="expression" dxfId="60" priority="7">
      <formula>COLUMN(B23)&gt;2</formula>
    </cfRule>
  </conditionalFormatting>
  <conditionalFormatting sqref="I24">
    <cfRule type="expression" dxfId="59" priority="6">
      <formula>I24&lt;&gt;""</formula>
    </cfRule>
  </conditionalFormatting>
  <conditionalFormatting sqref="I24">
    <cfRule type="expression" dxfId="58" priority="5">
      <formula>COLUMN(I23)&gt;2</formula>
    </cfRule>
  </conditionalFormatting>
  <conditionalFormatting sqref="C28:D28">
    <cfRule type="expression" dxfId="57" priority="4">
      <formula>C28&lt;&gt;""</formula>
    </cfRule>
  </conditionalFormatting>
  <conditionalFormatting sqref="C28:D28">
    <cfRule type="expression" dxfId="56" priority="3">
      <formula>COLUMN(C27)&gt;2</formula>
    </cfRule>
  </conditionalFormatting>
  <conditionalFormatting sqref="G28:H28">
    <cfRule type="expression" dxfId="55" priority="2">
      <formula>G28&lt;&gt;""</formula>
    </cfRule>
  </conditionalFormatting>
  <conditionalFormatting sqref="G28:H28">
    <cfRule type="expression" dxfId="54" priority="1">
      <formula>COLUMN(G27)&gt;2</formula>
    </cfRule>
  </conditionalFormatting>
  <dataValidations count="13">
    <dataValidation allowBlank="1" showInputMessage="1" showErrorMessage="1" prompt="Oktober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Cellerna C2:I2 innehåller veckodagar" sqref="C2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Ange tid i den här raden från kolumn B till I" sqref="B12 I12"/>
    <dataValidation allowBlank="1" showInputMessage="1" showErrorMessage="1" prompt="Ange klass i den här raden från kolumn B till I" sqref="B13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32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50"/>
    </row>
    <row r="3" spans="1:12" ht="30" customHeight="1" x14ac:dyDescent="0.25">
      <c r="A3" s="13"/>
      <c r="C3" s="7">
        <f ca="1">IF(DAY(NovSön1)=1,NovSön1-6,NovSön1+1)</f>
        <v>43038</v>
      </c>
      <c r="D3" s="7">
        <f ca="1">IF(DAY(NovSön1)=1,NovSön1-5,NovSön1+2)</f>
        <v>43039</v>
      </c>
      <c r="E3" s="7">
        <f ca="1">IF(DAY(NovSön1)=1,NovSön1-4,NovSön1+3)</f>
        <v>43040</v>
      </c>
      <c r="F3" s="7">
        <f ca="1">IF(DAY(NovSön1)=1,NovSön1-3,NovSön1+4)</f>
        <v>43041</v>
      </c>
      <c r="G3" s="7">
        <f ca="1">IF(DAY(NovSön1)=1,NovSön1-2,NovSön1+5)</f>
        <v>43042</v>
      </c>
      <c r="H3" s="7">
        <f ca="1">IF(DAY(NovSön1)=1,NovSön1-1,NovSön1+6)</f>
        <v>43043</v>
      </c>
      <c r="I3" s="7">
        <f ca="1">IF(DAY(NovSön1)=1,NovSön1,NovSön1+7)</f>
        <v>43044</v>
      </c>
      <c r="J3" s="36"/>
      <c r="K3" s="35"/>
      <c r="L3" s="50"/>
    </row>
    <row r="4" spans="1:12" ht="30" customHeight="1" x14ac:dyDescent="0.25">
      <c r="A4" s="13"/>
      <c r="C4" s="7">
        <f ca="1">IF(DAY(NovSön1)=1,NovSön1+1,NovSön1+8)</f>
        <v>43045</v>
      </c>
      <c r="D4" s="7">
        <f ca="1">IF(DAY(NovSön1)=1,NovSön1+2,NovSön1+9)</f>
        <v>43046</v>
      </c>
      <c r="E4" s="7">
        <f ca="1">IF(DAY(NovSön1)=1,NovSön1+3,NovSön1+10)</f>
        <v>43047</v>
      </c>
      <c r="F4" s="7">
        <f ca="1">IF(DAY(NovSön1)=1,NovSön1+4,NovSön1+11)</f>
        <v>43048</v>
      </c>
      <c r="G4" s="7">
        <f ca="1">IF(DAY(NovSön1)=1,NovSön1+5,NovSön1+12)</f>
        <v>43049</v>
      </c>
      <c r="H4" s="7">
        <f ca="1">IF(DAY(NovSön1)=1,NovSön1+6,NovSön1+13)</f>
        <v>43050</v>
      </c>
      <c r="I4" s="7">
        <f ca="1">IF(DAY(NovSön1)=1,NovSön1+7,NovSön1+14)</f>
        <v>43051</v>
      </c>
      <c r="J4" s="36"/>
      <c r="K4" s="35"/>
      <c r="L4" s="50"/>
    </row>
    <row r="5" spans="1:12" ht="30" customHeight="1" x14ac:dyDescent="0.25">
      <c r="A5" s="13"/>
      <c r="C5" s="7">
        <f ca="1">IF(DAY(NovSön1)=1,NovSön1+8,NovSön1+15)</f>
        <v>43052</v>
      </c>
      <c r="D5" s="7">
        <f ca="1">IF(DAY(NovSön1)=1,NovSön1+9,NovSön1+16)</f>
        <v>43053</v>
      </c>
      <c r="E5" s="7">
        <f ca="1">IF(DAY(NovSön1)=1,NovSön1+10,NovSön1+17)</f>
        <v>43054</v>
      </c>
      <c r="F5" s="7">
        <f ca="1">IF(DAY(NovSön1)=1,NovSön1+11,NovSön1+18)</f>
        <v>43055</v>
      </c>
      <c r="G5" s="7">
        <f ca="1">IF(DAY(NovSön1)=1,NovSön1+12,NovSön1+19)</f>
        <v>43056</v>
      </c>
      <c r="H5" s="7">
        <f ca="1">IF(DAY(NovSön1)=1,NovSön1+13,NovSön1+20)</f>
        <v>43057</v>
      </c>
      <c r="I5" s="7">
        <f ca="1">IF(DAY(NovSön1)=1,NovSön1+14,NovSön1+21)</f>
        <v>43058</v>
      </c>
      <c r="J5" s="36"/>
      <c r="K5" s="35"/>
      <c r="L5" s="50"/>
    </row>
    <row r="6" spans="1:12" ht="30" customHeight="1" x14ac:dyDescent="0.25">
      <c r="A6" s="13"/>
      <c r="C6" s="7">
        <f ca="1">IF(DAY(NovSön1)=1,NovSön1+15,NovSön1+22)</f>
        <v>43059</v>
      </c>
      <c r="D6" s="7">
        <f ca="1">IF(DAY(NovSön1)=1,NovSön1+16,NovSön1+23)</f>
        <v>43060</v>
      </c>
      <c r="E6" s="7">
        <f ca="1">IF(DAY(NovSön1)=1,NovSön1+17,NovSön1+24)</f>
        <v>43061</v>
      </c>
      <c r="F6" s="7">
        <f ca="1">IF(DAY(NovSön1)=1,NovSön1+18,NovSön1+25)</f>
        <v>43062</v>
      </c>
      <c r="G6" s="7">
        <f ca="1">IF(DAY(NovSön1)=1,NovSön1+19,NovSön1+26)</f>
        <v>43063</v>
      </c>
      <c r="H6" s="7">
        <f ca="1">IF(DAY(NovSön1)=1,NovSön1+20,NovSön1+27)</f>
        <v>43064</v>
      </c>
      <c r="I6" s="7">
        <f ca="1">IF(DAY(NovSön1)=1,NovSön1+21,NovSön1+28)</f>
        <v>43065</v>
      </c>
      <c r="J6" s="36"/>
      <c r="K6" s="35"/>
      <c r="L6" s="50"/>
    </row>
    <row r="7" spans="1:12" ht="30" customHeight="1" x14ac:dyDescent="0.25">
      <c r="A7" s="13"/>
      <c r="C7" s="7">
        <f ca="1">IF(DAY(NovSön1)=1,NovSön1+22,NovSön1+29)</f>
        <v>43066</v>
      </c>
      <c r="D7" s="7">
        <f ca="1">IF(DAY(NovSön1)=1,NovSön1+23,NovSön1+30)</f>
        <v>43067</v>
      </c>
      <c r="E7" s="7">
        <f ca="1">IF(DAY(NovSön1)=1,NovSön1+24,NovSön1+31)</f>
        <v>43068</v>
      </c>
      <c r="F7" s="7">
        <f ca="1">IF(DAY(NovSön1)=1,NovSön1+25,NovSön1+32)</f>
        <v>43069</v>
      </c>
      <c r="G7" s="7">
        <f ca="1">IF(DAY(NovSön1)=1,NovSön1+26,NovSön1+33)</f>
        <v>43070</v>
      </c>
      <c r="H7" s="7">
        <f ca="1">IF(DAY(NovSön1)=1,NovSön1+27,NovSön1+34)</f>
        <v>43071</v>
      </c>
      <c r="I7" s="7">
        <f ca="1">IF(DAY(NovSön1)=1,NovSön1+28,NovSön1+35)</f>
        <v>43072</v>
      </c>
      <c r="J7" s="45"/>
      <c r="K7" s="44"/>
      <c r="L7" s="17"/>
    </row>
    <row r="8" spans="1:12" ht="30" customHeight="1" x14ac:dyDescent="0.25">
      <c r="A8" s="13"/>
      <c r="B8" s="17"/>
      <c r="C8" s="7">
        <f ca="1">IF(DAY(NovSön1)=1,NovSön1+29,NovSön1+36)</f>
        <v>43073</v>
      </c>
      <c r="D8" s="7">
        <f ca="1">IF(DAY(NovSön1)=1,NovSön1+30,NovSön1+37)</f>
        <v>43074</v>
      </c>
      <c r="E8" s="7">
        <f ca="1">IF(DAY(NovSön1)=1,NovSön1+31,NovSön1+38)</f>
        <v>43075</v>
      </c>
      <c r="F8" s="7">
        <f ca="1">IF(DAY(NovSön1)=1,NovSön1+32,NovSön1+39)</f>
        <v>43076</v>
      </c>
      <c r="G8" s="7">
        <f ca="1">IF(DAY(NovSön1)=1,NovSön1+33,NovSön1+40)</f>
        <v>43077</v>
      </c>
      <c r="H8" s="7">
        <f ca="1">IF(DAY(NovSön1)=1,NovSön1+34,NovSön1+41)</f>
        <v>43078</v>
      </c>
      <c r="I8" s="7">
        <f ca="1">IF(DAY(NovSön1)=1,NovSön1+35,NovSön1+42)</f>
        <v>43079</v>
      </c>
      <c r="J8" s="51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6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6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31"/>
      <c r="J31" s="36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3" priority="46" stopIfTrue="1">
      <formula>DAY(C3)&gt;8</formula>
    </cfRule>
  </conditionalFormatting>
  <conditionalFormatting sqref="C7:I8">
    <cfRule type="expression" dxfId="52" priority="45" stopIfTrue="1">
      <formula>AND(DAY(C7)&gt;=1,DAY(C7)&lt;=15)</formula>
    </cfRule>
  </conditionalFormatting>
  <conditionalFormatting sqref="C3:I8">
    <cfRule type="expression" dxfId="51" priority="47">
      <formula>VLOOKUP(DAY(C3),UppgiftsDagar,1,FALSE)=DAY(C3)</formula>
    </cfRule>
  </conditionalFormatting>
  <conditionalFormatting sqref="B13:I13 B15:I15 B17:I17 B19:I19 B21:I21 B23:I23 B25:I25 B27:I27 B29:I29 B31:I31">
    <cfRule type="expression" dxfId="50" priority="44">
      <formula>B13&lt;&gt;""</formula>
    </cfRule>
  </conditionalFormatting>
  <conditionalFormatting sqref="C12:H12 B14 C16:H16 B18:I18 B20:I20 B22:I22 C24:H24 B26:I26 B28 B30:I30 E14:F14 I14 E28:F28 I28">
    <cfRule type="expression" dxfId="49" priority="43">
      <formula>B12&lt;&gt;""</formula>
    </cfRule>
  </conditionalFormatting>
  <conditionalFormatting sqref="B13:I13 B15:I15 B17:I17 B19:I19 B21:I21 B23:I23 B25:I25 B27:I27 B29:I29">
    <cfRule type="expression" dxfId="48" priority="42">
      <formula>COLUMN(B13)&gt;=2</formula>
    </cfRule>
  </conditionalFormatting>
  <conditionalFormatting sqref="B13:I13 B15:I15 B14 E14:F14 I14 C12:H12 B17:I23 C16:H16 B25:I27 C24:H24 B29:I31 B28 E28:F28 I28">
    <cfRule type="expression" dxfId="47" priority="41">
      <formula>COLUMN(B12)&gt;2</formula>
    </cfRule>
  </conditionalFormatting>
  <conditionalFormatting sqref="B12">
    <cfRule type="expression" dxfId="46" priority="20">
      <formula>B12&lt;&gt;""</formula>
    </cfRule>
  </conditionalFormatting>
  <conditionalFormatting sqref="B12">
    <cfRule type="expression" dxfId="45" priority="19">
      <formula>COLUMN(B11)&gt;2</formula>
    </cfRule>
  </conditionalFormatting>
  <conditionalFormatting sqref="I12">
    <cfRule type="expression" dxfId="44" priority="18">
      <formula>I12&lt;&gt;""</formula>
    </cfRule>
  </conditionalFormatting>
  <conditionalFormatting sqref="I12">
    <cfRule type="expression" dxfId="43" priority="17">
      <formula>COLUMN(I11)&gt;2</formula>
    </cfRule>
  </conditionalFormatting>
  <conditionalFormatting sqref="C14:D14">
    <cfRule type="expression" dxfId="42" priority="16">
      <formula>C14&lt;&gt;""</formula>
    </cfRule>
  </conditionalFormatting>
  <conditionalFormatting sqref="C14:D14">
    <cfRule type="expression" dxfId="41" priority="15">
      <formula>COLUMN(C13)&gt;2</formula>
    </cfRule>
  </conditionalFormatting>
  <conditionalFormatting sqref="G14:H14">
    <cfRule type="expression" dxfId="40" priority="14">
      <formula>G14&lt;&gt;""</formula>
    </cfRule>
  </conditionalFormatting>
  <conditionalFormatting sqref="G14:H14">
    <cfRule type="expression" dxfId="39" priority="13">
      <formula>COLUMN(G13)&gt;2</formula>
    </cfRule>
  </conditionalFormatting>
  <conditionalFormatting sqref="B16">
    <cfRule type="expression" dxfId="38" priority="12">
      <formula>B16&lt;&gt;""</formula>
    </cfRule>
  </conditionalFormatting>
  <conditionalFormatting sqref="B16">
    <cfRule type="expression" dxfId="37" priority="11">
      <formula>COLUMN(B15)&gt;2</formula>
    </cfRule>
  </conditionalFormatting>
  <conditionalFormatting sqref="I16">
    <cfRule type="expression" dxfId="36" priority="10">
      <formula>I16&lt;&gt;""</formula>
    </cfRule>
  </conditionalFormatting>
  <conditionalFormatting sqref="I16">
    <cfRule type="expression" dxfId="35" priority="9">
      <formula>COLUMN(I15)&gt;2</formula>
    </cfRule>
  </conditionalFormatting>
  <conditionalFormatting sqref="B24">
    <cfRule type="expression" dxfId="34" priority="8">
      <formula>B24&lt;&gt;""</formula>
    </cfRule>
  </conditionalFormatting>
  <conditionalFormatting sqref="B24">
    <cfRule type="expression" dxfId="33" priority="7">
      <formula>COLUMN(B23)&gt;2</formula>
    </cfRule>
  </conditionalFormatting>
  <conditionalFormatting sqref="I24">
    <cfRule type="expression" dxfId="32" priority="6">
      <formula>I24&lt;&gt;""</formula>
    </cfRule>
  </conditionalFormatting>
  <conditionalFormatting sqref="I24">
    <cfRule type="expression" dxfId="31" priority="5">
      <formula>COLUMN(I23)&gt;2</formula>
    </cfRule>
  </conditionalFormatting>
  <conditionalFormatting sqref="C28:D28">
    <cfRule type="expression" dxfId="30" priority="4">
      <formula>C28&lt;&gt;""</formula>
    </cfRule>
  </conditionalFormatting>
  <conditionalFormatting sqref="C28:D28">
    <cfRule type="expression" dxfId="29" priority="3">
      <formula>COLUMN(C27)&gt;2</formula>
    </cfRule>
  </conditionalFormatting>
  <conditionalFormatting sqref="G28:H28">
    <cfRule type="expression" dxfId="28" priority="2">
      <formula>G28&lt;&gt;""</formula>
    </cfRule>
  </conditionalFormatting>
  <conditionalFormatting sqref="G28:H28">
    <cfRule type="expression" dxfId="27" priority="1">
      <formula>COLUMN(G27)&gt;2</formula>
    </cfRule>
  </conditionalFormatting>
  <dataValidations xWindow="136" yWindow="382" count="13">
    <dataValidation allowBlank="1" showInputMessage="1" showErrorMessage="1" prompt="Ange klass i den här raden från kolumn B till I" sqref="B13"/>
    <dataValidation allowBlank="1" showInputMessage="1" showErrorMessage="1" prompt="Ange tid i den här raden från kolumn B till I" sqref="B12 I12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Cellerna C2:I2 innehåller veckodagar" sqref="C2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November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33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7" t="s">
        <v>5</v>
      </c>
      <c r="K2" s="35"/>
      <c r="L2" s="50"/>
    </row>
    <row r="3" spans="1:12" ht="30" customHeight="1" x14ac:dyDescent="0.25">
      <c r="A3" s="13"/>
      <c r="C3" s="7">
        <f ca="1">IF(DAY(DecSön1)=1,DecSön1-6,DecSön1+1)</f>
        <v>43066</v>
      </c>
      <c r="D3" s="7">
        <f ca="1">IF(DAY(DecSön1)=1,DecSön1-5,DecSön1+2)</f>
        <v>43067</v>
      </c>
      <c r="E3" s="7">
        <f ca="1">IF(DAY(DecSön1)=1,DecSön1-4,DecSön1+3)</f>
        <v>43068</v>
      </c>
      <c r="F3" s="7">
        <f ca="1">IF(DAY(DecSön1)=1,DecSön1-3,DecSön1+4)</f>
        <v>43069</v>
      </c>
      <c r="G3" s="7">
        <f ca="1">IF(DAY(DecSön1)=1,DecSön1-2,DecSön1+5)</f>
        <v>43070</v>
      </c>
      <c r="H3" s="7">
        <f ca="1">IF(DAY(DecSön1)=1,DecSön1-1,DecSön1+6)</f>
        <v>43071</v>
      </c>
      <c r="I3" s="7">
        <f ca="1">IF(DAY(DecSön1)=1,DecSön1,DecSön1+7)</f>
        <v>43072</v>
      </c>
      <c r="J3" s="37"/>
      <c r="K3" s="35"/>
      <c r="L3" s="50"/>
    </row>
    <row r="4" spans="1:12" ht="30" customHeight="1" x14ac:dyDescent="0.25">
      <c r="A4" s="13"/>
      <c r="C4" s="7">
        <f ca="1">IF(DAY(DecSön1)=1,DecSön1+1,DecSön1+8)</f>
        <v>43073</v>
      </c>
      <c r="D4" s="7">
        <f ca="1">IF(DAY(DecSön1)=1,DecSön1+2,DecSön1+9)</f>
        <v>43074</v>
      </c>
      <c r="E4" s="7">
        <f ca="1">IF(DAY(DecSön1)=1,DecSön1+3,DecSön1+10)</f>
        <v>43075</v>
      </c>
      <c r="F4" s="7">
        <f ca="1">IF(DAY(DecSön1)=1,DecSön1+4,DecSön1+11)</f>
        <v>43076</v>
      </c>
      <c r="G4" s="7">
        <f ca="1">IF(DAY(DecSön1)=1,DecSön1+5,DecSön1+12)</f>
        <v>43077</v>
      </c>
      <c r="H4" s="7">
        <f ca="1">IF(DAY(DecSön1)=1,DecSön1+6,DecSön1+13)</f>
        <v>43078</v>
      </c>
      <c r="I4" s="7">
        <f ca="1">IF(DAY(DecSön1)=1,DecSön1+7,DecSön1+14)</f>
        <v>43079</v>
      </c>
      <c r="J4" s="37"/>
      <c r="K4" s="35"/>
      <c r="L4" s="50"/>
    </row>
    <row r="5" spans="1:12" ht="30" customHeight="1" x14ac:dyDescent="0.25">
      <c r="A5" s="13"/>
      <c r="C5" s="7">
        <f ca="1">IF(DAY(DecSön1)=1,DecSön1+8,DecSön1+15)</f>
        <v>43080</v>
      </c>
      <c r="D5" s="7">
        <f ca="1">IF(DAY(DecSön1)=1,DecSön1+9,DecSön1+16)</f>
        <v>43081</v>
      </c>
      <c r="E5" s="7">
        <f ca="1">IF(DAY(DecSön1)=1,DecSön1+10,DecSön1+17)</f>
        <v>43082</v>
      </c>
      <c r="F5" s="7">
        <f ca="1">IF(DAY(DecSön1)=1,DecSön1+11,DecSön1+18)</f>
        <v>43083</v>
      </c>
      <c r="G5" s="7">
        <f ca="1">IF(DAY(DecSön1)=1,DecSön1+12,DecSön1+19)</f>
        <v>43084</v>
      </c>
      <c r="H5" s="7">
        <f ca="1">IF(DAY(DecSön1)=1,DecSön1+13,DecSön1+20)</f>
        <v>43085</v>
      </c>
      <c r="I5" s="7">
        <f ca="1">IF(DAY(DecSön1)=1,DecSön1+14,DecSön1+21)</f>
        <v>43086</v>
      </c>
      <c r="J5" s="37"/>
      <c r="K5" s="35"/>
      <c r="L5" s="50"/>
    </row>
    <row r="6" spans="1:12" ht="30" customHeight="1" x14ac:dyDescent="0.25">
      <c r="A6" s="13"/>
      <c r="C6" s="7">
        <f ca="1">IF(DAY(DecSön1)=1,DecSön1+15,DecSön1+22)</f>
        <v>43087</v>
      </c>
      <c r="D6" s="7">
        <f ca="1">IF(DAY(DecSön1)=1,DecSön1+16,DecSön1+23)</f>
        <v>43088</v>
      </c>
      <c r="E6" s="7">
        <f ca="1">IF(DAY(DecSön1)=1,DecSön1+17,DecSön1+24)</f>
        <v>43089</v>
      </c>
      <c r="F6" s="7">
        <f ca="1">IF(DAY(DecSön1)=1,DecSön1+18,DecSön1+25)</f>
        <v>43090</v>
      </c>
      <c r="G6" s="7">
        <f ca="1">IF(DAY(DecSön1)=1,DecSön1+19,DecSön1+26)</f>
        <v>43091</v>
      </c>
      <c r="H6" s="7">
        <f ca="1">IF(DAY(DecSön1)=1,DecSön1+20,DecSön1+27)</f>
        <v>43092</v>
      </c>
      <c r="I6" s="7">
        <f ca="1">IF(DAY(DecSön1)=1,DecSön1+21,DecSön1+28)</f>
        <v>43093</v>
      </c>
      <c r="J6" s="37"/>
      <c r="K6" s="35"/>
      <c r="L6" s="50"/>
    </row>
    <row r="7" spans="1:12" ht="30" customHeight="1" x14ac:dyDescent="0.25">
      <c r="A7" s="13"/>
      <c r="C7" s="7">
        <f ca="1">IF(DAY(DecSön1)=1,DecSön1+22,DecSön1+29)</f>
        <v>43094</v>
      </c>
      <c r="D7" s="7">
        <f ca="1">IF(DAY(DecSön1)=1,DecSön1+23,DecSön1+30)</f>
        <v>43095</v>
      </c>
      <c r="E7" s="7">
        <f ca="1">IF(DAY(DecSön1)=1,DecSön1+24,DecSön1+31)</f>
        <v>43096</v>
      </c>
      <c r="F7" s="7">
        <f ca="1">IF(DAY(DecSön1)=1,DecSön1+25,DecSön1+32)</f>
        <v>43097</v>
      </c>
      <c r="G7" s="7">
        <f ca="1">IF(DAY(DecSön1)=1,DecSön1+26,DecSön1+33)</f>
        <v>43098</v>
      </c>
      <c r="H7" s="7">
        <f ca="1">IF(DAY(DecSön1)=1,DecSön1+27,DecSön1+34)</f>
        <v>43099</v>
      </c>
      <c r="I7" s="7">
        <f ca="1">IF(DAY(DecSön1)=1,DecSön1+28,DecSön1+35)</f>
        <v>43100</v>
      </c>
      <c r="J7" s="43"/>
      <c r="K7" s="44"/>
      <c r="L7" s="17"/>
    </row>
    <row r="8" spans="1:12" ht="30" customHeight="1" x14ac:dyDescent="0.25">
      <c r="A8" s="13"/>
      <c r="B8" s="17"/>
      <c r="C8" s="7">
        <f ca="1">IF(DAY(DecSön1)=1,DecSön1+29,DecSön1+36)</f>
        <v>43101</v>
      </c>
      <c r="D8" s="7">
        <f ca="1">IF(DAY(DecSön1)=1,DecSön1+30,DecSön1+37)</f>
        <v>43102</v>
      </c>
      <c r="E8" s="7">
        <f ca="1">IF(DAY(DecSön1)=1,DecSön1+31,DecSön1+38)</f>
        <v>43103</v>
      </c>
      <c r="F8" s="7">
        <f ca="1">IF(DAY(DecSön1)=1,DecSön1+32,DecSön1+39)</f>
        <v>43104</v>
      </c>
      <c r="G8" s="7">
        <f ca="1">IF(DAY(DecSön1)=1,DecSön1+33,DecSön1+40)</f>
        <v>43105</v>
      </c>
      <c r="H8" s="7">
        <f ca="1">IF(DAY(DecSön1)=1,DecSön1+34,DecSön1+41)</f>
        <v>43106</v>
      </c>
      <c r="I8" s="7">
        <f ca="1">IF(DAY(DecSön1)=1,DecSön1+35,DecSön1+42)</f>
        <v>43107</v>
      </c>
      <c r="J8" s="55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7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7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7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7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3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5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7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7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7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7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3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5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7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7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7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7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3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5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7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7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7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7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37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6" priority="46" stopIfTrue="1">
      <formula>DAY(C3)&gt;8</formula>
    </cfRule>
  </conditionalFormatting>
  <conditionalFormatting sqref="C7:I8">
    <cfRule type="expression" dxfId="25" priority="45" stopIfTrue="1">
      <formula>AND(DAY(C7)&gt;=1,DAY(C7)&lt;=15)</formula>
    </cfRule>
  </conditionalFormatting>
  <conditionalFormatting sqref="C3:I8">
    <cfRule type="expression" dxfId="24" priority="47">
      <formula>VLOOKUP(DAY(C3),UppgiftsDagar,1,FALSE)=DAY(C3)</formula>
    </cfRule>
  </conditionalFormatting>
  <conditionalFormatting sqref="B13:I13 B15:I15 B17:I17 B19:I19 B21:I21 B23:I23 B25:I25 B27:I27 B29:I29 B31:I31">
    <cfRule type="expression" dxfId="23" priority="44">
      <formula>B13&lt;&gt;""</formula>
    </cfRule>
  </conditionalFormatting>
  <conditionalFormatting sqref="C12:H12 B14 C16:H16 B18:I18 B20:I20 B22:I22 C24:H24 B26:I26 B28 B30:I30 E14:F14 I14 E28:F28 I28">
    <cfRule type="expression" dxfId="22" priority="43">
      <formula>B12&lt;&gt;""</formula>
    </cfRule>
  </conditionalFormatting>
  <conditionalFormatting sqref="B13:I13 B15:I15 B17:I17 B19:I19 B21:I21 B23:I23 B25:I25 B27:I27 B29:I29">
    <cfRule type="expression" dxfId="21" priority="42">
      <formula>COLUMN(B13)&gt;=2</formula>
    </cfRule>
  </conditionalFormatting>
  <conditionalFormatting sqref="B13:I13 B15:I15 B14 E14:F14 I14 C12:H12 B17:I23 C16:H16 B25:I27 C24:H24 B29:I31 B28 E28:F28 I28">
    <cfRule type="expression" dxfId="20" priority="41">
      <formula>COLUMN(B12)&gt;2</formula>
    </cfRule>
  </conditionalFormatting>
  <conditionalFormatting sqref="B12">
    <cfRule type="expression" dxfId="19" priority="20">
      <formula>B12&lt;&gt;""</formula>
    </cfRule>
  </conditionalFormatting>
  <conditionalFormatting sqref="B12">
    <cfRule type="expression" dxfId="18" priority="19">
      <formula>COLUMN(B11)&gt;2</formula>
    </cfRule>
  </conditionalFormatting>
  <conditionalFormatting sqref="I12">
    <cfRule type="expression" dxfId="17" priority="18">
      <formula>I12&lt;&gt;""</formula>
    </cfRule>
  </conditionalFormatting>
  <conditionalFormatting sqref="I12">
    <cfRule type="expression" dxfId="16" priority="17">
      <formula>COLUMN(I11)&gt;2</formula>
    </cfRule>
  </conditionalFormatting>
  <conditionalFormatting sqref="C14:D14">
    <cfRule type="expression" dxfId="15" priority="16">
      <formula>C14&lt;&gt;""</formula>
    </cfRule>
  </conditionalFormatting>
  <conditionalFormatting sqref="C14:D14">
    <cfRule type="expression" dxfId="14" priority="15">
      <formula>COLUMN(C13)&gt;2</formula>
    </cfRule>
  </conditionalFormatting>
  <conditionalFormatting sqref="G14:H14">
    <cfRule type="expression" dxfId="13" priority="14">
      <formula>G14&lt;&gt;""</formula>
    </cfRule>
  </conditionalFormatting>
  <conditionalFormatting sqref="G14:H14">
    <cfRule type="expression" dxfId="12" priority="13">
      <formula>COLUMN(G13)&gt;2</formula>
    </cfRule>
  </conditionalFormatting>
  <conditionalFormatting sqref="B16">
    <cfRule type="expression" dxfId="11" priority="12">
      <formula>B16&lt;&gt;""</formula>
    </cfRule>
  </conditionalFormatting>
  <conditionalFormatting sqref="B16">
    <cfRule type="expression" dxfId="10" priority="11">
      <formula>COLUMN(B15)&gt;2</formula>
    </cfRule>
  </conditionalFormatting>
  <conditionalFormatting sqref="I16">
    <cfRule type="expression" dxfId="9" priority="10">
      <formula>I16&lt;&gt;""</formula>
    </cfRule>
  </conditionalFormatting>
  <conditionalFormatting sqref="I16">
    <cfRule type="expression" dxfId="8" priority="9">
      <formula>COLUMN(I15)&gt;2</formula>
    </cfRule>
  </conditionalFormatting>
  <conditionalFormatting sqref="B24">
    <cfRule type="expression" dxfId="7" priority="8">
      <formula>B24&lt;&gt;""</formula>
    </cfRule>
  </conditionalFormatting>
  <conditionalFormatting sqref="B24">
    <cfRule type="expression" dxfId="6" priority="7">
      <formula>COLUMN(B23)&gt;2</formula>
    </cfRule>
  </conditionalFormatting>
  <conditionalFormatting sqref="I24">
    <cfRule type="expression" dxfId="5" priority="6">
      <formula>I24&lt;&gt;""</formula>
    </cfRule>
  </conditionalFormatting>
  <conditionalFormatting sqref="I24">
    <cfRule type="expression" dxfId="4" priority="5">
      <formula>COLUMN(I23)&gt;2</formula>
    </cfRule>
  </conditionalFormatting>
  <conditionalFormatting sqref="C28:D28">
    <cfRule type="expression" dxfId="3" priority="4">
      <formula>C28&lt;&gt;""</formula>
    </cfRule>
  </conditionalFormatting>
  <conditionalFormatting sqref="C28:D28">
    <cfRule type="expression" dxfId="2" priority="3">
      <formula>COLUMN(C27)&gt;2</formula>
    </cfRule>
  </conditionalFormatting>
  <conditionalFormatting sqref="G28:H28">
    <cfRule type="expression" dxfId="1" priority="2">
      <formula>G28&lt;&gt;""</formula>
    </cfRule>
  </conditionalFormatting>
  <conditionalFormatting sqref="G28:H28">
    <cfRule type="expression" dxfId="0" priority="1">
      <formula>COLUMN(G27)&gt;2</formula>
    </cfRule>
  </conditionalFormatting>
  <dataValidations xWindow="282" yWindow="695" count="13">
    <dataValidation allowBlank="1" showInputMessage="1" showErrorMessage="1" prompt="December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Cellerna C2:I2 innehåller veckodagar" sqref="C2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Ange tid i den här raden från kolumn B till I" sqref="B12 I12"/>
    <dataValidation allowBlank="1" showInputMessage="1" showErrorMessage="1" prompt="Ange klass i den här raden från kolumn B till I" sqref="B13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" customWidth="1"/>
    <col min="11" max="11" width="10.625" customWidth="1"/>
    <col min="12" max="12" width="70.625" style="1" customWidth="1"/>
    <col min="13" max="13" width="2.625" customWidth="1"/>
  </cols>
  <sheetData>
    <row r="1" spans="1:12" ht="30" customHeight="1" x14ac:dyDescent="0.25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22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16"/>
    </row>
    <row r="3" spans="1:12" ht="30" customHeight="1" x14ac:dyDescent="0.25">
      <c r="A3" s="13"/>
      <c r="C3" s="7">
        <f ca="1">IF(DAY(FebSön1)=1,FebSön1-6,FebSön1+1)</f>
        <v>42765</v>
      </c>
      <c r="D3" s="7">
        <f ca="1">IF(DAY(FebSön1)=1,FebSön1-5,FebSön1+2)</f>
        <v>42766</v>
      </c>
      <c r="E3" s="7">
        <f ca="1">IF(DAY(FebSön1)=1,FebSön1-4,FebSön1+3)</f>
        <v>42767</v>
      </c>
      <c r="F3" s="7">
        <f ca="1">IF(DAY(FebSön1)=1,FebSön1-3,FebSön1+4)</f>
        <v>42768</v>
      </c>
      <c r="G3" s="7">
        <f ca="1">IF(DAY(FebSön1)=1,FebSön1-2,FebSön1+5)</f>
        <v>42769</v>
      </c>
      <c r="H3" s="7">
        <f ca="1">IF(DAY(FebSön1)=1,FebSön1-1,FebSön1+6)</f>
        <v>42770</v>
      </c>
      <c r="I3" s="7">
        <f ca="1">IF(DAY(FebSön1)=1,FebSön1,FebSön1+7)</f>
        <v>42771</v>
      </c>
      <c r="J3" s="36"/>
      <c r="K3" s="34"/>
      <c r="L3" s="16"/>
    </row>
    <row r="4" spans="1:12" ht="30" customHeight="1" x14ac:dyDescent="0.25">
      <c r="A4" s="13"/>
      <c r="C4" s="7">
        <f ca="1">IF(DAY(FebSön1)=1,FebSön1+1,FebSön1+8)</f>
        <v>42772</v>
      </c>
      <c r="D4" s="7">
        <f ca="1">IF(DAY(FebSön1)=1,FebSön1+2,FebSön1+9)</f>
        <v>42773</v>
      </c>
      <c r="E4" s="7">
        <f ca="1">IF(DAY(FebSön1)=1,FebSön1+3,FebSön1+10)</f>
        <v>42774</v>
      </c>
      <c r="F4" s="7">
        <f ca="1">IF(DAY(FebSön1)=1,FebSön1+4,FebSön1+11)</f>
        <v>42775</v>
      </c>
      <c r="G4" s="7">
        <f ca="1">IF(DAY(FebSön1)=1,FebSön1+5,FebSön1+12)</f>
        <v>42776</v>
      </c>
      <c r="H4" s="7">
        <f ca="1">IF(DAY(FebSön1)=1,FebSön1+6,FebSön1+13)</f>
        <v>42777</v>
      </c>
      <c r="I4" s="7">
        <f ca="1">IF(DAY(FebSön1)=1,FebSön1+7,FebSön1+14)</f>
        <v>42778</v>
      </c>
      <c r="J4" s="36"/>
      <c r="K4" s="34"/>
      <c r="L4" s="16"/>
    </row>
    <row r="5" spans="1:12" ht="30" customHeight="1" x14ac:dyDescent="0.25">
      <c r="A5" s="13"/>
      <c r="C5" s="7">
        <f ca="1">IF(DAY(FebSön1)=1,FebSön1+8,FebSön1+15)</f>
        <v>42779</v>
      </c>
      <c r="D5" s="7">
        <f ca="1">IF(DAY(FebSön1)=1,FebSön1+9,FebSön1+16)</f>
        <v>42780</v>
      </c>
      <c r="E5" s="7">
        <f ca="1">IF(DAY(FebSön1)=1,FebSön1+10,FebSön1+17)</f>
        <v>42781</v>
      </c>
      <c r="F5" s="7">
        <f ca="1">IF(DAY(FebSön1)=1,FebSön1+11,FebSön1+18)</f>
        <v>42782</v>
      </c>
      <c r="G5" s="7">
        <f ca="1">IF(DAY(FebSön1)=1,FebSön1+12,FebSön1+19)</f>
        <v>42783</v>
      </c>
      <c r="H5" s="7">
        <f ca="1">IF(DAY(FebSön1)=1,FebSön1+13,FebSön1+20)</f>
        <v>42784</v>
      </c>
      <c r="I5" s="7">
        <f ca="1">IF(DAY(FebSön1)=1,FebSön1+14,FebSön1+21)</f>
        <v>42785</v>
      </c>
      <c r="J5" s="36"/>
      <c r="K5" s="34"/>
      <c r="L5" s="16"/>
    </row>
    <row r="6" spans="1:12" ht="30" customHeight="1" x14ac:dyDescent="0.25">
      <c r="A6" s="13"/>
      <c r="C6" s="7">
        <f ca="1">IF(DAY(FebSön1)=1,FebSön1+15,FebSön1+22)</f>
        <v>42786</v>
      </c>
      <c r="D6" s="7">
        <f ca="1">IF(DAY(FebSön1)=1,FebSön1+16,FebSön1+23)</f>
        <v>42787</v>
      </c>
      <c r="E6" s="7">
        <f ca="1">IF(DAY(FebSön1)=1,FebSön1+17,FebSön1+24)</f>
        <v>42788</v>
      </c>
      <c r="F6" s="7">
        <f ca="1">IF(DAY(FebSön1)=1,FebSön1+18,FebSön1+25)</f>
        <v>42789</v>
      </c>
      <c r="G6" s="7">
        <f ca="1">IF(DAY(FebSön1)=1,FebSön1+19,FebSön1+26)</f>
        <v>42790</v>
      </c>
      <c r="H6" s="7">
        <f ca="1">IF(DAY(FebSön1)=1,FebSön1+20,FebSön1+27)</f>
        <v>42791</v>
      </c>
      <c r="I6" s="7">
        <f ca="1">IF(DAY(FebSön1)=1,FebSön1+21,FebSön1+28)</f>
        <v>42792</v>
      </c>
      <c r="J6" s="36"/>
      <c r="K6" s="34"/>
      <c r="L6" s="16"/>
    </row>
    <row r="7" spans="1:12" ht="30" customHeight="1" x14ac:dyDescent="0.25">
      <c r="A7" s="13"/>
      <c r="C7" s="7">
        <f ca="1">IF(DAY(FebSön1)=1,FebSön1+22,FebSön1+29)</f>
        <v>42793</v>
      </c>
      <c r="D7" s="7">
        <f ca="1">IF(DAY(FebSön1)=1,FebSön1+23,FebSön1+30)</f>
        <v>42794</v>
      </c>
      <c r="E7" s="7">
        <f ca="1">IF(DAY(FebSön1)=1,FebSön1+24,FebSön1+31)</f>
        <v>42795</v>
      </c>
      <c r="F7" s="7">
        <f ca="1">IF(DAY(FebSön1)=1,FebSön1+25,FebSön1+32)</f>
        <v>42796</v>
      </c>
      <c r="G7" s="7">
        <f ca="1">IF(DAY(FebSön1)=1,FebSön1+26,FebSön1+33)</f>
        <v>42797</v>
      </c>
      <c r="H7" s="7">
        <f ca="1">IF(DAY(FebSön1)=1,FebSön1+27,FebSön1+34)</f>
        <v>42798</v>
      </c>
      <c r="I7" s="7">
        <f ca="1">IF(DAY(FebSön1)=1,FebSön1+28,FebSön1+35)</f>
        <v>42799</v>
      </c>
      <c r="J7" s="45"/>
      <c r="K7" s="44"/>
      <c r="L7" s="17"/>
    </row>
    <row r="8" spans="1:12" ht="30" customHeight="1" x14ac:dyDescent="0.25">
      <c r="A8" s="13"/>
      <c r="B8" s="17"/>
      <c r="C8" s="7">
        <f ca="1">IF(DAY(FebSön1)=1,FebSön1+29,FebSön1+36)</f>
        <v>42800</v>
      </c>
      <c r="D8" s="7">
        <f ca="1">IF(DAY(FebSön1)=1,FebSön1+30,FebSön1+37)</f>
        <v>42801</v>
      </c>
      <c r="E8" s="7">
        <f ca="1">IF(DAY(FebSön1)=1,FebSön1+31,FebSön1+38)</f>
        <v>42802</v>
      </c>
      <c r="F8" s="7">
        <f ca="1">IF(DAY(FebSön1)=1,FebSön1+32,FebSön1+39)</f>
        <v>42803</v>
      </c>
      <c r="G8" s="7">
        <f ca="1">IF(DAY(FebSön1)=1,FebSön1+33,FebSön1+40)</f>
        <v>42804</v>
      </c>
      <c r="H8" s="7">
        <f ca="1">IF(DAY(FebSön1)=1,FebSön1+34,FebSön1+41)</f>
        <v>42805</v>
      </c>
      <c r="I8" s="7">
        <f ca="1">IF(DAY(FebSön1)=1,FebSön1+35,FebSön1+42)</f>
        <v>42806</v>
      </c>
      <c r="J8" s="36" t="s">
        <v>10</v>
      </c>
      <c r="K8" s="35"/>
      <c r="L8" s="16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4"/>
      <c r="L9" s="16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4"/>
      <c r="L10" s="16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54" t="s">
        <v>15</v>
      </c>
      <c r="J11" s="36"/>
      <c r="K11" s="34"/>
      <c r="L11" s="16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6"/>
      <c r="K12" s="34"/>
      <c r="L12" s="16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4"/>
      <c r="F14" s="64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4"/>
      <c r="D16" s="64"/>
      <c r="E16" s="64">
        <v>0.41666666666666669</v>
      </c>
      <c r="F16" s="64"/>
      <c r="G16" s="64"/>
      <c r="H16" s="64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4"/>
      <c r="D18" s="64"/>
      <c r="E18" s="64"/>
      <c r="F18" s="64"/>
      <c r="G18" s="64"/>
      <c r="H18" s="64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4"/>
      <c r="D20" s="64"/>
      <c r="E20" s="64"/>
      <c r="F20" s="64"/>
      <c r="G20" s="64"/>
      <c r="H20" s="64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4"/>
      <c r="D22" s="64"/>
      <c r="E22" s="64"/>
      <c r="F22" s="64"/>
      <c r="G22" s="64"/>
      <c r="H22" s="64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4"/>
      <c r="D24" s="64"/>
      <c r="E24" s="64">
        <v>0.58333333333333337</v>
      </c>
      <c r="F24" s="64"/>
      <c r="G24" s="64"/>
      <c r="H24" s="64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4"/>
      <c r="D26" s="64"/>
      <c r="E26" s="64"/>
      <c r="F26" s="64"/>
      <c r="G26" s="64"/>
      <c r="H26" s="64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4"/>
      <c r="F28" s="64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4"/>
      <c r="D30" s="64"/>
      <c r="E30" s="64"/>
      <c r="F30" s="64"/>
      <c r="G30" s="64"/>
      <c r="H30" s="64"/>
      <c r="I30" s="20"/>
      <c r="J30" s="36"/>
      <c r="K30" s="35"/>
      <c r="L30" s="50"/>
    </row>
    <row r="31" spans="1:12" ht="30" customHeight="1" x14ac:dyDescent="0.25">
      <c r="A31" s="23" t="s">
        <v>2</v>
      </c>
      <c r="B31" s="28"/>
      <c r="C31" s="65"/>
      <c r="D31" s="65"/>
      <c r="E31" s="65"/>
      <c r="F31" s="65"/>
      <c r="G31" s="65"/>
      <c r="H31" s="65"/>
      <c r="I31" s="26"/>
      <c r="J31" s="36"/>
      <c r="K31" s="35"/>
      <c r="L31" s="16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298" priority="49" stopIfTrue="1">
      <formula>DAY(C3)&gt;8</formula>
    </cfRule>
  </conditionalFormatting>
  <conditionalFormatting sqref="C7:I8">
    <cfRule type="expression" dxfId="297" priority="48" stopIfTrue="1">
      <formula>AND(DAY(C7)&gt;=1,DAY(C7)&lt;=15)</formula>
    </cfRule>
  </conditionalFormatting>
  <conditionalFormatting sqref="C3:I8">
    <cfRule type="expression" dxfId="296" priority="50">
      <formula>VLOOKUP(DAY(C3),UppgiftsDagar,1,FALSE)=DAY(C3)</formula>
    </cfRule>
  </conditionalFormatting>
  <conditionalFormatting sqref="B13:I13 B15:I15 B17:I17 B19:I19 B21:I21 B23:I23 B25:I25 B27:I27 B29:I29 B31:I31">
    <cfRule type="expression" dxfId="295" priority="47">
      <formula>B13&lt;&gt;""</formula>
    </cfRule>
  </conditionalFormatting>
  <conditionalFormatting sqref="C12:H12 B14 C16:H16 B18:I18 B20:I20 B22:I22 C24:H24 B26:I26 B28 B30:I30 E14:F14 I14 E28:F28 I28">
    <cfRule type="expression" dxfId="294" priority="46">
      <formula>B12&lt;&gt;""</formula>
    </cfRule>
  </conditionalFormatting>
  <conditionalFormatting sqref="B13:I13 B15:I15 B17:I17 B19:I19 B21:I21 B23:I23 B25:I25 B27:I27 B29:I29">
    <cfRule type="expression" dxfId="293" priority="44">
      <formula>COLUMN(B12)&gt;=2</formula>
    </cfRule>
  </conditionalFormatting>
  <conditionalFormatting sqref="B13:I13 C12:H12 B15:I15 B14 E14:F14 I14 B17:I23 C16:H16 B25:I27 C24:H24 B29:I31 B28 E28:F28 I28">
    <cfRule type="expression" dxfId="292" priority="41">
      <formula>COLUMN(B12)&gt;2</formula>
    </cfRule>
  </conditionalFormatting>
  <conditionalFormatting sqref="B12">
    <cfRule type="expression" dxfId="291" priority="20">
      <formula>B12&lt;&gt;""</formula>
    </cfRule>
  </conditionalFormatting>
  <conditionalFormatting sqref="B12">
    <cfRule type="expression" dxfId="290" priority="19">
      <formula>COLUMN(B11)&gt;2</formula>
    </cfRule>
  </conditionalFormatting>
  <conditionalFormatting sqref="I12">
    <cfRule type="expression" dxfId="289" priority="18">
      <formula>I12&lt;&gt;""</formula>
    </cfRule>
  </conditionalFormatting>
  <conditionalFormatting sqref="I12">
    <cfRule type="expression" dxfId="288" priority="17">
      <formula>COLUMN(I11)&gt;2</formula>
    </cfRule>
  </conditionalFormatting>
  <conditionalFormatting sqref="C14:D14">
    <cfRule type="expression" dxfId="287" priority="16">
      <formula>C14&lt;&gt;""</formula>
    </cfRule>
  </conditionalFormatting>
  <conditionalFormatting sqref="C14:D14">
    <cfRule type="expression" dxfId="286" priority="15">
      <formula>COLUMN(C13)&gt;2</formula>
    </cfRule>
  </conditionalFormatting>
  <conditionalFormatting sqref="G14:H14">
    <cfRule type="expression" dxfId="285" priority="14">
      <formula>G14&lt;&gt;""</formula>
    </cfRule>
  </conditionalFormatting>
  <conditionalFormatting sqref="G14:H14">
    <cfRule type="expression" dxfId="284" priority="13">
      <formula>COLUMN(G13)&gt;2</formula>
    </cfRule>
  </conditionalFormatting>
  <conditionalFormatting sqref="B16">
    <cfRule type="expression" dxfId="283" priority="12">
      <formula>B16&lt;&gt;""</formula>
    </cfRule>
  </conditionalFormatting>
  <conditionalFormatting sqref="B16">
    <cfRule type="expression" dxfId="282" priority="11">
      <formula>COLUMN(B15)&gt;2</formula>
    </cfRule>
  </conditionalFormatting>
  <conditionalFormatting sqref="I16">
    <cfRule type="expression" dxfId="281" priority="10">
      <formula>I16&lt;&gt;""</formula>
    </cfRule>
  </conditionalFormatting>
  <conditionalFormatting sqref="I16">
    <cfRule type="expression" dxfId="280" priority="9">
      <formula>COLUMN(I15)&gt;2</formula>
    </cfRule>
  </conditionalFormatting>
  <conditionalFormatting sqref="B24">
    <cfRule type="expression" dxfId="279" priority="8">
      <formula>B24&lt;&gt;""</formula>
    </cfRule>
  </conditionalFormatting>
  <conditionalFormatting sqref="B24">
    <cfRule type="expression" dxfId="278" priority="7">
      <formula>COLUMN(B23)&gt;2</formula>
    </cfRule>
  </conditionalFormatting>
  <conditionalFormatting sqref="I24">
    <cfRule type="expression" dxfId="277" priority="6">
      <formula>I24&lt;&gt;""</formula>
    </cfRule>
  </conditionalFormatting>
  <conditionalFormatting sqref="I24">
    <cfRule type="expression" dxfId="276" priority="5">
      <formula>COLUMN(I23)&gt;2</formula>
    </cfRule>
  </conditionalFormatting>
  <conditionalFormatting sqref="C28:D28">
    <cfRule type="expression" dxfId="275" priority="4">
      <formula>C28&lt;&gt;""</formula>
    </cfRule>
  </conditionalFormatting>
  <conditionalFormatting sqref="C28:D28">
    <cfRule type="expression" dxfId="274" priority="3">
      <formula>COLUMN(C27)&gt;2</formula>
    </cfRule>
  </conditionalFormatting>
  <conditionalFormatting sqref="G28:H28">
    <cfRule type="expression" dxfId="273" priority="2">
      <formula>G28&lt;&gt;""</formula>
    </cfRule>
  </conditionalFormatting>
  <conditionalFormatting sqref="G28:H28">
    <cfRule type="expression" dxfId="272" priority="1">
      <formula>COLUMN(G27)&gt;2</formula>
    </cfRule>
  </conditionalFormatting>
  <dataValidations xWindow="95" yWindow="532" count="13">
    <dataValidation allowBlank="1" showInputMessage="1" showErrorMessage="1" prompt="Februari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Cellerna C2:I2 innehåller veckodagar" sqref="C2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Ange tid i den här raden från kolumn B till I" sqref="B12 I12"/>
    <dataValidation allowBlank="1" showInputMessage="1" showErrorMessage="1" prompt="Ange klass i den här raden från kolumn B till I" sqref="B13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5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23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50"/>
    </row>
    <row r="3" spans="1:12" ht="30" customHeight="1" x14ac:dyDescent="0.25">
      <c r="A3" s="13"/>
      <c r="C3" s="7">
        <f ca="1">IF(DAY(MarSön1)=1,MarSön1-6,MarSön1+1)</f>
        <v>42793</v>
      </c>
      <c r="D3" s="7">
        <f ca="1">IF(DAY(MarSön1)=1,MarSön1-5,MarSön1+2)</f>
        <v>42794</v>
      </c>
      <c r="E3" s="7">
        <f ca="1">IF(DAY(MarSön1)=1,MarSön1-4,MarSön1+3)</f>
        <v>42795</v>
      </c>
      <c r="F3" s="7">
        <f ca="1">IF(DAY(MarSön1)=1,MarSön1-3,MarSön1+4)</f>
        <v>42796</v>
      </c>
      <c r="G3" s="7">
        <f ca="1">IF(DAY(MarSön1)=1,MarSön1-2,MarSön1+5)</f>
        <v>42797</v>
      </c>
      <c r="H3" s="7">
        <f ca="1">IF(DAY(MarSön1)=1,MarSön1-1,MarSön1+6)</f>
        <v>42798</v>
      </c>
      <c r="I3" s="7">
        <f ca="1">IF(DAY(MarSön1)=1,MarSön1,MarSön1+7)</f>
        <v>42799</v>
      </c>
      <c r="J3" s="36"/>
      <c r="K3" s="35"/>
      <c r="L3" s="50"/>
    </row>
    <row r="4" spans="1:12" ht="30" customHeight="1" x14ac:dyDescent="0.25">
      <c r="A4" s="13"/>
      <c r="C4" s="7">
        <f ca="1">IF(DAY(MarSön1)=1,MarSön1+1,MarSön1+8)</f>
        <v>42800</v>
      </c>
      <c r="D4" s="7">
        <f ca="1">IF(DAY(MarSön1)=1,MarSön1+2,MarSön1+9)</f>
        <v>42801</v>
      </c>
      <c r="E4" s="7">
        <f ca="1">IF(DAY(MarSön1)=1,MarSön1+3,MarSön1+10)</f>
        <v>42802</v>
      </c>
      <c r="F4" s="7">
        <f ca="1">IF(DAY(MarSön1)=1,MarSön1+4,MarSön1+11)</f>
        <v>42803</v>
      </c>
      <c r="G4" s="7">
        <f ca="1">IF(DAY(MarSön1)=1,MarSön1+5,MarSön1+12)</f>
        <v>42804</v>
      </c>
      <c r="H4" s="7">
        <f ca="1">IF(DAY(MarSön1)=1,MarSön1+6,MarSön1+13)</f>
        <v>42805</v>
      </c>
      <c r="I4" s="7">
        <f ca="1">IF(DAY(MarSön1)=1,MarSön1+7,MarSön1+14)</f>
        <v>42806</v>
      </c>
      <c r="J4" s="36"/>
      <c r="K4" s="35"/>
      <c r="L4" s="50"/>
    </row>
    <row r="5" spans="1:12" ht="30" customHeight="1" x14ac:dyDescent="0.25">
      <c r="A5" s="13"/>
      <c r="C5" s="7">
        <f ca="1">IF(DAY(MarSön1)=1,MarSön1+8,MarSön1+15)</f>
        <v>42807</v>
      </c>
      <c r="D5" s="7">
        <f ca="1">IF(DAY(MarSön1)=1,MarSön1+9,MarSön1+16)</f>
        <v>42808</v>
      </c>
      <c r="E5" s="7">
        <f ca="1">IF(DAY(MarSön1)=1,MarSön1+10,MarSön1+17)</f>
        <v>42809</v>
      </c>
      <c r="F5" s="7">
        <f ca="1">IF(DAY(MarSön1)=1,MarSön1+11,MarSön1+18)</f>
        <v>42810</v>
      </c>
      <c r="G5" s="7">
        <f ca="1">IF(DAY(MarSön1)=1,MarSön1+12,MarSön1+19)</f>
        <v>42811</v>
      </c>
      <c r="H5" s="7">
        <f ca="1">IF(DAY(MarSön1)=1,MarSön1+13,MarSön1+20)</f>
        <v>42812</v>
      </c>
      <c r="I5" s="7">
        <f ca="1">IF(DAY(MarSön1)=1,MarSön1+14,MarSön1+21)</f>
        <v>42813</v>
      </c>
      <c r="J5" s="36"/>
      <c r="K5" s="35"/>
      <c r="L5" s="50"/>
    </row>
    <row r="6" spans="1:12" ht="30" customHeight="1" x14ac:dyDescent="0.25">
      <c r="A6" s="13"/>
      <c r="C6" s="7">
        <f ca="1">IF(DAY(MarSön1)=1,MarSön1+15,MarSön1+22)</f>
        <v>42814</v>
      </c>
      <c r="D6" s="7">
        <f ca="1">IF(DAY(MarSön1)=1,MarSön1+16,MarSön1+23)</f>
        <v>42815</v>
      </c>
      <c r="E6" s="7">
        <f ca="1">IF(DAY(MarSön1)=1,MarSön1+17,MarSön1+24)</f>
        <v>42816</v>
      </c>
      <c r="F6" s="7">
        <f ca="1">IF(DAY(MarSön1)=1,MarSön1+18,MarSön1+25)</f>
        <v>42817</v>
      </c>
      <c r="G6" s="7">
        <f ca="1">IF(DAY(MarSön1)=1,MarSön1+19,MarSön1+26)</f>
        <v>42818</v>
      </c>
      <c r="H6" s="7">
        <f ca="1">IF(DAY(MarSön1)=1,MarSön1+20,MarSön1+27)</f>
        <v>42819</v>
      </c>
      <c r="I6" s="7">
        <f ca="1">IF(DAY(MarSön1)=1,MarSön1+21,MarSön1+28)</f>
        <v>42820</v>
      </c>
      <c r="J6" s="36"/>
      <c r="K6" s="35"/>
      <c r="L6" s="50"/>
    </row>
    <row r="7" spans="1:12" ht="30" customHeight="1" x14ac:dyDescent="0.25">
      <c r="A7" s="13"/>
      <c r="C7" s="7">
        <f ca="1">IF(DAY(MarSön1)=1,MarSön1+22,MarSön1+29)</f>
        <v>42821</v>
      </c>
      <c r="D7" s="7">
        <f ca="1">IF(DAY(MarSön1)=1,MarSön1+23,MarSön1+30)</f>
        <v>42822</v>
      </c>
      <c r="E7" s="7">
        <f ca="1">IF(DAY(MarSön1)=1,MarSön1+24,MarSön1+31)</f>
        <v>42823</v>
      </c>
      <c r="F7" s="7">
        <f ca="1">IF(DAY(MarSön1)=1,MarSön1+25,MarSön1+32)</f>
        <v>42824</v>
      </c>
      <c r="G7" s="7">
        <f ca="1">IF(DAY(MarSön1)=1,MarSön1+26,MarSön1+33)</f>
        <v>42825</v>
      </c>
      <c r="H7" s="7">
        <f ca="1">IF(DAY(MarSön1)=1,MarSön1+27,MarSön1+34)</f>
        <v>42826</v>
      </c>
      <c r="I7" s="7">
        <f ca="1">IF(DAY(MarSön1)=1,MarSön1+28,MarSön1+35)</f>
        <v>42827</v>
      </c>
      <c r="J7" s="45"/>
      <c r="K7" s="44"/>
      <c r="L7" s="17"/>
    </row>
    <row r="8" spans="1:12" ht="30" customHeight="1" x14ac:dyDescent="0.25">
      <c r="A8" s="13"/>
      <c r="B8" s="17"/>
      <c r="C8" s="7">
        <f ca="1">IF(DAY(MarSön1)=1,MarSön1+29,MarSön1+36)</f>
        <v>42828</v>
      </c>
      <c r="D8" s="7">
        <f ca="1">IF(DAY(MarSön1)=1,MarSön1+30,MarSön1+37)</f>
        <v>42829</v>
      </c>
      <c r="E8" s="7">
        <f ca="1">IF(DAY(MarSön1)=1,MarSön1+31,MarSön1+38)</f>
        <v>42830</v>
      </c>
      <c r="F8" s="7">
        <f ca="1">IF(DAY(MarSön1)=1,MarSön1+32,MarSön1+39)</f>
        <v>42831</v>
      </c>
      <c r="G8" s="7">
        <f ca="1">IF(DAY(MarSön1)=1,MarSön1+33,MarSön1+40)</f>
        <v>42832</v>
      </c>
      <c r="H8" s="7">
        <f ca="1">IF(DAY(MarSön1)=1,MarSön1+34,MarSön1+41)</f>
        <v>42833</v>
      </c>
      <c r="I8" s="7">
        <f ca="1">IF(DAY(MarSön1)=1,MarSön1+35,MarSön1+42)</f>
        <v>42834</v>
      </c>
      <c r="J8" s="51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6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6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36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71" priority="46" stopIfTrue="1">
      <formula>DAY(C3)&gt;8</formula>
    </cfRule>
  </conditionalFormatting>
  <conditionalFormatting sqref="C7:I8">
    <cfRule type="expression" dxfId="270" priority="45" stopIfTrue="1">
      <formula>AND(DAY(C7)&gt;=1,DAY(C7)&lt;=15)</formula>
    </cfRule>
  </conditionalFormatting>
  <conditionalFormatting sqref="C3:I8">
    <cfRule type="expression" dxfId="269" priority="47">
      <formula>VLOOKUP(DAY(C3),UppgiftsDagar,1,FALSE)=DAY(C3)</formula>
    </cfRule>
  </conditionalFormatting>
  <conditionalFormatting sqref="B13:I13 B15:I15 B17:I17 B19:I19 B21:I21 B23:I23 B25:I25 B27:I27 B29:I29 B31:I31">
    <cfRule type="expression" dxfId="268" priority="44">
      <formula>B13&lt;&gt;""</formula>
    </cfRule>
  </conditionalFormatting>
  <conditionalFormatting sqref="C12:H12 B14 C16:H16 B18:I18 B20:I20 B22:I22 C24:H24 B26:I26 B28 B30:I30 E14:F14 I14 E28:F28 I28">
    <cfRule type="expression" dxfId="267" priority="43">
      <formula>B12&lt;&gt;""</formula>
    </cfRule>
  </conditionalFormatting>
  <conditionalFormatting sqref="B13:I13 B15:I15 B17:I17 B19:I19 B21:I21 B23:I23 B25:I25 B27:I27 B29:I29">
    <cfRule type="expression" dxfId="266" priority="42">
      <formula>COLUMN(B12)&gt;=2</formula>
    </cfRule>
  </conditionalFormatting>
  <conditionalFormatting sqref="B13:I13 B15:I15 B14 E14:F14 I14 C12:H12 B17:I23 C16:H16 B25:I27 C24:H24 B29:I31 B28 E28:F28 I28">
    <cfRule type="expression" dxfId="265" priority="41">
      <formula>COLUMN(B12)&gt;2</formula>
    </cfRule>
  </conditionalFormatting>
  <conditionalFormatting sqref="B12">
    <cfRule type="expression" dxfId="264" priority="20">
      <formula>B12&lt;&gt;""</formula>
    </cfRule>
  </conditionalFormatting>
  <conditionalFormatting sqref="B12">
    <cfRule type="expression" dxfId="263" priority="19">
      <formula>COLUMN(B11)&gt;2</formula>
    </cfRule>
  </conditionalFormatting>
  <conditionalFormatting sqref="I12">
    <cfRule type="expression" dxfId="262" priority="18">
      <formula>I12&lt;&gt;""</formula>
    </cfRule>
  </conditionalFormatting>
  <conditionalFormatting sqref="I12">
    <cfRule type="expression" dxfId="261" priority="17">
      <formula>COLUMN(I11)&gt;2</formula>
    </cfRule>
  </conditionalFormatting>
  <conditionalFormatting sqref="C14:D14">
    <cfRule type="expression" dxfId="260" priority="16">
      <formula>C14&lt;&gt;""</formula>
    </cfRule>
  </conditionalFormatting>
  <conditionalFormatting sqref="C14:D14">
    <cfRule type="expression" dxfId="259" priority="15">
      <formula>COLUMN(C13)&gt;2</formula>
    </cfRule>
  </conditionalFormatting>
  <conditionalFormatting sqref="G14:H14">
    <cfRule type="expression" dxfId="258" priority="14">
      <formula>G14&lt;&gt;""</formula>
    </cfRule>
  </conditionalFormatting>
  <conditionalFormatting sqref="G14:H14">
    <cfRule type="expression" dxfId="257" priority="13">
      <formula>COLUMN(G13)&gt;2</formula>
    </cfRule>
  </conditionalFormatting>
  <conditionalFormatting sqref="B16">
    <cfRule type="expression" dxfId="256" priority="12">
      <formula>B16&lt;&gt;""</formula>
    </cfRule>
  </conditionalFormatting>
  <conditionalFormatting sqref="B16">
    <cfRule type="expression" dxfId="255" priority="11">
      <formula>COLUMN(B15)&gt;2</formula>
    </cfRule>
  </conditionalFormatting>
  <conditionalFormatting sqref="I16">
    <cfRule type="expression" dxfId="254" priority="10">
      <formula>I16&lt;&gt;""</formula>
    </cfRule>
  </conditionalFormatting>
  <conditionalFormatting sqref="I16">
    <cfRule type="expression" dxfId="253" priority="9">
      <formula>COLUMN(I15)&gt;2</formula>
    </cfRule>
  </conditionalFormatting>
  <conditionalFormatting sqref="B24">
    <cfRule type="expression" dxfId="252" priority="8">
      <formula>B24&lt;&gt;""</formula>
    </cfRule>
  </conditionalFormatting>
  <conditionalFormatting sqref="B24">
    <cfRule type="expression" dxfId="251" priority="7">
      <formula>COLUMN(B23)&gt;2</formula>
    </cfRule>
  </conditionalFormatting>
  <conditionalFormatting sqref="I24">
    <cfRule type="expression" dxfId="250" priority="6">
      <formula>I24&lt;&gt;""</formula>
    </cfRule>
  </conditionalFormatting>
  <conditionalFormatting sqref="I24">
    <cfRule type="expression" dxfId="249" priority="5">
      <formula>COLUMN(I23)&gt;2</formula>
    </cfRule>
  </conditionalFormatting>
  <conditionalFormatting sqref="C28:D28">
    <cfRule type="expression" dxfId="248" priority="4">
      <formula>C28&lt;&gt;""</formula>
    </cfRule>
  </conditionalFormatting>
  <conditionalFormatting sqref="C28:D28">
    <cfRule type="expression" dxfId="247" priority="3">
      <formula>COLUMN(C27)&gt;2</formula>
    </cfRule>
  </conditionalFormatting>
  <conditionalFormatting sqref="G28:H28">
    <cfRule type="expression" dxfId="246" priority="2">
      <formula>G28&lt;&gt;""</formula>
    </cfRule>
  </conditionalFormatting>
  <conditionalFormatting sqref="G28:H28">
    <cfRule type="expression" dxfId="245" priority="1">
      <formula>COLUMN(G27)&gt;2</formula>
    </cfRule>
  </conditionalFormatting>
  <dataValidations count="13">
    <dataValidation allowBlank="1" showInputMessage="1" showErrorMessage="1" prompt="Ange klass i den här raden från kolumn B till I" sqref="B13"/>
    <dataValidation allowBlank="1" showInputMessage="1" showErrorMessage="1" prompt="Ange tid i den här raden från kolumn B till I" sqref="B12 I12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Cellerna C2:I2 innehåller veckodagar" sqref="C2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Mars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5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3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24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7" t="s">
        <v>5</v>
      </c>
      <c r="K2" s="35"/>
      <c r="L2" s="50"/>
    </row>
    <row r="3" spans="1:12" ht="30" customHeight="1" x14ac:dyDescent="0.25">
      <c r="A3" s="13"/>
      <c r="C3" s="7">
        <f ca="1">IF(DAY(AprSön1)=1,AprSön1-6,AprSön1+1)</f>
        <v>42821</v>
      </c>
      <c r="D3" s="7">
        <f ca="1">IF(DAY(AprSön1)=1,AprSön1-5,AprSön1+2)</f>
        <v>42822</v>
      </c>
      <c r="E3" s="7">
        <f ca="1">IF(DAY(AprSön1)=1,AprSön1-4,AprSön1+3)</f>
        <v>42823</v>
      </c>
      <c r="F3" s="7">
        <f ca="1">IF(DAY(AprSön1)=1,AprSön1-3,AprSön1+4)</f>
        <v>42824</v>
      </c>
      <c r="G3" s="7">
        <f ca="1">IF(DAY(AprSön1)=1,AprSön1-2,AprSön1+5)</f>
        <v>42825</v>
      </c>
      <c r="H3" s="7">
        <f ca="1">IF(DAY(AprSön1)=1,AprSön1-1,AprSön1+6)</f>
        <v>42826</v>
      </c>
      <c r="I3" s="7">
        <f ca="1">IF(DAY(AprSön1)=1,AprSön1,AprSön1+7)</f>
        <v>42827</v>
      </c>
      <c r="J3" s="37"/>
      <c r="K3" s="35"/>
      <c r="L3" s="50"/>
    </row>
    <row r="4" spans="1:12" ht="30" customHeight="1" x14ac:dyDescent="0.25">
      <c r="A4" s="13"/>
      <c r="C4" s="7">
        <f ca="1">IF(DAY(AprSön1)=1,AprSön1+1,AprSön1+8)</f>
        <v>42828</v>
      </c>
      <c r="D4" s="7">
        <f ca="1">IF(DAY(AprSön1)=1,AprSön1+2,AprSön1+9)</f>
        <v>42829</v>
      </c>
      <c r="E4" s="7">
        <f ca="1">IF(DAY(AprSön1)=1,AprSön1+3,AprSön1+10)</f>
        <v>42830</v>
      </c>
      <c r="F4" s="7">
        <f ca="1">IF(DAY(AprSön1)=1,AprSön1+4,AprSön1+11)</f>
        <v>42831</v>
      </c>
      <c r="G4" s="7">
        <f ca="1">IF(DAY(AprSön1)=1,AprSön1+5,AprSön1+12)</f>
        <v>42832</v>
      </c>
      <c r="H4" s="7">
        <f ca="1">IF(DAY(AprSön1)=1,AprSön1+6,AprSön1+13)</f>
        <v>42833</v>
      </c>
      <c r="I4" s="7">
        <f ca="1">IF(DAY(AprSön1)=1,AprSön1+7,AprSön1+14)</f>
        <v>42834</v>
      </c>
      <c r="J4" s="37"/>
      <c r="K4" s="35"/>
      <c r="L4" s="50"/>
    </row>
    <row r="5" spans="1:12" ht="30" customHeight="1" x14ac:dyDescent="0.25">
      <c r="A5" s="13"/>
      <c r="C5" s="7">
        <f ca="1">IF(DAY(AprSön1)=1,AprSön1+8,AprSön1+15)</f>
        <v>42835</v>
      </c>
      <c r="D5" s="7">
        <f ca="1">IF(DAY(AprSön1)=1,AprSön1+9,AprSön1+16)</f>
        <v>42836</v>
      </c>
      <c r="E5" s="7">
        <f ca="1">IF(DAY(AprSön1)=1,AprSön1+10,AprSön1+17)</f>
        <v>42837</v>
      </c>
      <c r="F5" s="7">
        <f ca="1">IF(DAY(AprSön1)=1,AprSön1+11,AprSön1+18)</f>
        <v>42838</v>
      </c>
      <c r="G5" s="7">
        <f ca="1">IF(DAY(AprSön1)=1,AprSön1+12,AprSön1+19)</f>
        <v>42839</v>
      </c>
      <c r="H5" s="7">
        <f ca="1">IF(DAY(AprSön1)=1,AprSön1+13,AprSön1+20)</f>
        <v>42840</v>
      </c>
      <c r="I5" s="7">
        <f ca="1">IF(DAY(AprSön1)=1,AprSön1+14,AprSön1+21)</f>
        <v>42841</v>
      </c>
      <c r="J5" s="37"/>
      <c r="K5" s="35"/>
      <c r="L5" s="50"/>
    </row>
    <row r="6" spans="1:12" ht="30" customHeight="1" x14ac:dyDescent="0.25">
      <c r="A6" s="13"/>
      <c r="C6" s="7">
        <f ca="1">IF(DAY(AprSön1)=1,AprSön1+15,AprSön1+22)</f>
        <v>42842</v>
      </c>
      <c r="D6" s="7">
        <f ca="1">IF(DAY(AprSön1)=1,AprSön1+16,AprSön1+23)</f>
        <v>42843</v>
      </c>
      <c r="E6" s="7">
        <f ca="1">IF(DAY(AprSön1)=1,AprSön1+17,AprSön1+24)</f>
        <v>42844</v>
      </c>
      <c r="F6" s="7">
        <f ca="1">IF(DAY(AprSön1)=1,AprSön1+18,AprSön1+25)</f>
        <v>42845</v>
      </c>
      <c r="G6" s="7">
        <f ca="1">IF(DAY(AprSön1)=1,AprSön1+19,AprSön1+26)</f>
        <v>42846</v>
      </c>
      <c r="H6" s="7">
        <f ca="1">IF(DAY(AprSön1)=1,AprSön1+20,AprSön1+27)</f>
        <v>42847</v>
      </c>
      <c r="I6" s="7">
        <f ca="1">IF(DAY(AprSön1)=1,AprSön1+21,AprSön1+28)</f>
        <v>42848</v>
      </c>
      <c r="J6" s="37"/>
      <c r="K6" s="35"/>
      <c r="L6" s="50"/>
    </row>
    <row r="7" spans="1:12" ht="30" customHeight="1" x14ac:dyDescent="0.25">
      <c r="A7" s="13"/>
      <c r="C7" s="7">
        <f ca="1">IF(DAY(AprSön1)=1,AprSön1+22,AprSön1+29)</f>
        <v>42849</v>
      </c>
      <c r="D7" s="7">
        <f ca="1">IF(DAY(AprSön1)=1,AprSön1+23,AprSön1+30)</f>
        <v>42850</v>
      </c>
      <c r="E7" s="7">
        <f ca="1">IF(DAY(AprSön1)=1,AprSön1+24,AprSön1+31)</f>
        <v>42851</v>
      </c>
      <c r="F7" s="7">
        <f ca="1">IF(DAY(AprSön1)=1,AprSön1+25,AprSön1+32)</f>
        <v>42852</v>
      </c>
      <c r="G7" s="7">
        <f ca="1">IF(DAY(AprSön1)=1,AprSön1+26,AprSön1+33)</f>
        <v>42853</v>
      </c>
      <c r="H7" s="7">
        <f ca="1">IF(DAY(AprSön1)=1,AprSön1+27,AprSön1+34)</f>
        <v>42854</v>
      </c>
      <c r="I7" s="7">
        <f ca="1">IF(DAY(AprSön1)=1,AprSön1+28,AprSön1+35)</f>
        <v>42855</v>
      </c>
      <c r="J7" s="43"/>
      <c r="K7" s="44"/>
      <c r="L7" s="17"/>
    </row>
    <row r="8" spans="1:12" ht="30" customHeight="1" x14ac:dyDescent="0.25">
      <c r="A8" s="13"/>
      <c r="B8" s="17"/>
      <c r="C8" s="7">
        <f ca="1">IF(DAY(AprSön1)=1,AprSön1+29,AprSön1+36)</f>
        <v>42856</v>
      </c>
      <c r="D8" s="7">
        <f ca="1">IF(DAY(AprSön1)=1,AprSön1+30,AprSön1+37)</f>
        <v>42857</v>
      </c>
      <c r="E8" s="7">
        <f ca="1">IF(DAY(AprSön1)=1,AprSön1+31,AprSön1+38)</f>
        <v>42858</v>
      </c>
      <c r="F8" s="7">
        <f ca="1">IF(DAY(AprSön1)=1,AprSön1+32,AprSön1+39)</f>
        <v>42859</v>
      </c>
      <c r="G8" s="7">
        <f ca="1">IF(DAY(AprSön1)=1,AprSön1+33,AprSön1+40)</f>
        <v>42860</v>
      </c>
      <c r="H8" s="7">
        <f ca="1">IF(DAY(AprSön1)=1,AprSön1+34,AprSön1+41)</f>
        <v>42861</v>
      </c>
      <c r="I8" s="7">
        <f ca="1">IF(DAY(AprSön1)=1,AprSön1+35,AprSön1+42)</f>
        <v>42862</v>
      </c>
      <c r="J8" s="55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7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7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7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7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3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5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7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7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7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7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3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5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7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7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7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7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3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5" t="s">
        <v>15</v>
      </c>
      <c r="K26" s="52"/>
      <c r="L26" s="53" t="s">
        <v>25</v>
      </c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7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7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7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7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37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44" priority="46" stopIfTrue="1">
      <formula>DAY(C3)&gt;8</formula>
    </cfRule>
  </conditionalFormatting>
  <conditionalFormatting sqref="C7:I8">
    <cfRule type="expression" dxfId="243" priority="45" stopIfTrue="1">
      <formula>AND(DAY(C7)&gt;=1,DAY(C7)&lt;=15)</formula>
    </cfRule>
  </conditionalFormatting>
  <conditionalFormatting sqref="C3:I8">
    <cfRule type="expression" dxfId="242" priority="47">
      <formula>VLOOKUP(DAY(C3),UppgiftsDagar,1,FALSE)=DAY(C3)</formula>
    </cfRule>
  </conditionalFormatting>
  <conditionalFormatting sqref="B13:I13 B15:I15 B17:I17 B19:I19 B21:I21 B23:I23 B25:I25 B27:I27 B29:I29 B31:I31">
    <cfRule type="expression" dxfId="241" priority="44">
      <formula>B13&lt;&gt;""</formula>
    </cfRule>
  </conditionalFormatting>
  <conditionalFormatting sqref="C12:H12 B14 C16:H16 B18:I18 B20:I20 B22:I22 C24:H24 B26:I26 B28 B30:I30 E14:F14 I14 E28:F28 I28">
    <cfRule type="expression" dxfId="240" priority="43">
      <formula>B12&lt;&gt;""</formula>
    </cfRule>
  </conditionalFormatting>
  <conditionalFormatting sqref="B13:I13 B15:I15 B17:I17 B19:I19 B21:I21 B23:I23 B25:I25 B27:I27 B29:I29">
    <cfRule type="expression" dxfId="239" priority="42">
      <formula>COLUMN(B12)&gt;=2</formula>
    </cfRule>
  </conditionalFormatting>
  <conditionalFormatting sqref="B13:I13 B15:I15 B14 E14:F14 I14 C12:H12 B17:I23 C16:H16 B25:I27 C24:H24 B29:I31 B28 E28:F28 I28">
    <cfRule type="expression" dxfId="238" priority="41">
      <formula>COLUMN(B12)&gt;2</formula>
    </cfRule>
  </conditionalFormatting>
  <conditionalFormatting sqref="B12">
    <cfRule type="expression" dxfId="237" priority="20">
      <formula>B12&lt;&gt;""</formula>
    </cfRule>
  </conditionalFormatting>
  <conditionalFormatting sqref="B12">
    <cfRule type="expression" dxfId="236" priority="19">
      <formula>COLUMN(B11)&gt;2</formula>
    </cfRule>
  </conditionalFormatting>
  <conditionalFormatting sqref="I12">
    <cfRule type="expression" dxfId="235" priority="18">
      <formula>I12&lt;&gt;""</formula>
    </cfRule>
  </conditionalFormatting>
  <conditionalFormatting sqref="I12">
    <cfRule type="expression" dxfId="234" priority="17">
      <formula>COLUMN(I11)&gt;2</formula>
    </cfRule>
  </conditionalFormatting>
  <conditionalFormatting sqref="C14:D14">
    <cfRule type="expression" dxfId="233" priority="16">
      <formula>C14&lt;&gt;""</formula>
    </cfRule>
  </conditionalFormatting>
  <conditionalFormatting sqref="C14:D14">
    <cfRule type="expression" dxfId="232" priority="15">
      <formula>COLUMN(C13)&gt;2</formula>
    </cfRule>
  </conditionalFormatting>
  <conditionalFormatting sqref="G14:H14">
    <cfRule type="expression" dxfId="231" priority="14">
      <formula>G14&lt;&gt;""</formula>
    </cfRule>
  </conditionalFormatting>
  <conditionalFormatting sqref="G14:H14">
    <cfRule type="expression" dxfId="230" priority="13">
      <formula>COLUMN(G13)&gt;2</formula>
    </cfRule>
  </conditionalFormatting>
  <conditionalFormatting sqref="B16">
    <cfRule type="expression" dxfId="229" priority="12">
      <formula>B16&lt;&gt;""</formula>
    </cfRule>
  </conditionalFormatting>
  <conditionalFormatting sqref="B16">
    <cfRule type="expression" dxfId="228" priority="11">
      <formula>COLUMN(B15)&gt;2</formula>
    </cfRule>
  </conditionalFormatting>
  <conditionalFormatting sqref="I16">
    <cfRule type="expression" dxfId="227" priority="10">
      <formula>I16&lt;&gt;""</formula>
    </cfRule>
  </conditionalFormatting>
  <conditionalFormatting sqref="I16">
    <cfRule type="expression" dxfId="226" priority="9">
      <formula>COLUMN(I15)&gt;2</formula>
    </cfRule>
  </conditionalFormatting>
  <conditionalFormatting sqref="B24">
    <cfRule type="expression" dxfId="225" priority="8">
      <formula>B24&lt;&gt;""</formula>
    </cfRule>
  </conditionalFormatting>
  <conditionalFormatting sqref="B24">
    <cfRule type="expression" dxfId="224" priority="7">
      <formula>COLUMN(B23)&gt;2</formula>
    </cfRule>
  </conditionalFormatting>
  <conditionalFormatting sqref="I24">
    <cfRule type="expression" dxfId="223" priority="6">
      <formula>I24&lt;&gt;""</formula>
    </cfRule>
  </conditionalFormatting>
  <conditionalFormatting sqref="I24">
    <cfRule type="expression" dxfId="222" priority="5">
      <formula>COLUMN(I23)&gt;2</formula>
    </cfRule>
  </conditionalFormatting>
  <conditionalFormatting sqref="C28:D28">
    <cfRule type="expression" dxfId="221" priority="4">
      <formula>C28&lt;&gt;""</formula>
    </cfRule>
  </conditionalFormatting>
  <conditionalFormatting sqref="C28:D28">
    <cfRule type="expression" dxfId="220" priority="3">
      <formula>COLUMN(C27)&gt;2</formula>
    </cfRule>
  </conditionalFormatting>
  <conditionalFormatting sqref="G28:H28">
    <cfRule type="expression" dxfId="219" priority="2">
      <formula>G28&lt;&gt;""</formula>
    </cfRule>
  </conditionalFormatting>
  <conditionalFormatting sqref="G28:H28">
    <cfRule type="expression" dxfId="218" priority="1">
      <formula>COLUMN(G27)&gt;2</formula>
    </cfRule>
  </conditionalFormatting>
  <dataValidations xWindow="209" yWindow="929" count="13">
    <dataValidation allowBlank="1" showInputMessage="1" showErrorMessage="1" prompt="April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Cellerna C2:I2 innehåller veckodagar" sqref="C2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Ange tid i den här raden från kolumn B till I" sqref="B12 I12"/>
    <dataValidation allowBlank="1" showInputMessage="1" showErrorMessage="1" prompt="Ange klass i den här raden från kolumn B till I" sqref="B13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26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50"/>
    </row>
    <row r="3" spans="1:12" ht="30" customHeight="1" x14ac:dyDescent="0.25">
      <c r="A3" s="13"/>
      <c r="C3" s="7">
        <f ca="1">IF(DAY(MajSön1)=1,MajSön1-6,MajSön1+1)</f>
        <v>42856</v>
      </c>
      <c r="D3" s="7">
        <f ca="1">IF(DAY(MajSön1)=1,MajSön1-5,MajSön1+2)</f>
        <v>42857</v>
      </c>
      <c r="E3" s="7">
        <f ca="1">IF(DAY(MajSön1)=1,MajSön1-4,MajSön1+3)</f>
        <v>42858</v>
      </c>
      <c r="F3" s="7">
        <f ca="1">IF(DAY(MajSön1)=1,MajSön1-3,MajSön1+4)</f>
        <v>42859</v>
      </c>
      <c r="G3" s="7">
        <f ca="1">IF(DAY(MajSön1)=1,MajSön1-2,MajSön1+5)</f>
        <v>42860</v>
      </c>
      <c r="H3" s="7">
        <f ca="1">IF(DAY(MajSön1)=1,MajSön1-1,MajSön1+6)</f>
        <v>42861</v>
      </c>
      <c r="I3" s="7">
        <f ca="1">IF(DAY(MajSön1)=1,MajSön1,MajSön1+7)</f>
        <v>42862</v>
      </c>
      <c r="J3" s="36"/>
      <c r="K3" s="35"/>
      <c r="L3" s="50"/>
    </row>
    <row r="4" spans="1:12" ht="30" customHeight="1" x14ac:dyDescent="0.25">
      <c r="A4" s="13"/>
      <c r="C4" s="7">
        <f ca="1">IF(DAY(MajSön1)=1,MajSön1+1,MajSön1+8)</f>
        <v>42863</v>
      </c>
      <c r="D4" s="7">
        <f ca="1">IF(DAY(MajSön1)=1,MajSön1+2,MajSön1+9)</f>
        <v>42864</v>
      </c>
      <c r="E4" s="7">
        <f ca="1">IF(DAY(MajSön1)=1,MajSön1+3,MajSön1+10)</f>
        <v>42865</v>
      </c>
      <c r="F4" s="7">
        <f ca="1">IF(DAY(MajSön1)=1,MajSön1+4,MajSön1+11)</f>
        <v>42866</v>
      </c>
      <c r="G4" s="7">
        <f ca="1">IF(DAY(MajSön1)=1,MajSön1+5,MajSön1+12)</f>
        <v>42867</v>
      </c>
      <c r="H4" s="7">
        <f ca="1">IF(DAY(MajSön1)=1,MajSön1+6,MajSön1+13)</f>
        <v>42868</v>
      </c>
      <c r="I4" s="7">
        <f ca="1">IF(DAY(MajSön1)=1,MajSön1+7,MajSön1+14)</f>
        <v>42869</v>
      </c>
      <c r="J4" s="36"/>
      <c r="K4" s="35"/>
      <c r="L4" s="50"/>
    </row>
    <row r="5" spans="1:12" ht="30" customHeight="1" x14ac:dyDescent="0.25">
      <c r="A5" s="13"/>
      <c r="C5" s="7">
        <f ca="1">IF(DAY(MajSön1)=1,MajSön1+8,MajSön1+15)</f>
        <v>42870</v>
      </c>
      <c r="D5" s="7">
        <f ca="1">IF(DAY(MajSön1)=1,MajSön1+9,MajSön1+16)</f>
        <v>42871</v>
      </c>
      <c r="E5" s="7">
        <f ca="1">IF(DAY(MajSön1)=1,MajSön1+10,MajSön1+17)</f>
        <v>42872</v>
      </c>
      <c r="F5" s="7">
        <f ca="1">IF(DAY(MajSön1)=1,MajSön1+11,MajSön1+18)</f>
        <v>42873</v>
      </c>
      <c r="G5" s="7">
        <f ca="1">IF(DAY(MajSön1)=1,MajSön1+12,MajSön1+19)</f>
        <v>42874</v>
      </c>
      <c r="H5" s="7">
        <f ca="1">IF(DAY(MajSön1)=1,MajSön1+13,MajSön1+20)</f>
        <v>42875</v>
      </c>
      <c r="I5" s="7">
        <f ca="1">IF(DAY(MajSön1)=1,MajSön1+14,MajSön1+21)</f>
        <v>42876</v>
      </c>
      <c r="J5" s="36"/>
      <c r="K5" s="35"/>
      <c r="L5" s="50"/>
    </row>
    <row r="6" spans="1:12" ht="30" customHeight="1" x14ac:dyDescent="0.25">
      <c r="A6" s="13"/>
      <c r="C6" s="7">
        <f ca="1">IF(DAY(MajSön1)=1,MajSön1+15,MajSön1+22)</f>
        <v>42877</v>
      </c>
      <c r="D6" s="7">
        <f ca="1">IF(DAY(MajSön1)=1,MajSön1+16,MajSön1+23)</f>
        <v>42878</v>
      </c>
      <c r="E6" s="7">
        <f ca="1">IF(DAY(MajSön1)=1,MajSön1+17,MajSön1+24)</f>
        <v>42879</v>
      </c>
      <c r="F6" s="7">
        <f ca="1">IF(DAY(MajSön1)=1,MajSön1+18,MajSön1+25)</f>
        <v>42880</v>
      </c>
      <c r="G6" s="7">
        <f ca="1">IF(DAY(MajSön1)=1,MajSön1+19,MajSön1+26)</f>
        <v>42881</v>
      </c>
      <c r="H6" s="7">
        <f ca="1">IF(DAY(MajSön1)=1,MajSön1+20,MajSön1+27)</f>
        <v>42882</v>
      </c>
      <c r="I6" s="7">
        <f ca="1">IF(DAY(MajSön1)=1,MajSön1+21,MajSön1+28)</f>
        <v>42883</v>
      </c>
      <c r="J6" s="36"/>
      <c r="K6" s="35"/>
      <c r="L6" s="50"/>
    </row>
    <row r="7" spans="1:12" ht="30" customHeight="1" x14ac:dyDescent="0.25">
      <c r="A7" s="13"/>
      <c r="C7" s="7">
        <f ca="1">IF(DAY(MajSön1)=1,MajSön1+22,MajSön1+29)</f>
        <v>42884</v>
      </c>
      <c r="D7" s="7">
        <f ca="1">IF(DAY(MajSön1)=1,MajSön1+23,MajSön1+30)</f>
        <v>42885</v>
      </c>
      <c r="E7" s="7">
        <f ca="1">IF(DAY(MajSön1)=1,MajSön1+24,MajSön1+31)</f>
        <v>42886</v>
      </c>
      <c r="F7" s="7">
        <f ca="1">IF(DAY(MajSön1)=1,MajSön1+25,MajSön1+32)</f>
        <v>42887</v>
      </c>
      <c r="G7" s="7">
        <f ca="1">IF(DAY(MajSön1)=1,MajSön1+26,MajSön1+33)</f>
        <v>42888</v>
      </c>
      <c r="H7" s="7">
        <f ca="1">IF(DAY(MajSön1)=1,MajSön1+27,MajSön1+34)</f>
        <v>42889</v>
      </c>
      <c r="I7" s="7">
        <f ca="1">IF(DAY(MajSön1)=1,MajSön1+28,MajSön1+35)</f>
        <v>42890</v>
      </c>
      <c r="J7" s="45"/>
      <c r="K7" s="44"/>
      <c r="L7" s="17"/>
    </row>
    <row r="8" spans="1:12" ht="30" customHeight="1" x14ac:dyDescent="0.25">
      <c r="A8" s="13"/>
      <c r="B8" s="17"/>
      <c r="C8" s="7">
        <f ca="1">IF(DAY(MajSön1)=1,MajSön1+29,MajSön1+36)</f>
        <v>42891</v>
      </c>
      <c r="D8" s="7">
        <f ca="1">IF(DAY(MajSön1)=1,MajSön1+30,MajSön1+37)</f>
        <v>42892</v>
      </c>
      <c r="E8" s="7">
        <f ca="1">IF(DAY(MajSön1)=1,MajSön1+31,MajSön1+38)</f>
        <v>42893</v>
      </c>
      <c r="F8" s="7">
        <f ca="1">IF(DAY(MajSön1)=1,MajSön1+32,MajSön1+39)</f>
        <v>42894</v>
      </c>
      <c r="G8" s="7">
        <f ca="1">IF(DAY(MajSön1)=1,MajSön1+33,MajSön1+40)</f>
        <v>42895</v>
      </c>
      <c r="H8" s="7">
        <f ca="1">IF(DAY(MajSön1)=1,MajSön1+34,MajSön1+41)</f>
        <v>42896</v>
      </c>
      <c r="I8" s="7">
        <f ca="1">IF(DAY(MajSön1)=1,MajSön1+35,MajSön1+42)</f>
        <v>42897</v>
      </c>
      <c r="J8" s="51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6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6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36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17" priority="46" stopIfTrue="1">
      <formula>DAY(C3)&gt;8</formula>
    </cfRule>
  </conditionalFormatting>
  <conditionalFormatting sqref="C7:I8">
    <cfRule type="expression" dxfId="216" priority="45" stopIfTrue="1">
      <formula>AND(DAY(C7)&gt;=1,DAY(C7)&lt;=15)</formula>
    </cfRule>
  </conditionalFormatting>
  <conditionalFormatting sqref="C3:I8">
    <cfRule type="expression" dxfId="215" priority="47">
      <formula>VLOOKUP(DAY(C3),UppgiftsDagar,1,FALSE)=DAY(C3)</formula>
    </cfRule>
  </conditionalFormatting>
  <conditionalFormatting sqref="B13:I13 B15:I15 B17:I17 B19:I19 B21:I21 B23:I23 B25:I25 B27:I27 B29:I29 B31:I31">
    <cfRule type="expression" dxfId="214" priority="44">
      <formula>B13&lt;&gt;""</formula>
    </cfRule>
  </conditionalFormatting>
  <conditionalFormatting sqref="C12:H12 B14 C16:H16 B18:I18 B20:I20 B22:I22 C24:H24 B26:I26 B28 B30:I30 E14:F14 I14 E28:F28 I28">
    <cfRule type="expression" dxfId="213" priority="43">
      <formula>B12&lt;&gt;""</formula>
    </cfRule>
  </conditionalFormatting>
  <conditionalFormatting sqref="B13:I13 B15:I15 B17:I17 B19:I19 B21:I21 B23:I23 B25:I25 B27:I27 B29:I29">
    <cfRule type="expression" dxfId="212" priority="42">
      <formula>COLUMN(B12)&gt;=2</formula>
    </cfRule>
  </conditionalFormatting>
  <conditionalFormatting sqref="B13:I13 B15:I15 B14 E14:F14 I14 C12:H12 B17:I23 C16:H16 B25:I27 C24:H24 B29:I31 B28 E28:F28 I28">
    <cfRule type="expression" dxfId="211" priority="41">
      <formula>COLUMN(B11)&gt;2</formula>
    </cfRule>
  </conditionalFormatting>
  <conditionalFormatting sqref="B12">
    <cfRule type="expression" dxfId="210" priority="20">
      <formula>B12&lt;&gt;""</formula>
    </cfRule>
  </conditionalFormatting>
  <conditionalFormatting sqref="B12">
    <cfRule type="expression" dxfId="209" priority="19">
      <formula>COLUMN(B11)&gt;2</formula>
    </cfRule>
  </conditionalFormatting>
  <conditionalFormatting sqref="I12">
    <cfRule type="expression" dxfId="208" priority="18">
      <formula>I12&lt;&gt;""</formula>
    </cfRule>
  </conditionalFormatting>
  <conditionalFormatting sqref="I12">
    <cfRule type="expression" dxfId="207" priority="17">
      <formula>COLUMN(I11)&gt;2</formula>
    </cfRule>
  </conditionalFormatting>
  <conditionalFormatting sqref="C14:D14">
    <cfRule type="expression" dxfId="206" priority="16">
      <formula>C14&lt;&gt;""</formula>
    </cfRule>
  </conditionalFormatting>
  <conditionalFormatting sqref="C14:D14">
    <cfRule type="expression" dxfId="205" priority="15">
      <formula>COLUMN(C13)&gt;2</formula>
    </cfRule>
  </conditionalFormatting>
  <conditionalFormatting sqref="G14:H14">
    <cfRule type="expression" dxfId="204" priority="14">
      <formula>G14&lt;&gt;""</formula>
    </cfRule>
  </conditionalFormatting>
  <conditionalFormatting sqref="G14:H14">
    <cfRule type="expression" dxfId="203" priority="13">
      <formula>COLUMN(G13)&gt;2</formula>
    </cfRule>
  </conditionalFormatting>
  <conditionalFormatting sqref="B16">
    <cfRule type="expression" dxfId="202" priority="12">
      <formula>B16&lt;&gt;""</formula>
    </cfRule>
  </conditionalFormatting>
  <conditionalFormatting sqref="B16">
    <cfRule type="expression" dxfId="201" priority="11">
      <formula>COLUMN(B15)&gt;2</formula>
    </cfRule>
  </conditionalFormatting>
  <conditionalFormatting sqref="I16">
    <cfRule type="expression" dxfId="200" priority="10">
      <formula>I16&lt;&gt;""</formula>
    </cfRule>
  </conditionalFormatting>
  <conditionalFormatting sqref="I16">
    <cfRule type="expression" dxfId="199" priority="9">
      <formula>COLUMN(I15)&gt;2</formula>
    </cfRule>
  </conditionalFormatting>
  <conditionalFormatting sqref="B24">
    <cfRule type="expression" dxfId="198" priority="8">
      <formula>B24&lt;&gt;""</formula>
    </cfRule>
  </conditionalFormatting>
  <conditionalFormatting sqref="B24">
    <cfRule type="expression" dxfId="197" priority="7">
      <formula>COLUMN(B23)&gt;2</formula>
    </cfRule>
  </conditionalFormatting>
  <conditionalFormatting sqref="I24">
    <cfRule type="expression" dxfId="196" priority="6">
      <formula>I24&lt;&gt;""</formula>
    </cfRule>
  </conditionalFormatting>
  <conditionalFormatting sqref="I24">
    <cfRule type="expression" dxfId="195" priority="5">
      <formula>COLUMN(I23)&gt;2</formula>
    </cfRule>
  </conditionalFormatting>
  <conditionalFormatting sqref="C28:D28">
    <cfRule type="expression" dxfId="194" priority="4">
      <formula>C28&lt;&gt;""</formula>
    </cfRule>
  </conditionalFormatting>
  <conditionalFormatting sqref="C28:D28">
    <cfRule type="expression" dxfId="193" priority="3">
      <formula>COLUMN(C27)&gt;2</formula>
    </cfRule>
  </conditionalFormatting>
  <conditionalFormatting sqref="G28:H28">
    <cfRule type="expression" dxfId="192" priority="2">
      <formula>G28&lt;&gt;""</formula>
    </cfRule>
  </conditionalFormatting>
  <conditionalFormatting sqref="G28:H28">
    <cfRule type="expression" dxfId="191" priority="1">
      <formula>COLUMN(G27)&gt;2</formula>
    </cfRule>
  </conditionalFormatting>
  <dataValidations count="13">
    <dataValidation allowBlank="1" showInputMessage="1" showErrorMessage="1" prompt="Ange klass i den här raden från kolumn B till I" sqref="B13"/>
    <dataValidation allowBlank="1" showInputMessage="1" showErrorMessage="1" prompt="Ange tid i den här raden från kolumn B till I" sqref="B12 I12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Cellerna C2:I2 innehåller veckodagar" sqref="C2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Maj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27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7" t="s">
        <v>5</v>
      </c>
      <c r="K2" s="35"/>
      <c r="L2" s="50"/>
    </row>
    <row r="3" spans="1:12" ht="30" customHeight="1" x14ac:dyDescent="0.25">
      <c r="A3" s="13"/>
      <c r="C3" s="7">
        <f ca="1">IF(DAY(JunSön1)=1,JunSön1-6,JunSön1+1)</f>
        <v>42884</v>
      </c>
      <c r="D3" s="7">
        <f ca="1">IF(DAY(JunSön1)=1,JunSön1-5,JunSön1+2)</f>
        <v>42885</v>
      </c>
      <c r="E3" s="7">
        <f ca="1">IF(DAY(JunSön1)=1,JunSön1-4,JunSön1+3)</f>
        <v>42886</v>
      </c>
      <c r="F3" s="7">
        <f ca="1">IF(DAY(JunSön1)=1,JunSön1-3,JunSön1+4)</f>
        <v>42887</v>
      </c>
      <c r="G3" s="7">
        <f ca="1">IF(DAY(JunSön1)=1,JunSön1-2,JunSön1+5)</f>
        <v>42888</v>
      </c>
      <c r="H3" s="7">
        <f ca="1">IF(DAY(JunSön1)=1,JunSön1-1,JunSön1+6)</f>
        <v>42889</v>
      </c>
      <c r="I3" s="7">
        <f ca="1">IF(DAY(JunSön1)=1,JunSön1,JunSön1+7)</f>
        <v>42890</v>
      </c>
      <c r="J3" s="37"/>
      <c r="K3" s="35"/>
      <c r="L3" s="50"/>
    </row>
    <row r="4" spans="1:12" ht="30" customHeight="1" x14ac:dyDescent="0.25">
      <c r="A4" s="13"/>
      <c r="C4" s="7">
        <f ca="1">IF(DAY(JunSön1)=1,JunSön1+1,JunSön1+8)</f>
        <v>42891</v>
      </c>
      <c r="D4" s="7">
        <f ca="1">IF(DAY(JunSön1)=1,JunSön1+2,JunSön1+9)</f>
        <v>42892</v>
      </c>
      <c r="E4" s="7">
        <f ca="1">IF(DAY(JunSön1)=1,JunSön1+3,JunSön1+10)</f>
        <v>42893</v>
      </c>
      <c r="F4" s="7">
        <f ca="1">IF(DAY(JunSön1)=1,JunSön1+4,JunSön1+11)</f>
        <v>42894</v>
      </c>
      <c r="G4" s="7">
        <f ca="1">IF(DAY(JunSön1)=1,JunSön1+5,JunSön1+12)</f>
        <v>42895</v>
      </c>
      <c r="H4" s="7">
        <f ca="1">IF(DAY(JunSön1)=1,JunSön1+6,JunSön1+13)</f>
        <v>42896</v>
      </c>
      <c r="I4" s="7">
        <f ca="1">IF(DAY(JunSön1)=1,JunSön1+7,JunSön1+14)</f>
        <v>42897</v>
      </c>
      <c r="J4" s="37"/>
      <c r="K4" s="35"/>
      <c r="L4" s="50"/>
    </row>
    <row r="5" spans="1:12" ht="30" customHeight="1" x14ac:dyDescent="0.25">
      <c r="A5" s="13"/>
      <c r="C5" s="7">
        <f ca="1">IF(DAY(JunSön1)=1,JunSön1+8,JunSön1+15)</f>
        <v>42898</v>
      </c>
      <c r="D5" s="7">
        <f ca="1">IF(DAY(JunSön1)=1,JunSön1+9,JunSön1+16)</f>
        <v>42899</v>
      </c>
      <c r="E5" s="7">
        <f ca="1">IF(DAY(JunSön1)=1,JunSön1+10,JunSön1+17)</f>
        <v>42900</v>
      </c>
      <c r="F5" s="7">
        <f ca="1">IF(DAY(JunSön1)=1,JunSön1+11,JunSön1+18)</f>
        <v>42901</v>
      </c>
      <c r="G5" s="7">
        <f ca="1">IF(DAY(JunSön1)=1,JunSön1+12,JunSön1+19)</f>
        <v>42902</v>
      </c>
      <c r="H5" s="7">
        <f ca="1">IF(DAY(JunSön1)=1,JunSön1+13,JunSön1+20)</f>
        <v>42903</v>
      </c>
      <c r="I5" s="7">
        <f ca="1">IF(DAY(JunSön1)=1,JunSön1+14,JunSön1+21)</f>
        <v>42904</v>
      </c>
      <c r="J5" s="37"/>
      <c r="K5" s="35"/>
      <c r="L5" s="50"/>
    </row>
    <row r="6" spans="1:12" ht="30" customHeight="1" x14ac:dyDescent="0.25">
      <c r="A6" s="13"/>
      <c r="C6" s="7">
        <f ca="1">IF(DAY(JunSön1)=1,JunSön1+15,JunSön1+22)</f>
        <v>42905</v>
      </c>
      <c r="D6" s="7">
        <f ca="1">IF(DAY(JunSön1)=1,JunSön1+16,JunSön1+23)</f>
        <v>42906</v>
      </c>
      <c r="E6" s="7">
        <f ca="1">IF(DAY(JunSön1)=1,JunSön1+17,JunSön1+24)</f>
        <v>42907</v>
      </c>
      <c r="F6" s="7">
        <f ca="1">IF(DAY(JunSön1)=1,JunSön1+18,JunSön1+25)</f>
        <v>42908</v>
      </c>
      <c r="G6" s="7">
        <f ca="1">IF(DAY(JunSön1)=1,JunSön1+19,JunSön1+26)</f>
        <v>42909</v>
      </c>
      <c r="H6" s="7">
        <f ca="1">IF(DAY(JunSön1)=1,JunSön1+20,JunSön1+27)</f>
        <v>42910</v>
      </c>
      <c r="I6" s="7">
        <f ca="1">IF(DAY(JunSön1)=1,JunSön1+21,JunSön1+28)</f>
        <v>42911</v>
      </c>
      <c r="J6" s="37"/>
      <c r="K6" s="35"/>
      <c r="L6" s="50"/>
    </row>
    <row r="7" spans="1:12" ht="30" customHeight="1" x14ac:dyDescent="0.25">
      <c r="A7" s="13"/>
      <c r="C7" s="7">
        <f ca="1">IF(DAY(JunSön1)=1,JunSön1+22,JunSön1+29)</f>
        <v>42912</v>
      </c>
      <c r="D7" s="7">
        <f ca="1">IF(DAY(JunSön1)=1,JunSön1+23,JunSön1+30)</f>
        <v>42913</v>
      </c>
      <c r="E7" s="7">
        <f ca="1">IF(DAY(JunSön1)=1,JunSön1+24,JunSön1+31)</f>
        <v>42914</v>
      </c>
      <c r="F7" s="7">
        <f ca="1">IF(DAY(JunSön1)=1,JunSön1+25,JunSön1+32)</f>
        <v>42915</v>
      </c>
      <c r="G7" s="7">
        <f ca="1">IF(DAY(JunSön1)=1,JunSön1+26,JunSön1+33)</f>
        <v>42916</v>
      </c>
      <c r="H7" s="7">
        <f ca="1">IF(DAY(JunSön1)=1,JunSön1+27,JunSön1+34)</f>
        <v>42917</v>
      </c>
      <c r="I7" s="7">
        <f ca="1">IF(DAY(JunSön1)=1,JunSön1+28,JunSön1+35)</f>
        <v>42918</v>
      </c>
      <c r="J7" s="46"/>
      <c r="K7" s="44"/>
      <c r="L7" s="17"/>
    </row>
    <row r="8" spans="1:12" ht="30" customHeight="1" x14ac:dyDescent="0.25">
      <c r="A8" s="13"/>
      <c r="B8" s="17"/>
      <c r="C8" s="7">
        <f ca="1">IF(DAY(JunSön1)=1,JunSön1+29,JunSön1+36)</f>
        <v>42919</v>
      </c>
      <c r="D8" s="7">
        <f ca="1">IF(DAY(JunSön1)=1,JunSön1+30,JunSön1+37)</f>
        <v>42920</v>
      </c>
      <c r="E8" s="7">
        <f ca="1">IF(DAY(JunSön1)=1,JunSön1+31,JunSön1+38)</f>
        <v>42921</v>
      </c>
      <c r="F8" s="7">
        <f ca="1">IF(DAY(JunSön1)=1,JunSön1+32,JunSön1+39)</f>
        <v>42922</v>
      </c>
      <c r="G8" s="7">
        <f ca="1">IF(DAY(JunSön1)=1,JunSön1+33,JunSön1+40)</f>
        <v>42923</v>
      </c>
      <c r="H8" s="7">
        <f ca="1">IF(DAY(JunSön1)=1,JunSön1+34,JunSön1+41)</f>
        <v>42924</v>
      </c>
      <c r="I8" s="7">
        <f ca="1">IF(DAY(JunSön1)=1,JunSön1+35,JunSön1+42)</f>
        <v>42925</v>
      </c>
      <c r="J8" s="55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7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7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7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7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3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5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7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7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7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7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3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5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7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7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7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7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3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5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7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7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7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7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37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90" priority="46" stopIfTrue="1">
      <formula>DAY(C3)&gt;8</formula>
    </cfRule>
  </conditionalFormatting>
  <conditionalFormatting sqref="C7:I8">
    <cfRule type="expression" dxfId="189" priority="45" stopIfTrue="1">
      <formula>AND(DAY(C7)&gt;=1,DAY(C7)&lt;=15)</formula>
    </cfRule>
  </conditionalFormatting>
  <conditionalFormatting sqref="C3:I8">
    <cfRule type="expression" dxfId="188" priority="47">
      <formula>VLOOKUP(DAY(C3),UppgiftsDagar,1,FALSE)=DAY(C3)</formula>
    </cfRule>
  </conditionalFormatting>
  <conditionalFormatting sqref="B13:I13 B15:I15 B17:I17 B19:I19 B21:I21 B23:I23 B25:I25 B27:I27 B29:I29 B31:I31">
    <cfRule type="expression" dxfId="187" priority="44">
      <formula>B13&lt;&gt;""</formula>
    </cfRule>
  </conditionalFormatting>
  <conditionalFormatting sqref="C12:H12 B14 C16:H16 B18:I18 B20:I20 B22:I22 C24:H24 B26:I26 B28 B30:I30 E14:F14 I14 E28:F28 I28">
    <cfRule type="expression" dxfId="186" priority="43">
      <formula>B12&lt;&gt;""</formula>
    </cfRule>
  </conditionalFormatting>
  <conditionalFormatting sqref="B13:I13 B15:I15 B17:I17 B19:I19 B21:I21 B23:I23 B25:I25 B27:I27 B29:I29">
    <cfRule type="expression" dxfId="185" priority="42">
      <formula>COLUMN(B13)&gt;=2</formula>
    </cfRule>
  </conditionalFormatting>
  <conditionalFormatting sqref="B13:I13 B15:I15 B14 E14:F14 I14 C12:H12 B17:I23 C16:H16 B25:I27 C24:H24 B29:I31 B28 E28:F28 I28">
    <cfRule type="expression" dxfId="184" priority="41">
      <formula>COLUMN(B12)&gt;2</formula>
    </cfRule>
  </conditionalFormatting>
  <conditionalFormatting sqref="B12">
    <cfRule type="expression" dxfId="183" priority="20">
      <formula>B12&lt;&gt;""</formula>
    </cfRule>
  </conditionalFormatting>
  <conditionalFormatting sqref="B12">
    <cfRule type="expression" dxfId="182" priority="19">
      <formula>COLUMN(B11)&gt;2</formula>
    </cfRule>
  </conditionalFormatting>
  <conditionalFormatting sqref="I12">
    <cfRule type="expression" dxfId="181" priority="18">
      <formula>I12&lt;&gt;""</formula>
    </cfRule>
  </conditionalFormatting>
  <conditionalFormatting sqref="I12">
    <cfRule type="expression" dxfId="180" priority="17">
      <formula>COLUMN(I11)&gt;2</formula>
    </cfRule>
  </conditionalFormatting>
  <conditionalFormatting sqref="C14:D14">
    <cfRule type="expression" dxfId="179" priority="16">
      <formula>C14&lt;&gt;""</formula>
    </cfRule>
  </conditionalFormatting>
  <conditionalFormatting sqref="C14:D14">
    <cfRule type="expression" dxfId="178" priority="15">
      <formula>COLUMN(C13)&gt;2</formula>
    </cfRule>
  </conditionalFormatting>
  <conditionalFormatting sqref="G14:H14">
    <cfRule type="expression" dxfId="177" priority="14">
      <formula>G14&lt;&gt;""</formula>
    </cfRule>
  </conditionalFormatting>
  <conditionalFormatting sqref="G14:H14">
    <cfRule type="expression" dxfId="176" priority="13">
      <formula>COLUMN(G13)&gt;2</formula>
    </cfRule>
  </conditionalFormatting>
  <conditionalFormatting sqref="B16">
    <cfRule type="expression" dxfId="175" priority="12">
      <formula>B16&lt;&gt;""</formula>
    </cfRule>
  </conditionalFormatting>
  <conditionalFormatting sqref="B16">
    <cfRule type="expression" dxfId="174" priority="11">
      <formula>COLUMN(B15)&gt;2</formula>
    </cfRule>
  </conditionalFormatting>
  <conditionalFormatting sqref="I16">
    <cfRule type="expression" dxfId="173" priority="10">
      <formula>I16&lt;&gt;""</formula>
    </cfRule>
  </conditionalFormatting>
  <conditionalFormatting sqref="I16">
    <cfRule type="expression" dxfId="172" priority="9">
      <formula>COLUMN(I15)&gt;2</formula>
    </cfRule>
  </conditionalFormatting>
  <conditionalFormatting sqref="B24">
    <cfRule type="expression" dxfId="171" priority="8">
      <formula>B24&lt;&gt;""</formula>
    </cfRule>
  </conditionalFormatting>
  <conditionalFormatting sqref="B24">
    <cfRule type="expression" dxfId="170" priority="7">
      <formula>COLUMN(B23)&gt;2</formula>
    </cfRule>
  </conditionalFormatting>
  <conditionalFormatting sqref="I24">
    <cfRule type="expression" dxfId="169" priority="6">
      <formula>I24&lt;&gt;""</formula>
    </cfRule>
  </conditionalFormatting>
  <conditionalFormatting sqref="I24">
    <cfRule type="expression" dxfId="168" priority="5">
      <formula>COLUMN(I23)&gt;2</formula>
    </cfRule>
  </conditionalFormatting>
  <conditionalFormatting sqref="C28:D28">
    <cfRule type="expression" dxfId="167" priority="4">
      <formula>C28&lt;&gt;""</formula>
    </cfRule>
  </conditionalFormatting>
  <conditionalFormatting sqref="C28:D28">
    <cfRule type="expression" dxfId="166" priority="3">
      <formula>COLUMN(C27)&gt;2</formula>
    </cfRule>
  </conditionalFormatting>
  <conditionalFormatting sqref="G28:H28">
    <cfRule type="expression" dxfId="165" priority="2">
      <formula>G28&lt;&gt;""</formula>
    </cfRule>
  </conditionalFormatting>
  <conditionalFormatting sqref="G28:H28">
    <cfRule type="expression" dxfId="164" priority="1">
      <formula>COLUMN(G27)&gt;2</formula>
    </cfRule>
  </conditionalFormatting>
  <dataValidations xWindow="282" yWindow="780" count="13">
    <dataValidation allowBlank="1" showInputMessage="1" showErrorMessage="1" prompt="Juni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Cellerna C2:I2 innehåller veckodagar" sqref="C2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Ange tid i den här raden från kolumn B till I" sqref="B12 I12"/>
    <dataValidation allowBlank="1" showInputMessage="1" showErrorMessage="1" prompt="Ange klass i den här raden från kolumn B till I" sqref="B13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28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50"/>
    </row>
    <row r="3" spans="1:12" ht="30" customHeight="1" x14ac:dyDescent="0.25">
      <c r="A3" s="13"/>
      <c r="C3" s="7">
        <f ca="1">IF(DAY(JulSön1)=1,JulSön1-6,JulSön1+1)</f>
        <v>42912</v>
      </c>
      <c r="D3" s="7">
        <f ca="1">IF(DAY(JulSön1)=1,JulSön1-5,JulSön1+2)</f>
        <v>42913</v>
      </c>
      <c r="E3" s="7">
        <f ca="1">IF(DAY(JulSön1)=1,JulSön1-4,JulSön1+3)</f>
        <v>42914</v>
      </c>
      <c r="F3" s="7">
        <f ca="1">IF(DAY(JulSön1)=1,JulSön1-3,JulSön1+4)</f>
        <v>42915</v>
      </c>
      <c r="G3" s="7">
        <f ca="1">IF(DAY(JulSön1)=1,JulSön1-2,JulSön1+5)</f>
        <v>42916</v>
      </c>
      <c r="H3" s="7">
        <f ca="1">IF(DAY(JulSön1)=1,JulSön1-1,JulSön1+6)</f>
        <v>42917</v>
      </c>
      <c r="I3" s="7">
        <f ca="1">IF(DAY(JulSön1)=1,JulSön1,JulSön1+7)</f>
        <v>42918</v>
      </c>
      <c r="J3" s="36"/>
      <c r="K3" s="35"/>
      <c r="L3" s="50"/>
    </row>
    <row r="4" spans="1:12" ht="30" customHeight="1" x14ac:dyDescent="0.25">
      <c r="A4" s="13"/>
      <c r="C4" s="7">
        <f ca="1">IF(DAY(JulSön1)=1,JulSön1+1,JulSön1+8)</f>
        <v>42919</v>
      </c>
      <c r="D4" s="7">
        <f ca="1">IF(DAY(JulSön1)=1,JulSön1+2,JulSön1+9)</f>
        <v>42920</v>
      </c>
      <c r="E4" s="7">
        <f ca="1">IF(DAY(JulSön1)=1,JulSön1+3,JulSön1+10)</f>
        <v>42921</v>
      </c>
      <c r="F4" s="7">
        <f ca="1">IF(DAY(JulSön1)=1,JulSön1+4,JulSön1+11)</f>
        <v>42922</v>
      </c>
      <c r="G4" s="7">
        <f ca="1">IF(DAY(JulSön1)=1,JulSön1+5,JulSön1+12)</f>
        <v>42923</v>
      </c>
      <c r="H4" s="7">
        <f ca="1">IF(DAY(JulSön1)=1,JulSön1+6,JulSön1+13)</f>
        <v>42924</v>
      </c>
      <c r="I4" s="7">
        <f ca="1">IF(DAY(JulSön1)=1,JulSön1+7,JulSön1+14)</f>
        <v>42925</v>
      </c>
      <c r="J4" s="36"/>
      <c r="K4" s="35"/>
      <c r="L4" s="50"/>
    </row>
    <row r="5" spans="1:12" ht="30" customHeight="1" x14ac:dyDescent="0.25">
      <c r="A5" s="13"/>
      <c r="C5" s="7">
        <f ca="1">IF(DAY(JulSön1)=1,JulSön1+8,JulSön1+15)</f>
        <v>42926</v>
      </c>
      <c r="D5" s="7">
        <f ca="1">IF(DAY(JulSön1)=1,JulSön1+9,JulSön1+16)</f>
        <v>42927</v>
      </c>
      <c r="E5" s="7">
        <f ca="1">IF(DAY(JulSön1)=1,JulSön1+10,JulSön1+17)</f>
        <v>42928</v>
      </c>
      <c r="F5" s="7">
        <f ca="1">IF(DAY(JulSön1)=1,JulSön1+11,JulSön1+18)</f>
        <v>42929</v>
      </c>
      <c r="G5" s="7">
        <f ca="1">IF(DAY(JulSön1)=1,JulSön1+12,JulSön1+19)</f>
        <v>42930</v>
      </c>
      <c r="H5" s="7">
        <f ca="1">IF(DAY(JulSön1)=1,JulSön1+13,JulSön1+20)</f>
        <v>42931</v>
      </c>
      <c r="I5" s="7">
        <f ca="1">IF(DAY(JulSön1)=1,JulSön1+14,JulSön1+21)</f>
        <v>42932</v>
      </c>
      <c r="J5" s="36"/>
      <c r="K5" s="35"/>
      <c r="L5" s="50"/>
    </row>
    <row r="6" spans="1:12" ht="30" customHeight="1" x14ac:dyDescent="0.25">
      <c r="A6" s="13"/>
      <c r="C6" s="7">
        <f ca="1">IF(DAY(JulSön1)=1,JulSön1+15,JulSön1+22)</f>
        <v>42933</v>
      </c>
      <c r="D6" s="7">
        <f ca="1">IF(DAY(JulSön1)=1,JulSön1+16,JulSön1+23)</f>
        <v>42934</v>
      </c>
      <c r="E6" s="7">
        <f ca="1">IF(DAY(JulSön1)=1,JulSön1+17,JulSön1+24)</f>
        <v>42935</v>
      </c>
      <c r="F6" s="7">
        <f ca="1">IF(DAY(JulSön1)=1,JulSön1+18,JulSön1+25)</f>
        <v>42936</v>
      </c>
      <c r="G6" s="7">
        <f ca="1">IF(DAY(JulSön1)=1,JulSön1+19,JulSön1+26)</f>
        <v>42937</v>
      </c>
      <c r="H6" s="7">
        <f ca="1">IF(DAY(JulSön1)=1,JulSön1+20,JulSön1+27)</f>
        <v>42938</v>
      </c>
      <c r="I6" s="7">
        <f ca="1">IF(DAY(JulSön1)=1,JulSön1+21,JulSön1+28)</f>
        <v>42939</v>
      </c>
      <c r="J6" s="36"/>
      <c r="K6" s="35"/>
      <c r="L6" s="50"/>
    </row>
    <row r="7" spans="1:12" ht="30" customHeight="1" x14ac:dyDescent="0.25">
      <c r="A7" s="13"/>
      <c r="C7" s="7">
        <f ca="1">IF(DAY(JulSön1)=1,JulSön1+22,JulSön1+29)</f>
        <v>42940</v>
      </c>
      <c r="D7" s="7">
        <f ca="1">IF(DAY(JulSön1)=1,JulSön1+23,JulSön1+30)</f>
        <v>42941</v>
      </c>
      <c r="E7" s="7">
        <f ca="1">IF(DAY(JulSön1)=1,JulSön1+24,JulSön1+31)</f>
        <v>42942</v>
      </c>
      <c r="F7" s="7">
        <f ca="1">IF(DAY(JulSön1)=1,JulSön1+25,JulSön1+32)</f>
        <v>42943</v>
      </c>
      <c r="G7" s="7">
        <f ca="1">IF(DAY(JulSön1)=1,JulSön1+26,JulSön1+33)</f>
        <v>42944</v>
      </c>
      <c r="H7" s="7">
        <f ca="1">IF(DAY(JulSön1)=1,JulSön1+27,JulSön1+34)</f>
        <v>42945</v>
      </c>
      <c r="I7" s="7">
        <f ca="1">IF(DAY(JulSön1)=1,JulSön1+28,JulSön1+35)</f>
        <v>42946</v>
      </c>
      <c r="J7" s="45"/>
      <c r="K7" s="44"/>
      <c r="L7" s="17"/>
    </row>
    <row r="8" spans="1:12" ht="30" customHeight="1" x14ac:dyDescent="0.25">
      <c r="A8" s="13"/>
      <c r="B8" s="17"/>
      <c r="C8" s="7">
        <f ca="1">IF(DAY(JulSön1)=1,JulSön1+29,JulSön1+36)</f>
        <v>42947</v>
      </c>
      <c r="D8" s="7">
        <f ca="1">IF(DAY(JulSön1)=1,JulSön1+30,JulSön1+37)</f>
        <v>42948</v>
      </c>
      <c r="E8" s="7">
        <f ca="1">IF(DAY(JulSön1)=1,JulSön1+31,JulSön1+38)</f>
        <v>42949</v>
      </c>
      <c r="F8" s="7">
        <f ca="1">IF(DAY(JulSön1)=1,JulSön1+32,JulSön1+39)</f>
        <v>42950</v>
      </c>
      <c r="G8" s="7">
        <f ca="1">IF(DAY(JulSön1)=1,JulSön1+33,JulSön1+40)</f>
        <v>42951</v>
      </c>
      <c r="H8" s="7">
        <f ca="1">IF(DAY(JulSön1)=1,JulSön1+34,JulSön1+41)</f>
        <v>42952</v>
      </c>
      <c r="I8" s="7">
        <f ca="1">IF(DAY(JulSön1)=1,JulSön1+35,JulSön1+42)</f>
        <v>42953</v>
      </c>
      <c r="J8" s="51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6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6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26"/>
      <c r="J31" s="36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63" priority="46" stopIfTrue="1">
      <formula>DAY(C3)&gt;8</formula>
    </cfRule>
  </conditionalFormatting>
  <conditionalFormatting sqref="C7:I8">
    <cfRule type="expression" dxfId="162" priority="45" stopIfTrue="1">
      <formula>AND(DAY(C7)&gt;=1,DAY(C7)&lt;=15)</formula>
    </cfRule>
  </conditionalFormatting>
  <conditionalFormatting sqref="C3:I8">
    <cfRule type="expression" dxfId="161" priority="47">
      <formula>VLOOKUP(DAY(C3),UppgiftsDagar,1,FALSE)=DAY(C3)</formula>
    </cfRule>
  </conditionalFormatting>
  <conditionalFormatting sqref="C12:H12 B14 C16:H16 B18:I18 B20:I20 B22:I22 C24:H24 B26:I26 B28 B30:I30 E14:F14 I14 E28:F28 I28">
    <cfRule type="expression" dxfId="160" priority="44">
      <formula>B12&lt;&gt;""</formula>
    </cfRule>
  </conditionalFormatting>
  <conditionalFormatting sqref="B13:I13 B15:I15 B17:I17 B19:I19 B21:I21 B23:I23 B25:I25 B27:I27 B29:I29 B31:I31">
    <cfRule type="expression" dxfId="159" priority="43">
      <formula>B13&lt;&gt;""</formula>
    </cfRule>
  </conditionalFormatting>
  <conditionalFormatting sqref="B13:I13 B15:I15 B17:I17 B19:I19 B21:I21 B23:I23 B25:I25 B27:I27 B29:I29">
    <cfRule type="expression" dxfId="158" priority="42">
      <formula>COLUMN(B13)&gt;=2</formula>
    </cfRule>
  </conditionalFormatting>
  <conditionalFormatting sqref="B13:I13 B15:I15 B14 E14:F14 I14 C12:H12 B17:I23 C16:H16 B25:I27 C24:H24 B29:I31 B28 E28:F28 I28">
    <cfRule type="expression" dxfId="157" priority="41">
      <formula>COLUMN(B12)&gt;2</formula>
    </cfRule>
  </conditionalFormatting>
  <conditionalFormatting sqref="B12">
    <cfRule type="expression" dxfId="156" priority="20">
      <formula>B12&lt;&gt;""</formula>
    </cfRule>
  </conditionalFormatting>
  <conditionalFormatting sqref="B12">
    <cfRule type="expression" dxfId="155" priority="19">
      <formula>COLUMN(B11)&gt;2</formula>
    </cfRule>
  </conditionalFormatting>
  <conditionalFormatting sqref="I12">
    <cfRule type="expression" dxfId="154" priority="18">
      <formula>I12&lt;&gt;""</formula>
    </cfRule>
  </conditionalFormatting>
  <conditionalFormatting sqref="I12">
    <cfRule type="expression" dxfId="153" priority="17">
      <formula>COLUMN(I11)&gt;2</formula>
    </cfRule>
  </conditionalFormatting>
  <conditionalFormatting sqref="C14:D14">
    <cfRule type="expression" dxfId="152" priority="16">
      <formula>C14&lt;&gt;""</formula>
    </cfRule>
  </conditionalFormatting>
  <conditionalFormatting sqref="C14:D14">
    <cfRule type="expression" dxfId="151" priority="15">
      <formula>COLUMN(C13)&gt;2</formula>
    </cfRule>
  </conditionalFormatting>
  <conditionalFormatting sqref="G14:H14">
    <cfRule type="expression" dxfId="150" priority="14">
      <formula>G14&lt;&gt;""</formula>
    </cfRule>
  </conditionalFormatting>
  <conditionalFormatting sqref="G14:H14">
    <cfRule type="expression" dxfId="149" priority="13">
      <formula>COLUMN(G13)&gt;2</formula>
    </cfRule>
  </conditionalFormatting>
  <conditionalFormatting sqref="B16">
    <cfRule type="expression" dxfId="148" priority="12">
      <formula>B16&lt;&gt;""</formula>
    </cfRule>
  </conditionalFormatting>
  <conditionalFormatting sqref="B16">
    <cfRule type="expression" dxfId="147" priority="11">
      <formula>COLUMN(B15)&gt;2</formula>
    </cfRule>
  </conditionalFormatting>
  <conditionalFormatting sqref="I16">
    <cfRule type="expression" dxfId="146" priority="10">
      <formula>I16&lt;&gt;""</formula>
    </cfRule>
  </conditionalFormatting>
  <conditionalFormatting sqref="I16">
    <cfRule type="expression" dxfId="145" priority="9">
      <formula>COLUMN(I15)&gt;2</formula>
    </cfRule>
  </conditionalFormatting>
  <conditionalFormatting sqref="B24">
    <cfRule type="expression" dxfId="144" priority="8">
      <formula>B24&lt;&gt;""</formula>
    </cfRule>
  </conditionalFormatting>
  <conditionalFormatting sqref="B24">
    <cfRule type="expression" dxfId="143" priority="7">
      <formula>COLUMN(B23)&gt;2</formula>
    </cfRule>
  </conditionalFormatting>
  <conditionalFormatting sqref="I24">
    <cfRule type="expression" dxfId="142" priority="6">
      <formula>I24&lt;&gt;""</formula>
    </cfRule>
  </conditionalFormatting>
  <conditionalFormatting sqref="I24">
    <cfRule type="expression" dxfId="141" priority="5">
      <formula>COLUMN(I23)&gt;2</formula>
    </cfRule>
  </conditionalFormatting>
  <conditionalFormatting sqref="C28:D28">
    <cfRule type="expression" dxfId="140" priority="4">
      <formula>C28&lt;&gt;""</formula>
    </cfRule>
  </conditionalFormatting>
  <conditionalFormatting sqref="C28:D28">
    <cfRule type="expression" dxfId="139" priority="3">
      <formula>COLUMN(C27)&gt;2</formula>
    </cfRule>
  </conditionalFormatting>
  <conditionalFormatting sqref="G28:H28">
    <cfRule type="expression" dxfId="138" priority="2">
      <formula>G28&lt;&gt;""</formula>
    </cfRule>
  </conditionalFormatting>
  <conditionalFormatting sqref="G28:H28">
    <cfRule type="expression" dxfId="137" priority="1">
      <formula>COLUMN(G27)&gt;2</formula>
    </cfRule>
  </conditionalFormatting>
  <dataValidations xWindow="239" yWindow="583" count="13">
    <dataValidation allowBlank="1" showInputMessage="1" showErrorMessage="1" prompt="Ange klass i den här raden från kolumn B till I" sqref="B13"/>
    <dataValidation allowBlank="1" showInputMessage="1" showErrorMessage="1" prompt="Ange tid i den här raden från kolumn B till I" sqref="B12 I12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Cellerna C2:I2 innehåller veckodagar" sqref="C2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Juli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29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50"/>
    </row>
    <row r="3" spans="1:12" ht="30" customHeight="1" x14ac:dyDescent="0.25">
      <c r="A3" s="13"/>
      <c r="C3" s="7">
        <f ca="1">IF(DAY(AugSön1)=1,AugSön1-6,AugSön1+1)</f>
        <v>42947</v>
      </c>
      <c r="D3" s="7">
        <f ca="1">IF(DAY(AugSön1)=1,AugSön1-5,AugSön1+2)</f>
        <v>42948</v>
      </c>
      <c r="E3" s="7">
        <f ca="1">IF(DAY(AugSön1)=1,AugSön1-4,AugSön1+3)</f>
        <v>42949</v>
      </c>
      <c r="F3" s="7">
        <f ca="1">IF(DAY(AugSön1)=1,AugSön1-3,AugSön1+4)</f>
        <v>42950</v>
      </c>
      <c r="G3" s="7">
        <f ca="1">IF(DAY(AugSön1)=1,AugSön1-2,AugSön1+5)</f>
        <v>42951</v>
      </c>
      <c r="H3" s="7">
        <f ca="1">IF(DAY(AugSön1)=1,AugSön1-1,AugSön1+6)</f>
        <v>42952</v>
      </c>
      <c r="I3" s="7">
        <f ca="1">IF(DAY(AugSön1)=1,AugSön1,AugSön1+7)</f>
        <v>42953</v>
      </c>
      <c r="J3" s="36"/>
      <c r="K3" s="35"/>
      <c r="L3" s="50"/>
    </row>
    <row r="4" spans="1:12" ht="30" customHeight="1" x14ac:dyDescent="0.25">
      <c r="A4" s="13"/>
      <c r="C4" s="7">
        <f ca="1">IF(DAY(AugSön1)=1,AugSön1+1,AugSön1+8)</f>
        <v>42954</v>
      </c>
      <c r="D4" s="7">
        <f ca="1">IF(DAY(AugSön1)=1,AugSön1+2,AugSön1+9)</f>
        <v>42955</v>
      </c>
      <c r="E4" s="7">
        <f ca="1">IF(DAY(AugSön1)=1,AugSön1+3,AugSön1+10)</f>
        <v>42956</v>
      </c>
      <c r="F4" s="7">
        <f ca="1">IF(DAY(AugSön1)=1,AugSön1+4,AugSön1+11)</f>
        <v>42957</v>
      </c>
      <c r="G4" s="7">
        <f ca="1">IF(DAY(AugSön1)=1,AugSön1+5,AugSön1+12)</f>
        <v>42958</v>
      </c>
      <c r="H4" s="7">
        <f ca="1">IF(DAY(AugSön1)=1,AugSön1+6,AugSön1+13)</f>
        <v>42959</v>
      </c>
      <c r="I4" s="7">
        <f ca="1">IF(DAY(AugSön1)=1,AugSön1+7,AugSön1+14)</f>
        <v>42960</v>
      </c>
      <c r="J4" s="36"/>
      <c r="K4" s="35"/>
      <c r="L4" s="50"/>
    </row>
    <row r="5" spans="1:12" ht="30" customHeight="1" x14ac:dyDescent="0.25">
      <c r="A5" s="13"/>
      <c r="C5" s="7">
        <f ca="1">IF(DAY(AugSön1)=1,AugSön1+8,AugSön1+15)</f>
        <v>42961</v>
      </c>
      <c r="D5" s="7">
        <f ca="1">IF(DAY(AugSön1)=1,AugSön1+9,AugSön1+16)</f>
        <v>42962</v>
      </c>
      <c r="E5" s="7">
        <f ca="1">IF(DAY(AugSön1)=1,AugSön1+10,AugSön1+17)</f>
        <v>42963</v>
      </c>
      <c r="F5" s="7">
        <f ca="1">IF(DAY(AugSön1)=1,AugSön1+11,AugSön1+18)</f>
        <v>42964</v>
      </c>
      <c r="G5" s="7">
        <f ca="1">IF(DAY(AugSön1)=1,AugSön1+12,AugSön1+19)</f>
        <v>42965</v>
      </c>
      <c r="H5" s="7">
        <f ca="1">IF(DAY(AugSön1)=1,AugSön1+13,AugSön1+20)</f>
        <v>42966</v>
      </c>
      <c r="I5" s="7">
        <f ca="1">IF(DAY(AugSön1)=1,AugSön1+14,AugSön1+21)</f>
        <v>42967</v>
      </c>
      <c r="J5" s="36"/>
      <c r="K5" s="35"/>
      <c r="L5" s="50"/>
    </row>
    <row r="6" spans="1:12" ht="30" customHeight="1" x14ac:dyDescent="0.25">
      <c r="A6" s="13"/>
      <c r="C6" s="7">
        <f ca="1">IF(DAY(AugSön1)=1,AugSön1+15,AugSön1+22)</f>
        <v>42968</v>
      </c>
      <c r="D6" s="7">
        <f ca="1">IF(DAY(AugSön1)=1,AugSön1+16,AugSön1+23)</f>
        <v>42969</v>
      </c>
      <c r="E6" s="7">
        <f ca="1">IF(DAY(AugSön1)=1,AugSön1+17,AugSön1+24)</f>
        <v>42970</v>
      </c>
      <c r="F6" s="7">
        <f ca="1">IF(DAY(AugSön1)=1,AugSön1+18,AugSön1+25)</f>
        <v>42971</v>
      </c>
      <c r="G6" s="7">
        <f ca="1">IF(DAY(AugSön1)=1,AugSön1+19,AugSön1+26)</f>
        <v>42972</v>
      </c>
      <c r="H6" s="7">
        <f ca="1">IF(DAY(AugSön1)=1,AugSön1+20,AugSön1+27)</f>
        <v>42973</v>
      </c>
      <c r="I6" s="7">
        <f ca="1">IF(DAY(AugSön1)=1,AugSön1+21,AugSön1+28)</f>
        <v>42974</v>
      </c>
      <c r="J6" s="36"/>
      <c r="K6" s="35"/>
      <c r="L6" s="50"/>
    </row>
    <row r="7" spans="1:12" ht="30" customHeight="1" x14ac:dyDescent="0.25">
      <c r="A7" s="13"/>
      <c r="C7" s="7">
        <f ca="1">IF(DAY(AugSön1)=1,AugSön1+22,AugSön1+29)</f>
        <v>42975</v>
      </c>
      <c r="D7" s="7">
        <f ca="1">IF(DAY(AugSön1)=1,AugSön1+23,AugSön1+30)</f>
        <v>42976</v>
      </c>
      <c r="E7" s="7">
        <f ca="1">IF(DAY(AugSön1)=1,AugSön1+24,AugSön1+31)</f>
        <v>42977</v>
      </c>
      <c r="F7" s="7">
        <f ca="1">IF(DAY(AugSön1)=1,AugSön1+25,AugSön1+32)</f>
        <v>42978</v>
      </c>
      <c r="G7" s="7">
        <f ca="1">IF(DAY(AugSön1)=1,AugSön1+26,AugSön1+33)</f>
        <v>42979</v>
      </c>
      <c r="H7" s="7">
        <f ca="1">IF(DAY(AugSön1)=1,AugSön1+27,AugSön1+34)</f>
        <v>42980</v>
      </c>
      <c r="I7" s="7">
        <f ca="1">IF(DAY(AugSön1)=1,AugSön1+28,AugSön1+35)</f>
        <v>42981</v>
      </c>
      <c r="J7" s="45"/>
      <c r="K7" s="44"/>
      <c r="L7" s="17"/>
    </row>
    <row r="8" spans="1:12" ht="30" customHeight="1" x14ac:dyDescent="0.25">
      <c r="A8" s="13"/>
      <c r="B8" s="17"/>
      <c r="C8" s="7">
        <f ca="1">IF(DAY(AugSön1)=1,AugSön1+29,AugSön1+36)</f>
        <v>42982</v>
      </c>
      <c r="D8" s="7">
        <f ca="1">IF(DAY(AugSön1)=1,AugSön1+30,AugSön1+37)</f>
        <v>42983</v>
      </c>
      <c r="E8" s="7">
        <f ca="1">IF(DAY(AugSön1)=1,AugSön1+31,AugSön1+38)</f>
        <v>42984</v>
      </c>
      <c r="F8" s="7">
        <f ca="1">IF(DAY(AugSön1)=1,AugSön1+32,AugSön1+39)</f>
        <v>42985</v>
      </c>
      <c r="G8" s="7">
        <f ca="1">IF(DAY(AugSön1)=1,AugSön1+33,AugSön1+40)</f>
        <v>42986</v>
      </c>
      <c r="H8" s="7">
        <f ca="1">IF(DAY(AugSön1)=1,AugSön1+34,AugSön1+41)</f>
        <v>42987</v>
      </c>
      <c r="I8" s="7">
        <f ca="1">IF(DAY(AugSön1)=1,AugSön1+35,AugSön1+42)</f>
        <v>42988</v>
      </c>
      <c r="J8" s="51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6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6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31"/>
      <c r="J31" s="36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36" priority="46" stopIfTrue="1">
      <formula>DAY(C3)&gt;8</formula>
    </cfRule>
  </conditionalFormatting>
  <conditionalFormatting sqref="C7:I8">
    <cfRule type="expression" dxfId="135" priority="45" stopIfTrue="1">
      <formula>AND(DAY(C7)&gt;=1,DAY(C7)&lt;=15)</formula>
    </cfRule>
  </conditionalFormatting>
  <conditionalFormatting sqref="C3:I8">
    <cfRule type="expression" dxfId="134" priority="47">
      <formula>VLOOKUP(DAY(C3),UppgiftsDagar,1,FALSE)=DAY(C3)</formula>
    </cfRule>
  </conditionalFormatting>
  <conditionalFormatting sqref="C12:H12 B14 C16:H16 B18:I18 B20:I20 B22:I22 C24:H24 B26:I26 B28 B30:I30 E14:F14 I14 E28:F28 I28">
    <cfRule type="expression" dxfId="133" priority="44">
      <formula>B12&lt;&gt;""</formula>
    </cfRule>
  </conditionalFormatting>
  <conditionalFormatting sqref="B13:I13 B15:I15 B17:I17 B19:I19 B21:I21 B23:I23 B25:I25 B27:I27 B29:I29 B31:I31">
    <cfRule type="expression" dxfId="132" priority="43">
      <formula>B12&lt;&gt;""</formula>
    </cfRule>
  </conditionalFormatting>
  <conditionalFormatting sqref="B13:I13 B15:I15 B17:I17 B19:I19 B21:I21 B23:I23 B25:I25 B27:I27 B29:I29">
    <cfRule type="expression" dxfId="131" priority="42">
      <formula>COLUMN(B13)&gt;=2</formula>
    </cfRule>
  </conditionalFormatting>
  <conditionalFormatting sqref="B13:I13 B15:I15 B14 E14:F14 I14 C12:H12 B17:I23 C16:H16 B25:I27 C24:H24 B29:I31 B28 E28:F28 I28">
    <cfRule type="expression" dxfId="130" priority="41">
      <formula>COLUMN(B12)&gt;2</formula>
    </cfRule>
  </conditionalFormatting>
  <conditionalFormatting sqref="B12">
    <cfRule type="expression" dxfId="129" priority="20">
      <formula>B12&lt;&gt;""</formula>
    </cfRule>
  </conditionalFormatting>
  <conditionalFormatting sqref="B12">
    <cfRule type="expression" dxfId="128" priority="19">
      <formula>COLUMN(B11)&gt;2</formula>
    </cfRule>
  </conditionalFormatting>
  <conditionalFormatting sqref="I12">
    <cfRule type="expression" dxfId="127" priority="18">
      <formula>I12&lt;&gt;""</formula>
    </cfRule>
  </conditionalFormatting>
  <conditionalFormatting sqref="I12">
    <cfRule type="expression" dxfId="126" priority="17">
      <formula>COLUMN(I11)&gt;2</formula>
    </cfRule>
  </conditionalFormatting>
  <conditionalFormatting sqref="C14:D14">
    <cfRule type="expression" dxfId="125" priority="16">
      <formula>C14&lt;&gt;""</formula>
    </cfRule>
  </conditionalFormatting>
  <conditionalFormatting sqref="C14:D14">
    <cfRule type="expression" dxfId="124" priority="15">
      <formula>COLUMN(C13)&gt;2</formula>
    </cfRule>
  </conditionalFormatting>
  <conditionalFormatting sqref="G14:H14">
    <cfRule type="expression" dxfId="123" priority="14">
      <formula>G14&lt;&gt;""</formula>
    </cfRule>
  </conditionalFormatting>
  <conditionalFormatting sqref="G14:H14">
    <cfRule type="expression" dxfId="122" priority="13">
      <formula>COLUMN(G13)&gt;2</formula>
    </cfRule>
  </conditionalFormatting>
  <conditionalFormatting sqref="B16">
    <cfRule type="expression" dxfId="121" priority="12">
      <formula>B16&lt;&gt;""</formula>
    </cfRule>
  </conditionalFormatting>
  <conditionalFormatting sqref="B16">
    <cfRule type="expression" dxfId="120" priority="11">
      <formula>COLUMN(B15)&gt;2</formula>
    </cfRule>
  </conditionalFormatting>
  <conditionalFormatting sqref="I16">
    <cfRule type="expression" dxfId="119" priority="10">
      <formula>I16&lt;&gt;""</formula>
    </cfRule>
  </conditionalFormatting>
  <conditionalFormatting sqref="I16">
    <cfRule type="expression" dxfId="118" priority="9">
      <formula>COLUMN(I15)&gt;2</formula>
    </cfRule>
  </conditionalFormatting>
  <conditionalFormatting sqref="B24">
    <cfRule type="expression" dxfId="117" priority="8">
      <formula>B24&lt;&gt;""</formula>
    </cfRule>
  </conditionalFormatting>
  <conditionalFormatting sqref="B24">
    <cfRule type="expression" dxfId="116" priority="7">
      <formula>COLUMN(B23)&gt;2</formula>
    </cfRule>
  </conditionalFormatting>
  <conditionalFormatting sqref="I24">
    <cfRule type="expression" dxfId="115" priority="6">
      <formula>I24&lt;&gt;""</formula>
    </cfRule>
  </conditionalFormatting>
  <conditionalFormatting sqref="I24">
    <cfRule type="expression" dxfId="114" priority="5">
      <formula>COLUMN(I23)&gt;2</formula>
    </cfRule>
  </conditionalFormatting>
  <conditionalFormatting sqref="C28:D28">
    <cfRule type="expression" dxfId="113" priority="4">
      <formula>C28&lt;&gt;""</formula>
    </cfRule>
  </conditionalFormatting>
  <conditionalFormatting sqref="C28:D28">
    <cfRule type="expression" dxfId="112" priority="3">
      <formula>COLUMN(C27)&gt;2</formula>
    </cfRule>
  </conditionalFormatting>
  <conditionalFormatting sqref="G28:H28">
    <cfRule type="expression" dxfId="111" priority="2">
      <formula>G28&lt;&gt;""</formula>
    </cfRule>
  </conditionalFormatting>
  <conditionalFormatting sqref="G28:H28">
    <cfRule type="expression" dxfId="110" priority="1">
      <formula>COLUMN(G27)&gt;2</formula>
    </cfRule>
  </conditionalFormatting>
  <dataValidations xWindow="132" yWindow="585" count="13">
    <dataValidation allowBlank="1" showInputMessage="1" showErrorMessage="1" prompt="Augusti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Cellerna C2:I2 innehåller veckodagar" sqref="C2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Ange tid i den här raden från kolumn B till I" sqref="B12 I12"/>
    <dataValidation allowBlank="1" showInputMessage="1" showErrorMessage="1" prompt="Ange klass i den här raden från kolumn B till I" sqref="B13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1" customWidth="1"/>
    <col min="2" max="2" width="20.625" style="16" customWidth="1"/>
    <col min="3" max="8" width="10.625" style="1" customWidth="1"/>
    <col min="9" max="9" width="20.625" style="1" customWidth="1"/>
    <col min="10" max="10" width="10.625" style="16" customWidth="1"/>
    <col min="11" max="11" width="10.625" style="3" customWidth="1"/>
    <col min="12" max="12" width="70.625" style="1" customWidth="1"/>
    <col min="13" max="13" width="2.625" customWidth="1"/>
  </cols>
  <sheetData>
    <row r="1" spans="1:12" ht="30" customHeight="1" x14ac:dyDescent="0.2">
      <c r="A1" s="16"/>
      <c r="B1" s="12">
        <f ca="1">KalenderÅr</f>
        <v>2017</v>
      </c>
      <c r="J1" s="18" t="s">
        <v>0</v>
      </c>
      <c r="K1" s="18" t="s">
        <v>18</v>
      </c>
      <c r="L1" s="11" t="s">
        <v>19</v>
      </c>
    </row>
    <row r="2" spans="1:12" ht="30" customHeight="1" x14ac:dyDescent="0.25">
      <c r="A2" s="13"/>
      <c r="B2" s="21" t="s">
        <v>30</v>
      </c>
      <c r="C2" s="8" t="s">
        <v>5</v>
      </c>
      <c r="D2" s="8" t="s">
        <v>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36" t="s">
        <v>5</v>
      </c>
      <c r="K2" s="35"/>
      <c r="L2" s="50"/>
    </row>
    <row r="3" spans="1:12" ht="30" customHeight="1" x14ac:dyDescent="0.25">
      <c r="A3" s="13"/>
      <c r="C3" s="7">
        <f ca="1">IF(DAY(SepSön1)=1,SepSön1-6,SepSön1+1)</f>
        <v>42975</v>
      </c>
      <c r="D3" s="7">
        <f ca="1">IF(DAY(SepSön1)=1,SepSön1-5,SepSön1+2)</f>
        <v>42976</v>
      </c>
      <c r="E3" s="7">
        <f ca="1">IF(DAY(SepSön1)=1,SepSön1-4,SepSön1+3)</f>
        <v>42977</v>
      </c>
      <c r="F3" s="7">
        <f ca="1">IF(DAY(SepSön1)=1,SepSön1-3,SepSön1+4)</f>
        <v>42978</v>
      </c>
      <c r="G3" s="7">
        <f ca="1">IF(DAY(SepSön1)=1,SepSön1-2,SepSön1+5)</f>
        <v>42979</v>
      </c>
      <c r="H3" s="7">
        <f ca="1">IF(DAY(SepSön1)=1,SepSön1-1,SepSön1+6)</f>
        <v>42980</v>
      </c>
      <c r="I3" s="7">
        <f ca="1">IF(DAY(SepSön1)=1,SepSön1,SepSön1+7)</f>
        <v>42981</v>
      </c>
      <c r="J3" s="36"/>
      <c r="K3" s="35"/>
      <c r="L3" s="50"/>
    </row>
    <row r="4" spans="1:12" ht="30" customHeight="1" x14ac:dyDescent="0.25">
      <c r="A4" s="13"/>
      <c r="C4" s="7">
        <f ca="1">IF(DAY(SepSön1)=1,SepSön1+1,SepSön1+8)</f>
        <v>42982</v>
      </c>
      <c r="D4" s="7">
        <f ca="1">IF(DAY(SepSön1)=1,SepSön1+2,SepSön1+9)</f>
        <v>42983</v>
      </c>
      <c r="E4" s="7">
        <f ca="1">IF(DAY(SepSön1)=1,SepSön1+3,SepSön1+10)</f>
        <v>42984</v>
      </c>
      <c r="F4" s="7">
        <f ca="1">IF(DAY(SepSön1)=1,SepSön1+4,SepSön1+11)</f>
        <v>42985</v>
      </c>
      <c r="G4" s="7">
        <f ca="1">IF(DAY(SepSön1)=1,SepSön1+5,SepSön1+12)</f>
        <v>42986</v>
      </c>
      <c r="H4" s="7">
        <f ca="1">IF(DAY(SepSön1)=1,SepSön1+6,SepSön1+13)</f>
        <v>42987</v>
      </c>
      <c r="I4" s="7">
        <f ca="1">IF(DAY(SepSön1)=1,SepSön1+7,SepSön1+14)</f>
        <v>42988</v>
      </c>
      <c r="J4" s="36"/>
      <c r="K4" s="35"/>
      <c r="L4" s="50"/>
    </row>
    <row r="5" spans="1:12" ht="30" customHeight="1" x14ac:dyDescent="0.25">
      <c r="A5" s="13"/>
      <c r="C5" s="7">
        <f ca="1">IF(DAY(SepSön1)=1,SepSön1+8,SepSön1+15)</f>
        <v>42989</v>
      </c>
      <c r="D5" s="7">
        <f ca="1">IF(DAY(SepSön1)=1,SepSön1+9,SepSön1+16)</f>
        <v>42990</v>
      </c>
      <c r="E5" s="7">
        <f ca="1">IF(DAY(SepSön1)=1,SepSön1+10,SepSön1+17)</f>
        <v>42991</v>
      </c>
      <c r="F5" s="7">
        <f ca="1">IF(DAY(SepSön1)=1,SepSön1+11,SepSön1+18)</f>
        <v>42992</v>
      </c>
      <c r="G5" s="7">
        <f ca="1">IF(DAY(SepSön1)=1,SepSön1+12,SepSön1+19)</f>
        <v>42993</v>
      </c>
      <c r="H5" s="7">
        <f ca="1">IF(DAY(SepSön1)=1,SepSön1+13,SepSön1+20)</f>
        <v>42994</v>
      </c>
      <c r="I5" s="7">
        <f ca="1">IF(DAY(SepSön1)=1,SepSön1+14,SepSön1+21)</f>
        <v>42995</v>
      </c>
      <c r="J5" s="36"/>
      <c r="K5" s="35"/>
      <c r="L5" s="50"/>
    </row>
    <row r="6" spans="1:12" ht="30" customHeight="1" x14ac:dyDescent="0.25">
      <c r="A6" s="13"/>
      <c r="C6" s="7">
        <f ca="1">IF(DAY(SepSön1)=1,SepSön1+15,SepSön1+22)</f>
        <v>42996</v>
      </c>
      <c r="D6" s="7">
        <f ca="1">IF(DAY(SepSön1)=1,SepSön1+16,SepSön1+23)</f>
        <v>42997</v>
      </c>
      <c r="E6" s="7">
        <f ca="1">IF(DAY(SepSön1)=1,SepSön1+17,SepSön1+24)</f>
        <v>42998</v>
      </c>
      <c r="F6" s="7">
        <f ca="1">IF(DAY(SepSön1)=1,SepSön1+18,SepSön1+25)</f>
        <v>42999</v>
      </c>
      <c r="G6" s="7">
        <f ca="1">IF(DAY(SepSön1)=1,SepSön1+19,SepSön1+26)</f>
        <v>43000</v>
      </c>
      <c r="H6" s="7">
        <f ca="1">IF(DAY(SepSön1)=1,SepSön1+20,SepSön1+27)</f>
        <v>43001</v>
      </c>
      <c r="I6" s="7">
        <f ca="1">IF(DAY(SepSön1)=1,SepSön1+21,SepSön1+28)</f>
        <v>43002</v>
      </c>
      <c r="J6" s="36"/>
      <c r="K6" s="35"/>
      <c r="L6" s="50"/>
    </row>
    <row r="7" spans="1:12" ht="30" customHeight="1" x14ac:dyDescent="0.25">
      <c r="A7" s="13"/>
      <c r="C7" s="7">
        <f ca="1">IF(DAY(SepSön1)=1,SepSön1+22,SepSön1+29)</f>
        <v>43003</v>
      </c>
      <c r="D7" s="7">
        <f ca="1">IF(DAY(SepSön1)=1,SepSön1+23,SepSön1+30)</f>
        <v>43004</v>
      </c>
      <c r="E7" s="7">
        <f ca="1">IF(DAY(SepSön1)=1,SepSön1+24,SepSön1+31)</f>
        <v>43005</v>
      </c>
      <c r="F7" s="7">
        <f ca="1">IF(DAY(SepSön1)=1,SepSön1+25,SepSön1+32)</f>
        <v>43006</v>
      </c>
      <c r="G7" s="7">
        <f ca="1">IF(DAY(SepSön1)=1,SepSön1+26,SepSön1+33)</f>
        <v>43007</v>
      </c>
      <c r="H7" s="7">
        <f ca="1">IF(DAY(SepSön1)=1,SepSön1+27,SepSön1+34)</f>
        <v>43008</v>
      </c>
      <c r="I7" s="7">
        <f ca="1">IF(DAY(SepSön1)=1,SepSön1+28,SepSön1+35)</f>
        <v>43009</v>
      </c>
      <c r="J7" s="45"/>
      <c r="K7" s="44"/>
      <c r="L7" s="17"/>
    </row>
    <row r="8" spans="1:12" ht="30" customHeight="1" x14ac:dyDescent="0.25">
      <c r="A8" s="13"/>
      <c r="B8" s="17"/>
      <c r="C8" s="7">
        <f ca="1">IF(DAY(SepSön1)=1,SepSön1+29,SepSön1+36)</f>
        <v>43010</v>
      </c>
      <c r="D8" s="7">
        <f ca="1">IF(DAY(SepSön1)=1,SepSön1+30,SepSön1+37)</f>
        <v>43011</v>
      </c>
      <c r="E8" s="7">
        <f ca="1">IF(DAY(SepSön1)=1,SepSön1+31,SepSön1+38)</f>
        <v>43012</v>
      </c>
      <c r="F8" s="7">
        <f ca="1">IF(DAY(SepSön1)=1,SepSön1+32,SepSön1+39)</f>
        <v>43013</v>
      </c>
      <c r="G8" s="7">
        <f ca="1">IF(DAY(SepSön1)=1,SepSön1+33,SepSön1+40)</f>
        <v>43014</v>
      </c>
      <c r="H8" s="7">
        <f ca="1">IF(DAY(SepSön1)=1,SepSön1+34,SepSön1+41)</f>
        <v>43015</v>
      </c>
      <c r="I8" s="7">
        <f ca="1">IF(DAY(SepSön1)=1,SepSön1+35,SepSön1+42)</f>
        <v>43016</v>
      </c>
      <c r="J8" s="51" t="s">
        <v>10</v>
      </c>
      <c r="K8" s="52"/>
      <c r="L8" s="53"/>
    </row>
    <row r="9" spans="1:12" ht="30" customHeight="1" x14ac:dyDescent="0.25">
      <c r="A9" s="13"/>
      <c r="C9" s="5"/>
      <c r="D9" s="5"/>
      <c r="E9" s="5"/>
      <c r="F9" s="5"/>
      <c r="G9" s="5"/>
      <c r="H9" s="5"/>
      <c r="I9" s="5"/>
      <c r="J9" s="36"/>
      <c r="K9" s="35"/>
      <c r="L9" s="50"/>
    </row>
    <row r="10" spans="1:12" ht="30" customHeight="1" x14ac:dyDescent="0.25">
      <c r="A10" s="13"/>
      <c r="B10" s="15" t="s">
        <v>4</v>
      </c>
      <c r="C10" s="10"/>
      <c r="D10" s="10"/>
      <c r="E10" s="10"/>
      <c r="F10" s="10"/>
      <c r="G10" s="10"/>
      <c r="H10" s="10"/>
      <c r="I10" s="10"/>
      <c r="J10" s="36"/>
      <c r="K10" s="35"/>
      <c r="L10" s="50"/>
    </row>
    <row r="11" spans="1:12" ht="30" customHeight="1" x14ac:dyDescent="0.25">
      <c r="A11" s="23" t="s">
        <v>0</v>
      </c>
      <c r="B11" s="22" t="s">
        <v>5</v>
      </c>
      <c r="C11" s="58" t="s">
        <v>10</v>
      </c>
      <c r="D11" s="59"/>
      <c r="E11" s="58" t="s">
        <v>13</v>
      </c>
      <c r="F11" s="59"/>
      <c r="G11" s="58" t="s">
        <v>14</v>
      </c>
      <c r="H11" s="59"/>
      <c r="I11" s="4" t="s">
        <v>15</v>
      </c>
      <c r="J11" s="36"/>
      <c r="K11" s="35"/>
      <c r="L11" s="50"/>
    </row>
    <row r="12" spans="1:12" ht="30" customHeight="1" x14ac:dyDescent="0.25">
      <c r="A12" s="23" t="s">
        <v>1</v>
      </c>
      <c r="B12" s="30">
        <v>0.33333333333333331</v>
      </c>
      <c r="C12" s="62"/>
      <c r="D12" s="62"/>
      <c r="E12" s="62">
        <v>0.33333333333333331</v>
      </c>
      <c r="F12" s="62"/>
      <c r="G12" s="62"/>
      <c r="H12" s="62"/>
      <c r="I12" s="30">
        <v>0.33333333333333331</v>
      </c>
      <c r="J12" s="36"/>
      <c r="K12" s="35"/>
      <c r="L12" s="50"/>
    </row>
    <row r="13" spans="1:12" ht="30" customHeight="1" x14ac:dyDescent="0.25">
      <c r="A13" s="23" t="s">
        <v>2</v>
      </c>
      <c r="B13" s="24" t="s">
        <v>6</v>
      </c>
      <c r="C13" s="60"/>
      <c r="D13" s="60"/>
      <c r="E13" s="60" t="s">
        <v>6</v>
      </c>
      <c r="F13" s="60"/>
      <c r="G13" s="60"/>
      <c r="H13" s="60"/>
      <c r="I13" s="27" t="s">
        <v>6</v>
      </c>
      <c r="J13" s="45"/>
      <c r="K13" s="44"/>
      <c r="L13" s="17"/>
    </row>
    <row r="14" spans="1:12" ht="30" customHeight="1" x14ac:dyDescent="0.25">
      <c r="A14" s="23" t="s">
        <v>1</v>
      </c>
      <c r="B14" s="19"/>
      <c r="C14" s="62">
        <v>0.375</v>
      </c>
      <c r="D14" s="62"/>
      <c r="E14" s="62"/>
      <c r="F14" s="62"/>
      <c r="G14" s="62">
        <v>0.375</v>
      </c>
      <c r="H14" s="62"/>
      <c r="I14" s="20"/>
      <c r="J14" s="51" t="s">
        <v>13</v>
      </c>
      <c r="K14" s="52"/>
      <c r="L14" s="53"/>
    </row>
    <row r="15" spans="1:12" ht="30" customHeight="1" x14ac:dyDescent="0.25">
      <c r="A15" s="23" t="s">
        <v>2</v>
      </c>
      <c r="B15" s="24"/>
      <c r="C15" s="60" t="s">
        <v>11</v>
      </c>
      <c r="D15" s="60"/>
      <c r="E15" s="60"/>
      <c r="F15" s="60"/>
      <c r="G15" s="60" t="s">
        <v>11</v>
      </c>
      <c r="H15" s="60"/>
      <c r="I15" s="27"/>
      <c r="J15" s="36"/>
      <c r="K15" s="35"/>
      <c r="L15" s="50"/>
    </row>
    <row r="16" spans="1:12" ht="30" customHeight="1" x14ac:dyDescent="0.25">
      <c r="A16" s="23" t="s">
        <v>1</v>
      </c>
      <c r="B16" s="32">
        <v>0.41666666666666669</v>
      </c>
      <c r="C16" s="62"/>
      <c r="D16" s="62"/>
      <c r="E16" s="62">
        <v>0.41666666666666669</v>
      </c>
      <c r="F16" s="62"/>
      <c r="G16" s="62"/>
      <c r="H16" s="62"/>
      <c r="I16" s="32">
        <v>0.41666666666666669</v>
      </c>
      <c r="J16" s="36"/>
      <c r="K16" s="35"/>
      <c r="L16" s="50"/>
    </row>
    <row r="17" spans="1:12" ht="30" customHeight="1" x14ac:dyDescent="0.25">
      <c r="A17" s="23" t="s">
        <v>2</v>
      </c>
      <c r="B17" s="24" t="s">
        <v>7</v>
      </c>
      <c r="C17" s="60"/>
      <c r="D17" s="60"/>
      <c r="E17" s="60" t="s">
        <v>7</v>
      </c>
      <c r="F17" s="60"/>
      <c r="G17" s="60"/>
      <c r="H17" s="60"/>
      <c r="I17" s="27" t="s">
        <v>7</v>
      </c>
      <c r="J17" s="36"/>
      <c r="K17" s="35"/>
      <c r="L17" s="50"/>
    </row>
    <row r="18" spans="1:12" ht="30" customHeight="1" x14ac:dyDescent="0.25">
      <c r="A18" s="23" t="s">
        <v>1</v>
      </c>
      <c r="B18" s="19"/>
      <c r="C18" s="62"/>
      <c r="D18" s="62"/>
      <c r="E18" s="62"/>
      <c r="F18" s="62"/>
      <c r="G18" s="62"/>
      <c r="H18" s="62"/>
      <c r="I18" s="20"/>
      <c r="J18" s="36"/>
      <c r="K18" s="35"/>
      <c r="L18" s="50"/>
    </row>
    <row r="19" spans="1:12" ht="30" customHeight="1" x14ac:dyDescent="0.25">
      <c r="A19" s="23" t="s">
        <v>2</v>
      </c>
      <c r="B19" s="24"/>
      <c r="C19" s="60"/>
      <c r="D19" s="60"/>
      <c r="E19" s="60"/>
      <c r="F19" s="60"/>
      <c r="G19" s="60"/>
      <c r="H19" s="60"/>
      <c r="I19" s="29"/>
      <c r="J19" s="45"/>
      <c r="K19" s="44"/>
      <c r="L19" s="17"/>
    </row>
    <row r="20" spans="1:12" ht="30" customHeight="1" x14ac:dyDescent="0.25">
      <c r="A20" s="23" t="s">
        <v>1</v>
      </c>
      <c r="B20" s="19"/>
      <c r="C20" s="62"/>
      <c r="D20" s="62"/>
      <c r="E20" s="62"/>
      <c r="F20" s="62"/>
      <c r="G20" s="62"/>
      <c r="H20" s="62"/>
      <c r="I20" s="20"/>
      <c r="J20" s="51" t="s">
        <v>14</v>
      </c>
      <c r="K20" s="52"/>
      <c r="L20" s="53"/>
    </row>
    <row r="21" spans="1:12" ht="30" customHeight="1" x14ac:dyDescent="0.25">
      <c r="A21" s="23" t="s">
        <v>2</v>
      </c>
      <c r="B21" s="24"/>
      <c r="C21" s="60"/>
      <c r="D21" s="60"/>
      <c r="E21" s="60"/>
      <c r="F21" s="60"/>
      <c r="G21" s="60"/>
      <c r="H21" s="60"/>
      <c r="I21" s="27"/>
      <c r="J21" s="36"/>
      <c r="K21" s="35"/>
      <c r="L21" s="50"/>
    </row>
    <row r="22" spans="1:12" ht="30" customHeight="1" x14ac:dyDescent="0.25">
      <c r="A22" s="23" t="s">
        <v>1</v>
      </c>
      <c r="B22" s="19"/>
      <c r="C22" s="62"/>
      <c r="D22" s="62"/>
      <c r="E22" s="62"/>
      <c r="F22" s="62"/>
      <c r="G22" s="62"/>
      <c r="H22" s="62"/>
      <c r="I22" s="20"/>
      <c r="J22" s="36"/>
      <c r="K22" s="35"/>
      <c r="L22" s="50"/>
    </row>
    <row r="23" spans="1:12" ht="30" customHeight="1" x14ac:dyDescent="0.25">
      <c r="A23" s="23" t="s">
        <v>2</v>
      </c>
      <c r="B23" s="24"/>
      <c r="C23" s="60"/>
      <c r="D23" s="60"/>
      <c r="E23" s="60"/>
      <c r="F23" s="60"/>
      <c r="G23" s="60"/>
      <c r="H23" s="60"/>
      <c r="I23" s="27"/>
      <c r="J23" s="36"/>
      <c r="K23" s="35"/>
      <c r="L23" s="50"/>
    </row>
    <row r="24" spans="1:12" ht="30" customHeight="1" x14ac:dyDescent="0.25">
      <c r="A24" s="23" t="s">
        <v>1</v>
      </c>
      <c r="B24" s="32">
        <v>0.58333333333333337</v>
      </c>
      <c r="C24" s="62"/>
      <c r="D24" s="62"/>
      <c r="E24" s="62">
        <v>0.58333333333333337</v>
      </c>
      <c r="F24" s="62"/>
      <c r="G24" s="62"/>
      <c r="H24" s="62"/>
      <c r="I24" s="32">
        <v>0.58333333333333337</v>
      </c>
      <c r="J24" s="36"/>
      <c r="K24" s="35"/>
      <c r="L24" s="50"/>
    </row>
    <row r="25" spans="1:12" ht="30" customHeight="1" x14ac:dyDescent="0.25">
      <c r="A25" s="23" t="s">
        <v>2</v>
      </c>
      <c r="B25" s="24" t="s">
        <v>8</v>
      </c>
      <c r="C25" s="60"/>
      <c r="D25" s="60"/>
      <c r="E25" s="60" t="s">
        <v>8</v>
      </c>
      <c r="F25" s="60"/>
      <c r="G25" s="60"/>
      <c r="H25" s="60"/>
      <c r="I25" s="27" t="s">
        <v>8</v>
      </c>
      <c r="J25" s="45"/>
      <c r="K25" s="44"/>
      <c r="L25" s="17"/>
    </row>
    <row r="26" spans="1:12" ht="30" customHeight="1" x14ac:dyDescent="0.25">
      <c r="A26" s="23" t="s">
        <v>1</v>
      </c>
      <c r="B26" s="19"/>
      <c r="C26" s="62"/>
      <c r="D26" s="62"/>
      <c r="E26" s="62"/>
      <c r="F26" s="62"/>
      <c r="G26" s="62"/>
      <c r="H26" s="62"/>
      <c r="I26" s="20"/>
      <c r="J26" s="51" t="s">
        <v>15</v>
      </c>
      <c r="K26" s="52"/>
      <c r="L26" s="53"/>
    </row>
    <row r="27" spans="1:12" ht="30" customHeight="1" x14ac:dyDescent="0.25">
      <c r="A27" s="23" t="s">
        <v>2</v>
      </c>
      <c r="B27" s="24"/>
      <c r="C27" s="60"/>
      <c r="D27" s="60"/>
      <c r="E27" s="60"/>
      <c r="F27" s="60"/>
      <c r="G27" s="60"/>
      <c r="H27" s="60"/>
      <c r="I27" s="27"/>
      <c r="J27" s="36"/>
      <c r="K27" s="35"/>
      <c r="L27" s="50"/>
    </row>
    <row r="28" spans="1:12" ht="30" customHeight="1" x14ac:dyDescent="0.25">
      <c r="A28" s="23" t="s">
        <v>1</v>
      </c>
      <c r="B28" s="19"/>
      <c r="C28" s="62">
        <v>0.66666666666666663</v>
      </c>
      <c r="D28" s="62"/>
      <c r="E28" s="62"/>
      <c r="F28" s="62"/>
      <c r="G28" s="62">
        <v>0.66666666666666663</v>
      </c>
      <c r="H28" s="62"/>
      <c r="I28" s="20"/>
      <c r="J28" s="36"/>
      <c r="K28" s="35"/>
      <c r="L28" s="50"/>
    </row>
    <row r="29" spans="1:12" ht="30" customHeight="1" x14ac:dyDescent="0.25">
      <c r="A29" s="23" t="s">
        <v>2</v>
      </c>
      <c r="B29" s="24"/>
      <c r="C29" s="60" t="s">
        <v>12</v>
      </c>
      <c r="D29" s="60"/>
      <c r="E29" s="60"/>
      <c r="F29" s="60"/>
      <c r="G29" s="60" t="s">
        <v>12</v>
      </c>
      <c r="H29" s="60"/>
      <c r="I29" s="27"/>
      <c r="J29" s="36"/>
      <c r="K29" s="35"/>
      <c r="L29" s="50"/>
    </row>
    <row r="30" spans="1:12" ht="30" customHeight="1" x14ac:dyDescent="0.25">
      <c r="A30" s="23" t="s">
        <v>1</v>
      </c>
      <c r="B30" s="19"/>
      <c r="C30" s="62"/>
      <c r="D30" s="62"/>
      <c r="E30" s="62"/>
      <c r="F30" s="62"/>
      <c r="G30" s="62"/>
      <c r="H30" s="62"/>
      <c r="I30" s="20"/>
      <c r="J30" s="36"/>
      <c r="K30" s="35"/>
      <c r="L30" s="50"/>
    </row>
    <row r="31" spans="1:12" ht="30" customHeight="1" x14ac:dyDescent="0.25">
      <c r="A31" s="23" t="s">
        <v>2</v>
      </c>
      <c r="B31" s="25"/>
      <c r="C31" s="63"/>
      <c r="D31" s="63"/>
      <c r="E31" s="63"/>
      <c r="F31" s="63"/>
      <c r="G31" s="63"/>
      <c r="H31" s="63"/>
      <c r="I31" s="31"/>
      <c r="J31" s="36"/>
      <c r="K31" s="35"/>
      <c r="L31" s="16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09" priority="46" stopIfTrue="1">
      <formula>DAY(C3)&gt;8</formula>
    </cfRule>
  </conditionalFormatting>
  <conditionalFormatting sqref="C7:I8">
    <cfRule type="expression" dxfId="108" priority="45" stopIfTrue="1">
      <formula>AND(DAY(C7)&gt;=1,DAY(C7)&lt;=15)</formula>
    </cfRule>
  </conditionalFormatting>
  <conditionalFormatting sqref="C3:I8">
    <cfRule type="expression" dxfId="107" priority="47">
      <formula>VLOOKUP(DAY(C3),UppgiftsDagar,1,FALSE)=DAY(C3)</formula>
    </cfRule>
  </conditionalFormatting>
  <conditionalFormatting sqref="B13:I13 B15:I15 B17:I17 B19:I19 B21:I21 B23:I23 B25:I25 B27:I27 B29:I29 B31:I31">
    <cfRule type="expression" dxfId="106" priority="44">
      <formula>B13&lt;&gt;""</formula>
    </cfRule>
  </conditionalFormatting>
  <conditionalFormatting sqref="C12:H12 B14 C16:H16 B18:I18 B20:I20 B22:I22 C24:H24 B26:I26 B28 B30:I30 E14:F14 I14 E28:F28 I28">
    <cfRule type="expression" dxfId="105" priority="43">
      <formula>B12&lt;&gt;""</formula>
    </cfRule>
  </conditionalFormatting>
  <conditionalFormatting sqref="B13:I13 B15:I15 B17:I17 B19:I19 B21:I21 B23:I23 B25:I25 B27:I27 B29:I29">
    <cfRule type="expression" dxfId="104" priority="42">
      <formula>COLUMN(B13)&gt;=2</formula>
    </cfRule>
  </conditionalFormatting>
  <conditionalFormatting sqref="B13:I13 B15:I15 B14 E14:F14 I14 C12:H12 B17:I23 C16:H16 B25:I27 C24:H24 B29:I31 B28 E28:F28 I28">
    <cfRule type="expression" dxfId="103" priority="41">
      <formula>COLUMN(B12)&gt;2</formula>
    </cfRule>
  </conditionalFormatting>
  <conditionalFormatting sqref="B12">
    <cfRule type="expression" dxfId="102" priority="20">
      <formula>B12&lt;&gt;""</formula>
    </cfRule>
  </conditionalFormatting>
  <conditionalFormatting sqref="B12">
    <cfRule type="expression" dxfId="101" priority="19">
      <formula>COLUMN(B11)&gt;2</formula>
    </cfRule>
  </conditionalFormatting>
  <conditionalFormatting sqref="I12">
    <cfRule type="expression" dxfId="100" priority="18">
      <formula>I12&lt;&gt;""</formula>
    </cfRule>
  </conditionalFormatting>
  <conditionalFormatting sqref="I12">
    <cfRule type="expression" dxfId="99" priority="17">
      <formula>COLUMN(I11)&gt;2</formula>
    </cfRule>
  </conditionalFormatting>
  <conditionalFormatting sqref="C14:D14">
    <cfRule type="expression" dxfId="98" priority="16">
      <formula>C14&lt;&gt;""</formula>
    </cfRule>
  </conditionalFormatting>
  <conditionalFormatting sqref="C14:D14">
    <cfRule type="expression" dxfId="97" priority="15">
      <formula>COLUMN(C13)&gt;2</formula>
    </cfRule>
  </conditionalFormatting>
  <conditionalFormatting sqref="G14:H14">
    <cfRule type="expression" dxfId="96" priority="14">
      <formula>G14&lt;&gt;""</formula>
    </cfRule>
  </conditionalFormatting>
  <conditionalFormatting sqref="G14:H14">
    <cfRule type="expression" dxfId="95" priority="13">
      <formula>COLUMN(G13)&gt;2</formula>
    </cfRule>
  </conditionalFormatting>
  <conditionalFormatting sqref="B16">
    <cfRule type="expression" dxfId="94" priority="12">
      <formula>B16&lt;&gt;""</formula>
    </cfRule>
  </conditionalFormatting>
  <conditionalFormatting sqref="B16">
    <cfRule type="expression" dxfId="93" priority="11">
      <formula>COLUMN(B15)&gt;2</formula>
    </cfRule>
  </conditionalFormatting>
  <conditionalFormatting sqref="I16">
    <cfRule type="expression" dxfId="92" priority="10">
      <formula>I16&lt;&gt;""</formula>
    </cfRule>
  </conditionalFormatting>
  <conditionalFormatting sqref="I16">
    <cfRule type="expression" dxfId="91" priority="9">
      <formula>COLUMN(I15)&gt;2</formula>
    </cfRule>
  </conditionalFormatting>
  <conditionalFormatting sqref="B24">
    <cfRule type="expression" dxfId="90" priority="8">
      <formula>B24&lt;&gt;""</formula>
    </cfRule>
  </conditionalFormatting>
  <conditionalFormatting sqref="B24">
    <cfRule type="expression" dxfId="89" priority="7">
      <formula>COLUMN(B23)&gt;2</formula>
    </cfRule>
  </conditionalFormatting>
  <conditionalFormatting sqref="I24">
    <cfRule type="expression" dxfId="88" priority="6">
      <formula>I24&lt;&gt;""</formula>
    </cfRule>
  </conditionalFormatting>
  <conditionalFormatting sqref="I24">
    <cfRule type="expression" dxfId="87" priority="5">
      <formula>COLUMN(I23)&gt;2</formula>
    </cfRule>
  </conditionalFormatting>
  <conditionalFormatting sqref="C28:D28">
    <cfRule type="expression" dxfId="86" priority="4">
      <formula>C28&lt;&gt;""</formula>
    </cfRule>
  </conditionalFormatting>
  <conditionalFormatting sqref="C28:D28">
    <cfRule type="expression" dxfId="85" priority="3">
      <formula>COLUMN(C27)&gt;2</formula>
    </cfRule>
  </conditionalFormatting>
  <conditionalFormatting sqref="G28:H28">
    <cfRule type="expression" dxfId="84" priority="2">
      <formula>G28&lt;&gt;""</formula>
    </cfRule>
  </conditionalFormatting>
  <conditionalFormatting sqref="G28:H28">
    <cfRule type="expression" dxfId="83" priority="1">
      <formula>COLUMN(G27)&gt;2</formula>
    </cfRule>
  </conditionalFormatting>
  <dataValidations count="13">
    <dataValidation allowBlank="1" showInputMessage="1" showErrorMessage="1" prompt="Ange klass i den här raden från kolumn B till I" sqref="B13"/>
    <dataValidation allowBlank="1" showInputMessage="1" showErrorMessage="1" prompt="Ange tid i den här raden från kolumn B till I" sqref="B12 I12"/>
    <dataValidation allowBlank="1" showInputMessage="1" showErrorMessage="1" prompt="Om den här raden innehåller ett tal som är mindre än föregående tal, eller rad med tal, innehåller den här raden datum för nästa kalendermånad" sqref="C8"/>
    <dataValidation allowBlank="1" showInputMessage="1" showErrorMessage="1" prompt="Om cellen inte innehåller siffran 1 är det en dag från föregående månad Cellerna C3:I8 innehåller datum för den aktuella månaden" sqref="C3"/>
    <dataValidation allowBlank="1" showInputMessage="1" showErrorMessage="1" prompt="Cellerna C2:I2 innehåller veckodagar" sqref="C2"/>
    <dataValidation allowBlank="1" showInputMessage="1" showErrorMessage="1" prompt="Förbered ett veckoschema och skapa en uppgiftslista i det här kalkylbladet. Uppgifter markeras automatiskt i månadskalendern för det år som anges i B1 i kalkylbladet Jan" sqref="A1"/>
    <dataValidation allowBlank="1" showInputMessage="1" showErrorMessage="1" prompt="Automatiskt uppdaterat kalenderår. Ändra år genom att uppdatera cell B1 i kalkylbladet Jan" sqref="B1"/>
    <dataValidation allowBlank="1" showInputMessage="1" showErrorMessage="1" prompt="September månad i kalender markerar automatiskt uppgiftsposterna för månaden. Mörkare teckensnitt är uppgifter. Ljusare teckensnitt är dagar som hör till föregående eller nästa månad" sqref="B2"/>
    <dataValidation allowBlank="1" showInputMessage="1" showErrorMessage="1" prompt="Veckodagar grupperas i den här kolumnen, med 6 rader för uppgifter för varje grupperad veckodag i månaden. Infoga nya rader för att lägga till fler uppgifter. Kalender till vänster markerar objekt" sqref="J1"/>
    <dataValidation allowBlank="1" showInputMessage="1" showErrorMessage="1" prompt="I den här kolumnen anger du uppgiftsinformation som motsvarar veckodag i kolumn J och dagen i kolumn K för kalendermånad längst till vänster" sqref="L1"/>
    <dataValidation allowBlank="1" showInputMessage="1" showErrorMessage="1" prompt="Ange uppgiftsdag i månaden i den här kolumnen som motsvarar veckodag i kolumnen J. Detta datum markerar uppgifter i kalendern till vänster" sqref="K1"/>
    <dataValidation allowBlank="1" showInputMessage="1" showErrorMessage="1" prompt="Veckodagar, från måndag till fredag, finns i den här raden" sqref="B11"/>
    <dataValidation allowBlank="1" showInputMessage="1" showErrorMessage="1" prompt="Ange tiden för din klass och under den, på en ny rad, klassens namn för varje veckodag i kolumn B till I. Upprepa detta mönster för alla klasser i de efterföljande raderna" sqref="B10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61</vt:i4>
      </vt:variant>
    </vt:vector>
  </HeadingPairs>
  <TitlesOfParts>
    <vt:vector size="73" baseType="lpstr">
      <vt:lpstr>Jan</vt:lpstr>
      <vt:lpstr>Feb</vt:lpstr>
      <vt:lpstr>Mar</vt:lpstr>
      <vt:lpstr>Apr</vt:lpstr>
      <vt:lpstr>Maj</vt:lpstr>
      <vt:lpstr>Jun</vt:lpstr>
      <vt:lpstr>Jul</vt:lpstr>
      <vt:lpstr>Aug</vt:lpstr>
      <vt:lpstr>Sep</vt:lpstr>
      <vt:lpstr>Okt</vt:lpstr>
      <vt:lpstr>Nov</vt:lpstr>
      <vt:lpstr>Dec</vt:lpstr>
      <vt:lpstr>KalenderÅr</vt:lpstr>
      <vt:lpstr>KolumnRubrik1</vt:lpstr>
      <vt:lpstr>KolumnRubrik10</vt:lpstr>
      <vt:lpstr>KolumnRubrik11</vt:lpstr>
      <vt:lpstr>KolumnRubrik12</vt:lpstr>
      <vt:lpstr>KolumnRubrik2</vt:lpstr>
      <vt:lpstr>KolumnRubrik3</vt:lpstr>
      <vt:lpstr>KolumnRubrik4</vt:lpstr>
      <vt:lpstr>KolumnRubrik5</vt:lpstr>
      <vt:lpstr>KolumnRubrik6</vt:lpstr>
      <vt:lpstr>KolumnRubrik7</vt:lpstr>
      <vt:lpstr>KolumnRubrik8</vt:lpstr>
      <vt:lpstr>KolumnRubrik9</vt:lpstr>
      <vt:lpstr>KolumnRubrikAvsnitt1..I8.1</vt:lpstr>
      <vt:lpstr>KolumnRubrikAvsnitt1..I8.10</vt:lpstr>
      <vt:lpstr>KolumnRubrikAvsnitt1..I8.11</vt:lpstr>
      <vt:lpstr>KolumnRubrikAvsnitt1..I8.12</vt:lpstr>
      <vt:lpstr>KolumnRubrikAvsnitt1..I8.2</vt:lpstr>
      <vt:lpstr>KolumnRubrikAvsnitt1..I8.3</vt:lpstr>
      <vt:lpstr>KolumnRubrikAvsnitt1..I8.4</vt:lpstr>
      <vt:lpstr>KolumnRubrikAvsnitt1..I8.5</vt:lpstr>
      <vt:lpstr>KolumnRubrikAvsnitt1..I8.6</vt:lpstr>
      <vt:lpstr>KolumnRubrikAvsnitt1..I8.7</vt:lpstr>
      <vt:lpstr>KolumnRubrikAvsnitt1..I8.8</vt:lpstr>
      <vt:lpstr>KolumnRubrikAvsnitt1..I8.9</vt:lpstr>
      <vt:lpstr>RubrikAvsnitt2..I31.1</vt:lpstr>
      <vt:lpstr>RubrikAvsnitt2..I31.10</vt:lpstr>
      <vt:lpstr>RubrikAvsnitt2..I31.11</vt:lpstr>
      <vt:lpstr>RubrikAvsnitt2..I31.12</vt:lpstr>
      <vt:lpstr>RubrikAvsnitt2..I31.2</vt:lpstr>
      <vt:lpstr>RubrikAvsnitt2..I31.3</vt:lpstr>
      <vt:lpstr>RubrikAvsnitt2..I31.4</vt:lpstr>
      <vt:lpstr>RubrikAvsnitt2..I31.5</vt:lpstr>
      <vt:lpstr>RubrikAvsnitt2..I31.6</vt:lpstr>
      <vt:lpstr>RubrikAvsnitt2..I31.7</vt:lpstr>
      <vt:lpstr>RubrikAvsnitt2..I31.8</vt:lpstr>
      <vt:lpstr>RubrikAvsnitt2..I31.9</vt:lpstr>
      <vt:lpstr>Apr!UppgiftsDagar</vt:lpstr>
      <vt:lpstr>Aug!UppgiftsDagar</vt:lpstr>
      <vt:lpstr>Dec!UppgiftsDagar</vt:lpstr>
      <vt:lpstr>Feb!UppgiftsDagar</vt:lpstr>
      <vt:lpstr>Jul!UppgiftsDagar</vt:lpstr>
      <vt:lpstr>Jun!UppgiftsDagar</vt:lpstr>
      <vt:lpstr>Maj!UppgiftsDagar</vt:lpstr>
      <vt:lpstr>Mar!UppgiftsDagar</vt:lpstr>
      <vt:lpstr>Nov!UppgiftsDagar</vt:lpstr>
      <vt:lpstr>Okt!UppgiftsDagar</vt:lpstr>
      <vt:lpstr>Sep!UppgiftsDagar</vt:lpstr>
      <vt:lpstr>UppgiftsDagar</vt:lpstr>
      <vt:lpstr>Apr!ViktigaDatumTabell</vt:lpstr>
      <vt:lpstr>Aug!ViktigaDatumTabell</vt:lpstr>
      <vt:lpstr>Dec!ViktigaDatumTabell</vt:lpstr>
      <vt:lpstr>Feb!ViktigaDatumTabell</vt:lpstr>
      <vt:lpstr>Jul!ViktigaDatumTabell</vt:lpstr>
      <vt:lpstr>Jun!ViktigaDatumTabell</vt:lpstr>
      <vt:lpstr>Maj!ViktigaDatumTabell</vt:lpstr>
      <vt:lpstr>Mar!ViktigaDatumTabell</vt:lpstr>
      <vt:lpstr>Nov!ViktigaDatumTabell</vt:lpstr>
      <vt:lpstr>Okt!ViktigaDatumTabell</vt:lpstr>
      <vt:lpstr>Sep!ViktigaDatumTabell</vt:lpstr>
      <vt:lpstr>ViktigaDatumTabell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2016-12-22T23:12:27Z</dcterms:created>
  <dcterms:modified xsi:type="dcterms:W3CDTF">2017-08-04T08:12:05Z</dcterms:modified>
</cp:coreProperties>
</file>