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07"/>
  <workbookPr filterPrivacy="1" autoCompressPictures="0"/>
  <xr:revisionPtr revIDLastSave="0" documentId="13_ncr:1_{0AE20BE5-AB90-4BF7-88A2-5DDCD1A2DF3D}" xr6:coauthVersionLast="45" xr6:coauthVersionMax="45" xr10:uidLastSave="{00000000-0000-0000-0000-000000000000}"/>
  <bookViews>
    <workbookView xWindow="-120" yWindow="-120" windowWidth="28890" windowHeight="16110" xr2:uid="{00000000-000D-0000-FFFF-FFFF00000000}"/>
  </bookViews>
  <sheets>
    <sheet name="Početak" sheetId="2" r:id="rId1"/>
    <sheet name="Godišnji kalendar" sheetId="1" r:id="rId2"/>
  </sheets>
  <definedNames>
    <definedName name="AprNed1">DATE(KalendarskaGodina,4,1)-WEEKDAY(DATE(KalendarskaGodina,4,1))+1</definedName>
    <definedName name="AvgNed1">DATE(KalendarskaGodina,8,1)-WEEKDAY(DATE(KalendarskaGodina,8,1))+1</definedName>
    <definedName name="DecNed1">DATE(KalendarskaGodina,12,1)-WEEKDAY(DATE(KalendarskaGodina,12,1))+1</definedName>
    <definedName name="FebNed1">DATE(KalendarskaGodina,2,1)-WEEKDAY(DATE(KalendarskaGodina,2,1))+1</definedName>
    <definedName name="JanNed1">DATE(KalendarskaGodina,1,1)-WEEKDAY(DATE(KalendarskaGodina,1,1))+1</definedName>
    <definedName name="JulNed1">DATE(KalendarskaGodina,7,1)-WEEKDAY(DATE(KalendarskaGodina,7,1))+1</definedName>
    <definedName name="JunNed1">DATE(KalendarskaGodina,6,1)-WEEKDAY(DATE(KalendarskaGodina,6,1))+1</definedName>
    <definedName name="KalendarskaGodina">'Godišnji kalendar'!$C$1</definedName>
    <definedName name="MajNed1">DATE(KalendarskaGodina,5,1)-WEEKDAY(DATE(KalendarskaGodina,5,1))+1</definedName>
    <definedName name="MartNed1">DATE(KalendarskaGodina,3,1)-WEEKDAY(DATE(KalendarskaGodina,3,1))+1</definedName>
    <definedName name="NovNed1">DATE(KalendarskaGodina,11,1)-WEEKDAY(DATE(KalendarskaGodina,11,1))+1</definedName>
    <definedName name="_xlnm.Print_Area" localSheetId="1">'Godišnji kalendar'!$B$1:$W$55</definedName>
    <definedName name="OktNed1">DATE(KalendarskaGodina,10,1)-WEEKDAY(DATE(KalendarskaGodina,10,1))+1</definedName>
    <definedName name="SeptNed1">DATE(KalendarskaGodina,9,1)-WEEKDAY(DATE(KalendarskaGodina,9,1))+1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<sst xmlns="http://schemas.openxmlformats.org/spreadsheetml/2006/main" count="135" uniqueCount="58">
  <si>
    <t>OSNOVNI PODACI O OVOM PREDLOŠKU</t>
  </si>
  <si>
    <t>Koristite ovaj predložak da biste kreirali lični kalendar malog preduzeća za bilo koju godinu.</t>
  </si>
  <si>
    <t>Unesite ime preduzeća i kontakt informacije i dodajte logotip preduzeća.</t>
  </si>
  <si>
    <t>Izaberite godinu i unesite važne datume i prilike.</t>
  </si>
  <si>
    <t>Napomena: </t>
  </si>
  <si>
    <t xml:space="preserve">Dodatna uputstva navedena su u koloni A na radnom listu GODIŠNJI KALENDAR. Taj tekst je namerno skriven. Da biste uklonili tekst, izaberite kolonu A, a zatim izaberite stavku „IZBRIŠI“. </t>
  </si>
  <si>
    <t>Da biste saznali više o tabelama, pritisnite taster SHIFT, a zatim unutar tabele pritisnite taster F10, izaberite opciju „TABELA“, a zatim stavku „ALTERNATIVNI TEKST“.</t>
  </si>
  <si>
    <t>Napravite kalendar za malo preduzeće za bilo koju godinu u ovom radnom listu. Korisna uputstva o tome kako da koristite ovaj radni list nalaze se u ćelijama u ovoj koloni. Izaberite kružni indikator u ćeliji sa desne strane da biste promenili godinu u ćeliju C1. Oznaka „Važni datumi“ se nalazi u ćeliji U1</t>
  </si>
  <si>
    <t>Savet se nalazi u ćeliji sa desne strane.</t>
  </si>
  <si>
    <t>Kalendar za izabranu godinu nalazi se u ćelijama od C3 do Q55, januarski kalendar u ćelijama od C4 do I10, i februarski kalendar u ćelijama od K4 do Q10. Oznaka za januar je u ćeliju C3 i za februar u ćeliji K3. Unesite važne datume i prilike u ćelijama od U3 do U42</t>
  </si>
  <si>
    <t>Tabela januarskog kalendara je u ćelijama od C4 do I10 i tabela februarskog kalendara u ćelijama od K4 do Q10. Sledeće uputstvo se nalazi u ćeliji A12.</t>
  </si>
  <si>
    <t>Oznaka za mart je u ćeliji C12 i za april u ćeliji K12</t>
  </si>
  <si>
    <t>Tabela martovskog kalendara je u ćelijama od C13 do I19 i tabela aprilskog kalendara u ćelijama od K13 do Q19. Sledeće uputstvo se nalazi u ćeliji A21</t>
  </si>
  <si>
    <t>Oznaka za maj se nalazi u ćeliji C21 i za jun u ćeliji K21</t>
  </si>
  <si>
    <t>Tabela majskog kalendara se nalazi u ćelijama od C22 do I28 i tabela junskog kalendara u ćelijama od K22 do Q28. Sledeće uputstvo se nalazi u ćeliji A30.</t>
  </si>
  <si>
    <t>Oznaka za jul se nalazi u ćeliji C30 i za avgust u ćeliji K30</t>
  </si>
  <si>
    <t>Tabela julskog kalendara je u ćelijama od C31 do I37 i tabela avgustovskog kalendara u ćelijama od K31 do Q37. Sledeće uputstvo se nalazi u ćeliji A39.</t>
  </si>
  <si>
    <t>Oznaka za septembar se nalazi u ćeliji C39 i za oktobar u ćeliji K39</t>
  </si>
  <si>
    <t>Tabela septembarskog kalendara je u ćelijama od C40 do I46 i oktobarskog kalendara u ćelijama od K40 do Q46. Sledeće uputstvo se nalazi u ćeliji A44.</t>
  </si>
  <si>
    <t>Unesite ulicu i broj u ćeliju U44</t>
  </si>
  <si>
    <t>Unesite grad, državu i poštanski broj u ćeliju U45 Sledeće uputstvo se nalazi u ćeliji A47.</t>
  </si>
  <si>
    <t>Broj telefona preduzeća unesite u ćeliju U47.</t>
  </si>
  <si>
    <t>Oznaka za novembar je u ćeliji C48 i decembar u ćeliji K48. Adresu e-pošte unesite u ćeliju U48</t>
  </si>
  <si>
    <t>Tabela novembarskog kalendara je u ćelijama od C49 do I55 i decembarskog kalendara u ćelijama od K49 do Q55. Sledeće uputstvo se nalazi u ćeliji A51.</t>
  </si>
  <si>
    <t>Dodajte logotip preduzeća u ćeliju U51</t>
  </si>
  <si>
    <t>Koristite kružni indikator da biste promenili kalendarsku godinu</t>
  </si>
  <si>
    <t>JANUAR</t>
  </si>
  <si>
    <t>MART</t>
  </si>
  <si>
    <t>MAJ</t>
  </si>
  <si>
    <t>JUL</t>
  </si>
  <si>
    <t>SEPTEMBAR</t>
  </si>
  <si>
    <t>NOVEMBAR</t>
  </si>
  <si>
    <t>SRE</t>
  </si>
  <si>
    <t>FEBRUAR</t>
  </si>
  <si>
    <t>APRIL</t>
  </si>
  <si>
    <t>JUN</t>
  </si>
  <si>
    <t>AVGUST</t>
  </si>
  <si>
    <t>OKTOBAR</t>
  </si>
  <si>
    <t>DECEMBAR</t>
  </si>
  <si>
    <t>VAŽNI DATUMI</t>
  </si>
  <si>
    <t>1. JANUAR</t>
  </si>
  <si>
    <t>NOVA GODINA</t>
  </si>
  <si>
    <t>14. FEBRUAR</t>
  </si>
  <si>
    <t>DAN ZALJUBLJENIH</t>
  </si>
  <si>
    <t>22. FEBRUAR</t>
  </si>
  <si>
    <t>OTVORENA VRATA</t>
  </si>
  <si>
    <t>Ulica i broj</t>
  </si>
  <si>
    <t>Grad, država, ZIP kôd</t>
  </si>
  <si>
    <t>Telefon</t>
  </si>
  <si>
    <t>Adresa e-pošte</t>
  </si>
  <si>
    <t>Veb sajt</t>
  </si>
  <si>
    <t>Čuvar mesta logotipa nalazi se u ovoj ćeliji.</t>
  </si>
  <si>
    <t>PON</t>
  </si>
  <si>
    <t>UTO</t>
  </si>
  <si>
    <t>ČET</t>
  </si>
  <si>
    <t>PET</t>
  </si>
  <si>
    <t>SUB</t>
  </si>
  <si>
    <t>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</si>
</sst>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RSD&quot;_-;\-* #,##0\ &quot;RSD&quot;_-;_-* &quot;-&quot;\ &quot;RSD&quot;_-;_-@_-"/>
    <numFmt numFmtId="44" formatCode="_-* #,##0.00\ &quot;RSD&quot;_-;\-* #,##0.00\ &quot;RSD&quot;_-;_-* &quot;-&quot;??\ &quot;RSD&quot;_-;_-@_-"/>
    <numFmt numFmtId="164" formatCode="_(* #,##0_);_(* \(#,##0\);_(* &quot;-&quot;_);_(@_)"/>
    <numFmt numFmtId="165" formatCode="_(* #,##0.00_);_(* \(#,##0.00\);_(* &quot;-&quot;??_);_(@_)"/>
    <numFmt numFmtId="166" formatCode=";;;"/>
    <numFmt numFmtId="167" formatCode="d"/>
  </numFmts>
  <fonts count="37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i/>
      <sz val="10"/>
      <color theme="8" tint="-0.499984740745262"/>
      <name val="Calibri"/>
      <family val="2"/>
      <scheme val="minor"/>
    </font>
    <font>
      <b/>
      <sz val="9.5"/>
      <color theme="8" tint="-0.499984740745262"/>
      <name val="Calibri"/>
      <family val="2"/>
      <scheme val="major"/>
    </font>
    <font>
      <sz val="9"/>
      <color theme="8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ajor"/>
    </font>
    <font>
      <sz val="8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9" fillId="0" borderId="2" applyNumberFormat="0" applyFill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5" applyNumberFormat="0" applyAlignment="0" applyProtection="0"/>
    <xf numFmtId="0" fontId="30" fillId="8" borderId="6" applyNumberFormat="0" applyAlignment="0" applyProtection="0"/>
    <xf numFmtId="0" fontId="31" fillId="8" borderId="5" applyNumberFormat="0" applyAlignment="0" applyProtection="0"/>
    <xf numFmtId="0" fontId="32" fillId="0" borderId="7" applyNumberFormat="0" applyFill="0" applyAlignment="0" applyProtection="0"/>
    <xf numFmtId="0" fontId="33" fillId="9" borderId="8" applyNumberFormat="0" applyAlignment="0" applyProtection="0"/>
    <xf numFmtId="0" fontId="34" fillId="0" borderId="0" applyNumberFormat="0" applyFill="0" applyBorder="0" applyAlignment="0" applyProtection="0"/>
    <xf numFmtId="0" fontId="22" fillId="10" borderId="9" applyNumberFormat="0" applyFont="0" applyAlignment="0" applyProtection="0"/>
    <xf numFmtId="0" fontId="35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1">
    <xf numFmtId="0" fontId="0" fillId="0" borderId="0" xfId="0"/>
    <xf numFmtId="49" fontId="12" fillId="0" borderId="0" xfId="0" applyNumberFormat="1" applyFont="1"/>
    <xf numFmtId="49" fontId="0" fillId="0" borderId="0" xfId="0" applyNumberFormat="1" applyAlignment="1">
      <alignment horizontal="left"/>
    </xf>
    <xf numFmtId="49" fontId="13" fillId="0" borderId="0" xfId="0" applyNumberFormat="1" applyFont="1" applyAlignment="1">
      <alignment horizontal="left"/>
    </xf>
    <xf numFmtId="0" fontId="0" fillId="3" borderId="0" xfId="0" applyFill="1"/>
    <xf numFmtId="0" fontId="8" fillId="3" borderId="0" xfId="0" applyFont="1" applyFill="1" applyAlignment="1">
      <alignment vertical="center"/>
    </xf>
    <xf numFmtId="0" fontId="9" fillId="3" borderId="0" xfId="0" applyFont="1" applyFill="1"/>
    <xf numFmtId="0" fontId="10" fillId="3" borderId="0" xfId="0" applyFont="1" applyFill="1" applyAlignment="1">
      <alignment vertical="center"/>
    </xf>
    <xf numFmtId="49" fontId="16" fillId="0" borderId="1" xfId="0" applyNumberFormat="1" applyFont="1" applyBorder="1"/>
    <xf numFmtId="49" fontId="16" fillId="0" borderId="0" xfId="0" applyNumberFormat="1" applyFont="1"/>
    <xf numFmtId="49" fontId="17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1" fillId="3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vertical="center"/>
    </xf>
    <xf numFmtId="166" fontId="0" fillId="0" borderId="0" xfId="0" applyNumberFormat="1" applyAlignment="1">
      <alignment wrapText="1"/>
    </xf>
    <xf numFmtId="166" fontId="3" fillId="0" borderId="0" xfId="0" applyNumberFormat="1" applyFont="1" applyAlignment="1">
      <alignment vertical="center"/>
    </xf>
    <xf numFmtId="166" fontId="0" fillId="0" borderId="0" xfId="0" applyNumberFormat="1"/>
    <xf numFmtId="0" fontId="2" fillId="0" borderId="0" xfId="0" applyFont="1" applyAlignment="1">
      <alignment vertical="center" wrapText="1"/>
    </xf>
    <xf numFmtId="0" fontId="7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0" fillId="2" borderId="0" xfId="0" applyFill="1"/>
    <xf numFmtId="167" fontId="0" fillId="0" borderId="0" xfId="0" applyNumberFormat="1" applyAlignment="1">
      <alignment horizontal="center"/>
    </xf>
    <xf numFmtId="0" fontId="8" fillId="3" borderId="0" xfId="0" applyFont="1" applyFill="1" applyAlignment="1">
      <alignment horizontal="left" vertical="center"/>
    </xf>
    <xf numFmtId="0" fontId="15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47">
    <cellStyle name="20% Akcenat1" xfId="24" builtinId="30" customBuiltin="1"/>
    <cellStyle name="20% Akcenat2" xfId="28" builtinId="34" customBuiltin="1"/>
    <cellStyle name="20% Akcenat3" xfId="32" builtinId="38" customBuiltin="1"/>
    <cellStyle name="20% Akcenat4" xfId="36" builtinId="42" customBuiltin="1"/>
    <cellStyle name="20% Akcenat5" xfId="40" builtinId="46" customBuiltin="1"/>
    <cellStyle name="20% Akcenat6" xfId="44" builtinId="50" customBuiltin="1"/>
    <cellStyle name="40% Akcenat1" xfId="25" builtinId="31" customBuiltin="1"/>
    <cellStyle name="40% Akcenat2" xfId="29" builtinId="35" customBuiltin="1"/>
    <cellStyle name="40% Akcenat3" xfId="33" builtinId="39" customBuiltin="1"/>
    <cellStyle name="40% Akcenat4" xfId="37" builtinId="43" customBuiltin="1"/>
    <cellStyle name="40% Akcenat5" xfId="41" builtinId="47" customBuiltin="1"/>
    <cellStyle name="40% Akcenat6" xfId="45" builtinId="51" customBuiltin="1"/>
    <cellStyle name="60% Akcenat1" xfId="26" builtinId="32" customBuiltin="1"/>
    <cellStyle name="60% Akcenat2" xfId="30" builtinId="36" customBuiltin="1"/>
    <cellStyle name="60% Akcenat3" xfId="34" builtinId="40" customBuiltin="1"/>
    <cellStyle name="60% Akcenat4" xfId="38" builtinId="44" customBuiltin="1"/>
    <cellStyle name="60% Akcenat5" xfId="42" builtinId="48" customBuiltin="1"/>
    <cellStyle name="60% Akcenat6" xfId="46" builtinId="52" customBuiltin="1"/>
    <cellStyle name="Akcenat1" xfId="23" builtinId="29" customBuiltin="1"/>
    <cellStyle name="Akcenat2" xfId="27" builtinId="33" customBuiltin="1"/>
    <cellStyle name="Akcenat3" xfId="31" builtinId="37" customBuiltin="1"/>
    <cellStyle name="Akcenat4" xfId="35" builtinId="41" customBuiltin="1"/>
    <cellStyle name="Akcenat5" xfId="39" builtinId="45" customBuiltin="1"/>
    <cellStyle name="Akcenat6" xfId="43" builtinId="49" customBuiltin="1"/>
    <cellStyle name="Beleška" xfId="20" builtinId="10" customBuiltin="1"/>
    <cellStyle name="Ćelija za proveru" xfId="18" builtinId="23" customBuiltin="1"/>
    <cellStyle name="Dobro" xfId="11" builtinId="26" customBuiltin="1"/>
    <cellStyle name="Izlaz" xfId="15" builtinId="21" customBuiltin="1"/>
    <cellStyle name="Izračunavanje" xfId="16" builtinId="22" customBuiltin="1"/>
    <cellStyle name="Loše" xfId="12" builtinId="27" customBuiltin="1"/>
    <cellStyle name="Naslov" xfId="7" builtinId="15" customBuiltin="1"/>
    <cellStyle name="Naslov 1" xfId="8" builtinId="16" customBuiltin="1"/>
    <cellStyle name="Naslov 2" xfId="1" builtinId="17" customBuiltin="1"/>
    <cellStyle name="Naslov 3" xfId="9" builtinId="18" customBuiltin="1"/>
    <cellStyle name="Naslov 4" xfId="10" builtinId="19" customBuiltin="1"/>
    <cellStyle name="Neutralno" xfId="13" builtinId="28" customBuiltin="1"/>
    <cellStyle name="Normalan" xfId="0" builtinId="0" customBuiltin="1"/>
    <cellStyle name="Povezana ćelija" xfId="17" builtinId="24" customBuiltin="1"/>
    <cellStyle name="Procenat" xfId="6" builtinId="5" customBuiltin="1"/>
    <cellStyle name="Tekst objašnjenja" xfId="21" builtinId="53" customBuiltin="1"/>
    <cellStyle name="Tekst upozorenja" xfId="19" builtinId="11" customBuiltin="1"/>
    <cellStyle name="Ukupno" xfId="22" builtinId="25" customBuiltin="1"/>
    <cellStyle name="Unos" xfId="14" builtinId="20" customBuiltin="1"/>
    <cellStyle name="Valuta" xfId="4" builtinId="4" customBuiltin="1"/>
    <cellStyle name="Valuta [0]" xfId="5" builtinId="7" customBuiltin="1"/>
    <cellStyle name="Zarez" xfId="2" builtinId="3" customBuiltin="1"/>
    <cellStyle name="Zarez [0]" xfId="3" builtinId="6" customBuiltin="1"/>
  </cellStyles>
  <dxfs count="108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$C$1" max="2999" min="1900" page="10" val="202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142875</xdr:colOff>
      <xdr:row>2</xdr:row>
      <xdr:rowOff>114299</xdr:rowOff>
    </xdr:from>
    <xdr:to>
      <xdr:col>22</xdr:col>
      <xdr:colOff>682625</xdr:colOff>
      <xdr:row>47</xdr:row>
      <xdr:rowOff>66674</xdr:rowOff>
    </xdr:to>
    <xdr:pic>
      <xdr:nvPicPr>
        <xdr:cNvPr id="2" name="Lišće" descr="Šest listova postavljenih u parovima i pojedinačno na različitim udaljenostim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Kružni indikator" descr="Koristite dugme kružnog indikatora da biste promenili kalendarsku godinu ili uneli godinu u ćeliju C1.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tip" descr="Čuvar mesta za logotip preduzeć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Septembar" displayName="Septembar" ref="C40:I46" totalsRowShown="0" headerRowDxfId="3" dataDxfId="107">
  <autoFilter ref="C40:I46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PON" dataDxfId="106"/>
    <tableColumn id="2" xr3:uid="{00000000-0010-0000-0000-000002000000}" name="UTO" dataDxfId="105"/>
    <tableColumn id="3" xr3:uid="{00000000-0010-0000-0000-000003000000}" name="SRE" dataDxfId="104"/>
    <tableColumn id="4" xr3:uid="{00000000-0010-0000-0000-000004000000}" name="ČET" dataDxfId="103"/>
    <tableColumn id="5" xr3:uid="{00000000-0010-0000-0000-000005000000}" name="PET" dataDxfId="102"/>
    <tableColumn id="6" xr3:uid="{00000000-0010-0000-0000-000006000000}" name="SUB" dataDxfId="101"/>
    <tableColumn id="7" xr3:uid="{00000000-0010-0000-0000-000007000000}" name="NED" dataDxfId="10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eptembarski kalendar u ovoj tabeli automatski ažurira imena dana u sedmici i datume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9000000}" name="April" displayName="April" ref="K13:Q19" totalsRowShown="0" headerRowDxfId="5" dataDxfId="35">
  <autoFilter ref="K13:Q19" xr:uid="{00000000-0009-0000-0100-00001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900-000001000000}" name="PON" dataDxfId="34"/>
    <tableColumn id="2" xr3:uid="{00000000-0010-0000-0900-000002000000}" name="UTO" dataDxfId="33"/>
    <tableColumn id="3" xr3:uid="{00000000-0010-0000-0900-000003000000}" name="SRE" dataDxfId="32"/>
    <tableColumn id="4" xr3:uid="{00000000-0010-0000-0900-000004000000}" name="ČET" dataDxfId="31"/>
    <tableColumn id="5" xr3:uid="{00000000-0010-0000-0900-000005000000}" name="PET" dataDxfId="30"/>
    <tableColumn id="6" xr3:uid="{00000000-0010-0000-0900-000006000000}" name="SUB" dataDxfId="29"/>
    <tableColumn id="7" xr3:uid="{00000000-0010-0000-0900-000007000000}" name="NED" dataDxfId="2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prilski kalendar u ovoj tabeli automatski ažurira imena dana u sedmici i datume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A000000}" name="Februar" displayName="Februar" ref="K4:Q10" totalsRowShown="0" headerRowDxfId="4" dataDxfId="27">
  <autoFilter ref="K4:Q10" xr:uid="{00000000-0009-0000-0100-00001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A00-000001000000}" name="PON" dataDxfId="26"/>
    <tableColumn id="2" xr3:uid="{00000000-0010-0000-0A00-000002000000}" name="UTO" dataDxfId="25"/>
    <tableColumn id="3" xr3:uid="{00000000-0010-0000-0A00-000003000000}" name="SRE" dataDxfId="24"/>
    <tableColumn id="4" xr3:uid="{00000000-0010-0000-0A00-000004000000}" name="ČET" dataDxfId="23"/>
    <tableColumn id="5" xr3:uid="{00000000-0010-0000-0A00-000005000000}" name="PET" dataDxfId="22"/>
    <tableColumn id="6" xr3:uid="{00000000-0010-0000-0A00-000006000000}" name="SUB" dataDxfId="21"/>
    <tableColumn id="7" xr3:uid="{00000000-0010-0000-0A00-000007000000}" name="NED" dataDxfId="2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Februarski kalendar u ovoj tabeli automatski ažurira imena dana u sedmici i datume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B000000}" name="Januar" displayName="Januar" ref="C4:I10" totalsRowShown="0" headerRowDxfId="19" dataDxfId="18">
  <autoFilter ref="C4:I10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B00-000001000000}" name="PON" dataDxfId="17"/>
    <tableColumn id="2" xr3:uid="{00000000-0010-0000-0B00-000002000000}" name="UTO" dataDxfId="16"/>
    <tableColumn id="3" xr3:uid="{00000000-0010-0000-0B00-000003000000}" name="SRE" dataDxfId="15"/>
    <tableColumn id="4" xr3:uid="{00000000-0010-0000-0B00-000004000000}" name="ČET" dataDxfId="14"/>
    <tableColumn id="5" xr3:uid="{00000000-0010-0000-0B00-000005000000}" name="PET" dataDxfId="13"/>
    <tableColumn id="6" xr3:uid="{00000000-0010-0000-0B00-000006000000}" name="SUB" dataDxfId="12"/>
    <tableColumn id="7" xr3:uid="{00000000-0010-0000-0B00-000007000000}" name="NED" dataDxfId="1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Januarski kalendar u ovoj tabeli automatski ažurira imena dana u sedmici i datum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1000000}" name="Oktobar" displayName="Oktobar" ref="K40:Q46" totalsRowShown="0" headerRowDxfId="2" dataDxfId="99">
  <autoFilter ref="K40:Q46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PON" dataDxfId="98"/>
    <tableColumn id="2" xr3:uid="{00000000-0010-0000-0100-000002000000}" name="UTO" dataDxfId="97"/>
    <tableColumn id="3" xr3:uid="{00000000-0010-0000-0100-000003000000}" name="SRE" dataDxfId="96"/>
    <tableColumn id="4" xr3:uid="{00000000-0010-0000-0100-000004000000}" name="ČET" dataDxfId="95"/>
    <tableColumn id="5" xr3:uid="{00000000-0010-0000-0100-000005000000}" name="PET" dataDxfId="94"/>
    <tableColumn id="6" xr3:uid="{00000000-0010-0000-0100-000006000000}" name="SUB" dataDxfId="93"/>
    <tableColumn id="7" xr3:uid="{00000000-0010-0000-0100-000007000000}" name="NED" dataDxfId="9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Oktobarski kalendar u ovoj tabeli automatski ažurira imena dana u sedmici i datum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Decembar" displayName="Decembar" ref="K49:Q55" totalsRowShown="0" headerRowDxfId="0" dataDxfId="91">
  <autoFilter ref="K49:Q55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PON" dataDxfId="90"/>
    <tableColumn id="2" xr3:uid="{00000000-0010-0000-0200-000002000000}" name="UTO" dataDxfId="89"/>
    <tableColumn id="3" xr3:uid="{00000000-0010-0000-0200-000003000000}" name="SRE" dataDxfId="88"/>
    <tableColumn id="4" xr3:uid="{00000000-0010-0000-0200-000004000000}" name="ČET" dataDxfId="87"/>
    <tableColumn id="5" xr3:uid="{00000000-0010-0000-0200-000005000000}" name="PET" dataDxfId="86"/>
    <tableColumn id="6" xr3:uid="{00000000-0010-0000-0200-000006000000}" name="SUB" dataDxfId="85"/>
    <tableColumn id="7" xr3:uid="{00000000-0010-0000-0200-000007000000}" name="NED" dataDxfId="8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Decembarski kalendar u ovoj tabeli automatski ažurira imena dana u sedmici i datum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Novembar" displayName="Novembar" ref="C49:I55" totalsRowShown="0" headerRowDxfId="1" dataDxfId="83">
  <autoFilter ref="C49:I55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PON" dataDxfId="82"/>
    <tableColumn id="2" xr3:uid="{00000000-0010-0000-0300-000002000000}" name="UTO" dataDxfId="81"/>
    <tableColumn id="3" xr3:uid="{00000000-0010-0000-0300-000003000000}" name="SRE" dataDxfId="80"/>
    <tableColumn id="4" xr3:uid="{00000000-0010-0000-0300-000004000000}" name="ČET" dataDxfId="79"/>
    <tableColumn id="5" xr3:uid="{00000000-0010-0000-0300-000005000000}" name="PET" dataDxfId="78"/>
    <tableColumn id="6" xr3:uid="{00000000-0010-0000-0300-000006000000}" name="SUB" dataDxfId="77"/>
    <tableColumn id="7" xr3:uid="{00000000-0010-0000-0300-000007000000}" name="NED" dataDxfId="7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Novembarski kalendar u ovoj tabeli automatski ažurira imena dana u sedmici i datum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Avgust" displayName="Avgust" ref="K31:Q37" totalsRowShown="0" headerRowDxfId="7" dataDxfId="75">
  <autoFilter ref="K31:Q37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PON" dataDxfId="74"/>
    <tableColumn id="2" xr3:uid="{00000000-0010-0000-0400-000002000000}" name="UTO" dataDxfId="73"/>
    <tableColumn id="3" xr3:uid="{00000000-0010-0000-0400-000003000000}" name="SRE" dataDxfId="72"/>
    <tableColumn id="4" xr3:uid="{00000000-0010-0000-0400-000004000000}" name="ČET" dataDxfId="71"/>
    <tableColumn id="5" xr3:uid="{00000000-0010-0000-0400-000005000000}" name="PET" dataDxfId="70"/>
    <tableColumn id="6" xr3:uid="{00000000-0010-0000-0400-000006000000}" name="SUB" dataDxfId="69"/>
    <tableColumn id="7" xr3:uid="{00000000-0010-0000-0400-000007000000}" name="NED" dataDxfId="6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vgustovski kalendar u ovoj tabeli automatski ažurira imena dana u sedmici i datum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Jul" displayName="Jul" ref="C31:I37" totalsRowShown="0" headerRowDxfId="8" dataDxfId="67">
  <autoFilter ref="C31:I37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PON" dataDxfId="66"/>
    <tableColumn id="2" xr3:uid="{00000000-0010-0000-0500-000002000000}" name="UTO" dataDxfId="65"/>
    <tableColumn id="3" xr3:uid="{00000000-0010-0000-0500-000003000000}" name="SRE" dataDxfId="64"/>
    <tableColumn id="4" xr3:uid="{00000000-0010-0000-0500-000004000000}" name="ČET" dataDxfId="63"/>
    <tableColumn id="5" xr3:uid="{00000000-0010-0000-0500-000005000000}" name="PET" dataDxfId="62"/>
    <tableColumn id="6" xr3:uid="{00000000-0010-0000-0500-000006000000}" name="SUB" dataDxfId="61"/>
    <tableColumn id="7" xr3:uid="{00000000-0010-0000-0500-000007000000}" name="NED" dataDxfId="6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Julski kalendar u ovoj tabeli automatski ažurira imena dana u sedmici i datum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Jun" displayName="Jun" ref="K22:Q28" totalsRowShown="0" headerRowDxfId="6" dataDxfId="59">
  <autoFilter ref="K22:Q28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600-000001000000}" name="PON" dataDxfId="58"/>
    <tableColumn id="2" xr3:uid="{00000000-0010-0000-0600-000002000000}" name="UTO" dataDxfId="57"/>
    <tableColumn id="3" xr3:uid="{00000000-0010-0000-0600-000003000000}" name="SRE" dataDxfId="56"/>
    <tableColumn id="4" xr3:uid="{00000000-0010-0000-0600-000004000000}" name="ČET" dataDxfId="55"/>
    <tableColumn id="5" xr3:uid="{00000000-0010-0000-0600-000005000000}" name="PET" dataDxfId="54"/>
    <tableColumn id="6" xr3:uid="{00000000-0010-0000-0600-000006000000}" name="SUB" dataDxfId="53"/>
    <tableColumn id="7" xr3:uid="{00000000-0010-0000-0600-000007000000}" name="NED" dataDxfId="5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Junski kalendar u ovoj tabeli automatski ažurira imena dana u sedmici i datume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7000000}" name="Maj" displayName="Maj" ref="C22:I28" totalsRowShown="0" headerRowDxfId="9" dataDxfId="51">
  <autoFilter ref="C22:I28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700-000001000000}" name="PON" dataDxfId="50"/>
    <tableColumn id="2" xr3:uid="{00000000-0010-0000-0700-000002000000}" name="UTO" dataDxfId="49"/>
    <tableColumn id="3" xr3:uid="{00000000-0010-0000-0700-000003000000}" name="SRE" dataDxfId="48"/>
    <tableColumn id="4" xr3:uid="{00000000-0010-0000-0700-000004000000}" name="ČET" dataDxfId="47"/>
    <tableColumn id="5" xr3:uid="{00000000-0010-0000-0700-000005000000}" name="PET" dataDxfId="46"/>
    <tableColumn id="6" xr3:uid="{00000000-0010-0000-0700-000006000000}" name="SUB" dataDxfId="45"/>
    <tableColumn id="7" xr3:uid="{00000000-0010-0000-0700-000007000000}" name="NED" dataDxfId="4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Majski kalendar u ovoj tabeli automatski ažurira imena dana u sedmici i datume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8000000}" name="Mart" displayName="Mart" ref="C13:I19" totalsRowShown="0" headerRowDxfId="10" dataDxfId="43">
  <autoFilter ref="C13:I19" xr:uid="{00000000-0009-0000-0100-00001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800-000001000000}" name="PON" dataDxfId="42"/>
    <tableColumn id="2" xr3:uid="{00000000-0010-0000-0800-000002000000}" name="UTO" dataDxfId="41"/>
    <tableColumn id="3" xr3:uid="{00000000-0010-0000-0800-000003000000}" name="SRE" dataDxfId="40"/>
    <tableColumn id="4" xr3:uid="{00000000-0010-0000-0800-000004000000}" name="ČET" dataDxfId="39"/>
    <tableColumn id="5" xr3:uid="{00000000-0010-0000-0800-000005000000}" name="PET" dataDxfId="38"/>
    <tableColumn id="6" xr3:uid="{00000000-0010-0000-0800-000006000000}" name="SUB" dataDxfId="37"/>
    <tableColumn id="7" xr3:uid="{00000000-0010-0000-0800-000007000000}" name="NED" dataDxfId="3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Martovski kalendar u ovoj tabeli automatski ažurira imena dana u sedmici i datume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2" Type="http://schemas.openxmlformats.org/officeDocument/2006/relationships/drawing" Target="../drawings/drawing1.xml"/><Relationship Id="rId16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5.xml"/><Relationship Id="rId1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B1:B8"/>
  <sheetViews>
    <sheetView showGridLines="0" tabSelected="1" workbookViewId="0"/>
  </sheetViews>
  <sheetFormatPr defaultRowHeight="11.25" x14ac:dyDescent="0.2"/>
  <cols>
    <col min="1" max="1" width="2.83203125" customWidth="1"/>
    <col min="2" max="2" width="92.83203125" style="16" customWidth="1"/>
    <col min="3" max="3" width="2.83203125" customWidth="1"/>
  </cols>
  <sheetData>
    <row r="1" spans="2:2" ht="30" customHeight="1" x14ac:dyDescent="0.2">
      <c r="B1" s="13" t="s">
        <v>0</v>
      </c>
    </row>
    <row r="2" spans="2:2" ht="47.25" customHeight="1" x14ac:dyDescent="0.2">
      <c r="B2" s="12" t="s">
        <v>1</v>
      </c>
    </row>
    <row r="3" spans="2:2" ht="30" customHeight="1" x14ac:dyDescent="0.2">
      <c r="B3" s="12" t="s">
        <v>2</v>
      </c>
    </row>
    <row r="4" spans="2:2" ht="30" customHeight="1" x14ac:dyDescent="0.2">
      <c r="B4" s="12" t="s">
        <v>3</v>
      </c>
    </row>
    <row r="5" spans="2:2" ht="30" customHeight="1" x14ac:dyDescent="0.25">
      <c r="B5" s="15" t="s">
        <v>4</v>
      </c>
    </row>
    <row r="6" spans="2:2" ht="65.25" customHeight="1" x14ac:dyDescent="0.2">
      <c r="B6" s="20" t="s">
        <v>5</v>
      </c>
    </row>
    <row r="7" spans="2:2" ht="30" x14ac:dyDescent="0.2">
      <c r="B7" s="14" t="s">
        <v>6</v>
      </c>
    </row>
    <row r="8" spans="2:2" ht="15" x14ac:dyDescent="0.2">
      <c r="B8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W69"/>
  <sheetViews>
    <sheetView showGridLines="0" zoomScaleNormal="100" workbookViewId="0"/>
  </sheetViews>
  <sheetFormatPr defaultColWidth="9.5" defaultRowHeight="11.25" x14ac:dyDescent="0.2"/>
  <cols>
    <col min="1" max="1" width="2.5" style="19" customWidth="1"/>
    <col min="2" max="2" width="5.1640625" customWidth="1"/>
    <col min="3" max="17" width="5" customWidth="1"/>
    <col min="18" max="18" width="2.1640625" customWidth="1"/>
    <col min="19" max="19" width="1.1640625" customWidth="1"/>
    <col min="20" max="20" width="5.1640625" customWidth="1"/>
    <col min="21" max="21" width="42" customWidth="1"/>
    <col min="22" max="22" width="9.33203125" customWidth="1"/>
    <col min="23" max="23" width="13.5" customWidth="1"/>
    <col min="24" max="24" width="2.83203125" customWidth="1"/>
    <col min="25" max="43" width="9.33203125" customWidth="1"/>
    <col min="44" max="44" width="9.5" customWidth="1"/>
  </cols>
  <sheetData>
    <row r="1" spans="1:23" ht="30" customHeight="1" x14ac:dyDescent="0.2">
      <c r="A1" s="17" t="s">
        <v>7</v>
      </c>
      <c r="B1" s="4"/>
      <c r="C1" s="26">
        <v>2020</v>
      </c>
      <c r="D1" s="26"/>
      <c r="E1" s="26"/>
      <c r="F1" s="26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"/>
      <c r="T1" s="4"/>
      <c r="U1" s="7" t="s">
        <v>39</v>
      </c>
      <c r="V1" s="4"/>
      <c r="W1" s="4"/>
    </row>
    <row r="2" spans="1:23" ht="15" customHeight="1" x14ac:dyDescent="0.2">
      <c r="A2" s="18" t="s">
        <v>8</v>
      </c>
      <c r="B2" s="29" t="s">
        <v>25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S2" s="24"/>
    </row>
    <row r="3" spans="1:23" ht="15" customHeight="1" x14ac:dyDescent="0.25">
      <c r="A3" s="19" t="s">
        <v>9</v>
      </c>
      <c r="C3" s="27" t="s">
        <v>26</v>
      </c>
      <c r="D3" s="27"/>
      <c r="E3" s="27"/>
      <c r="F3" s="27"/>
      <c r="G3" s="27"/>
      <c r="H3" s="27"/>
      <c r="I3" s="27"/>
      <c r="J3" s="21"/>
      <c r="K3" s="27" t="s">
        <v>33</v>
      </c>
      <c r="L3" s="27"/>
      <c r="M3" s="27"/>
      <c r="N3" s="27"/>
      <c r="O3" s="27"/>
      <c r="P3" s="27"/>
      <c r="Q3" s="27"/>
      <c r="S3" s="24"/>
      <c r="U3" s="10" t="s">
        <v>40</v>
      </c>
      <c r="V3" s="30"/>
      <c r="W3" s="30"/>
    </row>
    <row r="4" spans="1:23" ht="15" customHeight="1" x14ac:dyDescent="0.2">
      <c r="A4" s="18" t="s">
        <v>10</v>
      </c>
      <c r="C4" s="11" t="s">
        <v>52</v>
      </c>
      <c r="D4" s="11" t="s">
        <v>53</v>
      </c>
      <c r="E4" s="11" t="s">
        <v>32</v>
      </c>
      <c r="F4" s="11" t="s">
        <v>54</v>
      </c>
      <c r="G4" s="11" t="s">
        <v>55</v>
      </c>
      <c r="H4" s="11" t="s">
        <v>56</v>
      </c>
      <c r="I4" s="11" t="s">
        <v>57</v>
      </c>
      <c r="J4" s="22"/>
      <c r="K4" s="11" t="s">
        <v>52</v>
      </c>
      <c r="L4" s="11" t="s">
        <v>53</v>
      </c>
      <c r="M4" s="11" t="s">
        <v>32</v>
      </c>
      <c r="N4" s="11" t="s">
        <v>54</v>
      </c>
      <c r="O4" s="11" t="s">
        <v>55</v>
      </c>
      <c r="P4" s="11" t="s">
        <v>56</v>
      </c>
      <c r="Q4" s="11" t="s">
        <v>57</v>
      </c>
      <c r="S4" s="24"/>
      <c r="U4" s="3" t="s">
        <v>41</v>
      </c>
      <c r="V4" s="30"/>
      <c r="W4" s="30"/>
    </row>
    <row r="5" spans="1:23" ht="15" customHeight="1" x14ac:dyDescent="0.2">
      <c r="A5" s="18"/>
      <c r="C5" s="25" t="str">
        <f>IF(DAY(JanNed1)=1,"",IF(AND(YEAR(JanNed1+1)=KalendarskaGodina,MONTH(JanNed1+1)=1),JanNed1+1,""))</f>
        <v/>
      </c>
      <c r="D5" s="25" t="str">
        <f>IF(DAY(JanNed1)=1,"",IF(AND(YEAR(JanNed1+2)=KalendarskaGodina,MONTH(JanNed1+2)=1),JanNed1+2,""))</f>
        <v/>
      </c>
      <c r="E5" s="25">
        <f>IF(DAY(JanNed1)=1,"",IF(AND(YEAR(JanNed1+3)=KalendarskaGodina,MONTH(JanNed1+3)=1),JanNed1+3,""))</f>
        <v>43831</v>
      </c>
      <c r="F5" s="25">
        <f>IF(DAY(JanNed1)=1,"",IF(AND(YEAR(JanNed1+4)=KalendarskaGodina,MONTH(JanNed1+4)=1),JanNed1+4,""))</f>
        <v>43832</v>
      </c>
      <c r="G5" s="25">
        <f>IF(DAY(JanNed1)=1,"",IF(AND(YEAR(JanNed1+5)=KalendarskaGodina,MONTH(JanNed1+5)=1),JanNed1+5,""))</f>
        <v>43833</v>
      </c>
      <c r="H5" s="25">
        <f>IF(DAY(JanNed1)=1,"",IF(AND(YEAR(JanNed1+6)=KalendarskaGodina,MONTH(JanNed1+6)=1),JanNed1+6,""))</f>
        <v>43834</v>
      </c>
      <c r="I5" s="25">
        <f>IF(DAY(JanNed1)=1,IF(AND(YEAR(JanNed1)=KalendarskaGodina,MONTH(JanNed1)=1),JanNed1,""),IF(AND(YEAR(JanNed1+7)=KalendarskaGodina,MONTH(JanNed1+7)=1),JanNed1+7,""))</f>
        <v>43835</v>
      </c>
      <c r="J5" s="22"/>
      <c r="K5" s="25" t="str">
        <f>IF(DAY(FebNed1)=1,"",IF(AND(YEAR(FebNed1+1)=KalendarskaGodina,MONTH(FebNed1+1)=2),FebNed1+1,""))</f>
        <v/>
      </c>
      <c r="L5" s="25" t="str">
        <f>IF(DAY(FebNed1)=1,"",IF(AND(YEAR(FebNed1+2)=KalendarskaGodina,MONTH(FebNed1+2)=2),FebNed1+2,""))</f>
        <v/>
      </c>
      <c r="M5" s="25" t="str">
        <f>IF(DAY(FebNed1)=1,"",IF(AND(YEAR(FebNed1+3)=KalendarskaGodina,MONTH(FebNed1+3)=2),FebNed1+3,""))</f>
        <v/>
      </c>
      <c r="N5" s="25" t="str">
        <f>IF(DAY(FebNed1)=1,"",IF(AND(YEAR(FebNed1+4)=KalendarskaGodina,MONTH(FebNed1+4)=2),FebNed1+4,""))</f>
        <v/>
      </c>
      <c r="O5" s="25" t="str">
        <f>IF(DAY(FebNed1)=1,"",IF(AND(YEAR(FebNed1+5)=KalendarskaGodina,MONTH(FebNed1+5)=2),FebNed1+5,""))</f>
        <v/>
      </c>
      <c r="P5" s="25">
        <f>IF(DAY(FebNed1)=1,"",IF(AND(YEAR(FebNed1+6)=KalendarskaGodina,MONTH(FebNed1+6)=2),FebNed1+6,""))</f>
        <v>43862</v>
      </c>
      <c r="Q5" s="25">
        <f>IF(DAY(FebNed1)=1,IF(AND(YEAR(FebNed1)=KalendarskaGodina,MONTH(FebNed1)=2),FebNed1,""),IF(AND(YEAR(FebNed1+7)=KalendarskaGodina,MONTH(FebNed1+7)=2),FebNed1+7,""))</f>
        <v>43863</v>
      </c>
      <c r="S5" s="24"/>
      <c r="U5" s="2"/>
      <c r="V5" s="30"/>
      <c r="W5" s="30"/>
    </row>
    <row r="6" spans="1:23" ht="15" customHeight="1" x14ac:dyDescent="0.2">
      <c r="A6" s="18"/>
      <c r="C6" s="25">
        <f>IF(DAY(JanNed1)=1,IF(AND(YEAR(JanNed1+1)=KalendarskaGodina,MONTH(JanNed1+1)=1),JanNed1+1,""),IF(AND(YEAR(JanNed1+8)=KalendarskaGodina,MONTH(JanNed1+8)=1),JanNed1+8,""))</f>
        <v>43836</v>
      </c>
      <c r="D6" s="25">
        <f>IF(DAY(JanNed1)=1,IF(AND(YEAR(JanNed1+2)=KalendarskaGodina,MONTH(JanNed1+2)=1),JanNed1+2,""),IF(AND(YEAR(JanNed1+9)=KalendarskaGodina,MONTH(JanNed1+9)=1),JanNed1+9,""))</f>
        <v>43837</v>
      </c>
      <c r="E6" s="25">
        <f>IF(DAY(JanNed1)=1,IF(AND(YEAR(JanNed1+3)=KalendarskaGodina,MONTH(JanNed1+3)=1),JanNed1+3,""),IF(AND(YEAR(JanNed1+10)=KalendarskaGodina,MONTH(JanNed1+10)=1),JanNed1+10,""))</f>
        <v>43838</v>
      </c>
      <c r="F6" s="25">
        <f>IF(DAY(JanNed1)=1,IF(AND(YEAR(JanNed1+4)=KalendarskaGodina,MONTH(JanNed1+4)=1),JanNed1+4,""),IF(AND(YEAR(JanNed1+11)=KalendarskaGodina,MONTH(JanNed1+11)=1),JanNed1+11,""))</f>
        <v>43839</v>
      </c>
      <c r="G6" s="25">
        <f>IF(DAY(JanNed1)=1,IF(AND(YEAR(JanNed1+5)=KalendarskaGodina,MONTH(JanNed1+5)=1),JanNed1+5,""),IF(AND(YEAR(JanNed1+12)=KalendarskaGodina,MONTH(JanNed1+12)=1),JanNed1+12,""))</f>
        <v>43840</v>
      </c>
      <c r="H6" s="25">
        <f>IF(DAY(JanNed1)=1,IF(AND(YEAR(JanNed1+6)=KalendarskaGodina,MONTH(JanNed1+6)=1),JanNed1+6,""),IF(AND(YEAR(JanNed1+13)=KalendarskaGodina,MONTH(JanNed1+13)=1),JanNed1+13,""))</f>
        <v>43841</v>
      </c>
      <c r="I6" s="25">
        <f>IF(DAY(JanNed1)=1,IF(AND(YEAR(JanNed1+7)=KalendarskaGodina,MONTH(JanNed1+7)=1),JanNed1+7,""),IF(AND(YEAR(JanNed1+14)=KalendarskaGodina,MONTH(JanNed1+14)=1),JanNed1+14,""))</f>
        <v>43842</v>
      </c>
      <c r="J6" s="22"/>
      <c r="K6" s="25">
        <f>IF(DAY(FebNed1)=1,IF(AND(YEAR(FebNed1+1)=KalendarskaGodina,MONTH(FebNed1+1)=2),FebNed1+1,""),IF(AND(YEAR(FebNed1+8)=KalendarskaGodina,MONTH(FebNed1+8)=2),FebNed1+8,""))</f>
        <v>43864</v>
      </c>
      <c r="L6" s="25">
        <f>IF(DAY(FebNed1)=1,IF(AND(YEAR(FebNed1+2)=KalendarskaGodina,MONTH(FebNed1+2)=2),FebNed1+2,""),IF(AND(YEAR(FebNed1+9)=KalendarskaGodina,MONTH(FebNed1+9)=2),FebNed1+9,""))</f>
        <v>43865</v>
      </c>
      <c r="M6" s="25">
        <f>IF(DAY(FebNed1)=1,IF(AND(YEAR(FebNed1+3)=KalendarskaGodina,MONTH(FebNed1+3)=2),FebNed1+3,""),IF(AND(YEAR(FebNed1+10)=KalendarskaGodina,MONTH(FebNed1+10)=2),FebNed1+10,""))</f>
        <v>43866</v>
      </c>
      <c r="N6" s="25">
        <f>IF(DAY(FebNed1)=1,IF(AND(YEAR(FebNed1+4)=KalendarskaGodina,MONTH(FebNed1+4)=2),FebNed1+4,""),IF(AND(YEAR(FebNed1+11)=KalendarskaGodina,MONTH(FebNed1+11)=2),FebNed1+11,""))</f>
        <v>43867</v>
      </c>
      <c r="O6" s="25">
        <f>IF(DAY(FebNed1)=1,IF(AND(YEAR(FebNed1+5)=KalendarskaGodina,MONTH(FebNed1+5)=2),FebNed1+5,""),IF(AND(YEAR(FebNed1+12)=KalendarskaGodina,MONTH(FebNed1+12)=2),FebNed1+12,""))</f>
        <v>43868</v>
      </c>
      <c r="P6" s="25">
        <f>IF(DAY(FebNed1)=1,IF(AND(YEAR(FebNed1+6)=KalendarskaGodina,MONTH(FebNed1+6)=2),FebNed1+6,""),IF(AND(YEAR(FebNed1+13)=KalendarskaGodina,MONTH(FebNed1+13)=2),FebNed1+13,""))</f>
        <v>43869</v>
      </c>
      <c r="Q6" s="25">
        <f>IF(DAY(FebNed1)=1,IF(AND(YEAR(FebNed1+7)=KalendarskaGodina,MONTH(FebNed1+7)=2),FebNed1+7,""),IF(AND(YEAR(FebNed1+14)=KalendarskaGodina,MONTH(FebNed1+14)=2),FebNed1+14,""))</f>
        <v>43870</v>
      </c>
      <c r="S6" s="24"/>
      <c r="U6" s="10" t="s">
        <v>42</v>
      </c>
      <c r="V6" s="30"/>
      <c r="W6" s="30"/>
    </row>
    <row r="7" spans="1:23" ht="15" customHeight="1" x14ac:dyDescent="0.2">
      <c r="C7" s="25">
        <f>IF(DAY(JanNed1)=1,IF(AND(YEAR(JanNed1+8)=KalendarskaGodina,MONTH(JanNed1+8)=1),JanNed1+8,""),IF(AND(YEAR(JanNed1+15)=KalendarskaGodina,MONTH(JanNed1+15)=1),JanNed1+15,""))</f>
        <v>43843</v>
      </c>
      <c r="D7" s="25">
        <f>IF(DAY(JanNed1)=1,IF(AND(YEAR(JanNed1+9)=KalendarskaGodina,MONTH(JanNed1+9)=1),JanNed1+9,""),IF(AND(YEAR(JanNed1+16)=KalendarskaGodina,MONTH(JanNed1+16)=1),JanNed1+16,""))</f>
        <v>43844</v>
      </c>
      <c r="E7" s="25">
        <f>IF(DAY(JanNed1)=1,IF(AND(YEAR(JanNed1+10)=KalendarskaGodina,MONTH(JanNed1+10)=1),JanNed1+10,""),IF(AND(YEAR(JanNed1+17)=KalendarskaGodina,MONTH(JanNed1+17)=1),JanNed1+17,""))</f>
        <v>43845</v>
      </c>
      <c r="F7" s="25">
        <f>IF(DAY(JanNed1)=1,IF(AND(YEAR(JanNed1+11)=KalendarskaGodina,MONTH(JanNed1+11)=1),JanNed1+11,""),IF(AND(YEAR(JanNed1+18)=KalendarskaGodina,MONTH(JanNed1+18)=1),JanNed1+18,""))</f>
        <v>43846</v>
      </c>
      <c r="G7" s="25">
        <f>IF(DAY(JanNed1)=1,IF(AND(YEAR(JanNed1+12)=KalendarskaGodina,MONTH(JanNed1+12)=1),JanNed1+12,""),IF(AND(YEAR(JanNed1+19)=KalendarskaGodina,MONTH(JanNed1+19)=1),JanNed1+19,""))</f>
        <v>43847</v>
      </c>
      <c r="H7" s="25">
        <f>IF(DAY(JanNed1)=1,IF(AND(YEAR(JanNed1+13)=KalendarskaGodina,MONTH(JanNed1+13)=1),JanNed1+13,""),IF(AND(YEAR(JanNed1+20)=KalendarskaGodina,MONTH(JanNed1+20)=1),JanNed1+20,""))</f>
        <v>43848</v>
      </c>
      <c r="I7" s="25">
        <f>IF(DAY(JanNed1)=1,IF(AND(YEAR(JanNed1+14)=KalendarskaGodina,MONTH(JanNed1+14)=1),JanNed1+14,""),IF(AND(YEAR(JanNed1+21)=KalendarskaGodina,MONTH(JanNed1+21)=1),JanNed1+21,""))</f>
        <v>43849</v>
      </c>
      <c r="J7" s="22"/>
      <c r="K7" s="25">
        <f>IF(DAY(FebNed1)=1,IF(AND(YEAR(FebNed1+8)=KalendarskaGodina,MONTH(FebNed1+8)=2),FebNed1+8,""),IF(AND(YEAR(FebNed1+15)=KalendarskaGodina,MONTH(FebNed1+15)=2),FebNed1+15,""))</f>
        <v>43871</v>
      </c>
      <c r="L7" s="25">
        <f>IF(DAY(FebNed1)=1,IF(AND(YEAR(FebNed1+9)=KalendarskaGodina,MONTH(FebNed1+9)=2),FebNed1+9,""),IF(AND(YEAR(FebNed1+16)=KalendarskaGodina,MONTH(FebNed1+16)=2),FebNed1+16,""))</f>
        <v>43872</v>
      </c>
      <c r="M7" s="25">
        <f>IF(DAY(FebNed1)=1,IF(AND(YEAR(FebNed1+10)=KalendarskaGodina,MONTH(FebNed1+10)=2),FebNed1+10,""),IF(AND(YEAR(FebNed1+17)=KalendarskaGodina,MONTH(FebNed1+17)=2),FebNed1+17,""))</f>
        <v>43873</v>
      </c>
      <c r="N7" s="25">
        <f>IF(DAY(FebNed1)=1,IF(AND(YEAR(FebNed1+11)=KalendarskaGodina,MONTH(FebNed1+11)=2),FebNed1+11,""),IF(AND(YEAR(FebNed1+18)=KalendarskaGodina,MONTH(FebNed1+18)=2),FebNed1+18,""))</f>
        <v>43874</v>
      </c>
      <c r="O7" s="25">
        <f>IF(DAY(FebNed1)=1,IF(AND(YEAR(FebNed1+12)=KalendarskaGodina,MONTH(FebNed1+12)=2),FebNed1+12,""),IF(AND(YEAR(FebNed1+19)=KalendarskaGodina,MONTH(FebNed1+19)=2),FebNed1+19,""))</f>
        <v>43875</v>
      </c>
      <c r="P7" s="25">
        <f>IF(DAY(FebNed1)=1,IF(AND(YEAR(FebNed1+13)=KalendarskaGodina,MONTH(FebNed1+13)=2),FebNed1+13,""),IF(AND(YEAR(FebNed1+20)=KalendarskaGodina,MONTH(FebNed1+20)=2),FebNed1+20,""))</f>
        <v>43876</v>
      </c>
      <c r="Q7" s="25">
        <f>IF(DAY(FebNed1)=1,IF(AND(YEAR(FebNed1+14)=KalendarskaGodina,MONTH(FebNed1+14)=2),FebNed1+14,""),IF(AND(YEAR(FebNed1+21)=KalendarskaGodina,MONTH(FebNed1+21)=2),FebNed1+21,""))</f>
        <v>43877</v>
      </c>
      <c r="S7" s="24"/>
      <c r="U7" s="3" t="s">
        <v>43</v>
      </c>
      <c r="V7" s="30"/>
      <c r="W7" s="30"/>
    </row>
    <row r="8" spans="1:23" ht="15" customHeight="1" x14ac:dyDescent="0.2">
      <c r="C8" s="25">
        <f>IF(DAY(JanNed1)=1,IF(AND(YEAR(JanNed1+15)=KalendarskaGodina,MONTH(JanNed1+15)=1),JanNed1+15,""),IF(AND(YEAR(JanNed1+22)=KalendarskaGodina,MONTH(JanNed1+22)=1),JanNed1+22,""))</f>
        <v>43850</v>
      </c>
      <c r="D8" s="25">
        <f>IF(DAY(JanNed1)=1,IF(AND(YEAR(JanNed1+16)=KalendarskaGodina,MONTH(JanNed1+16)=1),JanNed1+16,""),IF(AND(YEAR(JanNed1+23)=KalendarskaGodina,MONTH(JanNed1+23)=1),JanNed1+23,""))</f>
        <v>43851</v>
      </c>
      <c r="E8" s="25">
        <f>IF(DAY(JanNed1)=1,IF(AND(YEAR(JanNed1+17)=KalendarskaGodina,MONTH(JanNed1+17)=1),JanNed1+17,""),IF(AND(YEAR(JanNed1+24)=KalendarskaGodina,MONTH(JanNed1+24)=1),JanNed1+24,""))</f>
        <v>43852</v>
      </c>
      <c r="F8" s="25">
        <f>IF(DAY(JanNed1)=1,IF(AND(YEAR(JanNed1+18)=KalendarskaGodina,MONTH(JanNed1+18)=1),JanNed1+18,""),IF(AND(YEAR(JanNed1+25)=KalendarskaGodina,MONTH(JanNed1+25)=1),JanNed1+25,""))</f>
        <v>43853</v>
      </c>
      <c r="G8" s="25">
        <f>IF(DAY(JanNed1)=1,IF(AND(YEAR(JanNed1+19)=KalendarskaGodina,MONTH(JanNed1+19)=1),JanNed1+19,""),IF(AND(YEAR(JanNed1+26)=KalendarskaGodina,MONTH(JanNed1+26)=1),JanNed1+26,""))</f>
        <v>43854</v>
      </c>
      <c r="H8" s="25">
        <f>IF(DAY(JanNed1)=1,IF(AND(YEAR(JanNed1+20)=KalendarskaGodina,MONTH(JanNed1+20)=1),JanNed1+20,""),IF(AND(YEAR(JanNed1+27)=KalendarskaGodina,MONTH(JanNed1+27)=1),JanNed1+27,""))</f>
        <v>43855</v>
      </c>
      <c r="I8" s="25">
        <f>IF(DAY(JanNed1)=1,IF(AND(YEAR(JanNed1+21)=KalendarskaGodina,MONTH(JanNed1+21)=1),JanNed1+21,""),IF(AND(YEAR(JanNed1+28)=KalendarskaGodina,MONTH(JanNed1+28)=1),JanNed1+28,""))</f>
        <v>43856</v>
      </c>
      <c r="J8" s="22"/>
      <c r="K8" s="25">
        <f>IF(DAY(FebNed1)=1,IF(AND(YEAR(FebNed1+15)=KalendarskaGodina,MONTH(FebNed1+15)=2),FebNed1+15,""),IF(AND(YEAR(FebNed1+22)=KalendarskaGodina,MONTH(FebNed1+22)=2),FebNed1+22,""))</f>
        <v>43878</v>
      </c>
      <c r="L8" s="25">
        <f>IF(DAY(FebNed1)=1,IF(AND(YEAR(FebNed1+16)=KalendarskaGodina,MONTH(FebNed1+16)=2),FebNed1+16,""),IF(AND(YEAR(FebNed1+23)=KalendarskaGodina,MONTH(FebNed1+23)=2),FebNed1+23,""))</f>
        <v>43879</v>
      </c>
      <c r="M8" s="25">
        <f>IF(DAY(FebNed1)=1,IF(AND(YEAR(FebNed1+17)=KalendarskaGodina,MONTH(FebNed1+17)=2),FebNed1+17,""),IF(AND(YEAR(FebNed1+24)=KalendarskaGodina,MONTH(FebNed1+24)=2),FebNed1+24,""))</f>
        <v>43880</v>
      </c>
      <c r="N8" s="25">
        <f>IF(DAY(FebNed1)=1,IF(AND(YEAR(FebNed1+18)=KalendarskaGodina,MONTH(FebNed1+18)=2),FebNed1+18,""),IF(AND(YEAR(FebNed1+25)=KalendarskaGodina,MONTH(FebNed1+25)=2),FebNed1+25,""))</f>
        <v>43881</v>
      </c>
      <c r="O8" s="25">
        <f>IF(DAY(FebNed1)=1,IF(AND(YEAR(FebNed1+19)=KalendarskaGodina,MONTH(FebNed1+19)=2),FebNed1+19,""),IF(AND(YEAR(FebNed1+26)=KalendarskaGodina,MONTH(FebNed1+26)=2),FebNed1+26,""))</f>
        <v>43882</v>
      </c>
      <c r="P8" s="25">
        <f>IF(DAY(FebNed1)=1,IF(AND(YEAR(FebNed1+20)=KalendarskaGodina,MONTH(FebNed1+20)=2),FebNed1+20,""),IF(AND(YEAR(FebNed1+27)=KalendarskaGodina,MONTH(FebNed1+27)=2),FebNed1+27,""))</f>
        <v>43883</v>
      </c>
      <c r="Q8" s="25">
        <f>IF(DAY(FebNed1)=1,IF(AND(YEAR(FebNed1+21)=KalendarskaGodina,MONTH(FebNed1+21)=2),FebNed1+21,""),IF(AND(YEAR(FebNed1+28)=KalendarskaGodina,MONTH(FebNed1+28)=2),FebNed1+28,""))</f>
        <v>43884</v>
      </c>
      <c r="S8" s="24"/>
      <c r="U8" s="2"/>
      <c r="V8" s="30"/>
      <c r="W8" s="30"/>
    </row>
    <row r="9" spans="1:23" ht="15" customHeight="1" x14ac:dyDescent="0.2">
      <c r="C9" s="25">
        <f>IF(DAY(JanNed1)=1,IF(AND(YEAR(JanNed1+22)=KalendarskaGodina,MONTH(JanNed1+22)=1),JanNed1+22,""),IF(AND(YEAR(JanNed1+29)=KalendarskaGodina,MONTH(JanNed1+29)=1),JanNed1+29,""))</f>
        <v>43857</v>
      </c>
      <c r="D9" s="25">
        <f>IF(DAY(JanNed1)=1,IF(AND(YEAR(JanNed1+23)=KalendarskaGodina,MONTH(JanNed1+23)=1),JanNed1+23,""),IF(AND(YEAR(JanNed1+30)=KalendarskaGodina,MONTH(JanNed1+30)=1),JanNed1+30,""))</f>
        <v>43858</v>
      </c>
      <c r="E9" s="25">
        <f>IF(DAY(JanNed1)=1,IF(AND(YEAR(JanNed1+24)=KalendarskaGodina,MONTH(JanNed1+24)=1),JanNed1+24,""),IF(AND(YEAR(JanNed1+31)=KalendarskaGodina,MONTH(JanNed1+31)=1),JanNed1+31,""))</f>
        <v>43859</v>
      </c>
      <c r="F9" s="25">
        <f>IF(DAY(JanNed1)=1,IF(AND(YEAR(JanNed1+25)=KalendarskaGodina,MONTH(JanNed1+25)=1),JanNed1+25,""),IF(AND(YEAR(JanNed1+32)=KalendarskaGodina,MONTH(JanNed1+32)=1),JanNed1+32,""))</f>
        <v>43860</v>
      </c>
      <c r="G9" s="25">
        <f>IF(DAY(JanNed1)=1,IF(AND(YEAR(JanNed1+26)=KalendarskaGodina,MONTH(JanNed1+26)=1),JanNed1+26,""),IF(AND(YEAR(JanNed1+33)=KalendarskaGodina,MONTH(JanNed1+33)=1),JanNed1+33,""))</f>
        <v>43861</v>
      </c>
      <c r="H9" s="25" t="str">
        <f>IF(DAY(JanNed1)=1,IF(AND(YEAR(JanNed1+27)=KalendarskaGodina,MONTH(JanNed1+27)=1),JanNed1+27,""),IF(AND(YEAR(JanNed1+34)=KalendarskaGodina,MONTH(JanNed1+34)=1),JanNed1+34,""))</f>
        <v/>
      </c>
      <c r="I9" s="25" t="str">
        <f>IF(DAY(JanNed1)=1,IF(AND(YEAR(JanNed1+28)=KalendarskaGodina,MONTH(JanNed1+28)=1),JanNed1+28,""),IF(AND(YEAR(JanNed1+35)=KalendarskaGodina,MONTH(JanNed1+35)=1),JanNed1+35,""))</f>
        <v/>
      </c>
      <c r="J9" s="22"/>
      <c r="K9" s="25">
        <f>IF(DAY(FebNed1)=1,IF(AND(YEAR(FebNed1+22)=KalendarskaGodina,MONTH(FebNed1+22)=2),FebNed1+22,""),IF(AND(YEAR(FebNed1+29)=KalendarskaGodina,MONTH(FebNed1+29)=2),FebNed1+29,""))</f>
        <v>43885</v>
      </c>
      <c r="L9" s="25">
        <f>IF(DAY(FebNed1)=1,IF(AND(YEAR(FebNed1+23)=KalendarskaGodina,MONTH(FebNed1+23)=2),FebNed1+23,""),IF(AND(YEAR(FebNed1+30)=KalendarskaGodina,MONTH(FebNed1+30)=2),FebNed1+30,""))</f>
        <v>43886</v>
      </c>
      <c r="M9" s="25">
        <f>IF(DAY(FebNed1)=1,IF(AND(YEAR(FebNed1+24)=KalendarskaGodina,MONTH(FebNed1+24)=2),FebNed1+24,""),IF(AND(YEAR(FebNed1+31)=KalendarskaGodina,MONTH(FebNed1+31)=2),FebNed1+31,""))</f>
        <v>43887</v>
      </c>
      <c r="N9" s="25">
        <f>IF(DAY(FebNed1)=1,IF(AND(YEAR(FebNed1+25)=KalendarskaGodina,MONTH(FebNed1+25)=2),FebNed1+25,""),IF(AND(YEAR(FebNed1+32)=KalendarskaGodina,MONTH(FebNed1+32)=2),FebNed1+32,""))</f>
        <v>43888</v>
      </c>
      <c r="O9" s="25">
        <f>IF(DAY(FebNed1)=1,IF(AND(YEAR(FebNed1+26)=KalendarskaGodina,MONTH(FebNed1+26)=2),FebNed1+26,""),IF(AND(YEAR(FebNed1+33)=KalendarskaGodina,MONTH(FebNed1+33)=2),FebNed1+33,""))</f>
        <v>43889</v>
      </c>
      <c r="P9" s="25">
        <f>IF(DAY(FebNed1)=1,IF(AND(YEAR(FebNed1+27)=KalendarskaGodina,MONTH(FebNed1+27)=2),FebNed1+27,""),IF(AND(YEAR(FebNed1+34)=KalendarskaGodina,MONTH(FebNed1+34)=2),FebNed1+34,""))</f>
        <v>43890</v>
      </c>
      <c r="Q9" s="25" t="str">
        <f>IF(DAY(FebNed1)=1,IF(AND(YEAR(FebNed1+28)=KalendarskaGodina,MONTH(FebNed1+28)=2),FebNed1+28,""),IF(AND(YEAR(FebNed1+35)=KalendarskaGodina,MONTH(FebNed1+35)=2),FebNed1+35,""))</f>
        <v/>
      </c>
      <c r="S9" s="24"/>
      <c r="U9" s="10" t="s">
        <v>44</v>
      </c>
      <c r="V9" s="30"/>
      <c r="W9" s="30"/>
    </row>
    <row r="10" spans="1:23" ht="15" customHeight="1" x14ac:dyDescent="0.2">
      <c r="C10" s="25" t="str">
        <f>IF(DAY(JanNed1)=1,IF(AND(YEAR(JanNed1+29)=KalendarskaGodina,MONTH(JanNed1+29)=1),JanNed1+29,""),IF(AND(YEAR(JanNed1+36)=KalendarskaGodina,MONTH(JanNed1+36)=1),JanNed1+36,""))</f>
        <v/>
      </c>
      <c r="D10" s="25" t="str">
        <f>IF(DAY(JanNed1)=1,IF(AND(YEAR(JanNed1+30)=KalendarskaGodina,MONTH(JanNed1+30)=1),JanNed1+30,""),IF(AND(YEAR(JanNed1+37)=KalendarskaGodina,MONTH(JanNed1+37)=1),JanNed1+37,""))</f>
        <v/>
      </c>
      <c r="E10" s="25" t="str">
        <f>IF(DAY(JanNed1)=1,IF(AND(YEAR(JanNed1+31)=KalendarskaGodina,MONTH(JanNed1+31)=1),JanNed1+31,""),IF(AND(YEAR(JanNed1+38)=KalendarskaGodina,MONTH(JanNed1+38)=1),JanNed1+38,""))</f>
        <v/>
      </c>
      <c r="F10" s="25" t="str">
        <f>IF(DAY(JanNed1)=1,IF(AND(YEAR(JanNed1+32)=KalendarskaGodina,MONTH(JanNed1+32)=1),JanNed1+32,""),IF(AND(YEAR(JanNed1+39)=KalendarskaGodina,MONTH(JanNed1+39)=1),JanNed1+39,""))</f>
        <v/>
      </c>
      <c r="G10" s="25" t="str">
        <f>IF(DAY(JanNed1)=1,IF(AND(YEAR(JanNed1+33)=KalendarskaGodina,MONTH(JanNed1+33)=1),JanNed1+33,""),IF(AND(YEAR(JanNed1+40)=KalendarskaGodina,MONTH(JanNed1+40)=1),JanNed1+40,""))</f>
        <v/>
      </c>
      <c r="H10" s="25" t="str">
        <f>IF(DAY(JanNed1)=1,IF(AND(YEAR(JanNed1+34)=KalendarskaGodina,MONTH(JanNed1+34)=1),JanNed1+34,""),IF(AND(YEAR(JanNed1+41)=KalendarskaGodina,MONTH(JanNed1+41)=1),JanNed1+41,""))</f>
        <v/>
      </c>
      <c r="I10" s="25" t="str">
        <f>IF(DAY(JanNed1)=1,IF(AND(YEAR(JanNed1+35)=KalendarskaGodina,MONTH(JanNed1+35)=1),JanNed1+35,""),IF(AND(YEAR(JanNed1+42)=KalendarskaGodina,MONTH(JanNed1+42)=1),JanNed1+42,""))</f>
        <v/>
      </c>
      <c r="J10" s="22"/>
      <c r="K10" s="25" t="str">
        <f>IF(DAY(FebNed1)=1,IF(AND(YEAR(FebNed1+29)=KalendarskaGodina,MONTH(FebNed1+29)=2),FebNed1+29,""),IF(AND(YEAR(FebNed1+36)=KalendarskaGodina,MONTH(FebNed1+36)=2),FebNed1+36,""))</f>
        <v/>
      </c>
      <c r="L10" s="25" t="str">
        <f>IF(DAY(FebNed1)=1,IF(AND(YEAR(FebNed1+30)=KalendarskaGodina,MONTH(FebNed1+30)=2),FebNed1+30,""),IF(AND(YEAR(FebNed1+37)=KalendarskaGodina,MONTH(FebNed1+37)=2),FebNed1+37,""))</f>
        <v/>
      </c>
      <c r="M10" s="25" t="str">
        <f>IF(DAY(FebNed1)=1,IF(AND(YEAR(FebNed1+31)=KalendarskaGodina,MONTH(FebNed1+31)=2),FebNed1+31,""),IF(AND(YEAR(FebNed1+38)=KalendarskaGodina,MONTH(FebNed1+38)=2),FebNed1+38,""))</f>
        <v/>
      </c>
      <c r="N10" s="25" t="str">
        <f>IF(DAY(FebNed1)=1,IF(AND(YEAR(FebNed1+32)=KalendarskaGodina,MONTH(FebNed1+32)=2),FebNed1+32,""),IF(AND(YEAR(FebNed1+39)=KalendarskaGodina,MONTH(FebNed1+39)=2),FebNed1+39,""))</f>
        <v/>
      </c>
      <c r="O10" s="25" t="str">
        <f>IF(DAY(FebNed1)=1,IF(AND(YEAR(FebNed1+33)=KalendarskaGodina,MONTH(FebNed1+33)=2),FebNed1+33,""),IF(AND(YEAR(FebNed1+40)=KalendarskaGodina,MONTH(FebNed1+40)=2),FebNed1+40,""))</f>
        <v/>
      </c>
      <c r="P10" s="25" t="str">
        <f>IF(DAY(FebNed1)=1,IF(AND(YEAR(FebNed1+34)=KalendarskaGodina,MONTH(FebNed1+34)=2),FebNed1+34,""),IF(AND(YEAR(FebNed1+41)=KalendarskaGodina,MONTH(FebNed1+41)=2),FebNed1+41,""))</f>
        <v/>
      </c>
      <c r="Q10" s="25" t="str">
        <f>IF(DAY(FebNed1)=1,IF(AND(YEAR(FebNed1+35)=KalendarskaGodina,MONTH(FebNed1+35)=2),FebNed1+35,""),IF(AND(YEAR(FebNed1+42)=KalendarskaGodina,MONTH(FebNed1+42)=2),FebNed1+42,""))</f>
        <v/>
      </c>
      <c r="S10" s="24"/>
      <c r="U10" s="3" t="s">
        <v>45</v>
      </c>
      <c r="V10" s="30"/>
      <c r="W10" s="30"/>
    </row>
    <row r="11" spans="1:23" ht="15" customHeight="1" x14ac:dyDescent="0.2"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S11" s="24"/>
      <c r="U11" s="2"/>
      <c r="V11" s="30"/>
      <c r="W11" s="30"/>
    </row>
    <row r="12" spans="1:23" ht="15" customHeight="1" x14ac:dyDescent="0.2">
      <c r="A12" s="18" t="s">
        <v>11</v>
      </c>
      <c r="C12" s="27" t="s">
        <v>27</v>
      </c>
      <c r="D12" s="27"/>
      <c r="E12" s="27"/>
      <c r="F12" s="27"/>
      <c r="G12" s="27"/>
      <c r="H12" s="27"/>
      <c r="I12" s="27"/>
      <c r="K12" s="27" t="s">
        <v>34</v>
      </c>
      <c r="L12" s="27"/>
      <c r="M12" s="27"/>
      <c r="N12" s="27"/>
      <c r="O12" s="27"/>
      <c r="P12" s="27"/>
      <c r="Q12" s="27"/>
      <c r="S12" s="24"/>
      <c r="U12" s="10"/>
      <c r="V12" s="30"/>
      <c r="W12" s="30"/>
    </row>
    <row r="13" spans="1:23" ht="15" customHeight="1" x14ac:dyDescent="0.25">
      <c r="A13" s="18" t="s">
        <v>12</v>
      </c>
      <c r="C13" s="11" t="s">
        <v>52</v>
      </c>
      <c r="D13" s="11" t="s">
        <v>53</v>
      </c>
      <c r="E13" s="11" t="s">
        <v>32</v>
      </c>
      <c r="F13" s="11" t="s">
        <v>54</v>
      </c>
      <c r="G13" s="11" t="s">
        <v>55</v>
      </c>
      <c r="H13" s="11" t="s">
        <v>56</v>
      </c>
      <c r="I13" s="11" t="s">
        <v>57</v>
      </c>
      <c r="J13" s="21"/>
      <c r="K13" s="11" t="s">
        <v>52</v>
      </c>
      <c r="L13" s="11" t="s">
        <v>53</v>
      </c>
      <c r="M13" s="11" t="s">
        <v>32</v>
      </c>
      <c r="N13" s="11" t="s">
        <v>54</v>
      </c>
      <c r="O13" s="11" t="s">
        <v>55</v>
      </c>
      <c r="P13" s="11" t="s">
        <v>56</v>
      </c>
      <c r="Q13" s="11" t="s">
        <v>57</v>
      </c>
      <c r="S13" s="24"/>
      <c r="U13" s="3"/>
      <c r="V13" s="30"/>
      <c r="W13" s="30"/>
    </row>
    <row r="14" spans="1:23" ht="15" customHeight="1" x14ac:dyDescent="0.2">
      <c r="C14" s="25" t="str">
        <f>IF(DAY(MartNed1)=1,"",IF(AND(YEAR(MartNed1+1)=KalendarskaGodina,MONTH(MartNed1+1)=3),MartNed1+1,""))</f>
        <v/>
      </c>
      <c r="D14" s="25" t="str">
        <f>IF(DAY(MartNed1)=1,"",IF(AND(YEAR(MartNed1+2)=KalendarskaGodina,MONTH(MartNed1+2)=3),MartNed1+2,""))</f>
        <v/>
      </c>
      <c r="E14" s="25" t="str">
        <f>IF(DAY(MartNed1)=1,"",IF(AND(YEAR(MartNed1+3)=KalendarskaGodina,MONTH(MartNed1+3)=3),MartNed1+3,""))</f>
        <v/>
      </c>
      <c r="F14" s="25" t="str">
        <f>IF(DAY(MartNed1)=1,"",IF(AND(YEAR(MartNed1+4)=KalendarskaGodina,MONTH(MartNed1+4)=3),MartNed1+4,""))</f>
        <v/>
      </c>
      <c r="G14" s="25" t="str">
        <f>IF(DAY(MartNed1)=1,"",IF(AND(YEAR(MartNed1+5)=KalendarskaGodina,MONTH(MartNed1+5)=3),MartNed1+5,""))</f>
        <v/>
      </c>
      <c r="H14" s="25" t="str">
        <f>IF(DAY(MartNed1)=1,"",IF(AND(YEAR(MartNed1+6)=KalendarskaGodina,MONTH(MartNed1+6)=3),MartNed1+6,""))</f>
        <v/>
      </c>
      <c r="I14" s="25">
        <f>IF(DAY(MartNed1)=1,IF(AND(YEAR(MartNed1)=KalendarskaGodina,MONTH(MartNed1)=3),MartNed1,""),IF(AND(YEAR(MartNed1+7)=KalendarskaGodina,MONTH(MartNed1+7)=3),MartNed1+7,""))</f>
        <v>43891</v>
      </c>
      <c r="J14" s="22"/>
      <c r="K14" s="25" t="str">
        <f>IF(DAY(AprNed1)=1,"",IF(AND(YEAR(AprNed1+1)=KalendarskaGodina,MONTH(AprNed1+1)=4),AprNed1+1,""))</f>
        <v/>
      </c>
      <c r="L14" s="25" t="str">
        <f>IF(DAY(AprNed1)=1,"",IF(AND(YEAR(AprNed1+2)=KalendarskaGodina,MONTH(AprNed1+2)=4),AprNed1+2,""))</f>
        <v/>
      </c>
      <c r="M14" s="25">
        <f>IF(DAY(AprNed1)=1,"",IF(AND(YEAR(AprNed1+3)=KalendarskaGodina,MONTH(AprNed1+3)=4),AprNed1+3,""))</f>
        <v>43922</v>
      </c>
      <c r="N14" s="25">
        <f>IF(DAY(AprNed1)=1,"",IF(AND(YEAR(AprNed1+4)=KalendarskaGodina,MONTH(AprNed1+4)=4),AprNed1+4,""))</f>
        <v>43923</v>
      </c>
      <c r="O14" s="25">
        <f>IF(DAY(AprNed1)=1,"",IF(AND(YEAR(AprNed1+5)=KalendarskaGodina,MONTH(AprNed1+5)=4),AprNed1+5,""))</f>
        <v>43924</v>
      </c>
      <c r="P14" s="25">
        <f>IF(DAY(AprNed1)=1,"",IF(AND(YEAR(AprNed1+6)=KalendarskaGodina,MONTH(AprNed1+6)=4),AprNed1+6,""))</f>
        <v>43925</v>
      </c>
      <c r="Q14" s="25">
        <f>IF(DAY(AprNed1)=1,IF(AND(YEAR(AprNed1)=KalendarskaGodina,MONTH(AprNed1)=4),AprNed1,""),IF(AND(YEAR(AprNed1+7)=KalendarskaGodina,MONTH(AprNed1+7)=4),AprNed1+7,""))</f>
        <v>43926</v>
      </c>
      <c r="S14" s="24"/>
      <c r="U14" s="2"/>
      <c r="V14" s="30"/>
      <c r="W14" s="30"/>
    </row>
    <row r="15" spans="1:23" ht="15" customHeight="1" x14ac:dyDescent="0.2">
      <c r="A15" s="18"/>
      <c r="C15" s="25">
        <f>IF(DAY(MartNed1)=1,IF(AND(YEAR(MartNed1+1)=KalendarskaGodina,MONTH(MartNed1+1)=3),MartNed1+1,""),IF(AND(YEAR(MartNed1+8)=KalendarskaGodina,MONTH(MartNed1+8)=3),MartNed1+8,""))</f>
        <v>43892</v>
      </c>
      <c r="D15" s="25">
        <f>IF(DAY(MartNed1)=1,IF(AND(YEAR(MartNed1+2)=KalendarskaGodina,MONTH(MartNed1+2)=3),MartNed1+2,""),IF(AND(YEAR(MartNed1+9)=KalendarskaGodina,MONTH(MartNed1+9)=3),MartNed1+9,""))</f>
        <v>43893</v>
      </c>
      <c r="E15" s="25">
        <f>IF(DAY(MartNed1)=1,IF(AND(YEAR(MartNed1+3)=KalendarskaGodina,MONTH(MartNed1+3)=3),MartNed1+3,""),IF(AND(YEAR(MartNed1+10)=KalendarskaGodina,MONTH(MartNed1+10)=3),MartNed1+10,""))</f>
        <v>43894</v>
      </c>
      <c r="F15" s="25">
        <f>IF(DAY(MartNed1)=1,IF(AND(YEAR(MartNed1+4)=KalendarskaGodina,MONTH(MartNed1+4)=3),MartNed1+4,""),IF(AND(YEAR(MartNed1+11)=KalendarskaGodina,MONTH(MartNed1+11)=3),MartNed1+11,""))</f>
        <v>43895</v>
      </c>
      <c r="G15" s="25">
        <f>IF(DAY(MartNed1)=1,IF(AND(YEAR(MartNed1+5)=KalendarskaGodina,MONTH(MartNed1+5)=3),MartNed1+5,""),IF(AND(YEAR(MartNed1+12)=KalendarskaGodina,MONTH(MartNed1+12)=3),MartNed1+12,""))</f>
        <v>43896</v>
      </c>
      <c r="H15" s="25">
        <f>IF(DAY(MartNed1)=1,IF(AND(YEAR(MartNed1+6)=KalendarskaGodina,MONTH(MartNed1+6)=3),MartNed1+6,""),IF(AND(YEAR(MartNed1+13)=KalendarskaGodina,MONTH(MartNed1+13)=3),MartNed1+13,""))</f>
        <v>43897</v>
      </c>
      <c r="I15" s="25">
        <f>IF(DAY(MartNed1)=1,IF(AND(YEAR(MartNed1+7)=KalendarskaGodina,MONTH(MartNed1+7)=3),MartNed1+7,""),IF(AND(YEAR(MartNed1+14)=KalendarskaGodina,MONTH(MartNed1+14)=3),MartNed1+14,""))</f>
        <v>43898</v>
      </c>
      <c r="J15" s="22"/>
      <c r="K15" s="25">
        <f>IF(DAY(AprNed1)=1,IF(AND(YEAR(AprNed1+1)=KalendarskaGodina,MONTH(AprNed1+1)=4),AprNed1+1,""),IF(AND(YEAR(AprNed1+8)=KalendarskaGodina,MONTH(AprNed1+8)=4),AprNed1+8,""))</f>
        <v>43927</v>
      </c>
      <c r="L15" s="25">
        <f>IF(DAY(AprNed1)=1,IF(AND(YEAR(AprNed1+2)=KalendarskaGodina,MONTH(AprNed1+2)=4),AprNed1+2,""),IF(AND(YEAR(AprNed1+9)=KalendarskaGodina,MONTH(AprNed1+9)=4),AprNed1+9,""))</f>
        <v>43928</v>
      </c>
      <c r="M15" s="25">
        <f>IF(DAY(AprNed1)=1,IF(AND(YEAR(AprNed1+3)=KalendarskaGodina,MONTH(AprNed1+3)=4),AprNed1+3,""),IF(AND(YEAR(AprNed1+10)=KalendarskaGodina,MONTH(AprNed1+10)=4),AprNed1+10,""))</f>
        <v>43929</v>
      </c>
      <c r="N15" s="25">
        <f>IF(DAY(AprNed1)=1,IF(AND(YEAR(AprNed1+4)=KalendarskaGodina,MONTH(AprNed1+4)=4),AprNed1+4,""),IF(AND(YEAR(AprNed1+11)=KalendarskaGodina,MONTH(AprNed1+11)=4),AprNed1+11,""))</f>
        <v>43930</v>
      </c>
      <c r="O15" s="25">
        <f>IF(DAY(AprNed1)=1,IF(AND(YEAR(AprNed1+5)=KalendarskaGodina,MONTH(AprNed1+5)=4),AprNed1+5,""),IF(AND(YEAR(AprNed1+12)=KalendarskaGodina,MONTH(AprNed1+12)=4),AprNed1+12,""))</f>
        <v>43931</v>
      </c>
      <c r="P15" s="25">
        <f>IF(DAY(AprNed1)=1,IF(AND(YEAR(AprNed1+6)=KalendarskaGodina,MONTH(AprNed1+6)=4),AprNed1+6,""),IF(AND(YEAR(AprNed1+13)=KalendarskaGodina,MONTH(AprNed1+13)=4),AprNed1+13,""))</f>
        <v>43932</v>
      </c>
      <c r="Q15" s="25">
        <f>IF(DAY(AprNed1)=1,IF(AND(YEAR(AprNed1+7)=KalendarskaGodina,MONTH(AprNed1+7)=4),AprNed1+7,""),IF(AND(YEAR(AprNed1+14)=KalendarskaGodina,MONTH(AprNed1+14)=4),AprNed1+14,""))</f>
        <v>43933</v>
      </c>
      <c r="S15" s="24"/>
      <c r="U15" s="10"/>
      <c r="V15" s="30"/>
      <c r="W15" s="30"/>
    </row>
    <row r="16" spans="1:23" ht="15" customHeight="1" x14ac:dyDescent="0.2">
      <c r="C16" s="25">
        <f>IF(DAY(MartNed1)=1,IF(AND(YEAR(MartNed1+8)=KalendarskaGodina,MONTH(MartNed1+8)=3),MartNed1+8,""),IF(AND(YEAR(MartNed1+15)=KalendarskaGodina,MONTH(MartNed1+15)=3),MartNed1+15,""))</f>
        <v>43899</v>
      </c>
      <c r="D16" s="25">
        <f>IF(DAY(MartNed1)=1,IF(AND(YEAR(MartNed1+9)=KalendarskaGodina,MONTH(MartNed1+9)=3),MartNed1+9,""),IF(AND(YEAR(MartNed1+16)=KalendarskaGodina,MONTH(MartNed1+16)=3),MartNed1+16,""))</f>
        <v>43900</v>
      </c>
      <c r="E16" s="25">
        <f>IF(DAY(MartNed1)=1,IF(AND(YEAR(MartNed1+10)=KalendarskaGodina,MONTH(MartNed1+10)=3),MartNed1+10,""),IF(AND(YEAR(MartNed1+17)=KalendarskaGodina,MONTH(MartNed1+17)=3),MartNed1+17,""))</f>
        <v>43901</v>
      </c>
      <c r="F16" s="25">
        <f>IF(DAY(MartNed1)=1,IF(AND(YEAR(MartNed1+11)=KalendarskaGodina,MONTH(MartNed1+11)=3),MartNed1+11,""),IF(AND(YEAR(MartNed1+18)=KalendarskaGodina,MONTH(MartNed1+18)=3),MartNed1+18,""))</f>
        <v>43902</v>
      </c>
      <c r="G16" s="25">
        <f>IF(DAY(MartNed1)=1,IF(AND(YEAR(MartNed1+12)=KalendarskaGodina,MONTH(MartNed1+12)=3),MartNed1+12,""),IF(AND(YEAR(MartNed1+19)=KalendarskaGodina,MONTH(MartNed1+19)=3),MartNed1+19,""))</f>
        <v>43903</v>
      </c>
      <c r="H16" s="25">
        <f>IF(DAY(MartNed1)=1,IF(AND(YEAR(MartNed1+13)=KalendarskaGodina,MONTH(MartNed1+13)=3),MartNed1+13,""),IF(AND(YEAR(MartNed1+20)=KalendarskaGodina,MONTH(MartNed1+20)=3),MartNed1+20,""))</f>
        <v>43904</v>
      </c>
      <c r="I16" s="25">
        <f>IF(DAY(MartNed1)=1,IF(AND(YEAR(MartNed1+14)=KalendarskaGodina,MONTH(MartNed1+14)=3),MartNed1+14,""),IF(AND(YEAR(MartNed1+21)=KalendarskaGodina,MONTH(MartNed1+21)=3),MartNed1+21,""))</f>
        <v>43905</v>
      </c>
      <c r="J16" s="22"/>
      <c r="K16" s="25">
        <f>IF(DAY(AprNed1)=1,IF(AND(YEAR(AprNed1+8)=KalendarskaGodina,MONTH(AprNed1+8)=4),AprNed1+8,""),IF(AND(YEAR(AprNed1+15)=KalendarskaGodina,MONTH(AprNed1+15)=4),AprNed1+15,""))</f>
        <v>43934</v>
      </c>
      <c r="L16" s="25">
        <f>IF(DAY(AprNed1)=1,IF(AND(YEAR(AprNed1+9)=KalendarskaGodina,MONTH(AprNed1+9)=4),AprNed1+9,""),IF(AND(YEAR(AprNed1+16)=KalendarskaGodina,MONTH(AprNed1+16)=4),AprNed1+16,""))</f>
        <v>43935</v>
      </c>
      <c r="M16" s="25">
        <f>IF(DAY(AprNed1)=1,IF(AND(YEAR(AprNed1+10)=KalendarskaGodina,MONTH(AprNed1+10)=4),AprNed1+10,""),IF(AND(YEAR(AprNed1+17)=KalendarskaGodina,MONTH(AprNed1+17)=4),AprNed1+17,""))</f>
        <v>43936</v>
      </c>
      <c r="N16" s="25">
        <f>IF(DAY(AprNed1)=1,IF(AND(YEAR(AprNed1+11)=KalendarskaGodina,MONTH(AprNed1+11)=4),AprNed1+11,""),IF(AND(YEAR(AprNed1+18)=KalendarskaGodina,MONTH(AprNed1+18)=4),AprNed1+18,""))</f>
        <v>43937</v>
      </c>
      <c r="O16" s="25">
        <f>IF(DAY(AprNed1)=1,IF(AND(YEAR(AprNed1+12)=KalendarskaGodina,MONTH(AprNed1+12)=4),AprNed1+12,""),IF(AND(YEAR(AprNed1+19)=KalendarskaGodina,MONTH(AprNed1+19)=4),AprNed1+19,""))</f>
        <v>43938</v>
      </c>
      <c r="P16" s="25">
        <f>IF(DAY(AprNed1)=1,IF(AND(YEAR(AprNed1+13)=KalendarskaGodina,MONTH(AprNed1+13)=4),AprNed1+13,""),IF(AND(YEAR(AprNed1+20)=KalendarskaGodina,MONTH(AprNed1+20)=4),AprNed1+20,""))</f>
        <v>43939</v>
      </c>
      <c r="Q16" s="25">
        <f>IF(DAY(AprNed1)=1,IF(AND(YEAR(AprNed1+14)=KalendarskaGodina,MONTH(AprNed1+14)=4),AprNed1+14,""),IF(AND(YEAR(AprNed1+21)=KalendarskaGodina,MONTH(AprNed1+21)=4),AprNed1+21,""))</f>
        <v>43940</v>
      </c>
      <c r="S16" s="24"/>
      <c r="U16" s="3"/>
      <c r="V16" s="30"/>
      <c r="W16" s="30"/>
    </row>
    <row r="17" spans="1:23" ht="15" customHeight="1" x14ac:dyDescent="0.2">
      <c r="C17" s="25">
        <f>IF(DAY(MartNed1)=1,IF(AND(YEAR(MartNed1+15)=KalendarskaGodina,MONTH(MartNed1+15)=3),MartNed1+15,""),IF(AND(YEAR(MartNed1+22)=KalendarskaGodina,MONTH(MartNed1+22)=3),MartNed1+22,""))</f>
        <v>43906</v>
      </c>
      <c r="D17" s="25">
        <f>IF(DAY(MartNed1)=1,IF(AND(YEAR(MartNed1+16)=KalendarskaGodina,MONTH(MartNed1+16)=3),MartNed1+16,""),IF(AND(YEAR(MartNed1+23)=KalendarskaGodina,MONTH(MartNed1+23)=3),MartNed1+23,""))</f>
        <v>43907</v>
      </c>
      <c r="E17" s="25">
        <f>IF(DAY(MartNed1)=1,IF(AND(YEAR(MartNed1+17)=KalendarskaGodina,MONTH(MartNed1+17)=3),MartNed1+17,""),IF(AND(YEAR(MartNed1+24)=KalendarskaGodina,MONTH(MartNed1+24)=3),MartNed1+24,""))</f>
        <v>43908</v>
      </c>
      <c r="F17" s="25">
        <f>IF(DAY(MartNed1)=1,IF(AND(YEAR(MartNed1+18)=KalendarskaGodina,MONTH(MartNed1+18)=3),MartNed1+18,""),IF(AND(YEAR(MartNed1+25)=KalendarskaGodina,MONTH(MartNed1+25)=3),MartNed1+25,""))</f>
        <v>43909</v>
      </c>
      <c r="G17" s="25">
        <f>IF(DAY(MartNed1)=1,IF(AND(YEAR(MartNed1+19)=KalendarskaGodina,MONTH(MartNed1+19)=3),MartNed1+19,""),IF(AND(YEAR(MartNed1+26)=KalendarskaGodina,MONTH(MartNed1+26)=3),MartNed1+26,""))</f>
        <v>43910</v>
      </c>
      <c r="H17" s="25">
        <f>IF(DAY(MartNed1)=1,IF(AND(YEAR(MartNed1+20)=KalendarskaGodina,MONTH(MartNed1+20)=3),MartNed1+20,""),IF(AND(YEAR(MartNed1+27)=KalendarskaGodina,MONTH(MartNed1+27)=3),MartNed1+27,""))</f>
        <v>43911</v>
      </c>
      <c r="I17" s="25">
        <f>IF(DAY(MartNed1)=1,IF(AND(YEAR(MartNed1+21)=KalendarskaGodina,MONTH(MartNed1+21)=3),MartNed1+21,""),IF(AND(YEAR(MartNed1+28)=KalendarskaGodina,MONTH(MartNed1+28)=3),MartNed1+28,""))</f>
        <v>43912</v>
      </c>
      <c r="J17" s="22"/>
      <c r="K17" s="25">
        <f>IF(DAY(AprNed1)=1,IF(AND(YEAR(AprNed1+15)=KalendarskaGodina,MONTH(AprNed1+15)=4),AprNed1+15,""),IF(AND(YEAR(AprNed1+22)=KalendarskaGodina,MONTH(AprNed1+22)=4),AprNed1+22,""))</f>
        <v>43941</v>
      </c>
      <c r="L17" s="25">
        <f>IF(DAY(AprNed1)=1,IF(AND(YEAR(AprNed1+16)=KalendarskaGodina,MONTH(AprNed1+16)=4),AprNed1+16,""),IF(AND(YEAR(AprNed1+23)=KalendarskaGodina,MONTH(AprNed1+23)=4),AprNed1+23,""))</f>
        <v>43942</v>
      </c>
      <c r="M17" s="25">
        <f>IF(DAY(AprNed1)=1,IF(AND(YEAR(AprNed1+17)=KalendarskaGodina,MONTH(AprNed1+17)=4),AprNed1+17,""),IF(AND(YEAR(AprNed1+24)=KalendarskaGodina,MONTH(AprNed1+24)=4),AprNed1+24,""))</f>
        <v>43943</v>
      </c>
      <c r="N17" s="25">
        <f>IF(DAY(AprNed1)=1,IF(AND(YEAR(AprNed1+18)=KalendarskaGodina,MONTH(AprNed1+18)=4),AprNed1+18,""),IF(AND(YEAR(AprNed1+25)=KalendarskaGodina,MONTH(AprNed1+25)=4),AprNed1+25,""))</f>
        <v>43944</v>
      </c>
      <c r="O17" s="25">
        <f>IF(DAY(AprNed1)=1,IF(AND(YEAR(AprNed1+19)=KalendarskaGodina,MONTH(AprNed1+19)=4),AprNed1+19,""),IF(AND(YEAR(AprNed1+26)=KalendarskaGodina,MONTH(AprNed1+26)=4),AprNed1+26,""))</f>
        <v>43945</v>
      </c>
      <c r="P17" s="25">
        <f>IF(DAY(AprNed1)=1,IF(AND(YEAR(AprNed1+20)=KalendarskaGodina,MONTH(AprNed1+20)=4),AprNed1+20,""),IF(AND(YEAR(AprNed1+27)=KalendarskaGodina,MONTH(AprNed1+27)=4),AprNed1+27,""))</f>
        <v>43946</v>
      </c>
      <c r="Q17" s="25">
        <f>IF(DAY(AprNed1)=1,IF(AND(YEAR(AprNed1+21)=KalendarskaGodina,MONTH(AprNed1+21)=4),AprNed1+21,""),IF(AND(YEAR(AprNed1+28)=KalendarskaGodina,MONTH(AprNed1+28)=4),AprNed1+28,""))</f>
        <v>43947</v>
      </c>
      <c r="S17" s="24"/>
      <c r="U17" s="2"/>
      <c r="V17" s="30"/>
      <c r="W17" s="30"/>
    </row>
    <row r="18" spans="1:23" ht="15" customHeight="1" x14ac:dyDescent="0.2">
      <c r="C18" s="25">
        <f>IF(DAY(MartNed1)=1,IF(AND(YEAR(MartNed1+22)=KalendarskaGodina,MONTH(MartNed1+22)=3),MartNed1+22,""),IF(AND(YEAR(MartNed1+29)=KalendarskaGodina,MONTH(MartNed1+29)=3),MartNed1+29,""))</f>
        <v>43913</v>
      </c>
      <c r="D18" s="25">
        <f>IF(DAY(MartNed1)=1,IF(AND(YEAR(MartNed1+23)=KalendarskaGodina,MONTH(MartNed1+23)=3),MartNed1+23,""),IF(AND(YEAR(MartNed1+30)=KalendarskaGodina,MONTH(MartNed1+30)=3),MartNed1+30,""))</f>
        <v>43914</v>
      </c>
      <c r="E18" s="25">
        <f>IF(DAY(MartNed1)=1,IF(AND(YEAR(MartNed1+24)=KalendarskaGodina,MONTH(MartNed1+24)=3),MartNed1+24,""),IF(AND(YEAR(MartNed1+31)=KalendarskaGodina,MONTH(MartNed1+31)=3),MartNed1+31,""))</f>
        <v>43915</v>
      </c>
      <c r="F18" s="25">
        <f>IF(DAY(MartNed1)=1,IF(AND(YEAR(MartNed1+25)=KalendarskaGodina,MONTH(MartNed1+25)=3),MartNed1+25,""),IF(AND(YEAR(MartNed1+32)=KalendarskaGodina,MONTH(MartNed1+32)=3),MartNed1+32,""))</f>
        <v>43916</v>
      </c>
      <c r="G18" s="25">
        <f>IF(DAY(MartNed1)=1,IF(AND(YEAR(MartNed1+26)=KalendarskaGodina,MONTH(MartNed1+26)=3),MartNed1+26,""),IF(AND(YEAR(MartNed1+33)=KalendarskaGodina,MONTH(MartNed1+33)=3),MartNed1+33,""))</f>
        <v>43917</v>
      </c>
      <c r="H18" s="25">
        <f>IF(DAY(MartNed1)=1,IF(AND(YEAR(MartNed1+27)=KalendarskaGodina,MONTH(MartNed1+27)=3),MartNed1+27,""),IF(AND(YEAR(MartNed1+34)=KalendarskaGodina,MONTH(MartNed1+34)=3),MartNed1+34,""))</f>
        <v>43918</v>
      </c>
      <c r="I18" s="25">
        <f>IF(DAY(MartNed1)=1,IF(AND(YEAR(MartNed1+28)=KalendarskaGodina,MONTH(MartNed1+28)=3),MartNed1+28,""),IF(AND(YEAR(MartNed1+35)=KalendarskaGodina,MONTH(MartNed1+35)=3),MartNed1+35,""))</f>
        <v>43919</v>
      </c>
      <c r="J18" s="22"/>
      <c r="K18" s="25">
        <f>IF(DAY(AprNed1)=1,IF(AND(YEAR(AprNed1+22)=KalendarskaGodina,MONTH(AprNed1+22)=4),AprNed1+22,""),IF(AND(YEAR(AprNed1+29)=KalendarskaGodina,MONTH(AprNed1+29)=4),AprNed1+29,""))</f>
        <v>43948</v>
      </c>
      <c r="L18" s="25">
        <f>IF(DAY(AprNed1)=1,IF(AND(YEAR(AprNed1+23)=KalendarskaGodina,MONTH(AprNed1+23)=4),AprNed1+23,""),IF(AND(YEAR(AprNed1+30)=KalendarskaGodina,MONTH(AprNed1+30)=4),AprNed1+30,""))</f>
        <v>43949</v>
      </c>
      <c r="M18" s="25">
        <f>IF(DAY(AprNed1)=1,IF(AND(YEAR(AprNed1+24)=KalendarskaGodina,MONTH(AprNed1+24)=4),AprNed1+24,""),IF(AND(YEAR(AprNed1+31)=KalendarskaGodina,MONTH(AprNed1+31)=4),AprNed1+31,""))</f>
        <v>43950</v>
      </c>
      <c r="N18" s="25">
        <f>IF(DAY(AprNed1)=1,IF(AND(YEAR(AprNed1+25)=KalendarskaGodina,MONTH(AprNed1+25)=4),AprNed1+25,""),IF(AND(YEAR(AprNed1+32)=KalendarskaGodina,MONTH(AprNed1+32)=4),AprNed1+32,""))</f>
        <v>43951</v>
      </c>
      <c r="O18" s="25" t="str">
        <f>IF(DAY(AprNed1)=1,IF(AND(YEAR(AprNed1+26)=KalendarskaGodina,MONTH(AprNed1+26)=4),AprNed1+26,""),IF(AND(YEAR(AprNed1+33)=KalendarskaGodina,MONTH(AprNed1+33)=4),AprNed1+33,""))</f>
        <v/>
      </c>
      <c r="P18" s="25" t="str">
        <f>IF(DAY(AprNed1)=1,IF(AND(YEAR(AprNed1+27)=KalendarskaGodina,MONTH(AprNed1+27)=4),AprNed1+27,""),IF(AND(YEAR(AprNed1+34)=KalendarskaGodina,MONTH(AprNed1+34)=4),AprNed1+34,""))</f>
        <v/>
      </c>
      <c r="Q18" s="25" t="str">
        <f>IF(DAY(AprNed1)=1,IF(AND(YEAR(AprNed1+28)=KalendarskaGodina,MONTH(AprNed1+28)=4),AprNed1+28,""),IF(AND(YEAR(AprNed1+35)=KalendarskaGodina,MONTH(AprNed1+35)=4),AprNed1+35,""))</f>
        <v/>
      </c>
      <c r="S18" s="24"/>
      <c r="U18" s="10"/>
      <c r="V18" s="30"/>
      <c r="W18" s="30"/>
    </row>
    <row r="19" spans="1:23" ht="15" customHeight="1" x14ac:dyDescent="0.2">
      <c r="C19" s="25">
        <f>IF(DAY(MartNed1)=1,IF(AND(YEAR(MartNed1+29)=KalendarskaGodina,MONTH(MartNed1+29)=3),MartNed1+29,""),IF(AND(YEAR(MartNed1+36)=KalendarskaGodina,MONTH(MartNed1+36)=3),MartNed1+36,""))</f>
        <v>43920</v>
      </c>
      <c r="D19" s="25">
        <f>IF(DAY(MartNed1)=1,IF(AND(YEAR(MartNed1+30)=KalendarskaGodina,MONTH(MartNed1+30)=3),MartNed1+30,""),IF(AND(YEAR(MartNed1+37)=KalendarskaGodina,MONTH(MartNed1+37)=3),MartNed1+37,""))</f>
        <v>43921</v>
      </c>
      <c r="E19" s="25" t="str">
        <f>IF(DAY(MartNed1)=1,IF(AND(YEAR(MartNed1+31)=KalendarskaGodina,MONTH(MartNed1+31)=3),MartNed1+31,""),IF(AND(YEAR(MartNed1+38)=KalendarskaGodina,MONTH(MartNed1+38)=3),MartNed1+38,""))</f>
        <v/>
      </c>
      <c r="F19" s="25" t="str">
        <f>IF(DAY(MartNed1)=1,IF(AND(YEAR(MartNed1+32)=KalendarskaGodina,MONTH(MartNed1+32)=3),MartNed1+32,""),IF(AND(YEAR(MartNed1+39)=KalendarskaGodina,MONTH(MartNed1+39)=3),MartNed1+39,""))</f>
        <v/>
      </c>
      <c r="G19" s="25" t="str">
        <f>IF(DAY(MartNed1)=1,IF(AND(YEAR(MartNed1+33)=KalendarskaGodina,MONTH(MartNed1+33)=3),MartNed1+33,""),IF(AND(YEAR(MartNed1+40)=KalendarskaGodina,MONTH(MartNed1+40)=3),MartNed1+40,""))</f>
        <v/>
      </c>
      <c r="H19" s="25" t="str">
        <f>IF(DAY(MartNed1)=1,IF(AND(YEAR(MartNed1+34)=KalendarskaGodina,MONTH(MartNed1+34)=3),MartNed1+34,""),IF(AND(YEAR(MartNed1+41)=KalendarskaGodina,MONTH(MartNed1+41)=3),MartNed1+41,""))</f>
        <v/>
      </c>
      <c r="I19" s="25" t="str">
        <f>IF(DAY(MartNed1)=1,IF(AND(YEAR(MartNed1+35)=KalendarskaGodina,MONTH(MartNed1+35)=3),MartNed1+35,""),IF(AND(YEAR(MartNed1+42)=KalendarskaGodina,MONTH(MartNed1+42)=3),MartNed1+42,""))</f>
        <v/>
      </c>
      <c r="J19" s="22"/>
      <c r="K19" s="25" t="str">
        <f>IF(DAY(AprNed1)=1,IF(AND(YEAR(AprNed1+29)=KalendarskaGodina,MONTH(AprNed1+29)=4),AprNed1+29,""),IF(AND(YEAR(AprNed1+36)=KalendarskaGodina,MONTH(AprNed1+36)=4),AprNed1+36,""))</f>
        <v/>
      </c>
      <c r="L19" s="25" t="str">
        <f>IF(DAY(AprNed1)=1,IF(AND(YEAR(AprNed1+30)=KalendarskaGodina,MONTH(AprNed1+30)=4),AprNed1+30,""),IF(AND(YEAR(AprNed1+37)=KalendarskaGodina,MONTH(AprNed1+37)=4),AprNed1+37,""))</f>
        <v/>
      </c>
      <c r="M19" s="25" t="str">
        <f>IF(DAY(AprNed1)=1,IF(AND(YEAR(AprNed1+31)=KalendarskaGodina,MONTH(AprNed1+31)=4),AprNed1+31,""),IF(AND(YEAR(AprNed1+38)=KalendarskaGodina,MONTH(AprNed1+38)=4),AprNed1+38,""))</f>
        <v/>
      </c>
      <c r="N19" s="25" t="str">
        <f>IF(DAY(AprNed1)=1,IF(AND(YEAR(AprNed1+32)=KalendarskaGodina,MONTH(AprNed1+32)=4),AprNed1+32,""),IF(AND(YEAR(AprNed1+39)=KalendarskaGodina,MONTH(AprNed1+39)=4),AprNed1+39,""))</f>
        <v/>
      </c>
      <c r="O19" s="25" t="str">
        <f>IF(DAY(AprNed1)=1,IF(AND(YEAR(AprNed1+33)=KalendarskaGodina,MONTH(AprNed1+33)=4),AprNed1+33,""),IF(AND(YEAR(AprNed1+40)=KalendarskaGodina,MONTH(AprNed1+40)=4),AprNed1+40,""))</f>
        <v/>
      </c>
      <c r="P19" s="25" t="str">
        <f>IF(DAY(AprNed1)=1,IF(AND(YEAR(AprNed1+34)=KalendarskaGodina,MONTH(AprNed1+34)=4),AprNed1+34,""),IF(AND(YEAR(AprNed1+41)=KalendarskaGodina,MONTH(AprNed1+41)=4),AprNed1+41,""))</f>
        <v/>
      </c>
      <c r="Q19" s="25" t="str">
        <f>IF(DAY(AprNed1)=1,IF(AND(YEAR(AprNed1+35)=KalendarskaGodina,MONTH(AprNed1+35)=4),AprNed1+35,""),IF(AND(YEAR(AprNed1+42)=KalendarskaGodina,MONTH(AprNed1+42)=4),AprNed1+42,""))</f>
        <v/>
      </c>
      <c r="S19" s="24"/>
      <c r="U19" s="3"/>
      <c r="V19" s="30"/>
      <c r="W19" s="30"/>
    </row>
    <row r="20" spans="1:23" ht="15" customHeight="1" x14ac:dyDescent="0.2">
      <c r="J20" s="22"/>
      <c r="S20" s="24"/>
      <c r="U20" s="2"/>
      <c r="V20" s="30"/>
      <c r="W20" s="30"/>
    </row>
    <row r="21" spans="1:23" ht="15" customHeight="1" x14ac:dyDescent="0.2">
      <c r="A21" s="18" t="s">
        <v>13</v>
      </c>
      <c r="C21" s="27" t="s">
        <v>28</v>
      </c>
      <c r="D21" s="27"/>
      <c r="E21" s="27"/>
      <c r="F21" s="27"/>
      <c r="G21" s="27"/>
      <c r="H21" s="27"/>
      <c r="I21" s="27"/>
      <c r="J21" s="22"/>
      <c r="K21" s="27" t="s">
        <v>35</v>
      </c>
      <c r="L21" s="27"/>
      <c r="M21" s="27"/>
      <c r="N21" s="27"/>
      <c r="O21" s="27"/>
      <c r="P21" s="27"/>
      <c r="Q21" s="27"/>
      <c r="S21" s="24"/>
      <c r="U21" s="10"/>
      <c r="V21" s="30"/>
      <c r="W21" s="30"/>
    </row>
    <row r="22" spans="1:23" ht="15" customHeight="1" x14ac:dyDescent="0.2">
      <c r="A22" s="18" t="s">
        <v>14</v>
      </c>
      <c r="C22" s="11" t="s">
        <v>52</v>
      </c>
      <c r="D22" s="11" t="s">
        <v>53</v>
      </c>
      <c r="E22" s="11" t="s">
        <v>32</v>
      </c>
      <c r="F22" s="11" t="s">
        <v>54</v>
      </c>
      <c r="G22" s="11" t="s">
        <v>55</v>
      </c>
      <c r="H22" s="11" t="s">
        <v>56</v>
      </c>
      <c r="I22" s="11" t="s">
        <v>57</v>
      </c>
      <c r="K22" s="11" t="s">
        <v>52</v>
      </c>
      <c r="L22" s="11" t="s">
        <v>53</v>
      </c>
      <c r="M22" s="11" t="s">
        <v>32</v>
      </c>
      <c r="N22" s="11" t="s">
        <v>54</v>
      </c>
      <c r="O22" s="11" t="s">
        <v>55</v>
      </c>
      <c r="P22" s="11" t="s">
        <v>56</v>
      </c>
      <c r="Q22" s="11" t="s">
        <v>57</v>
      </c>
      <c r="S22" s="24"/>
      <c r="U22" s="3"/>
      <c r="V22" s="30"/>
      <c r="W22" s="30"/>
    </row>
    <row r="23" spans="1:23" ht="15" customHeight="1" x14ac:dyDescent="0.25">
      <c r="A23" s="18"/>
      <c r="C23" s="25" t="str">
        <f>IF(DAY(MajNed1)=1,"",IF(AND(YEAR(MajNed1+1)=KalendarskaGodina,MONTH(MajNed1+1)=5),MajNed1+1,""))</f>
        <v/>
      </c>
      <c r="D23" s="25" t="str">
        <f>IF(DAY(MajNed1)=1,"",IF(AND(YEAR(MajNed1+2)=KalendarskaGodina,MONTH(MajNed1+2)=5),MajNed1+2,""))</f>
        <v/>
      </c>
      <c r="E23" s="25" t="str">
        <f>IF(DAY(MajNed1)=1,"",IF(AND(YEAR(MajNed1+3)=KalendarskaGodina,MONTH(MajNed1+3)=5),MajNed1+3,""))</f>
        <v/>
      </c>
      <c r="F23" s="25" t="str">
        <f>IF(DAY(MajNed1)=1,"",IF(AND(YEAR(MajNed1+4)=KalendarskaGodina,MONTH(MajNed1+4)=5),MajNed1+4,""))</f>
        <v/>
      </c>
      <c r="G23" s="25">
        <f>IF(DAY(MajNed1)=1,"",IF(AND(YEAR(MajNed1+5)=KalendarskaGodina,MONTH(MajNed1+5)=5),MajNed1+5,""))</f>
        <v>43952</v>
      </c>
      <c r="H23" s="25">
        <f>IF(DAY(MajNed1)=1,"",IF(AND(YEAR(MajNed1+6)=KalendarskaGodina,MONTH(MajNed1+6)=5),MajNed1+6,""))</f>
        <v>43953</v>
      </c>
      <c r="I23" s="25">
        <f>IF(DAY(MajNed1)=1,IF(AND(YEAR(MajNed1)=KalendarskaGodina,MONTH(MajNed1)=5),MajNed1,""),IF(AND(YEAR(MajNed1+7)=KalendarskaGodina,MONTH(MajNed1+7)=5),MajNed1+7,""))</f>
        <v>43954</v>
      </c>
      <c r="J23" s="21"/>
      <c r="K23" s="25">
        <f>IF(DAY(JunNed1)=1,"",IF(AND(YEAR(JunNed1+1)=KalendarskaGodina,MONTH(JunNed1+1)=6),JunNed1+1,""))</f>
        <v>43983</v>
      </c>
      <c r="L23" s="25">
        <f>IF(DAY(JunNed1)=1,"",IF(AND(YEAR(JunNed1+2)=KalendarskaGodina,MONTH(JunNed1+2)=6),JunNed1+2,""))</f>
        <v>43984</v>
      </c>
      <c r="M23" s="25">
        <f>IF(DAY(JunNed1)=1,"",IF(AND(YEAR(JunNed1+3)=KalendarskaGodina,MONTH(JunNed1+3)=6),JunNed1+3,""))</f>
        <v>43985</v>
      </c>
      <c r="N23" s="25">
        <f>IF(DAY(JunNed1)=1,"",IF(AND(YEAR(JunNed1+4)=KalendarskaGodina,MONTH(JunNed1+4)=6),JunNed1+4,""))</f>
        <v>43986</v>
      </c>
      <c r="O23" s="25">
        <f>IF(DAY(JunNed1)=1,"",IF(AND(YEAR(JunNed1+5)=KalendarskaGodina,MONTH(JunNed1+5)=6),JunNed1+5,""))</f>
        <v>43987</v>
      </c>
      <c r="P23" s="25">
        <f>IF(DAY(JunNed1)=1,"",IF(AND(YEAR(JunNed1+6)=KalendarskaGodina,MONTH(JunNed1+6)=6),JunNed1+6,""))</f>
        <v>43988</v>
      </c>
      <c r="Q23" s="25">
        <f>IF(DAY(JunNed1)=1,IF(AND(YEAR(JunNed1)=KalendarskaGodina,MONTH(JunNed1)=6),JunNed1,""),IF(AND(YEAR(JunNed1+7)=KalendarskaGodina,MONTH(JunNed1+7)=6),JunNed1+7,""))</f>
        <v>43989</v>
      </c>
      <c r="S23" s="24"/>
      <c r="U23" s="2"/>
      <c r="V23" s="30"/>
      <c r="W23" s="30"/>
    </row>
    <row r="24" spans="1:23" ht="15" customHeight="1" x14ac:dyDescent="0.2">
      <c r="C24" s="25">
        <f>IF(DAY(MajNed1)=1,IF(AND(YEAR(MajNed1+1)=KalendarskaGodina,MONTH(MajNed1+1)=5),MajNed1+1,""),IF(AND(YEAR(MajNed1+8)=KalendarskaGodina,MONTH(MajNed1+8)=5),MajNed1+8,""))</f>
        <v>43955</v>
      </c>
      <c r="D24" s="25">
        <f>IF(DAY(MajNed1)=1,IF(AND(YEAR(MajNed1+2)=KalendarskaGodina,MONTH(MajNed1+2)=5),MajNed1+2,""),IF(AND(YEAR(MajNed1+9)=KalendarskaGodina,MONTH(MajNed1+9)=5),MajNed1+9,""))</f>
        <v>43956</v>
      </c>
      <c r="E24" s="25">
        <f>IF(DAY(MajNed1)=1,IF(AND(YEAR(MajNed1+3)=KalendarskaGodina,MONTH(MajNed1+3)=5),MajNed1+3,""),IF(AND(YEAR(MajNed1+10)=KalendarskaGodina,MONTH(MajNed1+10)=5),MajNed1+10,""))</f>
        <v>43957</v>
      </c>
      <c r="F24" s="25">
        <f>IF(DAY(MajNed1)=1,IF(AND(YEAR(MajNed1+4)=KalendarskaGodina,MONTH(MajNed1+4)=5),MajNed1+4,""),IF(AND(YEAR(MajNed1+11)=KalendarskaGodina,MONTH(MajNed1+11)=5),MajNed1+11,""))</f>
        <v>43958</v>
      </c>
      <c r="G24" s="25">
        <f>IF(DAY(MajNed1)=1,IF(AND(YEAR(MajNed1+5)=KalendarskaGodina,MONTH(MajNed1+5)=5),MajNed1+5,""),IF(AND(YEAR(MajNed1+12)=KalendarskaGodina,MONTH(MajNed1+12)=5),MajNed1+12,""))</f>
        <v>43959</v>
      </c>
      <c r="H24" s="25">
        <f>IF(DAY(MajNed1)=1,IF(AND(YEAR(MajNed1+6)=KalendarskaGodina,MONTH(MajNed1+6)=5),MajNed1+6,""),IF(AND(YEAR(MajNed1+13)=KalendarskaGodina,MONTH(MajNed1+13)=5),MajNed1+13,""))</f>
        <v>43960</v>
      </c>
      <c r="I24" s="25">
        <f>IF(DAY(MajNed1)=1,IF(AND(YEAR(MajNed1+7)=KalendarskaGodina,MONTH(MajNed1+7)=5),MajNed1+7,""),IF(AND(YEAR(MajNed1+14)=KalendarskaGodina,MONTH(MajNed1+14)=5),MajNed1+14,""))</f>
        <v>43961</v>
      </c>
      <c r="J24" s="22"/>
      <c r="K24" s="25">
        <f>IF(DAY(JunNed1)=1,IF(AND(YEAR(JunNed1+1)=KalendarskaGodina,MONTH(JunNed1+1)=6),JunNed1+1,""),IF(AND(YEAR(JunNed1+8)=KalendarskaGodina,MONTH(JunNed1+8)=6),JunNed1+8,""))</f>
        <v>43990</v>
      </c>
      <c r="L24" s="25">
        <f>IF(DAY(JunNed1)=1,IF(AND(YEAR(JunNed1+2)=KalendarskaGodina,MONTH(JunNed1+2)=6),JunNed1+2,""),IF(AND(YEAR(JunNed1+9)=KalendarskaGodina,MONTH(JunNed1+9)=6),JunNed1+9,""))</f>
        <v>43991</v>
      </c>
      <c r="M24" s="25">
        <f>IF(DAY(JunNed1)=1,IF(AND(YEAR(JunNed1+3)=KalendarskaGodina,MONTH(JunNed1+3)=6),JunNed1+3,""),IF(AND(YEAR(JunNed1+10)=KalendarskaGodina,MONTH(JunNed1+10)=6),JunNed1+10,""))</f>
        <v>43992</v>
      </c>
      <c r="N24" s="25">
        <f>IF(DAY(JunNed1)=1,IF(AND(YEAR(JunNed1+4)=KalendarskaGodina,MONTH(JunNed1+4)=6),JunNed1+4,""),IF(AND(YEAR(JunNed1+11)=KalendarskaGodina,MONTH(JunNed1+11)=6),JunNed1+11,""))</f>
        <v>43993</v>
      </c>
      <c r="O24" s="25">
        <f>IF(DAY(JunNed1)=1,IF(AND(YEAR(JunNed1+5)=KalendarskaGodina,MONTH(JunNed1+5)=6),JunNed1+5,""),IF(AND(YEAR(JunNed1+12)=KalendarskaGodina,MONTH(JunNed1+12)=6),JunNed1+12,""))</f>
        <v>43994</v>
      </c>
      <c r="P24" s="25">
        <f>IF(DAY(JunNed1)=1,IF(AND(YEAR(JunNed1+6)=KalendarskaGodina,MONTH(JunNed1+6)=6),JunNed1+6,""),IF(AND(YEAR(JunNed1+13)=KalendarskaGodina,MONTH(JunNed1+13)=6),JunNed1+13,""))</f>
        <v>43995</v>
      </c>
      <c r="Q24" s="25">
        <f>IF(DAY(JunNed1)=1,IF(AND(YEAR(JunNed1+7)=KalendarskaGodina,MONTH(JunNed1+7)=6),JunNed1+7,""),IF(AND(YEAR(JunNed1+14)=KalendarskaGodina,MONTH(JunNed1+14)=6),JunNed1+14,""))</f>
        <v>43996</v>
      </c>
      <c r="S24" s="24"/>
      <c r="U24" s="10"/>
      <c r="V24" s="30"/>
      <c r="W24" s="30"/>
    </row>
    <row r="25" spans="1:23" ht="15" customHeight="1" x14ac:dyDescent="0.2">
      <c r="C25" s="25">
        <f>IF(DAY(MajNed1)=1,IF(AND(YEAR(MajNed1+8)=KalendarskaGodina,MONTH(MajNed1+8)=5),MajNed1+8,""),IF(AND(YEAR(MajNed1+15)=KalendarskaGodina,MONTH(MajNed1+15)=5),MajNed1+15,""))</f>
        <v>43962</v>
      </c>
      <c r="D25" s="25">
        <f>IF(DAY(MajNed1)=1,IF(AND(YEAR(MajNed1+9)=KalendarskaGodina,MONTH(MajNed1+9)=5),MajNed1+9,""),IF(AND(YEAR(MajNed1+16)=KalendarskaGodina,MONTH(MajNed1+16)=5),MajNed1+16,""))</f>
        <v>43963</v>
      </c>
      <c r="E25" s="25">
        <f>IF(DAY(MajNed1)=1,IF(AND(YEAR(MajNed1+10)=KalendarskaGodina,MONTH(MajNed1+10)=5),MajNed1+10,""),IF(AND(YEAR(MajNed1+17)=KalendarskaGodina,MONTH(MajNed1+17)=5),MajNed1+17,""))</f>
        <v>43964</v>
      </c>
      <c r="F25" s="25">
        <f>IF(DAY(MajNed1)=1,IF(AND(YEAR(MajNed1+11)=KalendarskaGodina,MONTH(MajNed1+11)=5),MajNed1+11,""),IF(AND(YEAR(MajNed1+18)=KalendarskaGodina,MONTH(MajNed1+18)=5),MajNed1+18,""))</f>
        <v>43965</v>
      </c>
      <c r="G25" s="25">
        <f>IF(DAY(MajNed1)=1,IF(AND(YEAR(MajNed1+12)=KalendarskaGodina,MONTH(MajNed1+12)=5),MajNed1+12,""),IF(AND(YEAR(MajNed1+19)=KalendarskaGodina,MONTH(MajNed1+19)=5),MajNed1+19,""))</f>
        <v>43966</v>
      </c>
      <c r="H25" s="25">
        <f>IF(DAY(MajNed1)=1,IF(AND(YEAR(MajNed1+13)=KalendarskaGodina,MONTH(MajNed1+13)=5),MajNed1+13,""),IF(AND(YEAR(MajNed1+20)=KalendarskaGodina,MONTH(MajNed1+20)=5),MajNed1+20,""))</f>
        <v>43967</v>
      </c>
      <c r="I25" s="25">
        <f>IF(DAY(MajNed1)=1,IF(AND(YEAR(MajNed1+14)=KalendarskaGodina,MONTH(MajNed1+14)=5),MajNed1+14,""),IF(AND(YEAR(MajNed1+21)=KalendarskaGodina,MONTH(MajNed1+21)=5),MajNed1+21,""))</f>
        <v>43968</v>
      </c>
      <c r="J25" s="22"/>
      <c r="K25" s="25">
        <f>IF(DAY(JunNed1)=1,IF(AND(YEAR(JunNed1+8)=KalendarskaGodina,MONTH(JunNed1+8)=6),JunNed1+8,""),IF(AND(YEAR(JunNed1+15)=KalendarskaGodina,MONTH(JunNed1+15)=6),JunNed1+15,""))</f>
        <v>43997</v>
      </c>
      <c r="L25" s="25">
        <f>IF(DAY(JunNed1)=1,IF(AND(YEAR(JunNed1+9)=KalendarskaGodina,MONTH(JunNed1+9)=6),JunNed1+9,""),IF(AND(YEAR(JunNed1+16)=KalendarskaGodina,MONTH(JunNed1+16)=6),JunNed1+16,""))</f>
        <v>43998</v>
      </c>
      <c r="M25" s="25">
        <f>IF(DAY(JunNed1)=1,IF(AND(YEAR(JunNed1+10)=KalendarskaGodina,MONTH(JunNed1+10)=6),JunNed1+10,""),IF(AND(YEAR(JunNed1+17)=KalendarskaGodina,MONTH(JunNed1+17)=6),JunNed1+17,""))</f>
        <v>43999</v>
      </c>
      <c r="N25" s="25">
        <f>IF(DAY(JunNed1)=1,IF(AND(YEAR(JunNed1+11)=KalendarskaGodina,MONTH(JunNed1+11)=6),JunNed1+11,""),IF(AND(YEAR(JunNed1+18)=KalendarskaGodina,MONTH(JunNed1+18)=6),JunNed1+18,""))</f>
        <v>44000</v>
      </c>
      <c r="O25" s="25">
        <f>IF(DAY(JunNed1)=1,IF(AND(YEAR(JunNed1+12)=KalendarskaGodina,MONTH(JunNed1+12)=6),JunNed1+12,""),IF(AND(YEAR(JunNed1+19)=KalendarskaGodina,MONTH(JunNed1+19)=6),JunNed1+19,""))</f>
        <v>44001</v>
      </c>
      <c r="P25" s="25">
        <f>IF(DAY(JunNed1)=1,IF(AND(YEAR(JunNed1+13)=KalendarskaGodina,MONTH(JunNed1+13)=6),JunNed1+13,""),IF(AND(YEAR(JunNed1+20)=KalendarskaGodina,MONTH(JunNed1+20)=6),JunNed1+20,""))</f>
        <v>44002</v>
      </c>
      <c r="Q25" s="25">
        <f>IF(DAY(JunNed1)=1,IF(AND(YEAR(JunNed1+14)=KalendarskaGodina,MONTH(JunNed1+14)=6),JunNed1+14,""),IF(AND(YEAR(JunNed1+21)=KalendarskaGodina,MONTH(JunNed1+21)=6),JunNed1+21,""))</f>
        <v>44003</v>
      </c>
      <c r="S25" s="24"/>
      <c r="U25" s="3"/>
      <c r="V25" s="30"/>
      <c r="W25" s="30"/>
    </row>
    <row r="26" spans="1:23" ht="15" customHeight="1" x14ac:dyDescent="0.2">
      <c r="C26" s="25">
        <f>IF(DAY(MajNed1)=1,IF(AND(YEAR(MajNed1+15)=KalendarskaGodina,MONTH(MajNed1+15)=5),MajNed1+15,""),IF(AND(YEAR(MajNed1+22)=KalendarskaGodina,MONTH(MajNed1+22)=5),MajNed1+22,""))</f>
        <v>43969</v>
      </c>
      <c r="D26" s="25">
        <f>IF(DAY(MajNed1)=1,IF(AND(YEAR(MajNed1+16)=KalendarskaGodina,MONTH(MajNed1+16)=5),MajNed1+16,""),IF(AND(YEAR(MajNed1+23)=KalendarskaGodina,MONTH(MajNed1+23)=5),MajNed1+23,""))</f>
        <v>43970</v>
      </c>
      <c r="E26" s="25">
        <f>IF(DAY(MajNed1)=1,IF(AND(YEAR(MajNed1+17)=KalendarskaGodina,MONTH(MajNed1+17)=5),MajNed1+17,""),IF(AND(YEAR(MajNed1+24)=KalendarskaGodina,MONTH(MajNed1+24)=5),MajNed1+24,""))</f>
        <v>43971</v>
      </c>
      <c r="F26" s="25">
        <f>IF(DAY(MajNed1)=1,IF(AND(YEAR(MajNed1+18)=KalendarskaGodina,MONTH(MajNed1+18)=5),MajNed1+18,""),IF(AND(YEAR(MajNed1+25)=KalendarskaGodina,MONTH(MajNed1+25)=5),MajNed1+25,""))</f>
        <v>43972</v>
      </c>
      <c r="G26" s="25">
        <f>IF(DAY(MajNed1)=1,IF(AND(YEAR(MajNed1+19)=KalendarskaGodina,MONTH(MajNed1+19)=5),MajNed1+19,""),IF(AND(YEAR(MajNed1+26)=KalendarskaGodina,MONTH(MajNed1+26)=5),MajNed1+26,""))</f>
        <v>43973</v>
      </c>
      <c r="H26" s="25">
        <f>IF(DAY(MajNed1)=1,IF(AND(YEAR(MajNed1+20)=KalendarskaGodina,MONTH(MajNed1+20)=5),MajNed1+20,""),IF(AND(YEAR(MajNed1+27)=KalendarskaGodina,MONTH(MajNed1+27)=5),MajNed1+27,""))</f>
        <v>43974</v>
      </c>
      <c r="I26" s="25">
        <f>IF(DAY(MajNed1)=1,IF(AND(YEAR(MajNed1+21)=KalendarskaGodina,MONTH(MajNed1+21)=5),MajNed1+21,""),IF(AND(YEAR(MajNed1+28)=KalendarskaGodina,MONTH(MajNed1+28)=5),MajNed1+28,""))</f>
        <v>43975</v>
      </c>
      <c r="J26" s="22"/>
      <c r="K26" s="25">
        <f>IF(DAY(JunNed1)=1,IF(AND(YEAR(JunNed1+15)=KalendarskaGodina,MONTH(JunNed1+15)=6),JunNed1+15,""),IF(AND(YEAR(JunNed1+22)=KalendarskaGodina,MONTH(JunNed1+22)=6),JunNed1+22,""))</f>
        <v>44004</v>
      </c>
      <c r="L26" s="25">
        <f>IF(DAY(JunNed1)=1,IF(AND(YEAR(JunNed1+16)=KalendarskaGodina,MONTH(JunNed1+16)=6),JunNed1+16,""),IF(AND(YEAR(JunNed1+23)=KalendarskaGodina,MONTH(JunNed1+23)=6),JunNed1+23,""))</f>
        <v>44005</v>
      </c>
      <c r="M26" s="25">
        <f>IF(DAY(JunNed1)=1,IF(AND(YEAR(JunNed1+17)=KalendarskaGodina,MONTH(JunNed1+17)=6),JunNed1+17,""),IF(AND(YEAR(JunNed1+24)=KalendarskaGodina,MONTH(JunNed1+24)=6),JunNed1+24,""))</f>
        <v>44006</v>
      </c>
      <c r="N26" s="25">
        <f>IF(DAY(JunNed1)=1,IF(AND(YEAR(JunNed1+18)=KalendarskaGodina,MONTH(JunNed1+18)=6),JunNed1+18,""),IF(AND(YEAR(JunNed1+25)=KalendarskaGodina,MONTH(JunNed1+25)=6),JunNed1+25,""))</f>
        <v>44007</v>
      </c>
      <c r="O26" s="25">
        <f>IF(DAY(JunNed1)=1,IF(AND(YEAR(JunNed1+19)=KalendarskaGodina,MONTH(JunNed1+19)=6),JunNed1+19,""),IF(AND(YEAR(JunNed1+26)=KalendarskaGodina,MONTH(JunNed1+26)=6),JunNed1+26,""))</f>
        <v>44008</v>
      </c>
      <c r="P26" s="25">
        <f>IF(DAY(JunNed1)=1,IF(AND(YEAR(JunNed1+20)=KalendarskaGodina,MONTH(JunNed1+20)=6),JunNed1+20,""),IF(AND(YEAR(JunNed1+27)=KalendarskaGodina,MONTH(JunNed1+27)=6),JunNed1+27,""))</f>
        <v>44009</v>
      </c>
      <c r="Q26" s="25">
        <f>IF(DAY(JunNed1)=1,IF(AND(YEAR(JunNed1+21)=KalendarskaGodina,MONTH(JunNed1+21)=6),JunNed1+21,""),IF(AND(YEAR(JunNed1+28)=KalendarskaGodina,MONTH(JunNed1+28)=6),JunNed1+28,""))</f>
        <v>44010</v>
      </c>
      <c r="S26" s="24"/>
      <c r="U26" s="2"/>
      <c r="V26" s="30"/>
      <c r="W26" s="30"/>
    </row>
    <row r="27" spans="1:23" ht="15" customHeight="1" x14ac:dyDescent="0.2">
      <c r="C27" s="25">
        <f>IF(DAY(MajNed1)=1,IF(AND(YEAR(MajNed1+22)=KalendarskaGodina,MONTH(MajNed1+22)=5),MajNed1+22,""),IF(AND(YEAR(MajNed1+29)=KalendarskaGodina,MONTH(MajNed1+29)=5),MajNed1+29,""))</f>
        <v>43976</v>
      </c>
      <c r="D27" s="25">
        <f>IF(DAY(MajNed1)=1,IF(AND(YEAR(MajNed1+23)=KalendarskaGodina,MONTH(MajNed1+23)=5),MajNed1+23,""),IF(AND(YEAR(MajNed1+30)=KalendarskaGodina,MONTH(MajNed1+30)=5),MajNed1+30,""))</f>
        <v>43977</v>
      </c>
      <c r="E27" s="25">
        <f>IF(DAY(MajNed1)=1,IF(AND(YEAR(MajNed1+24)=KalendarskaGodina,MONTH(MajNed1+24)=5),MajNed1+24,""),IF(AND(YEAR(MajNed1+31)=KalendarskaGodina,MONTH(MajNed1+31)=5),MajNed1+31,""))</f>
        <v>43978</v>
      </c>
      <c r="F27" s="25">
        <f>IF(DAY(MajNed1)=1,IF(AND(YEAR(MajNed1+25)=KalendarskaGodina,MONTH(MajNed1+25)=5),MajNed1+25,""),IF(AND(YEAR(MajNed1+32)=KalendarskaGodina,MONTH(MajNed1+32)=5),MajNed1+32,""))</f>
        <v>43979</v>
      </c>
      <c r="G27" s="25">
        <f>IF(DAY(MajNed1)=1,IF(AND(YEAR(MajNed1+26)=KalendarskaGodina,MONTH(MajNed1+26)=5),MajNed1+26,""),IF(AND(YEAR(MajNed1+33)=KalendarskaGodina,MONTH(MajNed1+33)=5),MajNed1+33,""))</f>
        <v>43980</v>
      </c>
      <c r="H27" s="25">
        <f>IF(DAY(MajNed1)=1,IF(AND(YEAR(MajNed1+27)=KalendarskaGodina,MONTH(MajNed1+27)=5),MajNed1+27,""),IF(AND(YEAR(MajNed1+34)=KalendarskaGodina,MONTH(MajNed1+34)=5),MajNed1+34,""))</f>
        <v>43981</v>
      </c>
      <c r="I27" s="25">
        <f>IF(DAY(MajNed1)=1,IF(AND(YEAR(MajNed1+28)=KalendarskaGodina,MONTH(MajNed1+28)=5),MajNed1+28,""),IF(AND(YEAR(MajNed1+35)=KalendarskaGodina,MONTH(MajNed1+35)=5),MajNed1+35,""))</f>
        <v>43982</v>
      </c>
      <c r="J27" s="22"/>
      <c r="K27" s="25">
        <f>IF(DAY(JunNed1)=1,IF(AND(YEAR(JunNed1+22)=KalendarskaGodina,MONTH(JunNed1+22)=6),JunNed1+22,""),IF(AND(YEAR(JunNed1+29)=KalendarskaGodina,MONTH(JunNed1+29)=6),JunNed1+29,""))</f>
        <v>44011</v>
      </c>
      <c r="L27" s="25">
        <f>IF(DAY(JunNed1)=1,IF(AND(YEAR(JunNed1+23)=KalendarskaGodina,MONTH(JunNed1+23)=6),JunNed1+23,""),IF(AND(YEAR(JunNed1+30)=KalendarskaGodina,MONTH(JunNed1+30)=6),JunNed1+30,""))</f>
        <v>44012</v>
      </c>
      <c r="M27" s="25" t="str">
        <f>IF(DAY(JunNed1)=1,IF(AND(YEAR(JunNed1+24)=KalendarskaGodina,MONTH(JunNed1+24)=6),JunNed1+24,""),IF(AND(YEAR(JunNed1+31)=KalendarskaGodina,MONTH(JunNed1+31)=6),JunNed1+31,""))</f>
        <v/>
      </c>
      <c r="N27" s="25" t="str">
        <f>IF(DAY(JunNed1)=1,IF(AND(YEAR(JunNed1+25)=KalendarskaGodina,MONTH(JunNed1+25)=6),JunNed1+25,""),IF(AND(YEAR(JunNed1+32)=KalendarskaGodina,MONTH(JunNed1+32)=6),JunNed1+32,""))</f>
        <v/>
      </c>
      <c r="O27" s="25" t="str">
        <f>IF(DAY(JunNed1)=1,IF(AND(YEAR(JunNed1+26)=KalendarskaGodina,MONTH(JunNed1+26)=6),JunNed1+26,""),IF(AND(YEAR(JunNed1+33)=KalendarskaGodina,MONTH(JunNed1+33)=6),JunNed1+33,""))</f>
        <v/>
      </c>
      <c r="P27" s="25" t="str">
        <f>IF(DAY(JunNed1)=1,IF(AND(YEAR(JunNed1+27)=KalendarskaGodina,MONTH(JunNed1+27)=6),JunNed1+27,""),IF(AND(YEAR(JunNed1+34)=KalendarskaGodina,MONTH(JunNed1+34)=6),JunNed1+34,""))</f>
        <v/>
      </c>
      <c r="Q27" s="25" t="str">
        <f>IF(DAY(JunNed1)=1,IF(AND(YEAR(JunNed1+28)=KalendarskaGodina,MONTH(JunNed1+28)=6),JunNed1+28,""),IF(AND(YEAR(JunNed1+35)=KalendarskaGodina,MONTH(JunNed1+35)=6),JunNed1+35,""))</f>
        <v/>
      </c>
      <c r="S27" s="24"/>
      <c r="U27" s="10"/>
      <c r="V27" s="30"/>
      <c r="W27" s="30"/>
    </row>
    <row r="28" spans="1:23" ht="15" customHeight="1" x14ac:dyDescent="0.2">
      <c r="C28" s="25" t="str">
        <f>IF(DAY(MajNed1)=1,IF(AND(YEAR(MajNed1+29)=KalendarskaGodina,MONTH(MajNed1+29)=5),MajNed1+29,""),IF(AND(YEAR(MajNed1+36)=KalendarskaGodina,MONTH(MajNed1+36)=5),MajNed1+36,""))</f>
        <v/>
      </c>
      <c r="D28" s="25" t="str">
        <f>IF(DAY(MajNed1)=1,IF(AND(YEAR(MajNed1+30)=KalendarskaGodina,MONTH(MajNed1+30)=5),MajNed1+30,""),IF(AND(YEAR(MajNed1+37)=KalendarskaGodina,MONTH(MajNed1+37)=5),MajNed1+37,""))</f>
        <v/>
      </c>
      <c r="E28" s="25" t="str">
        <f>IF(DAY(MajNed1)=1,IF(AND(YEAR(MajNed1+31)=KalendarskaGodina,MONTH(MajNed1+31)=5),MajNed1+31,""),IF(AND(YEAR(MajNed1+38)=KalendarskaGodina,MONTH(MajNed1+38)=5),MajNed1+38,""))</f>
        <v/>
      </c>
      <c r="F28" s="25" t="str">
        <f>IF(DAY(MajNed1)=1,IF(AND(YEAR(MajNed1+32)=KalendarskaGodina,MONTH(MajNed1+32)=5),MajNed1+32,""),IF(AND(YEAR(MajNed1+39)=KalendarskaGodina,MONTH(MajNed1+39)=5),MajNed1+39,""))</f>
        <v/>
      </c>
      <c r="G28" s="25" t="str">
        <f>IF(DAY(MajNed1)=1,IF(AND(YEAR(MajNed1+33)=KalendarskaGodina,MONTH(MajNed1+33)=5),MajNed1+33,""),IF(AND(YEAR(MajNed1+40)=KalendarskaGodina,MONTH(MajNed1+40)=5),MajNed1+40,""))</f>
        <v/>
      </c>
      <c r="H28" s="25" t="str">
        <f>IF(DAY(MajNed1)=1,IF(AND(YEAR(MajNed1+34)=KalendarskaGodina,MONTH(MajNed1+34)=5),MajNed1+34,""),IF(AND(YEAR(MajNed1+41)=KalendarskaGodina,MONTH(MajNed1+41)=5),MajNed1+41,""))</f>
        <v/>
      </c>
      <c r="I28" s="25" t="str">
        <f>IF(DAY(MajNed1)=1,IF(AND(YEAR(MajNed1+35)=KalendarskaGodina,MONTH(MajNed1+35)=5),MajNed1+35,""),IF(AND(YEAR(MajNed1+42)=KalendarskaGodina,MONTH(MajNed1+42)=5),MajNed1+42,""))</f>
        <v/>
      </c>
      <c r="J28" s="22"/>
      <c r="K28" s="25" t="str">
        <f>IF(DAY(JunNed1)=1,IF(AND(YEAR(JunNed1+29)=KalendarskaGodina,MONTH(JunNed1+29)=6),JunNed1+29,""),IF(AND(YEAR(JunNed1+36)=KalendarskaGodina,MONTH(JunNed1+36)=6),JunNed1+36,""))</f>
        <v/>
      </c>
      <c r="L28" s="25" t="str">
        <f>IF(DAY(JunNed1)=1,IF(AND(YEAR(JunNed1+30)=KalendarskaGodina,MONTH(JunNed1+30)=6),JunNed1+30,""),IF(AND(YEAR(JunNed1+37)=KalendarskaGodina,MONTH(JunNed1+37)=6),JunNed1+37,""))</f>
        <v/>
      </c>
      <c r="M28" s="25" t="str">
        <f>IF(DAY(JunNed1)=1,IF(AND(YEAR(JunNed1+31)=KalendarskaGodina,MONTH(JunNed1+31)=6),JunNed1+31,""),IF(AND(YEAR(JunNed1+38)=KalendarskaGodina,MONTH(JunNed1+38)=6),JunNed1+38,""))</f>
        <v/>
      </c>
      <c r="N28" s="25" t="str">
        <f>IF(DAY(JunNed1)=1,IF(AND(YEAR(JunNed1+32)=KalendarskaGodina,MONTH(JunNed1+32)=6),JunNed1+32,""),IF(AND(YEAR(JunNed1+39)=KalendarskaGodina,MONTH(JunNed1+39)=6),JunNed1+39,""))</f>
        <v/>
      </c>
      <c r="O28" s="25" t="str">
        <f>IF(DAY(JunNed1)=1,IF(AND(YEAR(JunNed1+33)=KalendarskaGodina,MONTH(JunNed1+33)=6),JunNed1+33,""),IF(AND(YEAR(JunNed1+40)=KalendarskaGodina,MONTH(JunNed1+40)=6),JunNed1+40,""))</f>
        <v/>
      </c>
      <c r="P28" s="25" t="str">
        <f>IF(DAY(JunNed1)=1,IF(AND(YEAR(JunNed1+34)=KalendarskaGodina,MONTH(JunNed1+34)=6),JunNed1+34,""),IF(AND(YEAR(JunNed1+41)=KalendarskaGodina,MONTH(JunNed1+41)=6),JunNed1+41,""))</f>
        <v/>
      </c>
      <c r="Q28" s="25" t="str">
        <f>IF(DAY(JunNed1)=1,IF(AND(YEAR(JunNed1+35)=KalendarskaGodina,MONTH(JunNed1+35)=6),JunNed1+35,""),IF(AND(YEAR(JunNed1+42)=KalendarskaGodina,MONTH(JunNed1+42)=6),JunNed1+42,""))</f>
        <v/>
      </c>
      <c r="S28" s="24"/>
      <c r="U28" s="3"/>
      <c r="V28" s="30"/>
      <c r="W28" s="30"/>
    </row>
    <row r="29" spans="1:23" ht="15" customHeight="1" x14ac:dyDescent="0.2">
      <c r="J29" s="22"/>
      <c r="S29" s="24"/>
      <c r="U29" s="2"/>
      <c r="V29" s="30"/>
      <c r="W29" s="30"/>
    </row>
    <row r="30" spans="1:23" ht="15" customHeight="1" x14ac:dyDescent="0.2">
      <c r="A30" s="18" t="s">
        <v>15</v>
      </c>
      <c r="C30" s="27" t="s">
        <v>29</v>
      </c>
      <c r="D30" s="27"/>
      <c r="E30" s="27"/>
      <c r="F30" s="27"/>
      <c r="G30" s="27"/>
      <c r="H30" s="27"/>
      <c r="I30" s="27"/>
      <c r="J30" s="22"/>
      <c r="K30" s="27" t="s">
        <v>36</v>
      </c>
      <c r="L30" s="27"/>
      <c r="M30" s="27"/>
      <c r="N30" s="27"/>
      <c r="O30" s="27"/>
      <c r="P30" s="27"/>
      <c r="Q30" s="27"/>
      <c r="S30" s="24"/>
      <c r="U30" s="10"/>
      <c r="V30" s="30"/>
      <c r="W30" s="30"/>
    </row>
    <row r="31" spans="1:23" ht="15" customHeight="1" x14ac:dyDescent="0.2">
      <c r="A31" s="18" t="s">
        <v>16</v>
      </c>
      <c r="C31" s="11" t="s">
        <v>52</v>
      </c>
      <c r="D31" s="11" t="s">
        <v>53</v>
      </c>
      <c r="E31" s="11" t="s">
        <v>32</v>
      </c>
      <c r="F31" s="11" t="s">
        <v>54</v>
      </c>
      <c r="G31" s="11" t="s">
        <v>55</v>
      </c>
      <c r="H31" s="11" t="s">
        <v>56</v>
      </c>
      <c r="I31" s="11" t="s">
        <v>57</v>
      </c>
      <c r="J31" s="22"/>
      <c r="K31" s="11" t="s">
        <v>52</v>
      </c>
      <c r="L31" s="11" t="s">
        <v>53</v>
      </c>
      <c r="M31" s="11" t="s">
        <v>32</v>
      </c>
      <c r="N31" s="11" t="s">
        <v>54</v>
      </c>
      <c r="O31" s="11" t="s">
        <v>55</v>
      </c>
      <c r="P31" s="11" t="s">
        <v>56</v>
      </c>
      <c r="Q31" s="11" t="s">
        <v>57</v>
      </c>
      <c r="S31" s="24"/>
      <c r="U31" s="3"/>
      <c r="V31" s="30"/>
      <c r="W31" s="30"/>
    </row>
    <row r="32" spans="1:23" ht="15" customHeight="1" x14ac:dyDescent="0.2">
      <c r="A32" s="18"/>
      <c r="C32" s="25" t="str">
        <f>IF(DAY(JulNed1)=1,"",IF(AND(YEAR(JulNed1+1)=KalendarskaGodina,MONTH(JulNed1+1)=7),JulNed1+1,""))</f>
        <v/>
      </c>
      <c r="D32" s="25" t="str">
        <f>IF(DAY(JulNed1)=1,"",IF(AND(YEAR(JulNed1+2)=KalendarskaGodina,MONTH(JulNed1+2)=7),JulNed1+2,""))</f>
        <v/>
      </c>
      <c r="E32" s="25">
        <f>IF(DAY(JulNed1)=1,"",IF(AND(YEAR(JulNed1+3)=KalendarskaGodina,MONTH(JulNed1+3)=7),JulNed1+3,""))</f>
        <v>44013</v>
      </c>
      <c r="F32" s="25">
        <f>IF(DAY(JulNed1)=1,"",IF(AND(YEAR(JulNed1+4)=KalendarskaGodina,MONTH(JulNed1+4)=7),JulNed1+4,""))</f>
        <v>44014</v>
      </c>
      <c r="G32" s="25">
        <f>IF(DAY(JulNed1)=1,"",IF(AND(YEAR(JulNed1+5)=KalendarskaGodina,MONTH(JulNed1+5)=7),JulNed1+5,""))</f>
        <v>44015</v>
      </c>
      <c r="H32" s="25">
        <f>IF(DAY(JulNed1)=1,"",IF(AND(YEAR(JulNed1+6)=KalendarskaGodina,MONTH(JulNed1+6)=7),JulNed1+6,""))</f>
        <v>44016</v>
      </c>
      <c r="I32" s="25">
        <f>IF(DAY(JulNed1)=1,IF(AND(YEAR(JulNed1)=KalendarskaGodina,MONTH(JulNed1)=7),JulNed1,""),IF(AND(YEAR(JulNed1+7)=KalendarskaGodina,MONTH(JulNed1+7)=7),JulNed1+7,""))</f>
        <v>44017</v>
      </c>
      <c r="K32" s="25" t="str">
        <f>IF(DAY(AvgNed1)=1,"",IF(AND(YEAR(AvgNed1+1)=KalendarskaGodina,MONTH(AvgNed1+1)=8),AvgNed1+1,""))</f>
        <v/>
      </c>
      <c r="L32" s="25" t="str">
        <f>IF(DAY(AvgNed1)=1,"",IF(AND(YEAR(AvgNed1+2)=KalendarskaGodina,MONTH(AvgNed1+2)=8),AvgNed1+2,""))</f>
        <v/>
      </c>
      <c r="M32" s="25" t="str">
        <f>IF(DAY(AvgNed1)=1,"",IF(AND(YEAR(AvgNed1+3)=KalendarskaGodina,MONTH(AvgNed1+3)=8),AvgNed1+3,""))</f>
        <v/>
      </c>
      <c r="N32" s="25" t="str">
        <f>IF(DAY(AvgNed1)=1,"",IF(AND(YEAR(AvgNed1+4)=KalendarskaGodina,MONTH(AvgNed1+4)=8),AvgNed1+4,""))</f>
        <v/>
      </c>
      <c r="O32" s="25" t="str">
        <f>IF(DAY(AvgNed1)=1,"",IF(AND(YEAR(AvgNed1+5)=KalendarskaGodina,MONTH(AvgNed1+5)=8),AvgNed1+5,""))</f>
        <v/>
      </c>
      <c r="P32" s="25">
        <f>IF(DAY(AvgNed1)=1,"",IF(AND(YEAR(AvgNed1+6)=KalendarskaGodina,MONTH(AvgNed1+6)=8),AvgNed1+6,""))</f>
        <v>44044</v>
      </c>
      <c r="Q32" s="25">
        <f>IF(DAY(AvgNed1)=1,IF(AND(YEAR(AvgNed1)=KalendarskaGodina,MONTH(AvgNed1)=8),AvgNed1,""),IF(AND(YEAR(AvgNed1+7)=KalendarskaGodina,MONTH(AvgNed1+7)=8),AvgNed1+7,""))</f>
        <v>44045</v>
      </c>
      <c r="S32" s="24"/>
      <c r="U32" s="2"/>
      <c r="V32" s="30"/>
      <c r="W32" s="30"/>
    </row>
    <row r="33" spans="1:23" ht="15" customHeight="1" x14ac:dyDescent="0.2">
      <c r="A33" s="18"/>
      <c r="C33" s="25">
        <f>IF(DAY(JulNed1)=1,IF(AND(YEAR(JulNed1+1)=KalendarskaGodina,MONTH(JulNed1+1)=7),JulNed1+1,""),IF(AND(YEAR(JulNed1+8)=KalendarskaGodina,MONTH(JulNed1+8)=7),JulNed1+8,""))</f>
        <v>44018</v>
      </c>
      <c r="D33" s="25">
        <f>IF(DAY(JulNed1)=1,IF(AND(YEAR(JulNed1+2)=KalendarskaGodina,MONTH(JulNed1+2)=7),JulNed1+2,""),IF(AND(YEAR(JulNed1+9)=KalendarskaGodina,MONTH(JulNed1+9)=7),JulNed1+9,""))</f>
        <v>44019</v>
      </c>
      <c r="E33" s="25">
        <f>IF(DAY(JulNed1)=1,IF(AND(YEAR(JulNed1+3)=KalendarskaGodina,MONTH(JulNed1+3)=7),JulNed1+3,""),IF(AND(YEAR(JulNed1+10)=KalendarskaGodina,MONTH(JulNed1+10)=7),JulNed1+10,""))</f>
        <v>44020</v>
      </c>
      <c r="F33" s="25">
        <f>IF(DAY(JulNed1)=1,IF(AND(YEAR(JulNed1+4)=KalendarskaGodina,MONTH(JulNed1+4)=7),JulNed1+4,""),IF(AND(YEAR(JulNed1+11)=KalendarskaGodina,MONTH(JulNed1+11)=7),JulNed1+11,""))</f>
        <v>44021</v>
      </c>
      <c r="G33" s="25">
        <f>IF(DAY(JulNed1)=1,IF(AND(YEAR(JulNed1+5)=KalendarskaGodina,MONTH(JulNed1+5)=7),JulNed1+5,""),IF(AND(YEAR(JulNed1+12)=KalendarskaGodina,MONTH(JulNed1+12)=7),JulNed1+12,""))</f>
        <v>44022</v>
      </c>
      <c r="H33" s="25">
        <f>IF(DAY(JulNed1)=1,IF(AND(YEAR(JulNed1+6)=KalendarskaGodina,MONTH(JulNed1+6)=7),JulNed1+6,""),IF(AND(YEAR(JulNed1+13)=KalendarskaGodina,MONTH(JulNed1+13)=7),JulNed1+13,""))</f>
        <v>44023</v>
      </c>
      <c r="I33" s="25">
        <f>IF(DAY(JulNed1)=1,IF(AND(YEAR(JulNed1+7)=KalendarskaGodina,MONTH(JulNed1+7)=7),JulNed1+7,""),IF(AND(YEAR(JulNed1+14)=KalendarskaGodina,MONTH(JulNed1+14)=7),JulNed1+14,""))</f>
        <v>44024</v>
      </c>
      <c r="K33" s="25">
        <f>IF(DAY(AvgNed1)=1,IF(AND(YEAR(AvgNed1+1)=KalendarskaGodina,MONTH(AvgNed1+1)=8),AvgNed1+1,""),IF(AND(YEAR(AvgNed1+8)=KalendarskaGodina,MONTH(AvgNed1+8)=8),AvgNed1+8,""))</f>
        <v>44046</v>
      </c>
      <c r="L33" s="25">
        <f>IF(DAY(AvgNed1)=1,IF(AND(YEAR(AvgNed1+2)=KalendarskaGodina,MONTH(AvgNed1+2)=8),AvgNed1+2,""),IF(AND(YEAR(AvgNed1+9)=KalendarskaGodina,MONTH(AvgNed1+9)=8),AvgNed1+9,""))</f>
        <v>44047</v>
      </c>
      <c r="M33" s="25">
        <f>IF(DAY(AvgNed1)=1,IF(AND(YEAR(AvgNed1+3)=KalendarskaGodina,MONTH(AvgNed1+3)=8),AvgNed1+3,""),IF(AND(YEAR(AvgNed1+10)=KalendarskaGodina,MONTH(AvgNed1+10)=8),AvgNed1+10,""))</f>
        <v>44048</v>
      </c>
      <c r="N33" s="25">
        <f>IF(DAY(AvgNed1)=1,IF(AND(YEAR(AvgNed1+4)=KalendarskaGodina,MONTH(AvgNed1+4)=8),AvgNed1+4,""),IF(AND(YEAR(AvgNed1+11)=KalendarskaGodina,MONTH(AvgNed1+11)=8),AvgNed1+11,""))</f>
        <v>44049</v>
      </c>
      <c r="O33" s="25">
        <f>IF(DAY(AvgNed1)=1,IF(AND(YEAR(AvgNed1+5)=KalendarskaGodina,MONTH(AvgNed1+5)=8),AvgNed1+5,""),IF(AND(YEAR(AvgNed1+12)=KalendarskaGodina,MONTH(AvgNed1+12)=8),AvgNed1+12,""))</f>
        <v>44050</v>
      </c>
      <c r="P33" s="25">
        <f>IF(DAY(AvgNed1)=1,IF(AND(YEAR(AvgNed1+6)=KalendarskaGodina,MONTH(AvgNed1+6)=8),AvgNed1+6,""),IF(AND(YEAR(AvgNed1+13)=KalendarskaGodina,MONTH(AvgNed1+13)=8),AvgNed1+13,""))</f>
        <v>44051</v>
      </c>
      <c r="Q33" s="25">
        <f>IF(DAY(AvgNed1)=1,IF(AND(YEAR(AvgNed1+7)=KalendarskaGodina,MONTH(AvgNed1+7)=8),AvgNed1+7,""),IF(AND(YEAR(AvgNed1+14)=KalendarskaGodina,MONTH(AvgNed1+14)=8),AvgNed1+14,""))</f>
        <v>44052</v>
      </c>
      <c r="S33" s="24"/>
      <c r="U33" s="10"/>
      <c r="V33" s="30"/>
      <c r="W33" s="30"/>
    </row>
    <row r="34" spans="1:23" ht="15" customHeight="1" x14ac:dyDescent="0.2">
      <c r="C34" s="25">
        <f>IF(DAY(JulNed1)=1,IF(AND(YEAR(JulNed1+8)=KalendarskaGodina,MONTH(JulNed1+8)=7),JulNed1+8,""),IF(AND(YEAR(JulNed1+15)=KalendarskaGodina,MONTH(JulNed1+15)=7),JulNed1+15,""))</f>
        <v>44025</v>
      </c>
      <c r="D34" s="25">
        <f>IF(DAY(JulNed1)=1,IF(AND(YEAR(JulNed1+9)=KalendarskaGodina,MONTH(JulNed1+9)=7),JulNed1+9,""),IF(AND(YEAR(JulNed1+16)=KalendarskaGodina,MONTH(JulNed1+16)=7),JulNed1+16,""))</f>
        <v>44026</v>
      </c>
      <c r="E34" s="25">
        <f>IF(DAY(JulNed1)=1,IF(AND(YEAR(JulNed1+10)=KalendarskaGodina,MONTH(JulNed1+10)=7),JulNed1+10,""),IF(AND(YEAR(JulNed1+17)=KalendarskaGodina,MONTH(JulNed1+17)=7),JulNed1+17,""))</f>
        <v>44027</v>
      </c>
      <c r="F34" s="25">
        <f>IF(DAY(JulNed1)=1,IF(AND(YEAR(JulNed1+11)=KalendarskaGodina,MONTH(JulNed1+11)=7),JulNed1+11,""),IF(AND(YEAR(JulNed1+18)=KalendarskaGodina,MONTH(JulNed1+18)=7),JulNed1+18,""))</f>
        <v>44028</v>
      </c>
      <c r="G34" s="25">
        <f>IF(DAY(JulNed1)=1,IF(AND(YEAR(JulNed1+12)=KalendarskaGodina,MONTH(JulNed1+12)=7),JulNed1+12,""),IF(AND(YEAR(JulNed1+19)=KalendarskaGodina,MONTH(JulNed1+19)=7),JulNed1+19,""))</f>
        <v>44029</v>
      </c>
      <c r="H34" s="25">
        <f>IF(DAY(JulNed1)=1,IF(AND(YEAR(JulNed1+13)=KalendarskaGodina,MONTH(JulNed1+13)=7),JulNed1+13,""),IF(AND(YEAR(JulNed1+20)=KalendarskaGodina,MONTH(JulNed1+20)=7),JulNed1+20,""))</f>
        <v>44030</v>
      </c>
      <c r="I34" s="25">
        <f>IF(DAY(JulNed1)=1,IF(AND(YEAR(JulNed1+14)=KalendarskaGodina,MONTH(JulNed1+14)=7),JulNed1+14,""),IF(AND(YEAR(JulNed1+21)=KalendarskaGodina,MONTH(JulNed1+21)=7),JulNed1+21,""))</f>
        <v>44031</v>
      </c>
      <c r="K34" s="25">
        <f>IF(DAY(AvgNed1)=1,IF(AND(YEAR(AvgNed1+8)=KalendarskaGodina,MONTH(AvgNed1+8)=8),AvgNed1+8,""),IF(AND(YEAR(AvgNed1+15)=KalendarskaGodina,MONTH(AvgNed1+15)=8),AvgNed1+15,""))</f>
        <v>44053</v>
      </c>
      <c r="L34" s="25">
        <f>IF(DAY(AvgNed1)=1,IF(AND(YEAR(AvgNed1+9)=KalendarskaGodina,MONTH(AvgNed1+9)=8),AvgNed1+9,""),IF(AND(YEAR(AvgNed1+16)=KalendarskaGodina,MONTH(AvgNed1+16)=8),AvgNed1+16,""))</f>
        <v>44054</v>
      </c>
      <c r="M34" s="25">
        <f>IF(DAY(AvgNed1)=1,IF(AND(YEAR(AvgNed1+10)=KalendarskaGodina,MONTH(AvgNed1+10)=8),AvgNed1+10,""),IF(AND(YEAR(AvgNed1+17)=KalendarskaGodina,MONTH(AvgNed1+17)=8),AvgNed1+17,""))</f>
        <v>44055</v>
      </c>
      <c r="N34" s="25">
        <f>IF(DAY(AvgNed1)=1,IF(AND(YEAR(AvgNed1+11)=KalendarskaGodina,MONTH(AvgNed1+11)=8),AvgNed1+11,""),IF(AND(YEAR(AvgNed1+18)=KalendarskaGodina,MONTH(AvgNed1+18)=8),AvgNed1+18,""))</f>
        <v>44056</v>
      </c>
      <c r="O34" s="25">
        <f>IF(DAY(AvgNed1)=1,IF(AND(YEAR(AvgNed1+12)=KalendarskaGodina,MONTH(AvgNed1+12)=8),AvgNed1+12,""),IF(AND(YEAR(AvgNed1+19)=KalendarskaGodina,MONTH(AvgNed1+19)=8),AvgNed1+19,""))</f>
        <v>44057</v>
      </c>
      <c r="P34" s="25">
        <f>IF(DAY(AvgNed1)=1,IF(AND(YEAR(AvgNed1+13)=KalendarskaGodina,MONTH(AvgNed1+13)=8),AvgNed1+13,""),IF(AND(YEAR(AvgNed1+20)=KalendarskaGodina,MONTH(AvgNed1+20)=8),AvgNed1+20,""))</f>
        <v>44058</v>
      </c>
      <c r="Q34" s="25">
        <f>IF(DAY(AvgNed1)=1,IF(AND(YEAR(AvgNed1+14)=KalendarskaGodina,MONTH(AvgNed1+14)=8),AvgNed1+14,""),IF(AND(YEAR(AvgNed1+21)=KalendarskaGodina,MONTH(AvgNed1+21)=8),AvgNed1+21,""))</f>
        <v>44059</v>
      </c>
      <c r="S34" s="24"/>
      <c r="U34" s="3"/>
      <c r="V34" s="30"/>
      <c r="W34" s="30"/>
    </row>
    <row r="35" spans="1:23" ht="15" customHeight="1" x14ac:dyDescent="0.2">
      <c r="C35" s="25">
        <f>IF(DAY(JulNed1)=1,IF(AND(YEAR(JulNed1+15)=KalendarskaGodina,MONTH(JulNed1+15)=7),JulNed1+15,""),IF(AND(YEAR(JulNed1+22)=KalendarskaGodina,MONTH(JulNed1+22)=7),JulNed1+22,""))</f>
        <v>44032</v>
      </c>
      <c r="D35" s="25">
        <f>IF(DAY(JulNed1)=1,IF(AND(YEAR(JulNed1+16)=KalendarskaGodina,MONTH(JulNed1+16)=7),JulNed1+16,""),IF(AND(YEAR(JulNed1+23)=KalendarskaGodina,MONTH(JulNed1+23)=7),JulNed1+23,""))</f>
        <v>44033</v>
      </c>
      <c r="E35" s="25">
        <f>IF(DAY(JulNed1)=1,IF(AND(YEAR(JulNed1+17)=KalendarskaGodina,MONTH(JulNed1+17)=7),JulNed1+17,""),IF(AND(YEAR(JulNed1+24)=KalendarskaGodina,MONTH(JulNed1+24)=7),JulNed1+24,""))</f>
        <v>44034</v>
      </c>
      <c r="F35" s="25">
        <f>IF(DAY(JulNed1)=1,IF(AND(YEAR(JulNed1+18)=KalendarskaGodina,MONTH(JulNed1+18)=7),JulNed1+18,""),IF(AND(YEAR(JulNed1+25)=KalendarskaGodina,MONTH(JulNed1+25)=7),JulNed1+25,""))</f>
        <v>44035</v>
      </c>
      <c r="G35" s="25">
        <f>IF(DAY(JulNed1)=1,IF(AND(YEAR(JulNed1+19)=KalendarskaGodina,MONTH(JulNed1+19)=7),JulNed1+19,""),IF(AND(YEAR(JulNed1+26)=KalendarskaGodina,MONTH(JulNed1+26)=7),JulNed1+26,""))</f>
        <v>44036</v>
      </c>
      <c r="H35" s="25">
        <f>IF(DAY(JulNed1)=1,IF(AND(YEAR(JulNed1+20)=KalendarskaGodina,MONTH(JulNed1+20)=7),JulNed1+20,""),IF(AND(YEAR(JulNed1+27)=KalendarskaGodina,MONTH(JulNed1+27)=7),JulNed1+27,""))</f>
        <v>44037</v>
      </c>
      <c r="I35" s="25">
        <f>IF(DAY(JulNed1)=1,IF(AND(YEAR(JulNed1+21)=KalendarskaGodina,MONTH(JulNed1+21)=7),JulNed1+21,""),IF(AND(YEAR(JulNed1+28)=KalendarskaGodina,MONTH(JulNed1+28)=7),JulNed1+28,""))</f>
        <v>44038</v>
      </c>
      <c r="K35" s="25">
        <f>IF(DAY(AvgNed1)=1,IF(AND(YEAR(AvgNed1+15)=KalendarskaGodina,MONTH(AvgNed1+15)=8),AvgNed1+15,""),IF(AND(YEAR(AvgNed1+22)=KalendarskaGodina,MONTH(AvgNed1+22)=8),AvgNed1+22,""))</f>
        <v>44060</v>
      </c>
      <c r="L35" s="25">
        <f>IF(DAY(AvgNed1)=1,IF(AND(YEAR(AvgNed1+16)=KalendarskaGodina,MONTH(AvgNed1+16)=8),AvgNed1+16,""),IF(AND(YEAR(AvgNed1+23)=KalendarskaGodina,MONTH(AvgNed1+23)=8),AvgNed1+23,""))</f>
        <v>44061</v>
      </c>
      <c r="M35" s="25">
        <f>IF(DAY(AvgNed1)=1,IF(AND(YEAR(AvgNed1+17)=KalendarskaGodina,MONTH(AvgNed1+17)=8),AvgNed1+17,""),IF(AND(YEAR(AvgNed1+24)=KalendarskaGodina,MONTH(AvgNed1+24)=8),AvgNed1+24,""))</f>
        <v>44062</v>
      </c>
      <c r="N35" s="25">
        <f>IF(DAY(AvgNed1)=1,IF(AND(YEAR(AvgNed1+18)=KalendarskaGodina,MONTH(AvgNed1+18)=8),AvgNed1+18,""),IF(AND(YEAR(AvgNed1+25)=KalendarskaGodina,MONTH(AvgNed1+25)=8),AvgNed1+25,""))</f>
        <v>44063</v>
      </c>
      <c r="O35" s="25">
        <f>IF(DAY(AvgNed1)=1,IF(AND(YEAR(AvgNed1+19)=KalendarskaGodina,MONTH(AvgNed1+19)=8),AvgNed1+19,""),IF(AND(YEAR(AvgNed1+26)=KalendarskaGodina,MONTH(AvgNed1+26)=8),AvgNed1+26,""))</f>
        <v>44064</v>
      </c>
      <c r="P35" s="25">
        <f>IF(DAY(AvgNed1)=1,IF(AND(YEAR(AvgNed1+20)=KalendarskaGodina,MONTH(AvgNed1+20)=8),AvgNed1+20,""),IF(AND(YEAR(AvgNed1+27)=KalendarskaGodina,MONTH(AvgNed1+27)=8),AvgNed1+27,""))</f>
        <v>44065</v>
      </c>
      <c r="Q35" s="25">
        <f>IF(DAY(AvgNed1)=1,IF(AND(YEAR(AvgNed1+21)=KalendarskaGodina,MONTH(AvgNed1+21)=8),AvgNed1+21,""),IF(AND(YEAR(AvgNed1+28)=KalendarskaGodina,MONTH(AvgNed1+28)=8),AvgNed1+28,""))</f>
        <v>44066</v>
      </c>
      <c r="S35" s="24"/>
      <c r="U35" s="2"/>
      <c r="V35" s="30"/>
      <c r="W35" s="30"/>
    </row>
    <row r="36" spans="1:23" ht="15" customHeight="1" x14ac:dyDescent="0.2">
      <c r="C36" s="25">
        <f>IF(DAY(JulNed1)=1,IF(AND(YEAR(JulNed1+22)=KalendarskaGodina,MONTH(JulNed1+22)=7),JulNed1+22,""),IF(AND(YEAR(JulNed1+29)=KalendarskaGodina,MONTH(JulNed1+29)=7),JulNed1+29,""))</f>
        <v>44039</v>
      </c>
      <c r="D36" s="25">
        <f>IF(DAY(JulNed1)=1,IF(AND(YEAR(JulNed1+23)=KalendarskaGodina,MONTH(JulNed1+23)=7),JulNed1+23,""),IF(AND(YEAR(JulNed1+30)=KalendarskaGodina,MONTH(JulNed1+30)=7),JulNed1+30,""))</f>
        <v>44040</v>
      </c>
      <c r="E36" s="25">
        <f>IF(DAY(JulNed1)=1,IF(AND(YEAR(JulNed1+24)=KalendarskaGodina,MONTH(JulNed1+24)=7),JulNed1+24,""),IF(AND(YEAR(JulNed1+31)=KalendarskaGodina,MONTH(JulNed1+31)=7),JulNed1+31,""))</f>
        <v>44041</v>
      </c>
      <c r="F36" s="25">
        <f>IF(DAY(JulNed1)=1,IF(AND(YEAR(JulNed1+25)=KalendarskaGodina,MONTH(JulNed1+25)=7),JulNed1+25,""),IF(AND(YEAR(JulNed1+32)=KalendarskaGodina,MONTH(JulNed1+32)=7),JulNed1+32,""))</f>
        <v>44042</v>
      </c>
      <c r="G36" s="25">
        <f>IF(DAY(JulNed1)=1,IF(AND(YEAR(JulNed1+26)=KalendarskaGodina,MONTH(JulNed1+26)=7),JulNed1+26,""),IF(AND(YEAR(JulNed1+33)=KalendarskaGodina,MONTH(JulNed1+33)=7),JulNed1+33,""))</f>
        <v>44043</v>
      </c>
      <c r="H36" s="25" t="str">
        <f>IF(DAY(JulNed1)=1,IF(AND(YEAR(JulNed1+27)=KalendarskaGodina,MONTH(JulNed1+27)=7),JulNed1+27,""),IF(AND(YEAR(JulNed1+34)=KalendarskaGodina,MONTH(JulNed1+34)=7),JulNed1+34,""))</f>
        <v/>
      </c>
      <c r="I36" s="25" t="str">
        <f>IF(DAY(JulNed1)=1,IF(AND(YEAR(JulNed1+28)=KalendarskaGodina,MONTH(JulNed1+28)=7),JulNed1+28,""),IF(AND(YEAR(JulNed1+35)=KalendarskaGodina,MONTH(JulNed1+35)=7),JulNed1+35,""))</f>
        <v/>
      </c>
      <c r="K36" s="25">
        <f>IF(DAY(AvgNed1)=1,IF(AND(YEAR(AvgNed1+22)=KalendarskaGodina,MONTH(AvgNed1+22)=8),AvgNed1+22,""),IF(AND(YEAR(AvgNed1+29)=KalendarskaGodina,MONTH(AvgNed1+29)=8),AvgNed1+29,""))</f>
        <v>44067</v>
      </c>
      <c r="L36" s="25">
        <f>IF(DAY(AvgNed1)=1,IF(AND(YEAR(AvgNed1+23)=KalendarskaGodina,MONTH(AvgNed1+23)=8),AvgNed1+23,""),IF(AND(YEAR(AvgNed1+30)=KalendarskaGodina,MONTH(AvgNed1+30)=8),AvgNed1+30,""))</f>
        <v>44068</v>
      </c>
      <c r="M36" s="25">
        <f>IF(DAY(AvgNed1)=1,IF(AND(YEAR(AvgNed1+24)=KalendarskaGodina,MONTH(AvgNed1+24)=8),AvgNed1+24,""),IF(AND(YEAR(AvgNed1+31)=KalendarskaGodina,MONTH(AvgNed1+31)=8),AvgNed1+31,""))</f>
        <v>44069</v>
      </c>
      <c r="N36" s="25">
        <f>IF(DAY(AvgNed1)=1,IF(AND(YEAR(AvgNed1+25)=KalendarskaGodina,MONTH(AvgNed1+25)=8),AvgNed1+25,""),IF(AND(YEAR(AvgNed1+32)=KalendarskaGodina,MONTH(AvgNed1+32)=8),AvgNed1+32,""))</f>
        <v>44070</v>
      </c>
      <c r="O36" s="25">
        <f>IF(DAY(AvgNed1)=1,IF(AND(YEAR(AvgNed1+26)=KalendarskaGodina,MONTH(AvgNed1+26)=8),AvgNed1+26,""),IF(AND(YEAR(AvgNed1+33)=KalendarskaGodina,MONTH(AvgNed1+33)=8),AvgNed1+33,""))</f>
        <v>44071</v>
      </c>
      <c r="P36" s="25">
        <f>IF(DAY(AvgNed1)=1,IF(AND(YEAR(AvgNed1+27)=KalendarskaGodina,MONTH(AvgNed1+27)=8),AvgNed1+27,""),IF(AND(YEAR(AvgNed1+34)=KalendarskaGodina,MONTH(AvgNed1+34)=8),AvgNed1+34,""))</f>
        <v>44072</v>
      </c>
      <c r="Q36" s="25">
        <f>IF(DAY(AvgNed1)=1,IF(AND(YEAR(AvgNed1+28)=KalendarskaGodina,MONTH(AvgNed1+28)=8),AvgNed1+28,""),IF(AND(YEAR(AvgNed1+35)=KalendarskaGodina,MONTH(AvgNed1+35)=8),AvgNed1+35,""))</f>
        <v>44073</v>
      </c>
      <c r="S36" s="24"/>
      <c r="U36" s="10"/>
      <c r="V36" s="30"/>
      <c r="W36" s="30"/>
    </row>
    <row r="37" spans="1:23" ht="15" customHeight="1" x14ac:dyDescent="0.2">
      <c r="C37" s="25" t="str">
        <f>IF(DAY(JulNed1)=1,IF(AND(YEAR(JulNed1+29)=KalendarskaGodina,MONTH(JulNed1+29)=7),JulNed1+29,""),IF(AND(YEAR(JulNed1+36)=KalendarskaGodina,MONTH(JulNed1+36)=7),JulNed1+36,""))</f>
        <v/>
      </c>
      <c r="D37" s="25" t="str">
        <f>IF(DAY(JulNed1)=1,IF(AND(YEAR(JulNed1+30)=KalendarskaGodina,MONTH(JulNed1+30)=7),JulNed1+30,""),IF(AND(YEAR(JulNed1+37)=KalendarskaGodina,MONTH(JulNed1+37)=7),JulNed1+37,""))</f>
        <v/>
      </c>
      <c r="E37" s="25" t="str">
        <f>IF(DAY(JulNed1)=1,IF(AND(YEAR(JulNed1+31)=KalendarskaGodina,MONTH(JulNed1+31)=7),JulNed1+31,""),IF(AND(YEAR(JulNed1+38)=KalendarskaGodina,MONTH(JulNed1+38)=7),JulNed1+38,""))</f>
        <v/>
      </c>
      <c r="F37" s="25" t="str">
        <f>IF(DAY(JulNed1)=1,IF(AND(YEAR(JulNed1+32)=KalendarskaGodina,MONTH(JulNed1+32)=7),JulNed1+32,""),IF(AND(YEAR(JulNed1+39)=KalendarskaGodina,MONTH(JulNed1+39)=7),JulNed1+39,""))</f>
        <v/>
      </c>
      <c r="G37" s="25" t="str">
        <f>IF(DAY(JulNed1)=1,IF(AND(YEAR(JulNed1+33)=KalendarskaGodina,MONTH(JulNed1+33)=7),JulNed1+33,""),IF(AND(YEAR(JulNed1+40)=KalendarskaGodina,MONTH(JulNed1+40)=7),JulNed1+40,""))</f>
        <v/>
      </c>
      <c r="H37" s="25" t="str">
        <f>IF(DAY(JulNed1)=1,IF(AND(YEAR(JulNed1+34)=KalendarskaGodina,MONTH(JulNed1+34)=7),JulNed1+34,""),IF(AND(YEAR(JulNed1+41)=KalendarskaGodina,MONTH(JulNed1+41)=7),JulNed1+41,""))</f>
        <v/>
      </c>
      <c r="I37" s="25" t="str">
        <f>IF(DAY(JulNed1)=1,IF(AND(YEAR(JulNed1+35)=KalendarskaGodina,MONTH(JulNed1+35)=7),JulNed1+35,""),IF(AND(YEAR(JulNed1+42)=KalendarskaGodina,MONTH(JulNed1+42)=7),JulNed1+42,""))</f>
        <v/>
      </c>
      <c r="K37" s="25">
        <f>IF(DAY(AvgNed1)=1,IF(AND(YEAR(AvgNed1+29)=KalendarskaGodina,MONTH(AvgNed1+29)=8),AvgNed1+29,""),IF(AND(YEAR(AvgNed1+36)=KalendarskaGodina,MONTH(AvgNed1+36)=8),AvgNed1+36,""))</f>
        <v>44074</v>
      </c>
      <c r="L37" s="25" t="str">
        <f>IF(DAY(AvgNed1)=1,IF(AND(YEAR(AvgNed1+30)=KalendarskaGodina,MONTH(AvgNed1+30)=8),AvgNed1+30,""),IF(AND(YEAR(AvgNed1+37)=KalendarskaGodina,MONTH(AvgNed1+37)=8),AvgNed1+37,""))</f>
        <v/>
      </c>
      <c r="M37" s="25" t="str">
        <f>IF(DAY(AvgNed1)=1,IF(AND(YEAR(AvgNed1+31)=KalendarskaGodina,MONTH(AvgNed1+31)=8),AvgNed1+31,""),IF(AND(YEAR(AvgNed1+38)=KalendarskaGodina,MONTH(AvgNed1+38)=8),AvgNed1+38,""))</f>
        <v/>
      </c>
      <c r="N37" s="25" t="str">
        <f>IF(DAY(AvgNed1)=1,IF(AND(YEAR(AvgNed1+32)=KalendarskaGodina,MONTH(AvgNed1+32)=8),AvgNed1+32,""),IF(AND(YEAR(AvgNed1+39)=KalendarskaGodina,MONTH(AvgNed1+39)=8),AvgNed1+39,""))</f>
        <v/>
      </c>
      <c r="O37" s="25" t="str">
        <f>IF(DAY(AvgNed1)=1,IF(AND(YEAR(AvgNed1+33)=KalendarskaGodina,MONTH(AvgNed1+33)=8),AvgNed1+33,""),IF(AND(YEAR(AvgNed1+40)=KalendarskaGodina,MONTH(AvgNed1+40)=8),AvgNed1+40,""))</f>
        <v/>
      </c>
      <c r="P37" s="25" t="str">
        <f>IF(DAY(AvgNed1)=1,IF(AND(YEAR(AvgNed1+34)=KalendarskaGodina,MONTH(AvgNed1+34)=8),AvgNed1+34,""),IF(AND(YEAR(AvgNed1+41)=KalendarskaGodina,MONTH(AvgNed1+41)=8),AvgNed1+41,""))</f>
        <v/>
      </c>
      <c r="Q37" s="25" t="str">
        <f>IF(DAY(AvgNed1)=1,IF(AND(YEAR(AvgNed1+35)=KalendarskaGodina,MONTH(AvgNed1+35)=8),AvgNed1+35,""),IF(AND(YEAR(AvgNed1+42)=KalendarskaGodina,MONTH(AvgNed1+42)=8),AvgNed1+42,""))</f>
        <v/>
      </c>
      <c r="S37" s="24"/>
      <c r="U37" s="3"/>
      <c r="V37" s="30"/>
      <c r="W37" s="30"/>
    </row>
    <row r="38" spans="1:23" ht="15" customHeight="1" x14ac:dyDescent="0.2">
      <c r="C38" s="22"/>
      <c r="D38" s="22"/>
      <c r="E38" s="22"/>
      <c r="F38" s="22"/>
      <c r="G38" s="22"/>
      <c r="H38" s="22"/>
      <c r="I38" s="22"/>
      <c r="K38" s="22"/>
      <c r="L38" s="22"/>
      <c r="M38" s="22"/>
      <c r="N38" s="22"/>
      <c r="O38" s="22"/>
      <c r="P38" s="22"/>
      <c r="Q38" s="22"/>
      <c r="S38" s="24"/>
      <c r="U38" s="2"/>
      <c r="V38" s="30"/>
      <c r="W38" s="30"/>
    </row>
    <row r="39" spans="1:23" ht="15" customHeight="1" x14ac:dyDescent="0.2">
      <c r="A39" s="18" t="s">
        <v>17</v>
      </c>
      <c r="C39" s="27" t="s">
        <v>30</v>
      </c>
      <c r="D39" s="27"/>
      <c r="E39" s="27"/>
      <c r="F39" s="27"/>
      <c r="G39" s="27"/>
      <c r="H39" s="27"/>
      <c r="I39" s="27"/>
      <c r="K39" s="27" t="s">
        <v>37</v>
      </c>
      <c r="L39" s="27"/>
      <c r="M39" s="27"/>
      <c r="N39" s="27"/>
      <c r="O39" s="27"/>
      <c r="P39" s="27"/>
      <c r="Q39" s="27"/>
      <c r="S39" s="24"/>
      <c r="U39" s="10"/>
      <c r="V39" s="30"/>
      <c r="W39" s="30"/>
    </row>
    <row r="40" spans="1:23" ht="15" customHeight="1" x14ac:dyDescent="0.2">
      <c r="A40" s="18" t="s">
        <v>18</v>
      </c>
      <c r="C40" s="11" t="s">
        <v>52</v>
      </c>
      <c r="D40" s="11" t="s">
        <v>53</v>
      </c>
      <c r="E40" s="11" t="s">
        <v>32</v>
      </c>
      <c r="F40" s="11" t="s">
        <v>54</v>
      </c>
      <c r="G40" s="11" t="s">
        <v>55</v>
      </c>
      <c r="H40" s="11" t="s">
        <v>56</v>
      </c>
      <c r="I40" s="11" t="s">
        <v>57</v>
      </c>
      <c r="K40" s="11" t="s">
        <v>52</v>
      </c>
      <c r="L40" s="11" t="s">
        <v>53</v>
      </c>
      <c r="M40" s="11" t="s">
        <v>32</v>
      </c>
      <c r="N40" s="11" t="s">
        <v>54</v>
      </c>
      <c r="O40" s="11" t="s">
        <v>55</v>
      </c>
      <c r="P40" s="11" t="s">
        <v>56</v>
      </c>
      <c r="Q40" s="11" t="s">
        <v>57</v>
      </c>
      <c r="S40" s="24"/>
      <c r="U40" s="3"/>
      <c r="V40" s="30"/>
      <c r="W40" s="30"/>
    </row>
    <row r="41" spans="1:23" ht="15" customHeight="1" x14ac:dyDescent="0.2">
      <c r="C41" s="25" t="str">
        <f>IF(DAY(SeptNed1)=1,"",IF(AND(YEAR(SeptNed1+1)=KalendarskaGodina,MONTH(SeptNed1+1)=9),SeptNed1+1,""))</f>
        <v/>
      </c>
      <c r="D41" s="25">
        <f>IF(DAY(SeptNed1)=1,"",IF(AND(YEAR(SeptNed1+2)=KalendarskaGodina,MONTH(SeptNed1+2)=9),SeptNed1+2,""))</f>
        <v>44075</v>
      </c>
      <c r="E41" s="25">
        <f>IF(DAY(SeptNed1)=1,"",IF(AND(YEAR(SeptNed1+3)=KalendarskaGodina,MONTH(SeptNed1+3)=9),SeptNed1+3,""))</f>
        <v>44076</v>
      </c>
      <c r="F41" s="25">
        <f>IF(DAY(SeptNed1)=1,"",IF(AND(YEAR(SeptNed1+4)=KalendarskaGodina,MONTH(SeptNed1+4)=9),SeptNed1+4,""))</f>
        <v>44077</v>
      </c>
      <c r="G41" s="25">
        <f>IF(DAY(SeptNed1)=1,"",IF(AND(YEAR(SeptNed1+5)=KalendarskaGodina,MONTH(SeptNed1+5)=9),SeptNed1+5,""))</f>
        <v>44078</v>
      </c>
      <c r="H41" s="25">
        <f>IF(DAY(SeptNed1)=1,"",IF(AND(YEAR(SeptNed1+6)=KalendarskaGodina,MONTH(SeptNed1+6)=9),SeptNed1+6,""))</f>
        <v>44079</v>
      </c>
      <c r="I41" s="25">
        <f>IF(DAY(SeptNed1)=1,IF(AND(YEAR(SeptNed1)=KalendarskaGodina,MONTH(SeptNed1)=9),SeptNed1,""),IF(AND(YEAR(SeptNed1+7)=KalendarskaGodina,MONTH(SeptNed1+7)=9),SeptNed1+7,""))</f>
        <v>44080</v>
      </c>
      <c r="K41" s="25" t="str">
        <f>IF(DAY(OktNed1)=1,"",IF(AND(YEAR(OktNed1+1)=KalendarskaGodina,MONTH(OktNed1+1)=10),OktNed1+1,""))</f>
        <v/>
      </c>
      <c r="L41" s="25" t="str">
        <f>IF(DAY(OktNed1)=1,"",IF(AND(YEAR(OktNed1+2)=KalendarskaGodina,MONTH(OktNed1+2)=10),OktNed1+2,""))</f>
        <v/>
      </c>
      <c r="M41" s="25" t="str">
        <f>IF(DAY(OktNed1)=1,"",IF(AND(YEAR(OktNed1+3)=KalendarskaGodina,MONTH(OktNed1+3)=10),OktNed1+3,""))</f>
        <v/>
      </c>
      <c r="N41" s="25">
        <f>IF(DAY(OktNed1)=1,"",IF(AND(YEAR(OktNed1+4)=KalendarskaGodina,MONTH(OktNed1+4)=10),OktNed1+4,""))</f>
        <v>44105</v>
      </c>
      <c r="O41" s="25">
        <f>IF(DAY(OktNed1)=1,"",IF(AND(YEAR(OktNed1+5)=KalendarskaGodina,MONTH(OktNed1+5)=10),OktNed1+5,""))</f>
        <v>44106</v>
      </c>
      <c r="P41" s="25">
        <f>IF(DAY(OktNed1)=1,"",IF(AND(YEAR(OktNed1+6)=KalendarskaGodina,MONTH(OktNed1+6)=10),OktNed1+6,""))</f>
        <v>44107</v>
      </c>
      <c r="Q41" s="25">
        <f>IF(DAY(OktNed1)=1,IF(AND(YEAR(OktNed1)=KalendarskaGodina,MONTH(OktNed1)=10),OktNed1,""),IF(AND(YEAR(OktNed1+7)=KalendarskaGodina,MONTH(OktNed1+7)=10),OktNed1+7,""))</f>
        <v>44108</v>
      </c>
      <c r="S41" s="24"/>
      <c r="U41" s="2"/>
      <c r="V41" s="30"/>
      <c r="W41" s="30"/>
    </row>
    <row r="42" spans="1:23" ht="15" customHeight="1" x14ac:dyDescent="0.2">
      <c r="C42" s="25">
        <f>IF(DAY(SeptNed1)=1,IF(AND(YEAR(SeptNed1+1)=KalendarskaGodina,MONTH(SeptNed1+1)=9),SeptNed1+1,""),IF(AND(YEAR(SeptNed1+8)=KalendarskaGodina,MONTH(SeptNed1+8)=9),SeptNed1+8,""))</f>
        <v>44081</v>
      </c>
      <c r="D42" s="25">
        <f>IF(DAY(SeptNed1)=1,IF(AND(YEAR(SeptNed1+2)=KalendarskaGodina,MONTH(SeptNed1+2)=9),SeptNed1+2,""),IF(AND(YEAR(SeptNed1+9)=KalendarskaGodina,MONTH(SeptNed1+9)=9),SeptNed1+9,""))</f>
        <v>44082</v>
      </c>
      <c r="E42" s="25">
        <f>IF(DAY(SeptNed1)=1,IF(AND(YEAR(SeptNed1+3)=KalendarskaGodina,MONTH(SeptNed1+3)=9),SeptNed1+3,""),IF(AND(YEAR(SeptNed1+10)=KalendarskaGodina,MONTH(SeptNed1+10)=9),SeptNed1+10,""))</f>
        <v>44083</v>
      </c>
      <c r="F42" s="25">
        <f>IF(DAY(SeptNed1)=1,IF(AND(YEAR(SeptNed1+4)=KalendarskaGodina,MONTH(SeptNed1+4)=9),SeptNed1+4,""),IF(AND(YEAR(SeptNed1+11)=KalendarskaGodina,MONTH(SeptNed1+11)=9),SeptNed1+11,""))</f>
        <v>44084</v>
      </c>
      <c r="G42" s="25">
        <f>IF(DAY(SeptNed1)=1,IF(AND(YEAR(SeptNed1+5)=KalendarskaGodina,MONTH(SeptNed1+5)=9),SeptNed1+5,""),IF(AND(YEAR(SeptNed1+12)=KalendarskaGodina,MONTH(SeptNed1+12)=9),SeptNed1+12,""))</f>
        <v>44085</v>
      </c>
      <c r="H42" s="25">
        <f>IF(DAY(SeptNed1)=1,IF(AND(YEAR(SeptNed1+6)=KalendarskaGodina,MONTH(SeptNed1+6)=9),SeptNed1+6,""),IF(AND(YEAR(SeptNed1+13)=KalendarskaGodina,MONTH(SeptNed1+13)=9),SeptNed1+13,""))</f>
        <v>44086</v>
      </c>
      <c r="I42" s="25">
        <f>IF(DAY(SeptNed1)=1,IF(AND(YEAR(SeptNed1+7)=KalendarskaGodina,MONTH(SeptNed1+7)=9),SeptNed1+7,""),IF(AND(YEAR(SeptNed1+14)=KalendarskaGodina,MONTH(SeptNed1+14)=9),SeptNed1+14,""))</f>
        <v>44087</v>
      </c>
      <c r="K42" s="25">
        <f>IF(DAY(OktNed1)=1,IF(AND(YEAR(OktNed1+1)=KalendarskaGodina,MONTH(OktNed1+1)=10),OktNed1+1,""),IF(AND(YEAR(OktNed1+8)=KalendarskaGodina,MONTH(OktNed1+8)=10),OktNed1+8,""))</f>
        <v>44109</v>
      </c>
      <c r="L42" s="25">
        <f>IF(DAY(OktNed1)=1,IF(AND(YEAR(OktNed1+2)=KalendarskaGodina,MONTH(OktNed1+2)=10),OktNed1+2,""),IF(AND(YEAR(OktNed1+9)=KalendarskaGodina,MONTH(OktNed1+9)=10),OktNed1+9,""))</f>
        <v>44110</v>
      </c>
      <c r="M42" s="25">
        <f>IF(DAY(OktNed1)=1,IF(AND(YEAR(OktNed1+3)=KalendarskaGodina,MONTH(OktNed1+3)=10),OktNed1+3,""),IF(AND(YEAR(OktNed1+10)=KalendarskaGodina,MONTH(OktNed1+10)=10),OktNed1+10,""))</f>
        <v>44111</v>
      </c>
      <c r="N42" s="25">
        <f>IF(DAY(OktNed1)=1,IF(AND(YEAR(OktNed1+4)=KalendarskaGodina,MONTH(OktNed1+4)=10),OktNed1+4,""),IF(AND(YEAR(OktNed1+11)=KalendarskaGodina,MONTH(OktNed1+11)=10),OktNed1+11,""))</f>
        <v>44112</v>
      </c>
      <c r="O42" s="25">
        <f>IF(DAY(OktNed1)=1,IF(AND(YEAR(OktNed1+5)=KalendarskaGodina,MONTH(OktNed1+5)=10),OktNed1+5,""),IF(AND(YEAR(OktNed1+12)=KalendarskaGodina,MONTH(OktNed1+12)=10),OktNed1+12,""))</f>
        <v>44113</v>
      </c>
      <c r="P42" s="25">
        <f>IF(DAY(OktNed1)=1,IF(AND(YEAR(OktNed1+6)=KalendarskaGodina,MONTH(OktNed1+6)=10),OktNed1+6,""),IF(AND(YEAR(OktNed1+13)=KalendarskaGodina,MONTH(OktNed1+13)=10),OktNed1+13,""))</f>
        <v>44114</v>
      </c>
      <c r="Q42" s="25">
        <f>IF(DAY(OktNed1)=1,IF(AND(YEAR(OktNed1+7)=KalendarskaGodina,MONTH(OktNed1+7)=10),OktNed1+7,""),IF(AND(YEAR(OktNed1+14)=KalendarskaGodina,MONTH(OktNed1+14)=10),OktNed1+14,""))</f>
        <v>44115</v>
      </c>
      <c r="S42" s="24"/>
      <c r="U42" s="10"/>
      <c r="V42" s="30"/>
      <c r="W42" s="30"/>
    </row>
    <row r="43" spans="1:23" ht="15" customHeight="1" x14ac:dyDescent="0.2">
      <c r="C43" s="25">
        <f>IF(DAY(SeptNed1)=1,IF(AND(YEAR(SeptNed1+8)=KalendarskaGodina,MONTH(SeptNed1+8)=9),SeptNed1+8,""),IF(AND(YEAR(SeptNed1+15)=KalendarskaGodina,MONTH(SeptNed1+15)=9),SeptNed1+15,""))</f>
        <v>44088</v>
      </c>
      <c r="D43" s="25">
        <f>IF(DAY(SeptNed1)=1,IF(AND(YEAR(SeptNed1+9)=KalendarskaGodina,MONTH(SeptNed1+9)=9),SeptNed1+9,""),IF(AND(YEAR(SeptNed1+16)=KalendarskaGodina,MONTH(SeptNed1+16)=9),SeptNed1+16,""))</f>
        <v>44089</v>
      </c>
      <c r="E43" s="25">
        <f>IF(DAY(SeptNed1)=1,IF(AND(YEAR(SeptNed1+10)=KalendarskaGodina,MONTH(SeptNed1+10)=9),SeptNed1+10,""),IF(AND(YEAR(SeptNed1+17)=KalendarskaGodina,MONTH(SeptNed1+17)=9),SeptNed1+17,""))</f>
        <v>44090</v>
      </c>
      <c r="F43" s="25">
        <f>IF(DAY(SeptNed1)=1,IF(AND(YEAR(SeptNed1+11)=KalendarskaGodina,MONTH(SeptNed1+11)=9),SeptNed1+11,""),IF(AND(YEAR(SeptNed1+18)=KalendarskaGodina,MONTH(SeptNed1+18)=9),SeptNed1+18,""))</f>
        <v>44091</v>
      </c>
      <c r="G43" s="25">
        <f>IF(DAY(SeptNed1)=1,IF(AND(YEAR(SeptNed1+12)=KalendarskaGodina,MONTH(SeptNed1+12)=9),SeptNed1+12,""),IF(AND(YEAR(SeptNed1+19)=KalendarskaGodina,MONTH(SeptNed1+19)=9),SeptNed1+19,""))</f>
        <v>44092</v>
      </c>
      <c r="H43" s="25">
        <f>IF(DAY(SeptNed1)=1,IF(AND(YEAR(SeptNed1+13)=KalendarskaGodina,MONTH(SeptNed1+13)=9),SeptNed1+13,""),IF(AND(YEAR(SeptNed1+20)=KalendarskaGodina,MONTH(SeptNed1+20)=9),SeptNed1+20,""))</f>
        <v>44093</v>
      </c>
      <c r="I43" s="25">
        <f>IF(DAY(SeptNed1)=1,IF(AND(YEAR(SeptNed1+14)=KalendarskaGodina,MONTH(SeptNed1+14)=9),SeptNed1+14,""),IF(AND(YEAR(SeptNed1+21)=KalendarskaGodina,MONTH(SeptNed1+21)=9),SeptNed1+21,""))</f>
        <v>44094</v>
      </c>
      <c r="K43" s="25">
        <f>IF(DAY(OktNed1)=1,IF(AND(YEAR(OktNed1+8)=KalendarskaGodina,MONTH(OktNed1+8)=10),OktNed1+8,""),IF(AND(YEAR(OktNed1+15)=KalendarskaGodina,MONTH(OktNed1+15)=10),OktNed1+15,""))</f>
        <v>44116</v>
      </c>
      <c r="L43" s="25">
        <f>IF(DAY(OktNed1)=1,IF(AND(YEAR(OktNed1+9)=KalendarskaGodina,MONTH(OktNed1+9)=10),OktNed1+9,""),IF(AND(YEAR(OktNed1+16)=KalendarskaGodina,MONTH(OktNed1+16)=10),OktNed1+16,""))</f>
        <v>44117</v>
      </c>
      <c r="M43" s="25">
        <f>IF(DAY(OktNed1)=1,IF(AND(YEAR(OktNed1+10)=KalendarskaGodina,MONTH(OktNed1+10)=10),OktNed1+10,""),IF(AND(YEAR(OktNed1+17)=KalendarskaGodina,MONTH(OktNed1+17)=10),OktNed1+17,""))</f>
        <v>44118</v>
      </c>
      <c r="N43" s="25">
        <f>IF(DAY(OktNed1)=1,IF(AND(YEAR(OktNed1+11)=KalendarskaGodina,MONTH(OktNed1+11)=10),OktNed1+11,""),IF(AND(YEAR(OktNed1+18)=KalendarskaGodina,MONTH(OktNed1+18)=10),OktNed1+18,""))</f>
        <v>44119</v>
      </c>
      <c r="O43" s="25">
        <f>IF(DAY(OktNed1)=1,IF(AND(YEAR(OktNed1+12)=KalendarskaGodina,MONTH(OktNed1+12)=10),OktNed1+12,""),IF(AND(YEAR(OktNed1+19)=KalendarskaGodina,MONTH(OktNed1+19)=10),OktNed1+19,""))</f>
        <v>44120</v>
      </c>
      <c r="P43" s="25">
        <f>IF(DAY(OktNed1)=1,IF(AND(YEAR(OktNed1+13)=KalendarskaGodina,MONTH(OktNed1+13)=10),OktNed1+13,""),IF(AND(YEAR(OktNed1+20)=KalendarskaGodina,MONTH(OktNed1+20)=10),OktNed1+20,""))</f>
        <v>44121</v>
      </c>
      <c r="Q43" s="25">
        <f>IF(DAY(OktNed1)=1,IF(AND(YEAR(OktNed1+14)=KalendarskaGodina,MONTH(OktNed1+14)=10),OktNed1+14,""),IF(AND(YEAR(OktNed1+21)=KalendarskaGodina,MONTH(OktNed1+21)=10),OktNed1+21,""))</f>
        <v>44122</v>
      </c>
      <c r="S43" s="24"/>
      <c r="U43" s="3"/>
      <c r="V43" s="30"/>
      <c r="W43" s="30"/>
    </row>
    <row r="44" spans="1:23" ht="15" customHeight="1" x14ac:dyDescent="0.2">
      <c r="A44" s="18" t="s">
        <v>19</v>
      </c>
      <c r="C44" s="25">
        <f>IF(DAY(SeptNed1)=1,IF(AND(YEAR(SeptNed1+15)=KalendarskaGodina,MONTH(SeptNed1+15)=9),SeptNed1+15,""),IF(AND(YEAR(SeptNed1+22)=KalendarskaGodina,MONTH(SeptNed1+22)=9),SeptNed1+22,""))</f>
        <v>44095</v>
      </c>
      <c r="D44" s="25">
        <f>IF(DAY(SeptNed1)=1,IF(AND(YEAR(SeptNed1+16)=KalendarskaGodina,MONTH(SeptNed1+16)=9),SeptNed1+16,""),IF(AND(YEAR(SeptNed1+23)=KalendarskaGodina,MONTH(SeptNed1+23)=9),SeptNed1+23,""))</f>
        <v>44096</v>
      </c>
      <c r="E44" s="25">
        <f>IF(DAY(SeptNed1)=1,IF(AND(YEAR(SeptNed1+17)=KalendarskaGodina,MONTH(SeptNed1+17)=9),SeptNed1+17,""),IF(AND(YEAR(SeptNed1+24)=KalendarskaGodina,MONTH(SeptNed1+24)=9),SeptNed1+24,""))</f>
        <v>44097</v>
      </c>
      <c r="F44" s="25">
        <f>IF(DAY(SeptNed1)=1,IF(AND(YEAR(SeptNed1+18)=KalendarskaGodina,MONTH(SeptNed1+18)=9),SeptNed1+18,""),IF(AND(YEAR(SeptNed1+25)=KalendarskaGodina,MONTH(SeptNed1+25)=9),SeptNed1+25,""))</f>
        <v>44098</v>
      </c>
      <c r="G44" s="25">
        <f>IF(DAY(SeptNed1)=1,IF(AND(YEAR(SeptNed1+19)=KalendarskaGodina,MONTH(SeptNed1+19)=9),SeptNed1+19,""),IF(AND(YEAR(SeptNed1+26)=KalendarskaGodina,MONTH(SeptNed1+26)=9),SeptNed1+26,""))</f>
        <v>44099</v>
      </c>
      <c r="H44" s="25">
        <f>IF(DAY(SeptNed1)=1,IF(AND(YEAR(SeptNed1+20)=KalendarskaGodina,MONTH(SeptNed1+20)=9),SeptNed1+20,""),IF(AND(YEAR(SeptNed1+27)=KalendarskaGodina,MONTH(SeptNed1+27)=9),SeptNed1+27,""))</f>
        <v>44100</v>
      </c>
      <c r="I44" s="25">
        <f>IF(DAY(SeptNed1)=1,IF(AND(YEAR(SeptNed1+21)=KalendarskaGodina,MONTH(SeptNed1+21)=9),SeptNed1+21,""),IF(AND(YEAR(SeptNed1+28)=KalendarskaGodina,MONTH(SeptNed1+28)=9),SeptNed1+28,""))</f>
        <v>44101</v>
      </c>
      <c r="K44" s="25">
        <f>IF(DAY(OktNed1)=1,IF(AND(YEAR(OktNed1+15)=KalendarskaGodina,MONTH(OktNed1+15)=10),OktNed1+15,""),IF(AND(YEAR(OktNed1+22)=KalendarskaGodina,MONTH(OktNed1+22)=10),OktNed1+22,""))</f>
        <v>44123</v>
      </c>
      <c r="L44" s="25">
        <f>IF(DAY(OktNed1)=1,IF(AND(YEAR(OktNed1+16)=KalendarskaGodina,MONTH(OktNed1+16)=10),OktNed1+16,""),IF(AND(YEAR(OktNed1+23)=KalendarskaGodina,MONTH(OktNed1+23)=10),OktNed1+23,""))</f>
        <v>44124</v>
      </c>
      <c r="M44" s="25">
        <f>IF(DAY(OktNed1)=1,IF(AND(YEAR(OktNed1+17)=KalendarskaGodina,MONTH(OktNed1+17)=10),OktNed1+17,""),IF(AND(YEAR(OktNed1+24)=KalendarskaGodina,MONTH(OktNed1+24)=10),OktNed1+24,""))</f>
        <v>44125</v>
      </c>
      <c r="N44" s="25">
        <f>IF(DAY(OktNed1)=1,IF(AND(YEAR(OktNed1+18)=KalendarskaGodina,MONTH(OktNed1+18)=10),OktNed1+18,""),IF(AND(YEAR(OktNed1+25)=KalendarskaGodina,MONTH(OktNed1+25)=10),OktNed1+25,""))</f>
        <v>44126</v>
      </c>
      <c r="O44" s="25">
        <f>IF(DAY(OktNed1)=1,IF(AND(YEAR(OktNed1+19)=KalendarskaGodina,MONTH(OktNed1+19)=10),OktNed1+19,""),IF(AND(YEAR(OktNed1+26)=KalendarskaGodina,MONTH(OktNed1+26)=10),OktNed1+26,""))</f>
        <v>44127</v>
      </c>
      <c r="P44" s="25">
        <f>IF(DAY(OktNed1)=1,IF(AND(YEAR(OktNed1+20)=KalendarskaGodina,MONTH(OktNed1+20)=10),OktNed1+20,""),IF(AND(YEAR(OktNed1+27)=KalendarskaGodina,MONTH(OktNed1+27)=10),OktNed1+27,""))</f>
        <v>44128</v>
      </c>
      <c r="Q44" s="25">
        <f>IF(DAY(OktNed1)=1,IF(AND(YEAR(OktNed1+21)=KalendarskaGodina,MONTH(OktNed1+21)=10),OktNed1+21,""),IF(AND(YEAR(OktNed1+28)=KalendarskaGodina,MONTH(OktNed1+28)=10),OktNed1+28,""))</f>
        <v>44129</v>
      </c>
      <c r="S44" s="24"/>
      <c r="U44" s="8" t="s">
        <v>46</v>
      </c>
      <c r="V44" s="30"/>
      <c r="W44" s="30"/>
    </row>
    <row r="45" spans="1:23" ht="15" customHeight="1" x14ac:dyDescent="0.2">
      <c r="A45" s="18" t="s">
        <v>20</v>
      </c>
      <c r="C45" s="25">
        <f>IF(DAY(SeptNed1)=1,IF(AND(YEAR(SeptNed1+22)=KalendarskaGodina,MONTH(SeptNed1+22)=9),SeptNed1+22,""),IF(AND(YEAR(SeptNed1+29)=KalendarskaGodina,MONTH(SeptNed1+29)=9),SeptNed1+29,""))</f>
        <v>44102</v>
      </c>
      <c r="D45" s="25">
        <f>IF(DAY(SeptNed1)=1,IF(AND(YEAR(SeptNed1+23)=KalendarskaGodina,MONTH(SeptNed1+23)=9),SeptNed1+23,""),IF(AND(YEAR(SeptNed1+30)=KalendarskaGodina,MONTH(SeptNed1+30)=9),SeptNed1+30,""))</f>
        <v>44103</v>
      </c>
      <c r="E45" s="25">
        <f>IF(DAY(SeptNed1)=1,IF(AND(YEAR(SeptNed1+24)=KalendarskaGodina,MONTH(SeptNed1+24)=9),SeptNed1+24,""),IF(AND(YEAR(SeptNed1+31)=KalendarskaGodina,MONTH(SeptNed1+31)=9),SeptNed1+31,""))</f>
        <v>44104</v>
      </c>
      <c r="F45" s="25" t="str">
        <f>IF(DAY(SeptNed1)=1,IF(AND(YEAR(SeptNed1+25)=KalendarskaGodina,MONTH(SeptNed1+25)=9),SeptNed1+25,""),IF(AND(YEAR(SeptNed1+32)=KalendarskaGodina,MONTH(SeptNed1+32)=9),SeptNed1+32,""))</f>
        <v/>
      </c>
      <c r="G45" s="25" t="str">
        <f>IF(DAY(SeptNed1)=1,IF(AND(YEAR(SeptNed1+26)=KalendarskaGodina,MONTH(SeptNed1+26)=9),SeptNed1+26,""),IF(AND(YEAR(SeptNed1+33)=KalendarskaGodina,MONTH(SeptNed1+33)=9),SeptNed1+33,""))</f>
        <v/>
      </c>
      <c r="H45" s="25" t="str">
        <f>IF(DAY(SeptNed1)=1,IF(AND(YEAR(SeptNed1+27)=KalendarskaGodina,MONTH(SeptNed1+27)=9),SeptNed1+27,""),IF(AND(YEAR(SeptNed1+34)=KalendarskaGodina,MONTH(SeptNed1+34)=9),SeptNed1+34,""))</f>
        <v/>
      </c>
      <c r="I45" s="25" t="str">
        <f>IF(DAY(SeptNed1)=1,IF(AND(YEAR(SeptNed1+28)=KalendarskaGodina,MONTH(SeptNed1+28)=9),SeptNed1+28,""),IF(AND(YEAR(SeptNed1+35)=KalendarskaGodina,MONTH(SeptNed1+35)=9),SeptNed1+35,""))</f>
        <v/>
      </c>
      <c r="K45" s="25">
        <f>IF(DAY(OktNed1)=1,IF(AND(YEAR(OktNed1+22)=KalendarskaGodina,MONTH(OktNed1+22)=10),OktNed1+22,""),IF(AND(YEAR(OktNed1+29)=KalendarskaGodina,MONTH(OktNed1+29)=10),OktNed1+29,""))</f>
        <v>44130</v>
      </c>
      <c r="L45" s="25">
        <f>IF(DAY(OktNed1)=1,IF(AND(YEAR(OktNed1+23)=KalendarskaGodina,MONTH(OktNed1+23)=10),OktNed1+23,""),IF(AND(YEAR(OktNed1+30)=KalendarskaGodina,MONTH(OktNed1+30)=10),OktNed1+30,""))</f>
        <v>44131</v>
      </c>
      <c r="M45" s="25">
        <f>IF(DAY(OktNed1)=1,IF(AND(YEAR(OktNed1+24)=KalendarskaGodina,MONTH(OktNed1+24)=10),OktNed1+24,""),IF(AND(YEAR(OktNed1+31)=KalendarskaGodina,MONTH(OktNed1+31)=10),OktNed1+31,""))</f>
        <v>44132</v>
      </c>
      <c r="N45" s="25">
        <f>IF(DAY(OktNed1)=1,IF(AND(YEAR(OktNed1+25)=KalendarskaGodina,MONTH(OktNed1+25)=10),OktNed1+25,""),IF(AND(YEAR(OktNed1+32)=KalendarskaGodina,MONTH(OktNed1+32)=10),OktNed1+32,""))</f>
        <v>44133</v>
      </c>
      <c r="O45" s="25">
        <f>IF(DAY(OktNed1)=1,IF(AND(YEAR(OktNed1+26)=KalendarskaGodina,MONTH(OktNed1+26)=10),OktNed1+26,""),IF(AND(YEAR(OktNed1+33)=KalendarskaGodina,MONTH(OktNed1+33)=10),OktNed1+33,""))</f>
        <v>44134</v>
      </c>
      <c r="P45" s="25">
        <f>IF(DAY(OktNed1)=1,IF(AND(YEAR(OktNed1+27)=KalendarskaGodina,MONTH(OktNed1+27)=10),OktNed1+27,""),IF(AND(YEAR(OktNed1+34)=KalendarskaGodina,MONTH(OktNed1+34)=10),OktNed1+34,""))</f>
        <v>44135</v>
      </c>
      <c r="Q45" s="25" t="str">
        <f>IF(DAY(OktNed1)=1,IF(AND(YEAR(OktNed1+28)=KalendarskaGodina,MONTH(OktNed1+28)=10),OktNed1+28,""),IF(AND(YEAR(OktNed1+35)=KalendarskaGodina,MONTH(OktNed1+35)=10),OktNed1+35,""))</f>
        <v/>
      </c>
      <c r="S45" s="24"/>
      <c r="U45" s="9" t="s">
        <v>47</v>
      </c>
      <c r="V45" s="30"/>
      <c r="W45" s="30"/>
    </row>
    <row r="46" spans="1:23" ht="15" customHeight="1" x14ac:dyDescent="0.2">
      <c r="A46" s="18"/>
      <c r="C46" s="25" t="str">
        <f>IF(DAY(SeptNed1)=1,IF(AND(YEAR(SeptNed1+29)=KalendarskaGodina,MONTH(SeptNed1+29)=9),SeptNed1+29,""),IF(AND(YEAR(SeptNed1+36)=KalendarskaGodina,MONTH(SeptNed1+36)=9),SeptNed1+36,""))</f>
        <v/>
      </c>
      <c r="D46" s="25" t="str">
        <f>IF(DAY(SeptNed1)=1,IF(AND(YEAR(SeptNed1+30)=KalendarskaGodina,MONTH(SeptNed1+30)=9),SeptNed1+30,""),IF(AND(YEAR(SeptNed1+37)=KalendarskaGodina,MONTH(SeptNed1+37)=9),SeptNed1+37,""))</f>
        <v/>
      </c>
      <c r="E46" s="25" t="str">
        <f>IF(DAY(SeptNed1)=1,IF(AND(YEAR(SeptNed1+31)=KalendarskaGodina,MONTH(SeptNed1+31)=9),SeptNed1+31,""),IF(AND(YEAR(SeptNed1+38)=KalendarskaGodina,MONTH(SeptNed1+38)=9),SeptNed1+38,""))</f>
        <v/>
      </c>
      <c r="F46" s="25" t="str">
        <f>IF(DAY(SeptNed1)=1,IF(AND(YEAR(SeptNed1+32)=KalendarskaGodina,MONTH(SeptNed1+32)=9),SeptNed1+32,""),IF(AND(YEAR(SeptNed1+39)=KalendarskaGodina,MONTH(SeptNed1+39)=9),SeptNed1+39,""))</f>
        <v/>
      </c>
      <c r="G46" s="25" t="str">
        <f>IF(DAY(SeptNed1)=1,IF(AND(YEAR(SeptNed1+33)=KalendarskaGodina,MONTH(SeptNed1+33)=9),SeptNed1+33,""),IF(AND(YEAR(SeptNed1+40)=KalendarskaGodina,MONTH(SeptNed1+40)=9),SeptNed1+40,""))</f>
        <v/>
      </c>
      <c r="H46" s="25" t="str">
        <f>IF(DAY(SeptNed1)=1,IF(AND(YEAR(SeptNed1+34)=KalendarskaGodina,MONTH(SeptNed1+34)=9),SeptNed1+34,""),IF(AND(YEAR(SeptNed1+41)=KalendarskaGodina,MONTH(SeptNed1+41)=9),SeptNed1+41,""))</f>
        <v/>
      </c>
      <c r="I46" s="25" t="str">
        <f>IF(DAY(SeptNed1)=1,IF(AND(YEAR(SeptNed1+35)=KalendarskaGodina,MONTH(SeptNed1+35)=9),SeptNed1+35,""),IF(AND(YEAR(SeptNed1+42)=KalendarskaGodina,MONTH(SeptNed1+42)=9),SeptNed1+42,""))</f>
        <v/>
      </c>
      <c r="K46" s="25" t="str">
        <f>IF(DAY(OktNed1)=1,IF(AND(YEAR(OktNed1+29)=KalendarskaGodina,MONTH(OktNed1+29)=10),OktNed1+29,""),IF(AND(YEAR(OktNed1+36)=KalendarskaGodina,MONTH(OktNed1+36)=10),OktNed1+36,""))</f>
        <v/>
      </c>
      <c r="L46" s="25" t="str">
        <f>IF(DAY(OktNed1)=1,IF(AND(YEAR(OktNed1+30)=KalendarskaGodina,MONTH(OktNed1+30)=10),OktNed1+30,""),IF(AND(YEAR(OktNed1+37)=KalendarskaGodina,MONTH(OktNed1+37)=10),OktNed1+37,""))</f>
        <v/>
      </c>
      <c r="M46" s="25" t="str">
        <f>IF(DAY(OktNed1)=1,IF(AND(YEAR(OktNed1+31)=KalendarskaGodina,MONTH(OktNed1+31)=10),OktNed1+31,""),IF(AND(YEAR(OktNed1+38)=KalendarskaGodina,MONTH(OktNed1+38)=10),OktNed1+38,""))</f>
        <v/>
      </c>
      <c r="N46" s="25" t="str">
        <f>IF(DAY(OktNed1)=1,IF(AND(YEAR(OktNed1+32)=KalendarskaGodina,MONTH(OktNed1+32)=10),OktNed1+32,""),IF(AND(YEAR(OktNed1+39)=KalendarskaGodina,MONTH(OktNed1+39)=10),OktNed1+39,""))</f>
        <v/>
      </c>
      <c r="O46" s="25" t="str">
        <f>IF(DAY(OktNed1)=1,IF(AND(YEAR(OktNed1+33)=KalendarskaGodina,MONTH(OktNed1+33)=10),OktNed1+33,""),IF(AND(YEAR(OktNed1+40)=KalendarskaGodina,MONTH(OktNed1+40)=10),OktNed1+40,""))</f>
        <v/>
      </c>
      <c r="P46" s="25" t="str">
        <f>IF(DAY(OktNed1)=1,IF(AND(YEAR(OktNed1+34)=KalendarskaGodina,MONTH(OktNed1+34)=10),OktNed1+34,""),IF(AND(YEAR(OktNed1+41)=KalendarskaGodina,MONTH(OktNed1+41)=10),OktNed1+41,""))</f>
        <v/>
      </c>
      <c r="Q46" s="25" t="str">
        <f>IF(DAY(OktNed1)=1,IF(AND(YEAR(OktNed1+35)=KalendarskaGodina,MONTH(OktNed1+35)=10),OktNed1+35,""),IF(AND(YEAR(OktNed1+42)=KalendarskaGodina,MONTH(OktNed1+42)=10),OktNed1+42,""))</f>
        <v/>
      </c>
      <c r="S46" s="24"/>
      <c r="U46" s="9"/>
      <c r="V46" s="30"/>
      <c r="W46" s="30"/>
    </row>
    <row r="47" spans="1:23" ht="15" customHeight="1" x14ac:dyDescent="0.2">
      <c r="A47" s="18" t="s">
        <v>21</v>
      </c>
      <c r="S47" s="24"/>
      <c r="U47" s="9" t="s">
        <v>48</v>
      </c>
      <c r="V47" s="30"/>
      <c r="W47" s="30"/>
    </row>
    <row r="48" spans="1:23" ht="15" customHeight="1" x14ac:dyDescent="0.2">
      <c r="A48" s="18" t="s">
        <v>22</v>
      </c>
      <c r="C48" s="27" t="s">
        <v>31</v>
      </c>
      <c r="D48" s="27"/>
      <c r="E48" s="27"/>
      <c r="F48" s="27"/>
      <c r="G48" s="27"/>
      <c r="H48" s="27"/>
      <c r="I48" s="27"/>
      <c r="K48" s="27" t="s">
        <v>38</v>
      </c>
      <c r="L48" s="27"/>
      <c r="M48" s="27"/>
      <c r="N48" s="27"/>
      <c r="O48" s="27"/>
      <c r="P48" s="27"/>
      <c r="Q48" s="27"/>
      <c r="S48" s="24"/>
      <c r="U48" s="9" t="s">
        <v>49</v>
      </c>
      <c r="V48" s="30"/>
      <c r="W48" s="30"/>
    </row>
    <row r="49" spans="1:21" ht="15" customHeight="1" x14ac:dyDescent="0.2">
      <c r="A49" s="18" t="s">
        <v>23</v>
      </c>
      <c r="C49" s="11" t="s">
        <v>52</v>
      </c>
      <c r="D49" s="11" t="s">
        <v>53</v>
      </c>
      <c r="E49" s="11" t="s">
        <v>32</v>
      </c>
      <c r="F49" s="11" t="s">
        <v>54</v>
      </c>
      <c r="G49" s="11" t="s">
        <v>55</v>
      </c>
      <c r="H49" s="11" t="s">
        <v>56</v>
      </c>
      <c r="I49" s="11" t="s">
        <v>57</v>
      </c>
      <c r="J49" s="23"/>
      <c r="K49" s="11" t="s">
        <v>52</v>
      </c>
      <c r="L49" s="11" t="s">
        <v>53</v>
      </c>
      <c r="M49" s="11" t="s">
        <v>32</v>
      </c>
      <c r="N49" s="11" t="s">
        <v>54</v>
      </c>
      <c r="O49" s="11" t="s">
        <v>55</v>
      </c>
      <c r="P49" s="11" t="s">
        <v>56</v>
      </c>
      <c r="Q49" s="11" t="s">
        <v>57</v>
      </c>
      <c r="S49" s="24"/>
      <c r="U49" s="9" t="s">
        <v>50</v>
      </c>
    </row>
    <row r="50" spans="1:21" ht="15" customHeight="1" x14ac:dyDescent="0.2">
      <c r="A50" s="18"/>
      <c r="C50" s="25" t="str">
        <f>IF(DAY(NovNed1)=1,"",IF(AND(YEAR(NovNed1+1)=KalendarskaGodina,MONTH(NovNed1+1)=11),NovNed1+1,""))</f>
        <v/>
      </c>
      <c r="D50" s="25" t="str">
        <f>IF(DAY(NovNed1)=1,"",IF(AND(YEAR(NovNed1+2)=KalendarskaGodina,MONTH(NovNed1+2)=11),NovNed1+2,""))</f>
        <v/>
      </c>
      <c r="E50" s="25" t="str">
        <f>IF(DAY(NovNed1)=1,"",IF(AND(YEAR(NovNed1+3)=KalendarskaGodina,MONTH(NovNed1+3)=11),NovNed1+3,""))</f>
        <v/>
      </c>
      <c r="F50" s="25" t="str">
        <f>IF(DAY(NovNed1)=1,"",IF(AND(YEAR(NovNed1+4)=KalendarskaGodina,MONTH(NovNed1+4)=11),NovNed1+4,""))</f>
        <v/>
      </c>
      <c r="G50" s="25" t="str">
        <f>IF(DAY(NovNed1)=1,"",IF(AND(YEAR(NovNed1+5)=KalendarskaGodina,MONTH(NovNed1+5)=11),NovNed1+5,""))</f>
        <v/>
      </c>
      <c r="H50" s="25" t="str">
        <f>IF(DAY(NovNed1)=1,"",IF(AND(YEAR(NovNed1+6)=KalendarskaGodina,MONTH(NovNed1+6)=11),NovNed1+6,""))</f>
        <v/>
      </c>
      <c r="I50" s="25">
        <f>IF(DAY(NovNed1)=1,IF(AND(YEAR(NovNed1)=KalendarskaGodina,MONTH(NovNed1)=11),NovNed1,""),IF(AND(YEAR(NovNed1+7)=KalendarskaGodina,MONTH(NovNed1+7)=11),NovNed1+7,""))</f>
        <v>44136</v>
      </c>
      <c r="K50" s="25" t="str">
        <f>IF(DAY(DecNed1)=1,"",IF(AND(YEAR(DecNed1+1)=KalendarskaGodina,MONTH(DecNed1+1)=12),DecNed1+1,""))</f>
        <v/>
      </c>
      <c r="L50" s="25">
        <f>IF(DAY(DecNed1)=1,"",IF(AND(YEAR(DecNed1+2)=KalendarskaGodina,MONTH(DecNed1+2)=12),DecNed1+2,""))</f>
        <v>44166</v>
      </c>
      <c r="M50" s="25">
        <f>IF(DAY(DecNed1)=1,"",IF(AND(YEAR(DecNed1+3)=KalendarskaGodina,MONTH(DecNed1+3)=12),DecNed1+3,""))</f>
        <v>44167</v>
      </c>
      <c r="N50" s="25">
        <f>IF(DAY(DecNed1)=1,"",IF(AND(YEAR(DecNed1+4)=KalendarskaGodina,MONTH(DecNed1+4)=12),DecNed1+4,""))</f>
        <v>44168</v>
      </c>
      <c r="O50" s="25">
        <f>IF(DAY(DecNed1)=1,"",IF(AND(YEAR(DecNed1+5)=KalendarskaGodina,MONTH(DecNed1+5)=12),DecNed1+5,""))</f>
        <v>44169</v>
      </c>
      <c r="P50" s="25">
        <f>IF(DAY(DecNed1)=1,"",IF(AND(YEAR(DecNed1+6)=KalendarskaGodina,MONTH(DecNed1+6)=12),DecNed1+6,""))</f>
        <v>44170</v>
      </c>
      <c r="Q50" s="25">
        <f>IF(DAY(DecNed1)=1,IF(AND(YEAR(DecNed1)=KalendarskaGodina,MONTH(DecNed1)=12),DecNed1,""),IF(AND(YEAR(DecNed1+7)=KalendarskaGodina,MONTH(DecNed1+7)=12),DecNed1+7,""))</f>
        <v>44171</v>
      </c>
      <c r="S50" s="24"/>
      <c r="U50" s="1"/>
    </row>
    <row r="51" spans="1:21" ht="15" customHeight="1" x14ac:dyDescent="0.2">
      <c r="A51" s="18" t="s">
        <v>24</v>
      </c>
      <c r="C51" s="25">
        <f>IF(DAY(NovNed1)=1,IF(AND(YEAR(NovNed1+1)=KalendarskaGodina,MONTH(NovNed1+1)=11),NovNed1+1,""),IF(AND(YEAR(NovNed1+8)=KalendarskaGodina,MONTH(NovNed1+8)=11),NovNed1+8,""))</f>
        <v>44137</v>
      </c>
      <c r="D51" s="25">
        <f>IF(DAY(NovNed1)=1,IF(AND(YEAR(NovNed1+2)=KalendarskaGodina,MONTH(NovNed1+2)=11),NovNed1+2,""),IF(AND(YEAR(NovNed1+9)=KalendarskaGodina,MONTH(NovNed1+9)=11),NovNed1+9,""))</f>
        <v>44138</v>
      </c>
      <c r="E51" s="25">
        <f>IF(DAY(NovNed1)=1,IF(AND(YEAR(NovNed1+3)=KalendarskaGodina,MONTH(NovNed1+3)=11),NovNed1+3,""),IF(AND(YEAR(NovNed1+10)=KalendarskaGodina,MONTH(NovNed1+10)=11),NovNed1+10,""))</f>
        <v>44139</v>
      </c>
      <c r="F51" s="25">
        <f>IF(DAY(NovNed1)=1,IF(AND(YEAR(NovNed1+4)=KalendarskaGodina,MONTH(NovNed1+4)=11),NovNed1+4,""),IF(AND(YEAR(NovNed1+11)=KalendarskaGodina,MONTH(NovNed1+11)=11),NovNed1+11,""))</f>
        <v>44140</v>
      </c>
      <c r="G51" s="25">
        <f>IF(DAY(NovNed1)=1,IF(AND(YEAR(NovNed1+5)=KalendarskaGodina,MONTH(NovNed1+5)=11),NovNed1+5,""),IF(AND(YEAR(NovNed1+12)=KalendarskaGodina,MONTH(NovNed1+12)=11),NovNed1+12,""))</f>
        <v>44141</v>
      </c>
      <c r="H51" s="25">
        <f>IF(DAY(NovNed1)=1,IF(AND(YEAR(NovNed1+6)=KalendarskaGodina,MONTH(NovNed1+6)=11),NovNed1+6,""),IF(AND(YEAR(NovNed1+13)=KalendarskaGodina,MONTH(NovNed1+13)=11),NovNed1+13,""))</f>
        <v>44142</v>
      </c>
      <c r="I51" s="25">
        <f>IF(DAY(NovNed1)=1,IF(AND(YEAR(NovNed1+7)=KalendarskaGodina,MONTH(NovNed1+7)=11),NovNed1+7,""),IF(AND(YEAR(NovNed1+14)=KalendarskaGodina,MONTH(NovNed1+14)=11),NovNed1+14,""))</f>
        <v>44143</v>
      </c>
      <c r="K51" s="25">
        <f>IF(DAY(DecNed1)=1,IF(AND(YEAR(DecNed1+1)=KalendarskaGodina,MONTH(DecNed1+1)=12),DecNed1+1,""),IF(AND(YEAR(DecNed1+8)=KalendarskaGodina,MONTH(DecNed1+8)=12),DecNed1+8,""))</f>
        <v>44172</v>
      </c>
      <c r="L51" s="25">
        <f>IF(DAY(DecNed1)=1,IF(AND(YEAR(DecNed1+2)=KalendarskaGodina,MONTH(DecNed1+2)=12),DecNed1+2,""),IF(AND(YEAR(DecNed1+9)=KalendarskaGodina,MONTH(DecNed1+9)=12),DecNed1+9,""))</f>
        <v>44173</v>
      </c>
      <c r="M51" s="25">
        <f>IF(DAY(DecNed1)=1,IF(AND(YEAR(DecNed1+3)=KalendarskaGodina,MONTH(DecNed1+3)=12),DecNed1+3,""),IF(AND(YEAR(DecNed1+10)=KalendarskaGodina,MONTH(DecNed1+10)=12),DecNed1+10,""))</f>
        <v>44174</v>
      </c>
      <c r="N51" s="25">
        <f>IF(DAY(DecNed1)=1,IF(AND(YEAR(DecNed1+4)=KalendarskaGodina,MONTH(DecNed1+4)=12),DecNed1+4,""),IF(AND(YEAR(DecNed1+11)=KalendarskaGodina,MONTH(DecNed1+11)=12),DecNed1+11,""))</f>
        <v>44175</v>
      </c>
      <c r="O51" s="25">
        <f>IF(DAY(DecNed1)=1,IF(AND(YEAR(DecNed1+5)=KalendarskaGodina,MONTH(DecNed1+5)=12),DecNed1+5,""),IF(AND(YEAR(DecNed1+12)=KalendarskaGodina,MONTH(DecNed1+12)=12),DecNed1+12,""))</f>
        <v>44176</v>
      </c>
      <c r="P51" s="25">
        <f>IF(DAY(DecNed1)=1,IF(AND(YEAR(DecNed1+6)=KalendarskaGodina,MONTH(DecNed1+6)=12),DecNed1+6,""),IF(AND(YEAR(DecNed1+13)=KalendarskaGodina,MONTH(DecNed1+13)=12),DecNed1+13,""))</f>
        <v>44177</v>
      </c>
      <c r="Q51" s="25">
        <f>IF(DAY(DecNed1)=1,IF(AND(YEAR(DecNed1+7)=KalendarskaGodina,MONTH(DecNed1+7)=12),DecNed1+7,""),IF(AND(YEAR(DecNed1+14)=KalendarskaGodina,MONTH(DecNed1+14)=12),DecNed1+14,""))</f>
        <v>44178</v>
      </c>
      <c r="S51" s="24"/>
      <c r="U51" s="28" t="s">
        <v>51</v>
      </c>
    </row>
    <row r="52" spans="1:21" ht="15" customHeight="1" x14ac:dyDescent="0.2">
      <c r="C52" s="25">
        <f>IF(DAY(NovNed1)=1,IF(AND(YEAR(NovNed1+8)=KalendarskaGodina,MONTH(NovNed1+8)=11),NovNed1+8,""),IF(AND(YEAR(NovNed1+15)=KalendarskaGodina,MONTH(NovNed1+15)=11),NovNed1+15,""))</f>
        <v>44144</v>
      </c>
      <c r="D52" s="25">
        <f>IF(DAY(NovNed1)=1,IF(AND(YEAR(NovNed1+9)=KalendarskaGodina,MONTH(NovNed1+9)=11),NovNed1+9,""),IF(AND(YEAR(NovNed1+16)=KalendarskaGodina,MONTH(NovNed1+16)=11),NovNed1+16,""))</f>
        <v>44145</v>
      </c>
      <c r="E52" s="25">
        <f>IF(DAY(NovNed1)=1,IF(AND(YEAR(NovNed1+10)=KalendarskaGodina,MONTH(NovNed1+10)=11),NovNed1+10,""),IF(AND(YEAR(NovNed1+17)=KalendarskaGodina,MONTH(NovNed1+17)=11),NovNed1+17,""))</f>
        <v>44146</v>
      </c>
      <c r="F52" s="25">
        <f>IF(DAY(NovNed1)=1,IF(AND(YEAR(NovNed1+11)=KalendarskaGodina,MONTH(NovNed1+11)=11),NovNed1+11,""),IF(AND(YEAR(NovNed1+18)=KalendarskaGodina,MONTH(NovNed1+18)=11),NovNed1+18,""))</f>
        <v>44147</v>
      </c>
      <c r="G52" s="25">
        <f>IF(DAY(NovNed1)=1,IF(AND(YEAR(NovNed1+12)=KalendarskaGodina,MONTH(NovNed1+12)=11),NovNed1+12,""),IF(AND(YEAR(NovNed1+19)=KalendarskaGodina,MONTH(NovNed1+19)=11),NovNed1+19,""))</f>
        <v>44148</v>
      </c>
      <c r="H52" s="25">
        <f>IF(DAY(NovNed1)=1,IF(AND(YEAR(NovNed1+13)=KalendarskaGodina,MONTH(NovNed1+13)=11),NovNed1+13,""),IF(AND(YEAR(NovNed1+20)=KalendarskaGodina,MONTH(NovNed1+20)=11),NovNed1+20,""))</f>
        <v>44149</v>
      </c>
      <c r="I52" s="25">
        <f>IF(DAY(NovNed1)=1,IF(AND(YEAR(NovNed1+14)=KalendarskaGodina,MONTH(NovNed1+14)=11),NovNed1+14,""),IF(AND(YEAR(NovNed1+21)=KalendarskaGodina,MONTH(NovNed1+21)=11),NovNed1+21,""))</f>
        <v>44150</v>
      </c>
      <c r="K52" s="25">
        <f>IF(DAY(DecNed1)=1,IF(AND(YEAR(DecNed1+8)=KalendarskaGodina,MONTH(DecNed1+8)=12),DecNed1+8,""),IF(AND(YEAR(DecNed1+15)=KalendarskaGodina,MONTH(DecNed1+15)=12),DecNed1+15,""))</f>
        <v>44179</v>
      </c>
      <c r="L52" s="25">
        <f>IF(DAY(DecNed1)=1,IF(AND(YEAR(DecNed1+9)=KalendarskaGodina,MONTH(DecNed1+9)=12),DecNed1+9,""),IF(AND(YEAR(DecNed1+16)=KalendarskaGodina,MONTH(DecNed1+16)=12),DecNed1+16,""))</f>
        <v>44180</v>
      </c>
      <c r="M52" s="25">
        <f>IF(DAY(DecNed1)=1,IF(AND(YEAR(DecNed1+10)=KalendarskaGodina,MONTH(DecNed1+10)=12),DecNed1+10,""),IF(AND(YEAR(DecNed1+17)=KalendarskaGodina,MONTH(DecNed1+17)=12),DecNed1+17,""))</f>
        <v>44181</v>
      </c>
      <c r="N52" s="25">
        <f>IF(DAY(DecNed1)=1,IF(AND(YEAR(DecNed1+11)=KalendarskaGodina,MONTH(DecNed1+11)=12),DecNed1+11,""),IF(AND(YEAR(DecNed1+18)=KalendarskaGodina,MONTH(DecNed1+18)=12),DecNed1+18,""))</f>
        <v>44182</v>
      </c>
      <c r="O52" s="25">
        <f>IF(DAY(DecNed1)=1,IF(AND(YEAR(DecNed1+12)=KalendarskaGodina,MONTH(DecNed1+12)=12),DecNed1+12,""),IF(AND(YEAR(DecNed1+19)=KalendarskaGodina,MONTH(DecNed1+19)=12),DecNed1+19,""))</f>
        <v>44183</v>
      </c>
      <c r="P52" s="25">
        <f>IF(DAY(DecNed1)=1,IF(AND(YEAR(DecNed1+13)=KalendarskaGodina,MONTH(DecNed1+13)=12),DecNed1+13,""),IF(AND(YEAR(DecNed1+20)=KalendarskaGodina,MONTH(DecNed1+20)=12),DecNed1+20,""))</f>
        <v>44184</v>
      </c>
      <c r="Q52" s="25">
        <f>IF(DAY(DecNed1)=1,IF(AND(YEAR(DecNed1+14)=KalendarskaGodina,MONTH(DecNed1+14)=12),DecNed1+14,""),IF(AND(YEAR(DecNed1+21)=KalendarskaGodina,MONTH(DecNed1+21)=12),DecNed1+21,""))</f>
        <v>44185</v>
      </c>
      <c r="S52" s="24"/>
      <c r="U52" s="28"/>
    </row>
    <row r="53" spans="1:21" ht="15" customHeight="1" x14ac:dyDescent="0.2">
      <c r="C53" s="25">
        <f>IF(DAY(NovNed1)=1,IF(AND(YEAR(NovNed1+15)=KalendarskaGodina,MONTH(NovNed1+15)=11),NovNed1+15,""),IF(AND(YEAR(NovNed1+22)=KalendarskaGodina,MONTH(NovNed1+22)=11),NovNed1+22,""))</f>
        <v>44151</v>
      </c>
      <c r="D53" s="25">
        <f>IF(DAY(NovNed1)=1,IF(AND(YEAR(NovNed1+16)=KalendarskaGodina,MONTH(NovNed1+16)=11),NovNed1+16,""),IF(AND(YEAR(NovNed1+23)=KalendarskaGodina,MONTH(NovNed1+23)=11),NovNed1+23,""))</f>
        <v>44152</v>
      </c>
      <c r="E53" s="25">
        <f>IF(DAY(NovNed1)=1,IF(AND(YEAR(NovNed1+17)=KalendarskaGodina,MONTH(NovNed1+17)=11),NovNed1+17,""),IF(AND(YEAR(NovNed1+24)=KalendarskaGodina,MONTH(NovNed1+24)=11),NovNed1+24,""))</f>
        <v>44153</v>
      </c>
      <c r="F53" s="25">
        <f>IF(DAY(NovNed1)=1,IF(AND(YEAR(NovNed1+18)=KalendarskaGodina,MONTH(NovNed1+18)=11),NovNed1+18,""),IF(AND(YEAR(NovNed1+25)=KalendarskaGodina,MONTH(NovNed1+25)=11),NovNed1+25,""))</f>
        <v>44154</v>
      </c>
      <c r="G53" s="25">
        <f>IF(DAY(NovNed1)=1,IF(AND(YEAR(NovNed1+19)=KalendarskaGodina,MONTH(NovNed1+19)=11),NovNed1+19,""),IF(AND(YEAR(NovNed1+26)=KalendarskaGodina,MONTH(NovNed1+26)=11),NovNed1+26,""))</f>
        <v>44155</v>
      </c>
      <c r="H53" s="25">
        <f>IF(DAY(NovNed1)=1,IF(AND(YEAR(NovNed1+20)=KalendarskaGodina,MONTH(NovNed1+20)=11),NovNed1+20,""),IF(AND(YEAR(NovNed1+27)=KalendarskaGodina,MONTH(NovNed1+27)=11),NovNed1+27,""))</f>
        <v>44156</v>
      </c>
      <c r="I53" s="25">
        <f>IF(DAY(NovNed1)=1,IF(AND(YEAR(NovNed1+21)=KalendarskaGodina,MONTH(NovNed1+21)=11),NovNed1+21,""),IF(AND(YEAR(NovNed1+28)=KalendarskaGodina,MONTH(NovNed1+28)=11),NovNed1+28,""))</f>
        <v>44157</v>
      </c>
      <c r="K53" s="25">
        <f>IF(DAY(DecNed1)=1,IF(AND(YEAR(DecNed1+15)=KalendarskaGodina,MONTH(DecNed1+15)=12),DecNed1+15,""),IF(AND(YEAR(DecNed1+22)=KalendarskaGodina,MONTH(DecNed1+22)=12),DecNed1+22,""))</f>
        <v>44186</v>
      </c>
      <c r="L53" s="25">
        <f>IF(DAY(DecNed1)=1,IF(AND(YEAR(DecNed1+16)=KalendarskaGodina,MONTH(DecNed1+16)=12),DecNed1+16,""),IF(AND(YEAR(DecNed1+23)=KalendarskaGodina,MONTH(DecNed1+23)=12),DecNed1+23,""))</f>
        <v>44187</v>
      </c>
      <c r="M53" s="25">
        <f>IF(DAY(DecNed1)=1,IF(AND(YEAR(DecNed1+17)=KalendarskaGodina,MONTH(DecNed1+17)=12),DecNed1+17,""),IF(AND(YEAR(DecNed1+24)=KalendarskaGodina,MONTH(DecNed1+24)=12),DecNed1+24,""))</f>
        <v>44188</v>
      </c>
      <c r="N53" s="25">
        <f>IF(DAY(DecNed1)=1,IF(AND(YEAR(DecNed1+18)=KalendarskaGodina,MONTH(DecNed1+18)=12),DecNed1+18,""),IF(AND(YEAR(DecNed1+25)=KalendarskaGodina,MONTH(DecNed1+25)=12),DecNed1+25,""))</f>
        <v>44189</v>
      </c>
      <c r="O53" s="25">
        <f>IF(DAY(DecNed1)=1,IF(AND(YEAR(DecNed1+19)=KalendarskaGodina,MONTH(DecNed1+19)=12),DecNed1+19,""),IF(AND(YEAR(DecNed1+26)=KalendarskaGodina,MONTH(DecNed1+26)=12),DecNed1+26,""))</f>
        <v>44190</v>
      </c>
      <c r="P53" s="25">
        <f>IF(DAY(DecNed1)=1,IF(AND(YEAR(DecNed1+20)=KalendarskaGodina,MONTH(DecNed1+20)=12),DecNed1+20,""),IF(AND(YEAR(DecNed1+27)=KalendarskaGodina,MONTH(DecNed1+27)=12),DecNed1+27,""))</f>
        <v>44191</v>
      </c>
      <c r="Q53" s="25">
        <f>IF(DAY(DecNed1)=1,IF(AND(YEAR(DecNed1+21)=KalendarskaGodina,MONTH(DecNed1+21)=12),DecNed1+21,""),IF(AND(YEAR(DecNed1+28)=KalendarskaGodina,MONTH(DecNed1+28)=12),DecNed1+28,""))</f>
        <v>44192</v>
      </c>
      <c r="S53" s="24"/>
      <c r="U53" s="28"/>
    </row>
    <row r="54" spans="1:21" ht="15" customHeight="1" x14ac:dyDescent="0.2">
      <c r="C54" s="25">
        <f>IF(DAY(NovNed1)=1,IF(AND(YEAR(NovNed1+22)=KalendarskaGodina,MONTH(NovNed1+22)=11),NovNed1+22,""),IF(AND(YEAR(NovNed1+29)=KalendarskaGodina,MONTH(NovNed1+29)=11),NovNed1+29,""))</f>
        <v>44158</v>
      </c>
      <c r="D54" s="25">
        <f>IF(DAY(NovNed1)=1,IF(AND(YEAR(NovNed1+23)=KalendarskaGodina,MONTH(NovNed1+23)=11),NovNed1+23,""),IF(AND(YEAR(NovNed1+30)=KalendarskaGodina,MONTH(NovNed1+30)=11),NovNed1+30,""))</f>
        <v>44159</v>
      </c>
      <c r="E54" s="25">
        <f>IF(DAY(NovNed1)=1,IF(AND(YEAR(NovNed1+24)=KalendarskaGodina,MONTH(NovNed1+24)=11),NovNed1+24,""),IF(AND(YEAR(NovNed1+31)=KalendarskaGodina,MONTH(NovNed1+31)=11),NovNed1+31,""))</f>
        <v>44160</v>
      </c>
      <c r="F54" s="25">
        <f>IF(DAY(NovNed1)=1,IF(AND(YEAR(NovNed1+25)=KalendarskaGodina,MONTH(NovNed1+25)=11),NovNed1+25,""),IF(AND(YEAR(NovNed1+32)=KalendarskaGodina,MONTH(NovNed1+32)=11),NovNed1+32,""))</f>
        <v>44161</v>
      </c>
      <c r="G54" s="25">
        <f>IF(DAY(NovNed1)=1,IF(AND(YEAR(NovNed1+26)=KalendarskaGodina,MONTH(NovNed1+26)=11),NovNed1+26,""),IF(AND(YEAR(NovNed1+33)=KalendarskaGodina,MONTH(NovNed1+33)=11),NovNed1+33,""))</f>
        <v>44162</v>
      </c>
      <c r="H54" s="25">
        <f>IF(DAY(NovNed1)=1,IF(AND(YEAR(NovNed1+27)=KalendarskaGodina,MONTH(NovNed1+27)=11),NovNed1+27,""),IF(AND(YEAR(NovNed1+34)=KalendarskaGodina,MONTH(NovNed1+34)=11),NovNed1+34,""))</f>
        <v>44163</v>
      </c>
      <c r="I54" s="25">
        <f>IF(DAY(NovNed1)=1,IF(AND(YEAR(NovNed1+28)=KalendarskaGodina,MONTH(NovNed1+28)=11),NovNed1+28,""),IF(AND(YEAR(NovNed1+35)=KalendarskaGodina,MONTH(NovNed1+35)=11),NovNed1+35,""))</f>
        <v>44164</v>
      </c>
      <c r="K54" s="25">
        <f>IF(DAY(DecNed1)=1,IF(AND(YEAR(DecNed1+22)=KalendarskaGodina,MONTH(DecNed1+22)=12),DecNed1+22,""),IF(AND(YEAR(DecNed1+29)=KalendarskaGodina,MONTH(DecNed1+29)=12),DecNed1+29,""))</f>
        <v>44193</v>
      </c>
      <c r="L54" s="25">
        <f>IF(DAY(DecNed1)=1,IF(AND(YEAR(DecNed1+23)=KalendarskaGodina,MONTH(DecNed1+23)=12),DecNed1+23,""),IF(AND(YEAR(DecNed1+30)=KalendarskaGodina,MONTH(DecNed1+30)=12),DecNed1+30,""))</f>
        <v>44194</v>
      </c>
      <c r="M54" s="25">
        <f>IF(DAY(DecNed1)=1,IF(AND(YEAR(DecNed1+24)=KalendarskaGodina,MONTH(DecNed1+24)=12),DecNed1+24,""),IF(AND(YEAR(DecNed1+31)=KalendarskaGodina,MONTH(DecNed1+31)=12),DecNed1+31,""))</f>
        <v>44195</v>
      </c>
      <c r="N54" s="25">
        <f>IF(DAY(DecNed1)=1,IF(AND(YEAR(DecNed1+25)=KalendarskaGodina,MONTH(DecNed1+25)=12),DecNed1+25,""),IF(AND(YEAR(DecNed1+32)=KalendarskaGodina,MONTH(DecNed1+32)=12),DecNed1+32,""))</f>
        <v>44196</v>
      </c>
      <c r="O54" s="25" t="str">
        <f>IF(DAY(DecNed1)=1,IF(AND(YEAR(DecNed1+26)=KalendarskaGodina,MONTH(DecNed1+26)=12),DecNed1+26,""),IF(AND(YEAR(DecNed1+33)=KalendarskaGodina,MONTH(DecNed1+33)=12),DecNed1+33,""))</f>
        <v/>
      </c>
      <c r="P54" s="25" t="str">
        <f>IF(DAY(DecNed1)=1,IF(AND(YEAR(DecNed1+27)=KalendarskaGodina,MONTH(DecNed1+27)=12),DecNed1+27,""),IF(AND(YEAR(DecNed1+34)=KalendarskaGodina,MONTH(DecNed1+34)=12),DecNed1+34,""))</f>
        <v/>
      </c>
      <c r="Q54" s="25" t="str">
        <f>IF(DAY(DecNed1)=1,IF(AND(YEAR(DecNed1+28)=KalendarskaGodina,MONTH(DecNed1+28)=12),DecNed1+28,""),IF(AND(YEAR(DecNed1+35)=KalendarskaGodina,MONTH(DecNed1+35)=12),DecNed1+35,""))</f>
        <v/>
      </c>
      <c r="S54" s="24"/>
      <c r="U54" s="28"/>
    </row>
    <row r="55" spans="1:21" ht="15" customHeight="1" x14ac:dyDescent="0.2">
      <c r="C55" s="25">
        <f>IF(DAY(NovNed1)=1,IF(AND(YEAR(NovNed1+29)=KalendarskaGodina,MONTH(NovNed1+29)=11),NovNed1+29,""),IF(AND(YEAR(NovNed1+36)=KalendarskaGodina,MONTH(NovNed1+36)=11),NovNed1+36,""))</f>
        <v>44165</v>
      </c>
      <c r="D55" s="25" t="str">
        <f>IF(DAY(NovNed1)=1,IF(AND(YEAR(NovNed1+30)=KalendarskaGodina,MONTH(NovNed1+30)=11),NovNed1+30,""),IF(AND(YEAR(NovNed1+37)=KalendarskaGodina,MONTH(NovNed1+37)=11),NovNed1+37,""))</f>
        <v/>
      </c>
      <c r="E55" s="25" t="str">
        <f>IF(DAY(NovNed1)=1,IF(AND(YEAR(NovNed1+31)=KalendarskaGodina,MONTH(NovNed1+31)=11),NovNed1+31,""),IF(AND(YEAR(NovNed1+38)=KalendarskaGodina,MONTH(NovNed1+38)=11),NovNed1+38,""))</f>
        <v/>
      </c>
      <c r="F55" s="25" t="str">
        <f>IF(DAY(NovNed1)=1,IF(AND(YEAR(NovNed1+32)=KalendarskaGodina,MONTH(NovNed1+32)=11),NovNed1+32,""),IF(AND(YEAR(NovNed1+39)=KalendarskaGodina,MONTH(NovNed1+39)=11),NovNed1+39,""))</f>
        <v/>
      </c>
      <c r="G55" s="25" t="str">
        <f>IF(DAY(NovNed1)=1,IF(AND(YEAR(NovNed1+33)=KalendarskaGodina,MONTH(NovNed1+33)=11),NovNed1+33,""),IF(AND(YEAR(NovNed1+40)=KalendarskaGodina,MONTH(NovNed1+40)=11),NovNed1+40,""))</f>
        <v/>
      </c>
      <c r="H55" s="25" t="str">
        <f>IF(DAY(NovNed1)=1,IF(AND(YEAR(NovNed1+34)=KalendarskaGodina,MONTH(NovNed1+34)=11),NovNed1+34,""),IF(AND(YEAR(NovNed1+41)=KalendarskaGodina,MONTH(NovNed1+41)=11),NovNed1+41,""))</f>
        <v/>
      </c>
      <c r="I55" s="25" t="str">
        <f>IF(DAY(NovNed1)=1,IF(AND(YEAR(NovNed1+35)=KalendarskaGodina,MONTH(NovNed1+35)=11),NovNed1+35,""),IF(AND(YEAR(NovNed1+42)=KalendarskaGodina,MONTH(NovNed1+42)=11),NovNed1+42,""))</f>
        <v/>
      </c>
      <c r="K55" s="25" t="str">
        <f>IF(DAY(DecNed1)=1,IF(AND(YEAR(DecNed1+29)=KalendarskaGodina,MONTH(DecNed1+29)=12),DecNed1+29,""),IF(AND(YEAR(DecNed1+36)=KalendarskaGodina,MONTH(DecNed1+36)=12),DecNed1+36,""))</f>
        <v/>
      </c>
      <c r="L55" s="25" t="str">
        <f>IF(DAY(DecNed1)=1,IF(AND(YEAR(DecNed1+30)=KalendarskaGodina,MONTH(DecNed1+30)=12),DecNed1+30,""),IF(AND(YEAR(DecNed1+37)=KalendarskaGodina,MONTH(DecNed1+37)=12),DecNed1+37,""))</f>
        <v/>
      </c>
      <c r="M55" s="25" t="str">
        <f>IF(DAY(DecNed1)=1,IF(AND(YEAR(DecNed1+31)=KalendarskaGodina,MONTH(DecNed1+31)=12),DecNed1+31,""),IF(AND(YEAR(DecNed1+38)=KalendarskaGodina,MONTH(DecNed1+38)=12),DecNed1+38,""))</f>
        <v/>
      </c>
      <c r="N55" s="25" t="str">
        <f>IF(DAY(DecNed1)=1,IF(AND(YEAR(DecNed1+32)=KalendarskaGodina,MONTH(DecNed1+32)=12),DecNed1+32,""),IF(AND(YEAR(DecNed1+39)=KalendarskaGodina,MONTH(DecNed1+39)=12),DecNed1+39,""))</f>
        <v/>
      </c>
      <c r="O55" s="25" t="str">
        <f>IF(DAY(DecNed1)=1,IF(AND(YEAR(DecNed1+33)=KalendarskaGodina,MONTH(DecNed1+33)=12),DecNed1+33,""),IF(AND(YEAR(DecNed1+40)=KalendarskaGodina,MONTH(DecNed1+40)=12),DecNed1+40,""))</f>
        <v/>
      </c>
      <c r="P55" s="25" t="str">
        <f>IF(DAY(DecNed1)=1,IF(AND(YEAR(DecNed1+34)=KalendarskaGodina,MONTH(DecNed1+34)=12),DecNed1+34,""),IF(AND(YEAR(DecNed1+41)=KalendarskaGodina,MONTH(DecNed1+41)=12),DecNed1+41,""))</f>
        <v/>
      </c>
      <c r="Q55" s="25" t="str">
        <f>IF(DAY(DecNed1)=1,IF(AND(YEAR(DecNed1+35)=KalendarskaGodina,MONTH(DecNed1+35)=12),DecNed1+35,""),IF(AND(YEAR(DecNed1+42)=KalendarskaGodina,MONTH(DecNed1+42)=12),DecNed1+42,""))</f>
        <v/>
      </c>
      <c r="S55" s="24"/>
      <c r="U55" s="28"/>
    </row>
    <row r="56" spans="1:21" ht="15" customHeight="1" x14ac:dyDescent="0.2"/>
    <row r="57" spans="1:21" ht="15" customHeight="1" x14ac:dyDescent="0.2"/>
    <row r="58" spans="1:21" ht="15" customHeight="1" x14ac:dyDescent="0.2"/>
    <row r="59" spans="1:21" ht="15" customHeight="1" x14ac:dyDescent="0.2"/>
    <row r="60" spans="1:21" ht="15" customHeight="1" x14ac:dyDescent="0.2"/>
    <row r="61" spans="1:21" ht="15" customHeight="1" x14ac:dyDescent="0.2"/>
    <row r="62" spans="1:21" ht="15" customHeight="1" x14ac:dyDescent="0.2"/>
    <row r="63" spans="1:21" ht="15" customHeight="1" x14ac:dyDescent="0.2"/>
    <row r="64" spans="1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6">
    <mergeCell ref="V3:W48"/>
    <mergeCell ref="C12:I12"/>
    <mergeCell ref="K12:Q12"/>
    <mergeCell ref="C21:I21"/>
    <mergeCell ref="K21:Q21"/>
    <mergeCell ref="C30:I30"/>
    <mergeCell ref="K30:Q30"/>
    <mergeCell ref="C1:F1"/>
    <mergeCell ref="C3:I3"/>
    <mergeCell ref="K3:Q3"/>
    <mergeCell ref="U51:U55"/>
    <mergeCell ref="C39:I39"/>
    <mergeCell ref="K39:Q39"/>
    <mergeCell ref="C48:I48"/>
    <mergeCell ref="K48:Q48"/>
    <mergeCell ref="B2:M2"/>
  </mergeCells>
  <phoneticPr fontId="6" type="noConversion"/>
  <dataValidations count="1">
    <dataValidation allowBlank="1" showInputMessage="1" showErrorMessage="1" errorTitle="Nevažeća godina" error="Unesite godinu od 1900. do 9999. ili koristite traku za pomeranje da biste pronašli godinu." sqref="C1:F1" xr:uid="{00000000-0002-0000-0100-000000000000}"/>
  </dataValidations>
  <printOptions horizontalCentered="1" verticalCentered="1"/>
  <pageMargins left="0.5" right="0.5" top="0.5" bottom="0.5" header="0.3" footer="0.3"/>
  <pageSetup paperSize="9" scale="83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Kružni indikator">
              <controlPr defaultSize="0" print="0" autoPict="0" altText="Koristite dugme kružnog indikatora da biste promenili kalendarsku godinu ili uneli godinu u ćeliju C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477D36-9C31-4E01-8098-E1A11F5C4BF3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CE7B6DD9-B1A1-4CCF-BA6C-C388D2464C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910982-F24E-49CE-AAE3-0CDBB69F7F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2</vt:i4>
      </vt:variant>
    </vt:vector>
  </HeadingPairs>
  <TitlesOfParts>
    <vt:vector size="4" baseType="lpstr">
      <vt:lpstr>Početak</vt:lpstr>
      <vt:lpstr>Godišnji kalendar</vt:lpstr>
      <vt:lpstr>KalendarskaGodina</vt:lpstr>
      <vt:lpstr>'Godišnji kalendar'!Oblast_štampanja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2019-06-15T10:14:58Z</dcterms:created>
  <dcterms:modified xsi:type="dcterms:W3CDTF">2020-02-18T06:42:12Z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