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3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4.xml" ContentType="application/vnd.openxmlformats-officedocument.drawing+xml"/>
  <Override PartName="/xl/tables/table1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r-latn-RS\"/>
    </mc:Choice>
  </mc:AlternateContent>
  <bookViews>
    <workbookView xWindow="0" yWindow="0" windowWidth="21600" windowHeight="8325" tabRatio="756" xr2:uid="{00000000-000D-0000-FFFF-FFFF00000000}"/>
  </bookViews>
  <sheets>
    <sheet name="POČETAK" sheetId="6" r:id="rId1"/>
    <sheet name="PLANIRANI TROŠKOVI" sheetId="2" r:id="rId2"/>
    <sheet name="STVARNI TROŠKOVI" sheetId="3" r:id="rId3"/>
    <sheet name="ODSTUPANJA OD TROŠKOVA" sheetId="4" r:id="rId4"/>
    <sheet name="ANALIZA TROŠKOVA" sheetId="5" r:id="rId5"/>
  </sheets>
  <definedNames>
    <definedName name="naslov_radnog_lista">'PLANIRANI TROŠKOVI'!$K$2</definedName>
  </definedNames>
  <calcPr calcId="162913"/>
</workbook>
</file>

<file path=xl/calcChain.xml><?xml version="1.0" encoding="utf-8"?>
<calcChain xmlns="http://schemas.openxmlformats.org/spreadsheetml/2006/main">
  <c r="K2" i="3" l="1"/>
  <c r="K2" i="4"/>
  <c r="E3" i="5"/>
  <c r="B2" i="3" l="1"/>
  <c r="B2" i="5" l="1"/>
  <c r="B2" i="4"/>
  <c r="I7" i="3" l="1"/>
  <c r="J7" i="3"/>
  <c r="K7" i="3"/>
  <c r="L7" i="3"/>
  <c r="M7" i="3"/>
  <c r="N7" i="3"/>
  <c r="C32" i="4"/>
  <c r="D32" i="4"/>
  <c r="E32" i="4"/>
  <c r="F32" i="4"/>
  <c r="G32" i="4"/>
  <c r="H32" i="4"/>
  <c r="I32" i="4"/>
  <c r="J32" i="4"/>
  <c r="K32" i="4"/>
  <c r="L32" i="4"/>
  <c r="M32" i="4"/>
  <c r="N32" i="4"/>
  <c r="D31" i="4"/>
  <c r="E31" i="4"/>
  <c r="F31" i="4"/>
  <c r="G31" i="4"/>
  <c r="H31" i="4"/>
  <c r="I31" i="4"/>
  <c r="J31" i="4"/>
  <c r="K31" i="4"/>
  <c r="L31" i="4"/>
  <c r="M31" i="4"/>
  <c r="N31" i="4"/>
  <c r="C31" i="4"/>
  <c r="C23" i="4"/>
  <c r="D23" i="4"/>
  <c r="E23" i="4"/>
  <c r="F23" i="4"/>
  <c r="G23" i="4"/>
  <c r="H23" i="4"/>
  <c r="I23" i="4"/>
  <c r="J23" i="4"/>
  <c r="K23" i="4"/>
  <c r="L23" i="4"/>
  <c r="M23" i="4"/>
  <c r="N23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26" i="4"/>
  <c r="G26" i="4"/>
  <c r="H26" i="4"/>
  <c r="I26" i="4"/>
  <c r="J26" i="4"/>
  <c r="K26" i="4"/>
  <c r="L26" i="4"/>
  <c r="M26" i="4"/>
  <c r="N26" i="4"/>
  <c r="C27" i="4"/>
  <c r="D27" i="4"/>
  <c r="E27" i="4"/>
  <c r="F27" i="4"/>
  <c r="G27" i="4"/>
  <c r="H27" i="4"/>
  <c r="I27" i="4"/>
  <c r="J27" i="4"/>
  <c r="K27" i="4"/>
  <c r="L27" i="4"/>
  <c r="M27" i="4"/>
  <c r="N27" i="4"/>
  <c r="D22" i="4"/>
  <c r="E22" i="4"/>
  <c r="F22" i="4"/>
  <c r="G22" i="4"/>
  <c r="H22" i="4"/>
  <c r="I22" i="4"/>
  <c r="J22" i="4"/>
  <c r="K22" i="4"/>
  <c r="L22" i="4"/>
  <c r="M22" i="4"/>
  <c r="N22" i="4"/>
  <c r="C22" i="4"/>
  <c r="D6" i="4"/>
  <c r="E6" i="4"/>
  <c r="F6" i="4"/>
  <c r="G6" i="4"/>
  <c r="H6" i="4"/>
  <c r="I6" i="4"/>
  <c r="J6" i="4"/>
  <c r="K6" i="4"/>
  <c r="L6" i="4"/>
  <c r="M6" i="4"/>
  <c r="N6" i="4"/>
  <c r="C6" i="4"/>
  <c r="C12" i="4"/>
  <c r="D12" i="4"/>
  <c r="E12" i="4"/>
  <c r="F12" i="4"/>
  <c r="G12" i="4"/>
  <c r="H12" i="4"/>
  <c r="I12" i="4"/>
  <c r="J12" i="4"/>
  <c r="K12" i="4"/>
  <c r="L12" i="4"/>
  <c r="M12" i="4"/>
  <c r="N12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D11" i="4"/>
  <c r="E11" i="4"/>
  <c r="F11" i="4"/>
  <c r="G11" i="4"/>
  <c r="H11" i="4"/>
  <c r="I11" i="4"/>
  <c r="J11" i="4"/>
  <c r="K11" i="4"/>
  <c r="L11" i="4"/>
  <c r="M11" i="4"/>
  <c r="N11" i="4"/>
  <c r="C11" i="4"/>
  <c r="D19" i="3"/>
  <c r="E19" i="3"/>
  <c r="F19" i="3"/>
  <c r="G19" i="3"/>
  <c r="H19" i="3"/>
  <c r="I19" i="3"/>
  <c r="J19" i="3"/>
  <c r="K19" i="3"/>
  <c r="L19" i="3"/>
  <c r="M19" i="3"/>
  <c r="N19" i="3"/>
  <c r="D28" i="3"/>
  <c r="E28" i="3"/>
  <c r="F28" i="3"/>
  <c r="G28" i="3"/>
  <c r="H28" i="3"/>
  <c r="I28" i="3"/>
  <c r="J28" i="3"/>
  <c r="K28" i="3"/>
  <c r="L28" i="3"/>
  <c r="M28" i="3"/>
  <c r="N28" i="3"/>
  <c r="D33" i="3"/>
  <c r="E33" i="3"/>
  <c r="F33" i="3"/>
  <c r="G33" i="3"/>
  <c r="H33" i="3"/>
  <c r="I33" i="3"/>
  <c r="J33" i="3"/>
  <c r="K33" i="3"/>
  <c r="L33" i="3"/>
  <c r="M33" i="3"/>
  <c r="N33" i="3"/>
  <c r="C33" i="3"/>
  <c r="C28" i="3"/>
  <c r="C19" i="3"/>
  <c r="D33" i="2"/>
  <c r="E33" i="2"/>
  <c r="F33" i="2"/>
  <c r="G33" i="2"/>
  <c r="H33" i="2"/>
  <c r="I33" i="2"/>
  <c r="J33" i="2"/>
  <c r="K33" i="2"/>
  <c r="L33" i="2"/>
  <c r="M33" i="2"/>
  <c r="N33" i="2"/>
  <c r="C33" i="2"/>
  <c r="D28" i="2"/>
  <c r="E28" i="2"/>
  <c r="F28" i="2"/>
  <c r="G28" i="2"/>
  <c r="H28" i="2"/>
  <c r="I28" i="2"/>
  <c r="J28" i="2"/>
  <c r="K28" i="2"/>
  <c r="L28" i="2"/>
  <c r="M28" i="2"/>
  <c r="N28" i="2"/>
  <c r="C28" i="2"/>
  <c r="D19" i="2"/>
  <c r="E19" i="2"/>
  <c r="F19" i="2"/>
  <c r="G19" i="2"/>
  <c r="H19" i="2"/>
  <c r="I19" i="2"/>
  <c r="J19" i="2"/>
  <c r="K19" i="2"/>
  <c r="L19" i="2"/>
  <c r="M19" i="2"/>
  <c r="N19" i="2"/>
  <c r="C19" i="2"/>
  <c r="O22" i="4" l="1"/>
  <c r="O24" i="4"/>
  <c r="O6" i="4"/>
  <c r="O23" i="4"/>
  <c r="O32" i="4"/>
  <c r="O27" i="4"/>
  <c r="O26" i="4"/>
  <c r="O25" i="4"/>
  <c r="O31" i="4"/>
  <c r="O17" i="4"/>
  <c r="O16" i="4"/>
  <c r="O15" i="4"/>
  <c r="O14" i="4"/>
  <c r="O12" i="4"/>
  <c r="O18" i="4"/>
  <c r="O13" i="4"/>
  <c r="O11" i="4"/>
  <c r="B10" i="5"/>
  <c r="B9" i="5"/>
  <c r="B8" i="5"/>
  <c r="B7" i="5"/>
  <c r="N33" i="4"/>
  <c r="M33" i="4"/>
  <c r="L33" i="4"/>
  <c r="K33" i="4"/>
  <c r="J33" i="4"/>
  <c r="I33" i="4"/>
  <c r="H33" i="4"/>
  <c r="G33" i="4"/>
  <c r="F33" i="4"/>
  <c r="E33" i="4"/>
  <c r="D33" i="4"/>
  <c r="C33" i="4"/>
  <c r="N28" i="4"/>
  <c r="M28" i="4"/>
  <c r="L28" i="4"/>
  <c r="K28" i="4"/>
  <c r="J28" i="4"/>
  <c r="I28" i="4"/>
  <c r="H28" i="4"/>
  <c r="G28" i="4"/>
  <c r="F28" i="4"/>
  <c r="E28" i="4"/>
  <c r="D28" i="4"/>
  <c r="C28" i="4"/>
  <c r="N19" i="4"/>
  <c r="M19" i="4"/>
  <c r="L19" i="4"/>
  <c r="K19" i="4"/>
  <c r="J19" i="4"/>
  <c r="I19" i="4"/>
  <c r="H19" i="4"/>
  <c r="G19" i="4"/>
  <c r="F19" i="4"/>
  <c r="E19" i="4"/>
  <c r="D19" i="4"/>
  <c r="C19" i="4"/>
  <c r="O32" i="3"/>
  <c r="O31" i="3"/>
  <c r="O27" i="3"/>
  <c r="O26" i="3"/>
  <c r="O25" i="3"/>
  <c r="O24" i="3"/>
  <c r="O23" i="3"/>
  <c r="O22" i="3"/>
  <c r="O18" i="3"/>
  <c r="O17" i="3"/>
  <c r="O16" i="3"/>
  <c r="O15" i="3"/>
  <c r="O14" i="3"/>
  <c r="O13" i="3"/>
  <c r="O12" i="3"/>
  <c r="O11" i="3"/>
  <c r="N8" i="3"/>
  <c r="N36" i="3" s="1"/>
  <c r="M8" i="3"/>
  <c r="M36" i="3" s="1"/>
  <c r="L8" i="3"/>
  <c r="L36" i="3" s="1"/>
  <c r="K8" i="3"/>
  <c r="K36" i="3" s="1"/>
  <c r="J8" i="3"/>
  <c r="J36" i="3" s="1"/>
  <c r="I8" i="3"/>
  <c r="I36" i="3" s="1"/>
  <c r="H7" i="3"/>
  <c r="H8" i="3" s="1"/>
  <c r="H36" i="3" s="1"/>
  <c r="G7" i="3"/>
  <c r="G8" i="3" s="1"/>
  <c r="G36" i="3" s="1"/>
  <c r="F7" i="3"/>
  <c r="F8" i="3" s="1"/>
  <c r="F36" i="3" s="1"/>
  <c r="E7" i="3"/>
  <c r="E8" i="3" s="1"/>
  <c r="E36" i="3" s="1"/>
  <c r="D7" i="3"/>
  <c r="D8" i="3" s="1"/>
  <c r="D36" i="3" s="1"/>
  <c r="C7" i="3"/>
  <c r="C8" i="3" s="1"/>
  <c r="C36" i="3" s="1"/>
  <c r="O6" i="3"/>
  <c r="O32" i="2"/>
  <c r="O31" i="2"/>
  <c r="O33" i="2" s="1"/>
  <c r="O27" i="2"/>
  <c r="O26" i="2"/>
  <c r="O25" i="2"/>
  <c r="O24" i="2"/>
  <c r="O23" i="2"/>
  <c r="O22" i="2"/>
  <c r="O18" i="2"/>
  <c r="O17" i="2"/>
  <c r="O16" i="2"/>
  <c r="O15" i="2"/>
  <c r="O14" i="2"/>
  <c r="O13" i="2"/>
  <c r="O12" i="2"/>
  <c r="O11" i="2"/>
  <c r="N7" i="2"/>
  <c r="M7" i="2"/>
  <c r="L7" i="2"/>
  <c r="K7" i="2"/>
  <c r="J7" i="2"/>
  <c r="I7" i="2"/>
  <c r="H7" i="2"/>
  <c r="G7" i="2"/>
  <c r="F7" i="2"/>
  <c r="E7" i="2"/>
  <c r="D7" i="2"/>
  <c r="C7" i="2"/>
  <c r="O6" i="2"/>
  <c r="J8" i="2" l="1"/>
  <c r="J36" i="2" s="1"/>
  <c r="J7" i="4"/>
  <c r="J8" i="4" s="1"/>
  <c r="J36" i="4" s="1"/>
  <c r="L8" i="2"/>
  <c r="L36" i="2" s="1"/>
  <c r="L7" i="4"/>
  <c r="L8" i="4" s="1"/>
  <c r="L36" i="4" s="1"/>
  <c r="G8" i="2"/>
  <c r="G36" i="2" s="1"/>
  <c r="G7" i="4"/>
  <c r="G8" i="4" s="1"/>
  <c r="G36" i="4" s="1"/>
  <c r="H8" i="2"/>
  <c r="H36" i="2" s="1"/>
  <c r="H7" i="4"/>
  <c r="H8" i="4" s="1"/>
  <c r="H36" i="4" s="1"/>
  <c r="N8" i="2"/>
  <c r="N36" i="2" s="1"/>
  <c r="N7" i="4"/>
  <c r="N8" i="4" s="1"/>
  <c r="N36" i="4" s="1"/>
  <c r="D8" i="2"/>
  <c r="D36" i="2" s="1"/>
  <c r="D7" i="4"/>
  <c r="D8" i="4" s="1"/>
  <c r="D36" i="4" s="1"/>
  <c r="E7" i="4"/>
  <c r="E8" i="4" s="1"/>
  <c r="E36" i="4" s="1"/>
  <c r="E8" i="2"/>
  <c r="E36" i="2" s="1"/>
  <c r="K8" i="2"/>
  <c r="K36" i="2" s="1"/>
  <c r="K7" i="4"/>
  <c r="K8" i="4" s="1"/>
  <c r="K36" i="4" s="1"/>
  <c r="F7" i="4"/>
  <c r="F8" i="4" s="1"/>
  <c r="F36" i="4" s="1"/>
  <c r="F8" i="2"/>
  <c r="F36" i="2" s="1"/>
  <c r="M8" i="2"/>
  <c r="M36" i="2" s="1"/>
  <c r="M7" i="4"/>
  <c r="M8" i="4" s="1"/>
  <c r="M36" i="4" s="1"/>
  <c r="C7" i="4"/>
  <c r="C8" i="4" s="1"/>
  <c r="C36" i="4" s="1"/>
  <c r="C8" i="2"/>
  <c r="C36" i="2" s="1"/>
  <c r="I7" i="4"/>
  <c r="I8" i="4" s="1"/>
  <c r="I36" i="4" s="1"/>
  <c r="I8" i="2"/>
  <c r="I36" i="2" s="1"/>
  <c r="O33" i="3"/>
  <c r="O28" i="3"/>
  <c r="D8" i="5" s="1"/>
  <c r="O19" i="3"/>
  <c r="D7" i="5" s="1"/>
  <c r="C9" i="5"/>
  <c r="O28" i="2"/>
  <c r="C8" i="5" s="1"/>
  <c r="O19" i="2"/>
  <c r="C7" i="5" s="1"/>
  <c r="O7" i="3"/>
  <c r="O8" i="3" s="1"/>
  <c r="D6" i="5" s="1"/>
  <c r="O33" i="4"/>
  <c r="O7" i="2"/>
  <c r="O8" i="2" s="1"/>
  <c r="C6" i="5" s="1"/>
  <c r="E37" i="2" l="1"/>
  <c r="D37" i="2"/>
  <c r="J37" i="2"/>
  <c r="O7" i="4"/>
  <c r="O8" i="4" s="1"/>
  <c r="O36" i="2"/>
  <c r="C10" i="5" s="1"/>
  <c r="I37" i="2"/>
  <c r="C37" i="2"/>
  <c r="F37" i="2"/>
  <c r="E8" i="5"/>
  <c r="F8" i="5" s="1"/>
  <c r="D37" i="4"/>
  <c r="J37" i="4"/>
  <c r="M37" i="4"/>
  <c r="H37" i="4"/>
  <c r="N37" i="4"/>
  <c r="C37" i="4"/>
  <c r="E37" i="4"/>
  <c r="K37" i="4"/>
  <c r="F37" i="4"/>
  <c r="L37" i="4"/>
  <c r="G37" i="4"/>
  <c r="I37" i="4"/>
  <c r="O19" i="4"/>
  <c r="O28" i="4"/>
  <c r="D9" i="5"/>
  <c r="E9" i="5" s="1"/>
  <c r="F9" i="5" s="1"/>
  <c r="O36" i="3"/>
  <c r="D10" i="5" s="1"/>
  <c r="K37" i="2"/>
  <c r="G37" i="3"/>
  <c r="M37" i="3"/>
  <c r="J37" i="3"/>
  <c r="F37" i="3"/>
  <c r="H37" i="3"/>
  <c r="N37" i="3"/>
  <c r="I37" i="3"/>
  <c r="C37" i="3"/>
  <c r="D37" i="3"/>
  <c r="E37" i="3"/>
  <c r="K37" i="3"/>
  <c r="L37" i="3"/>
  <c r="E7" i="5"/>
  <c r="F7" i="5" s="1"/>
  <c r="N37" i="2"/>
  <c r="H37" i="2"/>
  <c r="M37" i="2"/>
  <c r="L37" i="2"/>
  <c r="G37" i="2"/>
  <c r="E6" i="5"/>
  <c r="F6" i="5" s="1"/>
  <c r="O36" i="4" l="1"/>
  <c r="E10" i="5"/>
  <c r="F10" i="5" s="1"/>
</calcChain>
</file>

<file path=xl/sharedStrings.xml><?xml version="1.0" encoding="utf-8"?>
<sst xmlns="http://schemas.openxmlformats.org/spreadsheetml/2006/main" count="388" uniqueCount="115">
  <si>
    <t>OSNOVNI PODACI O OVOM PREDLOŠKU</t>
  </si>
  <si>
    <t>Koristite ovu radnu svesku „Budžet poslovnih troškova“ da biste pratili planirane i stvarne troškove i odstupanja.</t>
  </si>
  <si>
    <t>Popunite ime preduzeća i logotip.</t>
  </si>
  <si>
    <t>Unesite detalje u tabele na radnim listovima „Planirani troškovi“ i „Stvarni troškovi“.</t>
  </si>
  <si>
    <t>Tabele se automatski ažuriraju na radnom listu „Odstupanja od troškova“, a grafikoni na radnom listu „Analiza troškova“</t>
  </si>
  <si>
    <t>Napomena: </t>
  </si>
  <si>
    <t>Dodatna uputstva navedena su u koloni A na svakom radnom listu. Taj tekst je namerno skriven. Da biste uklonili tekst, izaberite kolonu A, a zatim izaberite stavku „IZBRIŠI“. Da biste otkrili tekst, izaberite kolonu A, a zatim promenite boju fonta.</t>
  </si>
  <si>
    <t>Da biste saznali više o tabelama, pritisnite taster SHIFT, a zatim unutar tabele taster F10, izaberite opciju „TABELA“, a zatim stavku „ALTERNATIVNI TEKST“</t>
  </si>
  <si>
    <t>Unesite ime preduzeća u ćeliju sa desne strane, a logotip u ćeliju N2. Naslov ovog radnog lista nalazi se u ćeliji K2.</t>
  </si>
  <si>
    <t>Savet se nalazi u ćeliji K3.</t>
  </si>
  <si>
    <t>Oznaka „Planirani troškovi“ nalazi se u ćeliji sa desne strane, meseci u ćelijama od C4 do N4, oznaka „Godina“ u ćeliji O4, a uputstva za korišćenje ovog predloška u ćeliji R4.</t>
  </si>
  <si>
    <t>Troškove obuke i putne troškove unesite u tabelu „Planirani troškovi obuke i putni troškovi“ počevši od ćelije sa desne strane. Sledeće uputstvo se nalazi u ćeliji A35.</t>
  </si>
  <si>
    <t>Ime preduzeća</t>
  </si>
  <si>
    <t>PLANIRANI TROŠKOVI</t>
  </si>
  <si>
    <t>Troškovi zaposlenih</t>
  </si>
  <si>
    <t>Plate</t>
  </si>
  <si>
    <t>Pogodnosti</t>
  </si>
  <si>
    <t>Međuvrednost</t>
  </si>
  <si>
    <t>Kancelarijski troškovi</t>
  </si>
  <si>
    <t>Zakup kancelarije</t>
  </si>
  <si>
    <t>Gas</t>
  </si>
  <si>
    <t>Struja</t>
  </si>
  <si>
    <t>Voda</t>
  </si>
  <si>
    <t>Telefon</t>
  </si>
  <si>
    <t>Pristup internetu</t>
  </si>
  <si>
    <t>Kancelarijski materijal</t>
  </si>
  <si>
    <t>Obezbeđenje</t>
  </si>
  <si>
    <t>Troškovi marketinga</t>
  </si>
  <si>
    <t>Hostovanje veb sajta</t>
  </si>
  <si>
    <t>Ažuriranja veb sajta</t>
  </si>
  <si>
    <t>Priprema pratećih materijala</t>
  </si>
  <si>
    <t>Štampa pratećih materijala</t>
  </si>
  <si>
    <t>Marketinški događaji</t>
  </si>
  <si>
    <t>Razni troškovi</t>
  </si>
  <si>
    <t>Obuka/putovanje</t>
  </si>
  <si>
    <t>Predavanja obuke</t>
  </si>
  <si>
    <t>Putni troškovi u vezi sa obukom</t>
  </si>
  <si>
    <t>UKUPNE VREDNOSTI</t>
  </si>
  <si>
    <t>Mesečni planirani troškovi</t>
  </si>
  <si>
    <t>UKUPNI planirani troškovi</t>
  </si>
  <si>
    <t>JAN</t>
  </si>
  <si>
    <t>jan</t>
  </si>
  <si>
    <t>Jan</t>
  </si>
  <si>
    <t>FEB</t>
  </si>
  <si>
    <t>feb</t>
  </si>
  <si>
    <t>Feb</t>
  </si>
  <si>
    <t>MAR</t>
  </si>
  <si>
    <t>Mar</t>
  </si>
  <si>
    <t>mar</t>
  </si>
  <si>
    <t>APR</t>
  </si>
  <si>
    <t>apr</t>
  </si>
  <si>
    <t>Apr</t>
  </si>
  <si>
    <t>MAJ</t>
  </si>
  <si>
    <t>maj</t>
  </si>
  <si>
    <t>JUN</t>
  </si>
  <si>
    <t>jun</t>
  </si>
  <si>
    <t>JUL</t>
  </si>
  <si>
    <t>jul</t>
  </si>
  <si>
    <t>AVG</t>
  </si>
  <si>
    <t>avg</t>
  </si>
  <si>
    <t>Detaljne procene troškova</t>
  </si>
  <si>
    <t>Osenčene ćelije su izračunavanja.</t>
  </si>
  <si>
    <t>SEP</t>
  </si>
  <si>
    <t>sep</t>
  </si>
  <si>
    <t>OKT</t>
  </si>
  <si>
    <t>okt</t>
  </si>
  <si>
    <t>Okt</t>
  </si>
  <si>
    <t>NOV</t>
  </si>
  <si>
    <t>nov</t>
  </si>
  <si>
    <t>Nov</t>
  </si>
  <si>
    <t>Čuvar mesta logotipa nalazi se u ovoj ćeliji.</t>
  </si>
  <si>
    <t>DEC</t>
  </si>
  <si>
    <t>dec</t>
  </si>
  <si>
    <t>Dec</t>
  </si>
  <si>
    <t>GODINA</t>
  </si>
  <si>
    <t>Godina</t>
  </si>
  <si>
    <t xml:space="preserve"> </t>
  </si>
  <si>
    <t>Savet: KAKO SE KORISTI OVAJ PREDLOŽAK
Unesite podatke u bele ćelije na radnim listovima „PLANIRANI TROŠKOVI“ i „STVARNI TROŠKOVI“, a „ODSTUPANJA OD TROŠKOVA“ i „ANALIZA TROŠKOVA“ automatski se izračunavaju. Ako dodate red na jednom listu, morate da ga dodate i na sve ostale.</t>
  </si>
  <si>
    <t>Ime preduzeća se automatski ažurira u ćeliji sa desne strane. Naslov ovog radnog lista nalazi se u ćeliji K2. Logotip unesite u ćeliju N2.</t>
  </si>
  <si>
    <t>Oznaka „Stvarni troškovi“ nalazi se u ćeliji sa desne strane, meseci u ćelijama od C4 do N4, a oznaka „Godina“ u ćeliji O4.</t>
  </si>
  <si>
    <t>Troškove obuke ili putne troškove unesite u tabelu „Stvarni troškovi obuke i putni troškovi“ počevši od ćelije sa desne strane. Sledeće uputstvo se nalazi u ćeliji A35.</t>
  </si>
  <si>
    <t>STVARNI TROŠKOVI</t>
  </si>
  <si>
    <t>Mesečni stvarni troškovi</t>
  </si>
  <si>
    <t>UKUPNI stvarni troškovi</t>
  </si>
  <si>
    <t>Oznaka „Odstupanja od troškova“ nalazi se u ćeliji sa desne strane, meseci u ćelijama od C4 do N4, a oznaka „Godina“ u ćeliji O4.</t>
  </si>
  <si>
    <t>Odstupanje od troškova obuke ili putnih troškova automatski se izračunava u tabeli „Odstupanja od troškova obuke ili putnih troškova“ počevši od ćelije sa desne strane. Sledeće uputstvo se nalazi u ćeliji A35.</t>
  </si>
  <si>
    <t>Odstupanja od troškova automatski se izračunavaju u tabeli „Ukupna odstupanja“ počevši od ćelije sa desne strane.</t>
  </si>
  <si>
    <t>ODSTUPANJA OD TROŠKOVA</t>
  </si>
  <si>
    <t xml:space="preserve">Godišnji planirani i stvarni troškovi, odstupanja od troškova i procenat odstupanja automatski se ažuriraju na ovom radnom listu za svaku kategoriju troškova. Korisna uputstva o tome kako da koristite ovaj radni list nalaze se u ćelijama u ovoj koloni. Pritisnite strelicu nadole da biste počeli. </t>
  </si>
  <si>
    <t>Ime preduzeća se automatski ažurira u ćeliji sa desne strane. Logotip unesite u ćeliju F2.</t>
  </si>
  <si>
    <t>Naslov ovog radnog lista nalazi se u ćeliji E3. Sledeće uputstvo se nalazi u ćeliji A5.</t>
  </si>
  <si>
    <t>Kružni grafikon „Planirani troškovi“ nalazi se u ćeliji sa desne strane, a kružni grafikon „Stvarni troškovi“ u ćeliji D12. Sledeće uputstvo se nalazi u ćeliji A14.</t>
  </si>
  <si>
    <t>Kategorija troška</t>
  </si>
  <si>
    <t>Kružni grafikon koji prikazuje planirane troškove u različitim kategorijama nalazi se u ovoj ćeliji.</t>
  </si>
  <si>
    <t>Planirani troškovi</t>
  </si>
  <si>
    <t>Stvarni troškovi</t>
  </si>
  <si>
    <t>Kružni grafikon koji prikazuje stvarne nastale troškove u različitim kategorijama nalazi se u ovoj ćeliji.</t>
  </si>
  <si>
    <t>Odstupanja od troškova</t>
  </si>
  <si>
    <t>Procenat odstupanja</t>
  </si>
  <si>
    <t>U odgovarajuće tabele na ovom radnom listu unesite planirane troškove zaposlenih, kancelarijski troškovi, troškovi marketinga i troškove obuke ili putne troškove. Ukupne vrednosti se izračunavaju automatski. Korisna uputstva o tome kako da koristite ovaj radni list nalaze se u ćelijama u ovoj koloni. Pritisnite strelicu nadole da biste počeli.</t>
  </si>
  <si>
    <t>Troškovi zaposlenih unesite u tabelu „Planirani troškovi zaposlenih“ počevši od ćelije sa desne strane. Sledeće uputstvo se nalazi u ćeliji A10.</t>
  </si>
  <si>
    <t>Kancelarijski troškovi unesite u tabelu „Planirani kancelarijski troškovi“ počevši od ćelije sa desne strane. Sledeće uputstvo se nalazi u ćeliji A21.</t>
  </si>
  <si>
    <t>Troškovi marketinga unesite u tabelu „Planirani troškovi marketinga“ počevši od ćelije sa desne strane. Sledeće uputstvo se nalazi u ćeliji A30.</t>
  </si>
  <si>
    <t>Ukupne vrednosti se automatski izračunavaju u tabeli „Ukupni planirani troškovi“ počevši od ćelije sa desne strane.</t>
  </si>
  <si>
    <t>U odgovarajuće tabele na ovom radnom listu unesite stvarne troškovi zaposlenih, Kancelarijski troškovi, troškovi marketinga i troškove obuke ili putne troškove. Ukupne vrednosti se izračunavaju automatski. Korisna uputstva o tome kako da koristite ovaj radni list nalaze se u ćelijama u ovoj koloni. Pritisnite strelicu nadole da biste počeli.</t>
  </si>
  <si>
    <t>Troškovi zaposlenih unesite u tabelu „Stvarni troškovi zaposlenih“ počevši od ćelije sa desne strane. Sledeće uputstvo se nalazi u ćeliji A10.</t>
  </si>
  <si>
    <t>Kancelarijski troškovi unesite u tabelu „Stvarni kancelarijski troškovi“ počevši od ćelije sa desne strane. Sledeće uputstvo se nalazi u ćeliji A21.</t>
  </si>
  <si>
    <t>Troškovi marketinga unesite u tabelu „Stvarni troškovi marketinga“ počevši od ćelije sa desne strane. Sledeće uputstvo se nalazi u ćeliji A30.</t>
  </si>
  <si>
    <t>Ukupni stvarni troškovi automatski se izračunavaju u tabeli „Ukupni stvarni troškovi“ počevši od ćelije sa desne strane.</t>
  </si>
  <si>
    <t>Odstupanje od troškova se automatski izračunava na ovom radnom listu za troškovi zaposlenih, kancelarijski troškovi, troškovi marketinga i troškove obuke ili putne troškove u odgovarajućim tabelama na ovom radnom listu. Korisna uputstva o tome kako da koristite ovaj radni list nalaze se u ćelijama u ovoj koloni. Pritisnite strelicu nadole da biste počeli.</t>
  </si>
  <si>
    <t>Odstupanje od troškovi zaposlenih automatski se izračunava u tabeli „Odstupanja od troškova zaposlenih“ počevši od ćelije sa desne strane. Sledeće uputstvo se nalazi u ćeliji A10.</t>
  </si>
  <si>
    <t>Odstupanje od kancelarijski troškovi automatski se izračunava u tabeli „Odstupanja od kancelarijskih troškova“ počevši od ćelije sa desne strane. Sledeće uputstvo se nalazi u ćeliji A21.</t>
  </si>
  <si>
    <t>Odstupanje od troškovi marketinga automatski se izračunava u tabeli „Odstupanja od troškova marketinga“ počevši od ćelije sa desne strane. Sledeće uputstvo se nalazi u ćeliji A30.</t>
  </si>
  <si>
    <t>Planirani troškovi, stvarni troškovi, odstupanja od troškova i procenat odstupanja automatski se izračunavaju u tabeli „Analiza“ počevši od ćelije sa desne strane. Sledeće uputstvo se nalazi u ćeliji A12.</t>
  </si>
  <si>
    <t>Grafikon koji prikazuje Planirani i Stvarni mesečni troškovi, kao i Odstupanje od njih nalazi se u ćeliji sa desne strane.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</si>
</sst>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#,##0.00\ &quot;RSD&quot;;[Red]\-#,##0.00\ &quot;RSD&quot;"/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#,##0.00\ &quot;RSD&quot;;[Red]#,##0.00\ &quot;RSD&quot;"/>
  </numFmts>
  <fonts count="54" x14ac:knownFonts="1">
    <font>
      <sz val="9"/>
      <color theme="1" tint="0.2499465926084170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14"/>
      <color theme="1"/>
      <name val="Microsoft Sans Serif"/>
      <family val="2"/>
      <scheme val="minor"/>
    </font>
    <font>
      <b/>
      <sz val="14"/>
      <color theme="1"/>
      <name val="Microsoft Sans Serif"/>
      <family val="2"/>
      <scheme val="minor"/>
    </font>
    <font>
      <sz val="10"/>
      <color theme="1"/>
      <name val="Microsoft Sans Serif"/>
      <family val="2"/>
      <scheme val="minor"/>
    </font>
    <font>
      <b/>
      <u/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b/>
      <i/>
      <sz val="10"/>
      <color theme="1"/>
      <name val="Microsoft Sans Serif"/>
      <family val="2"/>
      <scheme val="minor"/>
    </font>
    <font>
      <b/>
      <sz val="22"/>
      <color theme="1" tint="0.24994659260841701"/>
      <name val="Franklin Gothic Book"/>
      <family val="2"/>
      <scheme val="major"/>
    </font>
    <font>
      <sz val="11"/>
      <color theme="1" tint="0.24994659260841701"/>
      <name val="Franklin Gothic Book"/>
      <family val="2"/>
      <scheme val="major"/>
    </font>
    <font>
      <b/>
      <sz val="10"/>
      <color theme="2"/>
      <name val="Franklin Gothic Book"/>
      <family val="2"/>
      <scheme val="major"/>
    </font>
    <font>
      <b/>
      <sz val="14"/>
      <color theme="0"/>
      <name val="Franklin Gothic Book"/>
      <family val="2"/>
      <scheme val="major"/>
    </font>
    <font>
      <i/>
      <sz val="11"/>
      <color theme="3" tint="0.79998168889431442"/>
      <name val="Microsoft Sans Serif"/>
      <family val="2"/>
      <scheme val="minor"/>
    </font>
    <font>
      <b/>
      <sz val="36"/>
      <color theme="0"/>
      <name val="Franklin Gothic Book"/>
      <family val="2"/>
      <scheme val="major"/>
    </font>
    <font>
      <sz val="9"/>
      <color theme="1"/>
      <name val="Microsoft Sans Serif"/>
      <family val="2"/>
      <scheme val="minor"/>
    </font>
    <font>
      <b/>
      <sz val="9"/>
      <color theme="1"/>
      <name val="Microsoft Sans Serif"/>
      <family val="2"/>
      <scheme val="minor"/>
    </font>
    <font>
      <b/>
      <sz val="10"/>
      <color theme="0"/>
      <name val="Microsoft Sans Serif"/>
      <family val="2"/>
      <scheme val="minor"/>
    </font>
    <font>
      <b/>
      <sz val="16"/>
      <color theme="0"/>
      <name val="Franklin Gothic Book"/>
      <family val="2"/>
      <scheme val="major"/>
    </font>
    <font>
      <sz val="10"/>
      <color theme="1" tint="0.24994659260841701"/>
      <name val="Microsoft Sans Serif"/>
      <family val="2"/>
      <scheme val="minor"/>
    </font>
    <font>
      <b/>
      <sz val="10"/>
      <color theme="1" tint="0.24994659260841701"/>
      <name val="Microsoft Sans Serif"/>
      <family val="2"/>
      <scheme val="minor"/>
    </font>
    <font>
      <sz val="9"/>
      <color theme="6" tint="0.39997558519241921"/>
      <name val="Microsoft Sans Serif"/>
      <family val="2"/>
      <scheme val="minor"/>
    </font>
    <font>
      <b/>
      <sz val="14"/>
      <color theme="2"/>
      <name val="Franklin Gothic Book"/>
      <family val="2"/>
      <scheme val="major"/>
    </font>
    <font>
      <sz val="14"/>
      <color theme="3"/>
      <name val="Microsoft Sans Serif"/>
      <family val="2"/>
      <scheme val="minor"/>
    </font>
    <font>
      <b/>
      <sz val="13"/>
      <color theme="3"/>
      <name val="Franklin Gothic Book"/>
      <family val="2"/>
      <scheme val="major"/>
    </font>
    <font>
      <b/>
      <sz val="14"/>
      <color theme="0"/>
      <name val="Microsoft Sans Serif"/>
      <family val="2"/>
      <scheme val="minor"/>
    </font>
    <font>
      <sz val="9"/>
      <name val="Microsoft Sans Serif"/>
      <family val="2"/>
      <scheme val="minor"/>
    </font>
    <font>
      <b/>
      <sz val="9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 tint="-0.499984740745262"/>
      <name val="Franklin Gothic Book"/>
      <family val="2"/>
      <scheme val="major"/>
    </font>
    <font>
      <b/>
      <sz val="14"/>
      <color theme="3"/>
      <name val="Microsoft Sans Serif"/>
      <family val="2"/>
      <scheme val="minor"/>
    </font>
    <font>
      <b/>
      <sz val="14"/>
      <color theme="3" tint="-0.499984740745262"/>
      <name val="Franklin Gothic Book"/>
      <family val="2"/>
      <scheme val="major"/>
    </font>
    <font>
      <sz val="10"/>
      <color theme="5" tint="0.79998168889431442"/>
      <name val="Microsoft Sans Serif"/>
      <family val="2"/>
      <scheme val="minor"/>
    </font>
    <font>
      <b/>
      <sz val="16"/>
      <color theme="0"/>
      <name val="Arial"/>
      <family val="2"/>
    </font>
    <font>
      <sz val="14"/>
      <color theme="3" tint="-0.249977111117893"/>
      <name val="Microsoft Sans Serif"/>
      <family val="2"/>
      <scheme val="minor"/>
    </font>
    <font>
      <sz val="14"/>
      <color theme="6" tint="0.39997558519241921"/>
      <name val="Microsoft Sans Serif"/>
      <family val="2"/>
      <scheme val="minor"/>
    </font>
    <font>
      <sz val="11"/>
      <color theme="6" tint="0.39997558519241921"/>
      <name val="Calibri"/>
      <family val="2"/>
    </font>
    <font>
      <sz val="11"/>
      <color theme="1" tint="4.9989318521683403E-2"/>
      <name val="Calibri"/>
      <family val="2"/>
    </font>
    <font>
      <b/>
      <sz val="11"/>
      <color theme="1" tint="4.9989318521683403E-2"/>
      <name val="Calibri"/>
      <family val="2"/>
    </font>
    <font>
      <i/>
      <sz val="11"/>
      <color theme="0"/>
      <name val="Microsoft Sans Serif"/>
      <family val="2"/>
      <scheme val="minor"/>
    </font>
    <font>
      <b/>
      <sz val="16"/>
      <color theme="3"/>
      <name val="Franklin Gothic Book"/>
      <family val="2"/>
      <scheme val="major"/>
    </font>
    <font>
      <sz val="14"/>
      <color theme="0"/>
      <name val="Microsoft Sans Serif"/>
      <family val="2"/>
      <scheme val="minor"/>
    </font>
    <font>
      <sz val="9"/>
      <color theme="1" tint="0.24994659260841701"/>
      <name val="Microsoft Sans Serif"/>
      <family val="2"/>
      <scheme val="minor"/>
    </font>
    <font>
      <sz val="18"/>
      <color theme="3"/>
      <name val="Franklin Gothic Book"/>
      <family val="2"/>
      <scheme val="maj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/>
      <right/>
      <top/>
      <bottom style="medium">
        <color theme="6" tint="0.39997558519241921"/>
      </bottom>
      <diagonal/>
    </border>
    <border>
      <left/>
      <right/>
      <top style="medium">
        <color theme="6" tint="0.39997558519241921"/>
      </top>
      <bottom/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/>
      <diagonal/>
    </border>
    <border>
      <left/>
      <right style="medium">
        <color theme="6" tint="0.39997558519241921"/>
      </right>
      <top/>
      <bottom/>
      <diagonal/>
    </border>
    <border>
      <left/>
      <right style="medium">
        <color theme="6" tint="0.39997558519241921"/>
      </right>
      <top style="medium">
        <color theme="6" tint="0.39997558519241921"/>
      </top>
      <bottom/>
      <diagonal/>
    </border>
    <border>
      <left style="medium">
        <color theme="6" tint="0.39997558519241921"/>
      </left>
      <right style="medium">
        <color theme="6" tint="0.39997558519241921"/>
      </right>
      <top/>
      <bottom/>
      <diagonal/>
    </border>
    <border>
      <left/>
      <right/>
      <top/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14548173467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88402966399123"/>
      </left>
      <right/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88402966399123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88402966399123"/>
      </left>
      <right style="medium">
        <color theme="6" tint="0.39985351115451523"/>
      </right>
      <top style="medium">
        <color theme="6" tint="0.39994506668294322"/>
      </top>
      <bottom style="medium">
        <color theme="6" tint="0.39985351115451523"/>
      </bottom>
      <diagonal/>
    </border>
    <border>
      <left/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/>
      <right style="medium">
        <color theme="6" tint="0.39994506668294322"/>
      </right>
      <top/>
      <bottom style="medium">
        <color theme="6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10" borderId="0"/>
    <xf numFmtId="0" fontId="8" fillId="0" borderId="0" applyNumberFormat="0" applyFill="0" applyProtection="0">
      <alignment vertical="center"/>
    </xf>
    <xf numFmtId="0" fontId="17" fillId="4" borderId="0" applyNumberFormat="0" applyProtection="0">
      <alignment vertical="center"/>
    </xf>
    <xf numFmtId="0" fontId="10" fillId="2" borderId="0" applyNumberFormat="0" applyProtection="0">
      <alignment vertical="center"/>
    </xf>
    <xf numFmtId="0" fontId="9" fillId="3" borderId="1" applyNumberFormat="0" applyProtection="0">
      <alignment horizontal="left" vertical="center" indent="1"/>
    </xf>
    <xf numFmtId="0" fontId="12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33" applyNumberFormat="0" applyAlignment="0" applyProtection="0"/>
    <xf numFmtId="0" fontId="47" fillId="18" borderId="34" applyNumberFormat="0" applyAlignment="0" applyProtection="0"/>
    <xf numFmtId="0" fontId="48" fillId="18" borderId="33" applyNumberFormat="0" applyAlignment="0" applyProtection="0"/>
    <xf numFmtId="0" fontId="49" fillId="0" borderId="35" applyNumberFormat="0" applyFill="0" applyAlignment="0" applyProtection="0"/>
    <xf numFmtId="0" fontId="50" fillId="19" borderId="36" applyNumberFormat="0" applyAlignment="0" applyProtection="0"/>
    <xf numFmtId="0" fontId="51" fillId="0" borderId="0" applyNumberFormat="0" applyFill="0" applyBorder="0" applyAlignment="0" applyProtection="0"/>
    <xf numFmtId="0" fontId="41" fillId="20" borderId="37" applyNumberFormat="0" applyFont="0" applyAlignment="0" applyProtection="0"/>
    <xf numFmtId="0" fontId="52" fillId="0" borderId="38" applyNumberFormat="0" applyFill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149">
    <xf numFmtId="0" fontId="0" fillId="10" borderId="0" xfId="0"/>
    <xf numFmtId="0" fontId="2" fillId="10" borderId="0" xfId="0" applyFont="1"/>
    <xf numFmtId="0" fontId="4" fillId="10" borderId="0" xfId="0" applyNumberFormat="1" applyFont="1" applyAlignment="1"/>
    <xf numFmtId="0" fontId="2" fillId="10" borderId="0" xfId="0" applyFont="1" applyBorder="1"/>
    <xf numFmtId="0" fontId="4" fillId="10" borderId="0" xfId="0" applyFont="1"/>
    <xf numFmtId="0" fontId="4" fillId="10" borderId="0" xfId="0" applyFont="1" applyBorder="1"/>
    <xf numFmtId="9" fontId="0" fillId="10" borderId="0" xfId="0" applyNumberFormat="1" applyFont="1" applyBorder="1" applyAlignment="1">
      <alignment horizontal="right"/>
    </xf>
    <xf numFmtId="0" fontId="2" fillId="4" borderId="0" xfId="0" applyFont="1" applyFill="1" applyAlignment="1">
      <alignment horizontal="left" vertical="top" indent="1"/>
    </xf>
    <xf numFmtId="0" fontId="3" fillId="4" borderId="0" xfId="0" applyNumberFormat="1" applyFont="1" applyFill="1" applyAlignment="1">
      <alignment horizontal="left" vertical="top" indent="1"/>
    </xf>
    <xf numFmtId="0" fontId="5" fillId="4" borderId="0" xfId="0" applyNumberFormat="1" applyFont="1" applyFill="1" applyAlignment="1">
      <alignment horizontal="left" vertical="top" indent="1"/>
    </xf>
    <xf numFmtId="0" fontId="2" fillId="8" borderId="0" xfId="0" applyFont="1" applyFill="1" applyAlignment="1">
      <alignment horizontal="left" vertical="top" indent="1"/>
    </xf>
    <xf numFmtId="0" fontId="22" fillId="10" borderId="0" xfId="0" applyFont="1"/>
    <xf numFmtId="0" fontId="21" fillId="9" borderId="0" xfId="3" applyNumberFormat="1" applyFont="1" applyFill="1" applyAlignment="1">
      <alignment horizontal="left" vertical="center" indent="1"/>
    </xf>
    <xf numFmtId="0" fontId="16" fillId="4" borderId="5" xfId="0" applyNumberFormat="1" applyFont="1" applyFill="1" applyBorder="1" applyAlignment="1">
      <alignment horizontal="left" vertical="center" indent="1"/>
    </xf>
    <xf numFmtId="0" fontId="4" fillId="10" borderId="4" xfId="0" applyNumberFormat="1" applyFont="1" applyBorder="1" applyAlignment="1"/>
    <xf numFmtId="0" fontId="17" fillId="4" borderId="0" xfId="2" applyNumberFormat="1" applyFont="1" applyFill="1" applyAlignment="1"/>
    <xf numFmtId="0" fontId="10" fillId="6" borderId="0" xfId="3" applyNumberFormat="1" applyFill="1" applyAlignment="1">
      <alignment horizontal="left" vertical="center" indent="2"/>
    </xf>
    <xf numFmtId="0" fontId="10" fillId="5" borderId="0" xfId="3" applyNumberFormat="1" applyFill="1" applyAlignment="1">
      <alignment horizontal="left" vertical="center" indent="2"/>
    </xf>
    <xf numFmtId="0" fontId="10" fillId="7" borderId="0" xfId="3" applyNumberFormat="1" applyFill="1" applyAlignment="1">
      <alignment horizontal="left" vertical="center" indent="2"/>
    </xf>
    <xf numFmtId="0" fontId="10" fillId="4" borderId="0" xfId="3" applyNumberFormat="1" applyFill="1" applyAlignment="1">
      <alignment horizontal="left" vertical="center" indent="2"/>
    </xf>
    <xf numFmtId="0" fontId="0" fillId="11" borderId="2" xfId="0" applyNumberFormat="1" applyFont="1" applyFill="1" applyBorder="1" applyAlignment="1">
      <alignment horizontal="left" vertical="center" indent="2"/>
    </xf>
    <xf numFmtId="9" fontId="0" fillId="11" borderId="2" xfId="0" applyNumberFormat="1" applyFont="1" applyFill="1" applyBorder="1" applyAlignment="1">
      <alignment horizontal="right" vertical="center" indent="2"/>
    </xf>
    <xf numFmtId="0" fontId="23" fillId="12" borderId="0" xfId="3" applyNumberFormat="1" applyFont="1" applyFill="1" applyAlignment="1">
      <alignment horizontal="left"/>
    </xf>
    <xf numFmtId="0" fontId="23" fillId="12" borderId="0" xfId="3" applyNumberFormat="1" applyFont="1" applyFill="1" applyAlignment="1">
      <alignment horizontal="center"/>
    </xf>
    <xf numFmtId="0" fontId="11" fillId="9" borderId="3" xfId="3" applyNumberFormat="1" applyFont="1" applyFill="1" applyBorder="1" applyAlignment="1">
      <alignment horizontal="left" vertical="center" indent="1"/>
    </xf>
    <xf numFmtId="0" fontId="16" fillId="4" borderId="7" xfId="0" applyNumberFormat="1" applyFont="1" applyFill="1" applyBorder="1" applyAlignment="1">
      <alignment horizontal="left" vertical="center" indent="1"/>
    </xf>
    <xf numFmtId="0" fontId="28" fillId="9" borderId="3" xfId="3" applyNumberFormat="1" applyFont="1" applyFill="1" applyBorder="1" applyAlignment="1">
      <alignment vertical="center"/>
    </xf>
    <xf numFmtId="0" fontId="20" fillId="10" borderId="0" xfId="0" applyFont="1" applyAlignment="1">
      <alignment wrapText="1"/>
    </xf>
    <xf numFmtId="0" fontId="21" fillId="9" borderId="3" xfId="3" applyNumberFormat="1" applyFont="1" applyFill="1" applyBorder="1" applyAlignment="1">
      <alignment horizontal="left" vertical="center" indent="1"/>
    </xf>
    <xf numFmtId="0" fontId="30" fillId="9" borderId="0" xfId="3" applyNumberFormat="1" applyFont="1" applyFill="1" applyAlignment="1">
      <alignment vertical="center"/>
    </xf>
    <xf numFmtId="0" fontId="0" fillId="10" borderId="0" xfId="0" applyAlignment="1">
      <alignment vertical="center"/>
    </xf>
    <xf numFmtId="0" fontId="32" fillId="8" borderId="0" xfId="2" applyFont="1" applyFill="1" applyBorder="1" applyAlignment="1">
      <alignment horizontal="center" vertical="center"/>
    </xf>
    <xf numFmtId="0" fontId="34" fillId="10" borderId="0" xfId="0" applyFont="1"/>
    <xf numFmtId="0" fontId="33" fillId="8" borderId="0" xfId="0" applyFont="1" applyFill="1" applyAlignment="1">
      <alignment horizontal="left" vertical="top" wrapText="1"/>
    </xf>
    <xf numFmtId="0" fontId="34" fillId="10" borderId="0" xfId="0" applyFont="1" applyAlignment="1">
      <alignment wrapText="1"/>
    </xf>
    <xf numFmtId="0" fontId="35" fillId="10" borderId="0" xfId="0" applyFont="1" applyAlignment="1">
      <alignment vertical="center" wrapText="1"/>
    </xf>
    <xf numFmtId="0" fontId="2" fillId="10" borderId="0" xfId="0" applyFont="1" applyAlignment="1">
      <alignment wrapText="1"/>
    </xf>
    <xf numFmtId="0" fontId="0" fillId="11" borderId="5" xfId="0" applyNumberFormat="1" applyFont="1" applyFill="1" applyBorder="1" applyAlignment="1">
      <alignment horizontal="left" vertical="center" indent="2"/>
    </xf>
    <xf numFmtId="9" fontId="0" fillId="11" borderId="5" xfId="0" applyNumberFormat="1" applyFont="1" applyFill="1" applyBorder="1" applyAlignment="1">
      <alignment horizontal="right" vertical="center" indent="2"/>
    </xf>
    <xf numFmtId="0" fontId="34" fillId="10" borderId="6" xfId="0" applyFont="1" applyBorder="1"/>
    <xf numFmtId="0" fontId="36" fillId="10" borderId="0" xfId="0" applyFont="1" applyAlignment="1">
      <alignment vertical="center" wrapText="1"/>
    </xf>
    <xf numFmtId="0" fontId="36" fillId="10" borderId="0" xfId="0" applyFont="1" applyAlignment="1">
      <alignment wrapText="1"/>
    </xf>
    <xf numFmtId="0" fontId="37" fillId="10" borderId="0" xfId="0" applyFont="1" applyAlignment="1">
      <alignment vertical="center" wrapText="1"/>
    </xf>
    <xf numFmtId="0" fontId="24" fillId="6" borderId="9" xfId="4" applyNumberFormat="1" applyFont="1" applyFill="1" applyBorder="1" applyAlignment="1">
      <alignment horizontal="left" vertical="center" indent="1"/>
    </xf>
    <xf numFmtId="0" fontId="16" fillId="4" borderId="10" xfId="0" applyNumberFormat="1" applyFont="1" applyFill="1" applyBorder="1" applyAlignment="1">
      <alignment horizontal="left" vertical="center" indent="1"/>
    </xf>
    <xf numFmtId="0" fontId="6" fillId="11" borderId="12" xfId="0" applyFont="1" applyFill="1" applyBorder="1" applyAlignment="1">
      <alignment horizontal="left" vertical="center" indent="1"/>
    </xf>
    <xf numFmtId="0" fontId="6" fillId="11" borderId="12" xfId="0" applyFont="1" applyFill="1" applyBorder="1" applyAlignment="1">
      <alignment horizontal="left" vertical="center" indent="2"/>
    </xf>
    <xf numFmtId="0" fontId="24" fillId="5" borderId="14" xfId="4" applyNumberFormat="1" applyFont="1" applyFill="1" applyBorder="1">
      <alignment horizontal="left" vertical="center" indent="1"/>
    </xf>
    <xf numFmtId="0" fontId="20" fillId="12" borderId="15" xfId="4" applyNumberFormat="1" applyFont="1" applyFill="1" applyBorder="1">
      <alignment horizontal="left" vertical="center" indent="1"/>
    </xf>
    <xf numFmtId="0" fontId="20" fillId="12" borderId="16" xfId="4" applyNumberFormat="1" applyFont="1" applyFill="1" applyBorder="1">
      <alignment horizontal="left" vertical="center" indent="1"/>
    </xf>
    <xf numFmtId="0" fontId="24" fillId="5" borderId="9" xfId="4" applyNumberFormat="1" applyFont="1" applyFill="1" applyBorder="1">
      <alignment horizontal="left" vertical="center" indent="1"/>
    </xf>
    <xf numFmtId="0" fontId="20" fillId="12" borderId="22" xfId="4" applyNumberFormat="1" applyFont="1" applyFill="1" applyBorder="1">
      <alignment horizontal="left" vertical="center" indent="1"/>
    </xf>
    <xf numFmtId="0" fontId="20" fillId="12" borderId="23" xfId="4" applyNumberFormat="1" applyFont="1" applyFill="1" applyBorder="1">
      <alignment horizontal="left" vertical="center" indent="1"/>
    </xf>
    <xf numFmtId="0" fontId="20" fillId="12" borderId="24" xfId="4" applyNumberFormat="1" applyFont="1" applyFill="1" applyBorder="1">
      <alignment horizontal="left" vertical="center" indent="1"/>
    </xf>
    <xf numFmtId="0" fontId="24" fillId="5" borderId="25" xfId="4" applyNumberFormat="1" applyFont="1" applyFill="1" applyBorder="1">
      <alignment horizontal="left" vertical="center" indent="1"/>
    </xf>
    <xf numFmtId="0" fontId="24" fillId="7" borderId="14" xfId="4" applyNumberFormat="1" applyFont="1" applyFill="1" applyBorder="1">
      <alignment horizontal="left" vertical="center" indent="1"/>
    </xf>
    <xf numFmtId="0" fontId="24" fillId="6" borderId="14" xfId="4" applyNumberFormat="1" applyFont="1" applyFill="1" applyBorder="1">
      <alignment horizontal="left" vertical="center" indent="1"/>
    </xf>
    <xf numFmtId="0" fontId="24" fillId="6" borderId="14" xfId="4" applyNumberFormat="1" applyFont="1" applyFill="1" applyBorder="1" applyAlignment="1">
      <alignment horizontal="left" vertical="center" indent="1"/>
    </xf>
    <xf numFmtId="0" fontId="20" fillId="12" borderId="15" xfId="4" applyNumberFormat="1" applyFont="1" applyFill="1" applyBorder="1" applyAlignment="1">
      <alignment horizontal="center" vertical="center"/>
    </xf>
    <xf numFmtId="0" fontId="20" fillId="12" borderId="16" xfId="4" applyNumberFormat="1" applyFont="1" applyFill="1" applyBorder="1" applyAlignment="1">
      <alignment horizontal="center" vertical="center"/>
    </xf>
    <xf numFmtId="0" fontId="20" fillId="12" borderId="14" xfId="4" applyNumberFormat="1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left" vertical="center" indent="2"/>
    </xf>
    <xf numFmtId="0" fontId="40" fillId="4" borderId="0" xfId="0" applyFont="1" applyFill="1" applyAlignment="1">
      <alignment horizontal="left" vertical="top" indent="1"/>
    </xf>
    <xf numFmtId="0" fontId="20" fillId="12" borderId="15" xfId="4" applyNumberFormat="1" applyFont="1" applyFill="1" applyBorder="1" applyAlignment="1">
      <alignment horizontal="left" vertical="center" indent="1"/>
    </xf>
    <xf numFmtId="0" fontId="20" fillId="12" borderId="16" xfId="4" applyNumberFormat="1" applyFont="1" applyFill="1" applyBorder="1" applyAlignment="1">
      <alignment horizontal="left" vertical="center" indent="1"/>
    </xf>
    <xf numFmtId="0" fontId="16" fillId="4" borderId="17" xfId="0" applyNumberFormat="1" applyFont="1" applyFill="1" applyBorder="1" applyAlignment="1">
      <alignment horizontal="left" vertical="center" indent="1"/>
    </xf>
    <xf numFmtId="0" fontId="27" fillId="11" borderId="19" xfId="0" applyFont="1" applyFill="1" applyBorder="1" applyAlignment="1">
      <alignment horizontal="left" vertical="center" indent="1"/>
    </xf>
    <xf numFmtId="0" fontId="20" fillId="12" borderId="14" xfId="4" applyNumberFormat="1" applyFont="1" applyFill="1" applyBorder="1" applyAlignment="1">
      <alignment horizontal="left" vertical="center" indent="1"/>
    </xf>
    <xf numFmtId="0" fontId="27" fillId="11" borderId="11" xfId="0" applyFont="1" applyFill="1" applyBorder="1" applyAlignment="1">
      <alignment horizontal="left" vertical="center" indent="1"/>
    </xf>
    <xf numFmtId="0" fontId="27" fillId="11" borderId="19" xfId="0" applyFont="1" applyFill="1" applyBorder="1" applyAlignment="1">
      <alignment horizontal="left" vertical="center" indent="2"/>
    </xf>
    <xf numFmtId="0" fontId="24" fillId="7" borderId="9" xfId="4" applyNumberFormat="1" applyFont="1" applyFill="1" applyBorder="1">
      <alignment horizontal="left" vertical="center" indent="1"/>
    </xf>
    <xf numFmtId="0" fontId="16" fillId="4" borderId="4" xfId="0" applyNumberFormat="1" applyFont="1" applyFill="1" applyBorder="1" applyAlignment="1">
      <alignment horizontal="left" vertical="center" indent="1"/>
    </xf>
    <xf numFmtId="0" fontId="30" fillId="9" borderId="32" xfId="3" applyNumberFormat="1" applyFont="1" applyFill="1" applyBorder="1" applyAlignment="1">
      <alignment vertical="center"/>
    </xf>
    <xf numFmtId="0" fontId="20" fillId="12" borderId="15" xfId="4" applyNumberFormat="1" applyFont="1" applyFill="1" applyBorder="1" applyAlignment="1">
      <alignment horizontal="left"/>
    </xf>
    <xf numFmtId="0" fontId="20" fillId="12" borderId="16" xfId="4" applyNumberFormat="1" applyFont="1" applyFill="1" applyBorder="1" applyAlignment="1">
      <alignment horizontal="left"/>
    </xf>
    <xf numFmtId="0" fontId="19" fillId="11" borderId="19" xfId="0" applyNumberFormat="1" applyFont="1" applyFill="1" applyBorder="1" applyAlignment="1">
      <alignment horizontal="left" vertical="center" indent="1"/>
    </xf>
    <xf numFmtId="0" fontId="18" fillId="11" borderId="19" xfId="0" applyNumberFormat="1" applyFont="1" applyFill="1" applyBorder="1" applyAlignment="1">
      <alignment horizontal="left" vertical="center" indent="2"/>
    </xf>
    <xf numFmtId="0" fontId="6" fillId="11" borderId="19" xfId="0" applyNumberFormat="1" applyFont="1" applyFill="1" applyBorder="1" applyAlignment="1">
      <alignment horizontal="left" vertical="center" indent="1"/>
    </xf>
    <xf numFmtId="0" fontId="19" fillId="11" borderId="19" xfId="0" applyNumberFormat="1" applyFont="1" applyFill="1" applyBorder="1" applyAlignment="1">
      <alignment horizontal="left" vertical="center" indent="2"/>
    </xf>
    <xf numFmtId="0" fontId="0" fillId="11" borderId="2" xfId="0" applyNumberFormat="1" applyFont="1" applyFill="1" applyBorder="1" applyAlignment="1">
      <alignment horizontal="left" vertical="center" indent="1"/>
    </xf>
    <xf numFmtId="0" fontId="16" fillId="4" borderId="26" xfId="0" applyNumberFormat="1" applyFont="1" applyFill="1" applyBorder="1" applyAlignment="1">
      <alignment horizontal="left" vertical="center" indent="1"/>
    </xf>
    <xf numFmtId="0" fontId="0" fillId="10" borderId="0" xfId="0" applyNumberFormat="1" applyFont="1" applyBorder="1" applyAlignment="1">
      <alignment horizontal="left" indent="1"/>
    </xf>
    <xf numFmtId="0" fontId="4" fillId="10" borderId="0" xfId="0" applyFont="1" applyAlignment="1">
      <alignment horizontal="left"/>
    </xf>
    <xf numFmtId="166" fontId="0" fillId="10" borderId="0" xfId="0" applyNumberFormat="1" applyFont="1" applyBorder="1" applyAlignment="1">
      <alignment horizontal="right"/>
    </xf>
    <xf numFmtId="0" fontId="33" fillId="8" borderId="0" xfId="0" applyNumberFormat="1" applyFont="1" applyFill="1" applyAlignment="1">
      <alignment horizontal="left" vertical="top" wrapText="1" indent="1"/>
    </xf>
    <xf numFmtId="0" fontId="2" fillId="8" borderId="0" xfId="0" applyNumberFormat="1" applyFont="1" applyFill="1" applyAlignment="1">
      <alignment horizontal="left" vertical="top" indent="1"/>
    </xf>
    <xf numFmtId="0" fontId="2" fillId="4" borderId="0" xfId="0" applyNumberFormat="1" applyFont="1" applyFill="1" applyAlignment="1">
      <alignment horizontal="left" vertical="top" indent="1"/>
    </xf>
    <xf numFmtId="0" fontId="40" fillId="4" borderId="0" xfId="0" applyNumberFormat="1" applyFont="1" applyFill="1" applyAlignment="1">
      <alignment horizontal="left" vertical="top" indent="1"/>
    </xf>
    <xf numFmtId="0" fontId="2" fillId="10" borderId="0" xfId="0" applyNumberFormat="1" applyFont="1"/>
    <xf numFmtId="0" fontId="33" fillId="8" borderId="0" xfId="0" applyNumberFormat="1" applyFont="1" applyFill="1" applyAlignment="1">
      <alignment horizontal="left" vertical="top" indent="1"/>
    </xf>
    <xf numFmtId="0" fontId="3" fillId="8" borderId="0" xfId="0" applyNumberFormat="1" applyFont="1" applyFill="1" applyAlignment="1">
      <alignment horizontal="left" vertical="top" indent="1"/>
    </xf>
    <xf numFmtId="0" fontId="5" fillId="8" borderId="0" xfId="0" applyNumberFormat="1" applyFont="1" applyFill="1" applyAlignment="1">
      <alignment horizontal="left" vertical="top" indent="1"/>
    </xf>
    <xf numFmtId="0" fontId="34" fillId="10" borderId="0" xfId="0" applyNumberFormat="1" applyFont="1" applyAlignment="1"/>
    <xf numFmtId="0" fontId="22" fillId="10" borderId="0" xfId="0" applyNumberFormat="1" applyFont="1" applyAlignment="1"/>
    <xf numFmtId="0" fontId="34" fillId="10" borderId="0" xfId="0" applyNumberFormat="1" applyFont="1" applyBorder="1"/>
    <xf numFmtId="0" fontId="2" fillId="10" borderId="0" xfId="0" applyNumberFormat="1" applyFont="1" applyBorder="1"/>
    <xf numFmtId="0" fontId="4" fillId="10" borderId="0" xfId="0" applyNumberFormat="1" applyFont="1" applyAlignment="1">
      <alignment horizontal="right"/>
    </xf>
    <xf numFmtId="0" fontId="6" fillId="10" borderId="0" xfId="0" applyNumberFormat="1" applyFont="1" applyAlignment="1">
      <alignment horizontal="right"/>
    </xf>
    <xf numFmtId="0" fontId="7" fillId="10" borderId="0" xfId="0" applyNumberFormat="1" applyFont="1" applyAlignment="1">
      <alignment horizontal="right"/>
    </xf>
    <xf numFmtId="8" fontId="14" fillId="13" borderId="17" xfId="0" applyNumberFormat="1" applyFont="1" applyFill="1" applyBorder="1" applyAlignment="1">
      <alignment horizontal="right" vertical="center"/>
    </xf>
    <xf numFmtId="8" fontId="14" fillId="13" borderId="13" xfId="0" applyNumberFormat="1" applyFont="1" applyFill="1" applyBorder="1" applyAlignment="1">
      <alignment horizontal="right" vertical="center"/>
    </xf>
    <xf numFmtId="8" fontId="14" fillId="11" borderId="18" xfId="0" applyNumberFormat="1" applyFont="1" applyFill="1" applyBorder="1" applyAlignment="1">
      <alignment horizontal="right" vertical="center"/>
    </xf>
    <xf numFmtId="8" fontId="14" fillId="11" borderId="19" xfId="0" applyNumberFormat="1" applyFont="1" applyFill="1" applyBorder="1" applyAlignment="1">
      <alignment horizontal="right" vertical="center"/>
    </xf>
    <xf numFmtId="8" fontId="14" fillId="11" borderId="20" xfId="0" applyNumberFormat="1" applyFont="1" applyFill="1" applyBorder="1" applyAlignment="1">
      <alignment horizontal="right" vertical="center"/>
    </xf>
    <xf numFmtId="8" fontId="14" fillId="11" borderId="21" xfId="0" applyNumberFormat="1" applyFont="1" applyFill="1" applyBorder="1" applyAlignment="1">
      <alignment horizontal="right" vertical="center"/>
    </xf>
    <xf numFmtId="8" fontId="14" fillId="11" borderId="27" xfId="0" applyNumberFormat="1" applyFont="1" applyFill="1" applyBorder="1" applyAlignment="1">
      <alignment horizontal="right" vertical="center"/>
    </xf>
    <xf numFmtId="8" fontId="14" fillId="11" borderId="28" xfId="0" applyNumberFormat="1" applyFont="1" applyFill="1" applyBorder="1" applyAlignment="1">
      <alignment horizontal="right" vertical="center"/>
    </xf>
    <xf numFmtId="8" fontId="14" fillId="11" borderId="29" xfId="0" applyNumberFormat="1" applyFont="1" applyFill="1" applyBorder="1" applyAlignment="1">
      <alignment horizontal="right" vertical="center"/>
    </xf>
    <xf numFmtId="8" fontId="0" fillId="13" borderId="17" xfId="0" applyNumberFormat="1" applyFont="1" applyFill="1" applyBorder="1" applyAlignment="1">
      <alignment horizontal="right" vertical="center"/>
    </xf>
    <xf numFmtId="8" fontId="0" fillId="13" borderId="13" xfId="0" applyNumberFormat="1" applyFont="1" applyFill="1" applyBorder="1" applyAlignment="1">
      <alignment horizontal="right" vertical="center"/>
    </xf>
    <xf numFmtId="8" fontId="0" fillId="11" borderId="18" xfId="0" applyNumberFormat="1" applyFont="1" applyFill="1" applyBorder="1" applyAlignment="1">
      <alignment horizontal="right" vertical="center"/>
    </xf>
    <xf numFmtId="8" fontId="0" fillId="11" borderId="19" xfId="0" applyNumberFormat="1" applyFont="1" applyFill="1" applyBorder="1" applyAlignment="1">
      <alignment horizontal="right" vertical="center"/>
    </xf>
    <xf numFmtId="8" fontId="0" fillId="11" borderId="20" xfId="0" applyNumberFormat="1" applyFont="1" applyFill="1" applyBorder="1" applyAlignment="1">
      <alignment horizontal="right" vertical="center"/>
    </xf>
    <xf numFmtId="8" fontId="0" fillId="11" borderId="21" xfId="0" applyNumberFormat="1" applyFont="1" applyFill="1" applyBorder="1" applyAlignment="1">
      <alignment horizontal="right" vertical="center"/>
    </xf>
    <xf numFmtId="8" fontId="15" fillId="11" borderId="5" xfId="0" applyNumberFormat="1" applyFont="1" applyFill="1" applyBorder="1" applyAlignment="1">
      <alignment horizontal="right" vertical="center"/>
    </xf>
    <xf numFmtId="8" fontId="15" fillId="11" borderId="2" xfId="0" applyNumberFormat="1" applyFont="1" applyFill="1" applyBorder="1" applyAlignment="1">
      <alignment horizontal="right" vertical="center"/>
    </xf>
    <xf numFmtId="0" fontId="4" fillId="10" borderId="0" xfId="0" applyNumberFormat="1" applyFont="1" applyBorder="1"/>
    <xf numFmtId="8" fontId="0" fillId="11" borderId="19" xfId="0" applyNumberFormat="1" applyFont="1" applyFill="1" applyBorder="1" applyAlignment="1">
      <alignment vertical="center"/>
    </xf>
    <xf numFmtId="8" fontId="0" fillId="11" borderId="20" xfId="0" applyNumberFormat="1" applyFont="1" applyFill="1" applyBorder="1" applyAlignment="1">
      <alignment vertical="center"/>
    </xf>
    <xf numFmtId="8" fontId="0" fillId="11" borderId="21" xfId="0" applyNumberFormat="1" applyFont="1" applyFill="1" applyBorder="1" applyAlignment="1">
      <alignment vertical="center"/>
    </xf>
    <xf numFmtId="8" fontId="25" fillId="11" borderId="20" xfId="0" applyNumberFormat="1" applyFont="1" applyFill="1" applyBorder="1" applyAlignment="1">
      <alignment horizontal="right" vertical="center"/>
    </xf>
    <xf numFmtId="8" fontId="15" fillId="11" borderId="31" xfId="0" applyNumberFormat="1" applyFont="1" applyFill="1" applyBorder="1" applyAlignment="1">
      <alignment horizontal="right"/>
    </xf>
    <xf numFmtId="8" fontId="15" fillId="11" borderId="2" xfId="0" applyNumberFormat="1" applyFont="1" applyFill="1" applyBorder="1" applyAlignment="1">
      <alignment horizontal="right"/>
    </xf>
    <xf numFmtId="8" fontId="15" fillId="11" borderId="6" xfId="0" applyNumberFormat="1" applyFont="1" applyFill="1" applyBorder="1" applyAlignment="1">
      <alignment horizontal="right"/>
    </xf>
    <xf numFmtId="8" fontId="15" fillId="11" borderId="8" xfId="0" applyNumberFormat="1" applyFont="1" applyFill="1" applyBorder="1" applyAlignment="1">
      <alignment horizontal="right"/>
    </xf>
    <xf numFmtId="8" fontId="15" fillId="11" borderId="5" xfId="0" applyNumberFormat="1" applyFont="1" applyFill="1" applyBorder="1" applyAlignment="1">
      <alignment horizontal="right"/>
    </xf>
    <xf numFmtId="8" fontId="14" fillId="11" borderId="20" xfId="0" applyNumberFormat="1" applyFont="1" applyFill="1" applyBorder="1" applyAlignment="1">
      <alignment vertical="center"/>
    </xf>
    <xf numFmtId="8" fontId="26" fillId="11" borderId="2" xfId="0" applyNumberFormat="1" applyFont="1" applyFill="1" applyBorder="1" applyAlignment="1">
      <alignment horizontal="right"/>
    </xf>
    <xf numFmtId="8" fontId="26" fillId="11" borderId="8" xfId="0" applyNumberFormat="1" applyFont="1" applyFill="1" applyBorder="1" applyAlignment="1">
      <alignment horizontal="right"/>
    </xf>
    <xf numFmtId="8" fontId="0" fillId="11" borderId="2" xfId="0" applyNumberFormat="1" applyFont="1" applyFill="1" applyBorder="1" applyAlignment="1">
      <alignment horizontal="right" vertical="center" indent="2"/>
    </xf>
    <xf numFmtId="8" fontId="0" fillId="11" borderId="5" xfId="0" applyNumberFormat="1" applyFont="1" applyFill="1" applyBorder="1" applyAlignment="1">
      <alignment horizontal="right" vertical="center" indent="2"/>
    </xf>
    <xf numFmtId="0" fontId="20" fillId="10" borderId="0" xfId="0" applyFont="1" applyAlignment="1">
      <alignment wrapText="1"/>
    </xf>
    <xf numFmtId="0" fontId="20" fillId="10" borderId="0" xfId="0" applyFont="1"/>
    <xf numFmtId="0" fontId="29" fillId="4" borderId="0" xfId="0" applyNumberFormat="1" applyFont="1" applyFill="1" applyAlignment="1">
      <alignment horizontal="center" vertical="top"/>
    </xf>
    <xf numFmtId="0" fontId="17" fillId="4" borderId="0" xfId="2" applyNumberFormat="1" applyFont="1" applyFill="1" applyAlignment="1">
      <alignment horizontal="left" indent="1"/>
    </xf>
    <xf numFmtId="0" fontId="6" fillId="10" borderId="0" xfId="0" applyNumberFormat="1" applyFont="1" applyBorder="1" applyAlignment="1">
      <alignment horizontal="center"/>
    </xf>
    <xf numFmtId="0" fontId="4" fillId="10" borderId="0" xfId="0" applyNumberFormat="1" applyFont="1" applyBorder="1" applyAlignment="1">
      <alignment horizontal="center"/>
    </xf>
    <xf numFmtId="0" fontId="13" fillId="8" borderId="0" xfId="1" applyNumberFormat="1" applyFont="1" applyFill="1" applyAlignment="1">
      <alignment horizontal="left" vertical="top" indent="1"/>
    </xf>
    <xf numFmtId="0" fontId="12" fillId="4" borderId="0" xfId="5" applyNumberFormat="1" applyFill="1" applyAlignment="1">
      <alignment horizontal="left" vertical="top" indent="1"/>
    </xf>
    <xf numFmtId="0" fontId="38" fillId="4" borderId="0" xfId="5" applyNumberFormat="1" applyFont="1" applyFill="1" applyAlignment="1">
      <alignment horizontal="left" vertical="top" indent="1"/>
    </xf>
    <xf numFmtId="0" fontId="6" fillId="10" borderId="0" xfId="0" applyNumberFormat="1" applyFont="1" applyAlignment="1">
      <alignment horizontal="center"/>
    </xf>
    <xf numFmtId="0" fontId="4" fillId="10" borderId="0" xfId="0" applyNumberFormat="1" applyFont="1" applyAlignment="1">
      <alignment horizontal="center"/>
    </xf>
    <xf numFmtId="0" fontId="31" fillId="11" borderId="0" xfId="0" applyFont="1" applyFill="1" applyAlignment="1">
      <alignment horizontal="center"/>
    </xf>
    <xf numFmtId="0" fontId="31" fillId="11" borderId="0" xfId="0" applyFont="1" applyFill="1" applyAlignment="1">
      <alignment horizontal="left"/>
    </xf>
    <xf numFmtId="0" fontId="4" fillId="10" borderId="0" xfId="0" applyFont="1" applyAlignment="1">
      <alignment horizontal="left"/>
    </xf>
    <xf numFmtId="0" fontId="4" fillId="10" borderId="0" xfId="0" applyFont="1" applyAlignment="1">
      <alignment horizontal="center"/>
    </xf>
    <xf numFmtId="0" fontId="4" fillId="10" borderId="0" xfId="0" applyFont="1" applyAlignment="1">
      <alignment horizontal="left" indent="1"/>
    </xf>
    <xf numFmtId="0" fontId="17" fillId="4" borderId="0" xfId="2" applyNumberFormat="1" applyFont="1" applyFill="1" applyAlignment="1">
      <alignment horizontal="right" vertical="center" indent="3"/>
    </xf>
    <xf numFmtId="0" fontId="39" fillId="4" borderId="0" xfId="2" applyNumberFormat="1" applyFont="1" applyFill="1" applyAlignment="1">
      <alignment horizontal="center" wrapText="1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1" builtinId="10" customBuiltin="1"/>
    <cellStyle name="Ćelija za proveru" xfId="19" builtinId="23" customBuiltin="1"/>
    <cellStyle name="Dobro" xfId="12" builtinId="26" customBuiltin="1"/>
    <cellStyle name="Izlaz" xfId="16" builtinId="21" customBuiltin="1"/>
    <cellStyle name="Izračunavanje" xfId="17" builtinId="22" customBuiltin="1"/>
    <cellStyle name="Loše" xfId="13" builtinId="27" customBuiltin="1"/>
    <cellStyle name="Naslov" xfId="11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eutralno" xfId="14" builtinId="28" customBuiltin="1"/>
    <cellStyle name="Normalan" xfId="0" builtinId="0" customBuiltin="1"/>
    <cellStyle name="Povezana ćelija" xfId="18" builtinId="24" customBuiltin="1"/>
    <cellStyle name="Procenat" xfId="10" builtinId="5" customBuiltin="1"/>
    <cellStyle name="Tekst objašnjenja" xfId="5" builtinId="53" customBuiltin="1"/>
    <cellStyle name="Tekst upozorenja" xfId="20" builtinId="11" customBuiltin="1"/>
    <cellStyle name="Ukupno" xfId="22" builtinId="25" customBuiltin="1"/>
    <cellStyle name="Unos" xfId="15" builtinId="20" customBuiltin="1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4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3" formatCode="0%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border outline="0">
        <bottom style="medium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</border>
    </dxf>
    <dxf>
      <border outline="0"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RSD&quot;;[Red]#,##0.00\ &quot;RSD&quot;"/>
    </dxf>
    <dxf>
      <font>
        <b val="0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numFmt numFmtId="166" formatCode="#,##0.00\ &quot;RSD&quot;;[Red]#,##0.00\ &quot;RSD&quot;"/>
    </dxf>
    <dxf>
      <numFmt numFmtId="12" formatCode="#,##0.00\ &quot;RSD&quot;;[Red]\-#,##0.00\ &quot;RSD&quot;"/>
    </dxf>
    <dxf>
      <fill>
        <patternFill patternType="solid">
          <fgColor indexed="64"/>
          <bgColor theme="6" tint="0.79998168889431442"/>
        </patternFill>
      </fill>
      <alignment horizontal="left" vertical="center" textRotation="0" wrapText="0" justifyLastLine="0" shrinkToFit="0" readingOrder="0"/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alignment horizontal="left" vertical="center" textRotation="0" wrapText="0" relativeIndent="1" justifyLastLine="0" shrinkToFit="0" readingOrder="0"/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numFmt numFmtId="0" formatCode="General"/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7558519241921"/>
        </top>
        <bottom/>
      </border>
    </dxf>
    <dxf>
      <border outline="0">
        <left style="medium">
          <color theme="6" tint="0.39997558519241921"/>
        </left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numFmt numFmtId="12" formatCode="#,##0.00\ &quot;RSD&quot;;[Red]\-#,##0.00\ &quot;RSD&quot;"/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/>
        <horizontal style="medium">
          <color theme="6" tint="0.39994506668294322"/>
        </horizontal>
      </border>
    </dxf>
    <dxf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numFmt numFmtId="0" formatCode="General"/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2" formatCode="#,##0.00\ &quot;RSD&quot;;[Red]\-#,##0.00\ &quot;RSD&quot;"/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justifyLastLine="0" shrinkToFit="0" readingOrder="0"/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color auto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medium">
          <color theme="6" tint="0.39997558519241921"/>
        </right>
        <top style="medium">
          <color theme="6" tint="0.39997558519241921"/>
        </top>
        <bottom/>
      </border>
    </dxf>
    <dxf>
      <border outline="0">
        <top style="medium">
          <color theme="6" tint="0.39997558519241921"/>
        </top>
      </border>
    </dxf>
    <dxf>
      <border outline="0">
        <left style="medium">
          <color theme="6" tint="0.39997558519241921"/>
        </left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border outline="0"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numFmt numFmtId="0" formatCode="General"/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2" formatCode="#,##0.00\ &quot;RSD&quot;;[Red]\-#,##0.00\ &quot;RSD&quot;"/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 style="medium">
          <color theme="6" tint="0.39994506668294322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 outline="0">
        <left/>
        <right style="medium">
          <color theme="6" tint="0.39991454817346722"/>
        </right>
        <top style="medium">
          <color theme="6" tint="0.39994506668294322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RSD&quot;;[Red]#,##0.00\ &quot;RSD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#,##0.00\ &quot;RSD&quot;;[Red]\-#,##0.00\ &quot;RSD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>
        <left style="medium">
          <color theme="6" tint="0.39988402966399123"/>
        </left>
        <right style="medium">
          <color theme="6" tint="0.39985351115451523"/>
        </right>
        <top style="medium">
          <color theme="6" tint="0.39994506668294322"/>
        </top>
        <bottom style="medium">
          <color theme="6" tint="0.39985351115451523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 style="medium">
          <color theme="6" tint="0.39988402966399123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/>
        <right style="medium">
          <color theme="6" tint="0.39994506668294322"/>
        </right>
        <top/>
        <bottom/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1"/>
      </font>
      <fill>
        <patternFill patternType="solid">
          <fgColor theme="0" tint="-0.14993743705557422"/>
          <bgColor theme="0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 val="0"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0"/>
      </font>
      <fill>
        <patternFill>
          <fgColor theme="3"/>
          <bgColor theme="3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 style="medium">
          <color theme="6" tint="0.39994506668294322"/>
        </top>
        <bottom/>
        <vertical style="medium">
          <color theme="6" tint="0.39991454817346722"/>
        </vertical>
        <horizontal/>
      </border>
    </dxf>
    <dxf>
      <font>
        <color theme="6" tint="0.39994506668294322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6" tint="0.39994506668294322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</dxfs>
  <tableStyles count="1" defaultTableStyle="Detailed expense estimates Table 2" defaultPivotStyle="PivotStyleLight16">
    <tableStyle name="Detailed expense estimates Table 2" pivot="0" count="7" xr9:uid="{00000000-0011-0000-FFFF-FFFF00000000}">
      <tableStyleElement type="wholeTable" dxfId="462"/>
      <tableStyleElement type="headerRow" dxfId="461"/>
      <tableStyleElement type="totalRow" dxfId="460"/>
      <tableStyleElement type="firstColumn" dxfId="459"/>
      <tableStyleElement type="lastColumn" dxfId="458"/>
      <tableStyleElement type="firstRowStripe" size="9" dxfId="457"/>
      <tableStyleElement type="firstColumnStripe" dxfId="456"/>
    </tableStyle>
  </tableStyles>
  <colors>
    <mruColors>
      <color rgb="FF3B893D"/>
      <color rgb="FF99CCFF"/>
      <color rgb="FFFFCC99"/>
      <color rgb="FF80008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Stvarni troškovi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icrosoft Sans Serif"/>
              <a:ea typeface="Microsoft Sans Serif"/>
              <a:cs typeface="Microsoft Sans Serif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15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F3-409A-87D3-91392B248616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F3-409A-87D3-91392B248616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F3-409A-87D3-91392B248616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F3-409A-87D3-91392B248616}"/>
              </c:ext>
            </c:extLst>
          </c:dPt>
          <c:dLbls>
            <c:dLbl>
              <c:idx val="0"/>
              <c:layout>
                <c:manualLayout>
                  <c:x val="0.16903582257697239"/>
                  <c:y val="-3.67060267098571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F3-409A-87D3-91392B248616}"/>
                </c:ext>
              </c:extLst>
            </c:dLbl>
            <c:dLbl>
              <c:idx val="1"/>
              <c:layout>
                <c:manualLayout>
                  <c:x val="9.0726906999872875E-2"/>
                  <c:y val="-1.105249817717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F3-409A-87D3-91392B248616}"/>
                </c:ext>
              </c:extLst>
            </c:dLbl>
            <c:dLbl>
              <c:idx val="2"/>
              <c:layout>
                <c:manualLayout>
                  <c:x val="6.6360388648343496E-2"/>
                  <c:y val="-2.1544176087003476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F3-409A-87D3-91392B248616}"/>
                </c:ext>
              </c:extLst>
            </c:dLbl>
            <c:dLbl>
              <c:idx val="3"/>
              <c:layout>
                <c:manualLayout>
                  <c:x val="5.2638698660414374E-2"/>
                  <c:y val="0.10124833189842194"/>
                </c:manualLayout>
              </c:layout>
              <c:tx>
                <c:rich>
                  <a:bodyPr/>
                  <a:lstStyle/>
                  <a:p>
                    <a:fld id="{127DB5ED-8588-4231-B374-76D6F511396E}" type="CATEGORYNAME">
                      <a:rPr lang="en-US"/>
                      <a:pPr/>
                      <a:t>[Ime kategorije]</a:t>
                    </a:fld>
                    <a:r>
                      <a:rPr lang="en-US" baseline="0"/>
                      <a:t>
  </a:t>
                    </a:r>
                    <a:fld id="{3E75EFB6-6C59-44F1-91A9-6B72A9701E74}" type="PERCENTAGE">
                      <a:rPr lang="en-US" baseline="0"/>
                      <a:pPr/>
                      <a:t>[PROCENAT]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             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04538525729319"/>
                      <c:h val="0.128333298246582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DF3-409A-87D3-91392B2486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'ANALIZA TROŠKOVA'!$B$6:$B$9</c:f>
              <c:strCache>
                <c:ptCount val="4"/>
                <c:pt idx="0">
                  <c:v>Troškovi zaposlenih</c:v>
                </c:pt>
                <c:pt idx="1">
                  <c:v>Kancelarijski troškovi</c:v>
                </c:pt>
                <c:pt idx="2">
                  <c:v>Troškovi marketinga</c:v>
                </c:pt>
                <c:pt idx="3">
                  <c:v>Obuka/putovanje</c:v>
                </c:pt>
              </c:strCache>
            </c:strRef>
          </c:cat>
          <c:val>
            <c:numRef>
              <c:f>'ANALIZA TROŠKOVA'!$D$6:$D$9</c:f>
              <c:numCache>
                <c:formatCode>"RSD"#,##0.00_);[Red]\("RSD"#,##0.00\)</c:formatCode>
                <c:ptCount val="4"/>
                <c:pt idx="0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F3-409A-87D3-91392B248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23410124887445"/>
          <c:y val="0.85735021397905353"/>
          <c:w val="0.51702116110545349"/>
          <c:h val="0.11487201583770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Microsoft Sans Serif"/>
              <a:ea typeface="Microsoft Sans Serif"/>
              <a:cs typeface="Microsoft Sans Serif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Mesečni troškovi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Microsoft Sans Serif"/>
              <a:ea typeface="Microsoft Sans Serif"/>
              <a:cs typeface="Microsoft Sans Serif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Planirani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'PLANIRANI TROŠKOVI'!$C$36:$N$36</c:f>
              <c:numCache>
                <c:formatCode>"RSD"#,##0.00_);[Red]\("RSD"#,##0.00\)</c:formatCod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D-4DB7-A511-401DE3785DC9}"/>
            </c:ext>
          </c:extLst>
        </c:ser>
        <c:ser>
          <c:idx val="2"/>
          <c:order val="2"/>
          <c:tx>
            <c:v>Stvarni</c:v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'STVARNI TROŠKOVI'!$C$36:$N$36</c:f>
              <c:numCache>
                <c:formatCode>"RSD"#,##0.00_);[Red]\("RSD"#,##0.00\)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2146616"/>
        <c:axId val="362147008"/>
      </c:barChart>
      <c:lineChart>
        <c:grouping val="standard"/>
        <c:varyColors val="0"/>
        <c:ser>
          <c:idx val="0"/>
          <c:order val="0"/>
          <c:tx>
            <c:v>Odstupanje</c:v>
          </c:tx>
          <c:spPr>
            <a:ln w="28575" cap="rnd">
              <a:solidFill>
                <a:schemeClr val="accent3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'ODSTUPANJA OD TROŠKOVA'!$C$36:$N$36</c:f>
              <c:numCache>
                <c:formatCode>"RSD"#,##0.00_);[Red]\("RSD"#,##0.00\)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146616"/>
        <c:axId val="362147008"/>
      </c:lineChart>
      <c:catAx>
        <c:axId val="36214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Mesec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2147008"/>
        <c:crosses val="autoZero"/>
        <c:auto val="1"/>
        <c:lblAlgn val="ctr"/>
        <c:lblOffset val="100"/>
        <c:noMultiLvlLbl val="0"/>
      </c:catAx>
      <c:valAx>
        <c:axId val="3621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Troškovi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&quot;RSD&quot;#,##0.00_);[Red]\(&quot;RSD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214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Microsoft Sans Serif"/>
              <a:ea typeface="Microsoft Sans Serif"/>
              <a:cs typeface="Microsoft Sans Serif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Planirani troškovi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Microsoft Sans Serif"/>
              <a:ea typeface="Microsoft Sans Serif"/>
              <a:cs typeface="Microsoft Sans Serif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14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5C-4225-ACC7-D51DAEA0E7C6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5C-4225-ACC7-D51DAEA0E7C6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5C-4225-ACC7-D51DAEA0E7C6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5C-4225-ACC7-D51DAEA0E7C6}"/>
              </c:ext>
            </c:extLst>
          </c:dPt>
          <c:dLbls>
            <c:dLbl>
              <c:idx val="0"/>
              <c:layout>
                <c:manualLayout>
                  <c:x val="0.19045364340543908"/>
                  <c:y val="-8.01112751531058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5C-4225-ACC7-D51DAEA0E7C6}"/>
                </c:ext>
              </c:extLst>
            </c:dLbl>
            <c:dLbl>
              <c:idx val="1"/>
              <c:layout>
                <c:manualLayout>
                  <c:x val="6.6352404397343898E-2"/>
                  <c:y val="-7.29494750656168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5C-4225-ACC7-D51DAEA0E7C6}"/>
                </c:ext>
              </c:extLst>
            </c:dLbl>
            <c:dLbl>
              <c:idx val="2"/>
              <c:layout>
                <c:manualLayout>
                  <c:x val="3.6636462570781757E-2"/>
                  <c:y val="-6.73173665791776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5C-4225-ACC7-D51DAEA0E7C6}"/>
                </c:ext>
              </c:extLst>
            </c:dLbl>
            <c:dLbl>
              <c:idx val="3"/>
              <c:layout>
                <c:manualLayout>
                  <c:x val="7.4682682403057737E-3"/>
                  <c:y val="9.1745680227471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5C-4225-ACC7-D51DAEA0E7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'ANALIZA TROŠKOVA'!$B$6:$B$9</c:f>
              <c:strCache>
                <c:ptCount val="4"/>
                <c:pt idx="0">
                  <c:v>Troškovi zaposlenih</c:v>
                </c:pt>
                <c:pt idx="1">
                  <c:v>Kancelarijski troškovi</c:v>
                </c:pt>
                <c:pt idx="2">
                  <c:v>Troškovi marketinga</c:v>
                </c:pt>
                <c:pt idx="3">
                  <c:v>Obuka/putovanje</c:v>
                </c:pt>
              </c:strCache>
            </c:strRef>
          </c:cat>
          <c:val>
            <c:numRef>
              <c:f>'ANALIZA TROŠKOVA'!$C$6:$C$9</c:f>
              <c:numCache>
                <c:formatCode>"RSD"#,##0.00_);[Red]\("RSD"#,##0.00\)</c:formatCode>
                <c:ptCount val="4"/>
                <c:pt idx="0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5C-4225-ACC7-D51DAEA0E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55807741327232"/>
          <c:y val="0.86776684164479445"/>
          <c:w val="0.57184023837375098"/>
          <c:h val="0.107927602799650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Microsoft Sans Serif"/>
              <a:ea typeface="Microsoft Sans Serif"/>
              <a:cs typeface="Microsoft Sans Serif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27504</xdr:colOff>
      <xdr:row>3</xdr:row>
      <xdr:rowOff>0</xdr:rowOff>
    </xdr:from>
    <xdr:to>
      <xdr:col>20</xdr:col>
      <xdr:colOff>962</xdr:colOff>
      <xdr:row>12</xdr:row>
      <xdr:rowOff>192640</xdr:rowOff>
    </xdr:to>
    <xdr:sp macro="" textlink="">
      <xdr:nvSpPr>
        <xdr:cNvPr id="3" name="Oblačić za govor: Pravougaonik 2" descr="Tip: HOW TO USE THIS TEMPLATE&#10;Input data in the white cells on the PLANNED EXPENSES and ACTUAL EXPENSES worksheets, and the EXPENSE VARIANCES and EXPENSE ANALYSIS will be calculated for you.  If you add a row on one sheet, the other sheets need to match&#10;">
          <a:extLst>
            <a:ext uri="{FF2B5EF4-FFF2-40B4-BE49-F238E27FC236}">
              <a16:creationId xmlns:a16="http://schemas.microsoft.com/office/drawing/2014/main" id="{26EBCE28-31AF-4664-B39F-77F2857D060F}"/>
            </a:ext>
          </a:extLst>
        </xdr:cNvPr>
        <xdr:cNvSpPr/>
      </xdr:nvSpPr>
      <xdr:spPr>
        <a:xfrm>
          <a:off x="15629454" y="1257300"/>
          <a:ext cx="1935608" cy="3288265"/>
        </a:xfrm>
        <a:prstGeom prst="wedgeRectCallout">
          <a:avLst>
            <a:gd name="adj1" fmla="val -65157"/>
            <a:gd name="adj2" fmla="val -20833"/>
          </a:avLst>
        </a:prstGeom>
        <a:solidFill>
          <a:schemeClr val="accent3">
            <a:lumMod val="20000"/>
            <a:lumOff val="80000"/>
            <a:alpha val="66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tIns="182880" rIns="182880" bIns="182880" rtlCol="0" anchor="t"/>
        <a:lstStyle/>
        <a:p>
          <a:pPr rtl="0"/>
          <a:r>
            <a:rPr lang="sr-latn-rs" sz="1100" b="1">
              <a:solidFill>
                <a:schemeClr val="tx2"/>
              </a:solidFill>
              <a:effectLst/>
              <a:latin typeface="Microsoft Sans Serif" panose="020B0604020202020204" pitchFamily="34" charset="0"/>
              <a:ea typeface="+mn-ea"/>
              <a:cs typeface="+mn-cs"/>
            </a:rPr>
            <a:t>KAKO SE KORISTI OVAJ PREDLOŽAK</a:t>
          </a:r>
        </a:p>
        <a:p>
          <a:pPr rtl="0"/>
          <a:endParaRPr lang="en-US">
            <a:solidFill>
              <a:schemeClr val="tx2"/>
            </a:solidFill>
            <a:effectLst/>
            <a:latin typeface="Microsoft Sans Serif" panose="020B0604020202020204" pitchFamily="34" charset="0"/>
          </a:endParaRPr>
        </a:p>
        <a:p>
          <a:pPr rtl="0"/>
          <a:r>
            <a:rPr lang="sr-latn-rs" sz="1100">
              <a:solidFill>
                <a:schemeClr val="tx2"/>
              </a:solidFill>
              <a:effectLst/>
              <a:latin typeface="Microsoft Sans Serif" panose="020B0604020202020204" pitchFamily="34" charset="0"/>
              <a:ea typeface="+mn-ea"/>
              <a:cs typeface="+mn-cs"/>
            </a:rPr>
            <a:t>Unesite podatke u bele ćelije na radnim listovima „PLANIRANI TROŠKOVI“ i „STVARNI TROŠKOVI“, a „ODSTUPANJA OD TROŠKOVA“ i „ANALIZA TROŠKOVA“ automatski se izračunavaju. Ako dodate red na jednom listu, </a:t>
          </a:r>
          <a:r>
            <a:rPr lang="sr-latn-rs" sz="1100" baseline="0">
              <a:solidFill>
                <a:schemeClr val="tx2"/>
              </a:solidFill>
              <a:effectLst/>
              <a:latin typeface="Microsoft Sans Serif" panose="020B0604020202020204" pitchFamily="34" charset="0"/>
              <a:ea typeface="+mn-ea"/>
              <a:cs typeface="+mn-cs"/>
            </a:rPr>
            <a:t>morate da ga dodate i na sve ostale.</a:t>
          </a:r>
          <a:endParaRPr lang="en-US" sz="1100">
            <a:solidFill>
              <a:schemeClr val="tx2"/>
            </a:solidFill>
            <a:latin typeface="Microsoft Sans Serif" panose="020B0604020202020204" pitchFamily="34" charset="0"/>
          </a:endParaRPr>
        </a:p>
      </xdr:txBody>
    </xdr:sp>
    <xdr:clientData fPrintsWithSheet="0"/>
  </xdr:twoCellAnchor>
  <xdr:twoCellAnchor editAs="oneCell">
    <xdr:from>
      <xdr:col>13</xdr:col>
      <xdr:colOff>258031</xdr:colOff>
      <xdr:row>1</xdr:row>
      <xdr:rowOff>41628</xdr:rowOff>
    </xdr:from>
    <xdr:to>
      <xdr:col>14</xdr:col>
      <xdr:colOff>962394</xdr:colOff>
      <xdr:row>2</xdr:row>
      <xdr:rowOff>182928</xdr:rowOff>
    </xdr:to>
    <xdr:pic>
      <xdr:nvPicPr>
        <xdr:cNvPr id="9" name="Slika 18">
          <a:extLst>
            <a:ext uri="{FF2B5EF4-FFF2-40B4-BE49-F238E27FC236}">
              <a16:creationId xmlns:a16="http://schemas.microsoft.com/office/drawing/2014/main" id="{65A40888-9F83-43E7-A699-52663041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02856" y="346428"/>
          <a:ext cx="1904513" cy="7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258031</xdr:colOff>
      <xdr:row>1</xdr:row>
      <xdr:rowOff>41628</xdr:rowOff>
    </xdr:from>
    <xdr:to>
      <xdr:col>14</xdr:col>
      <xdr:colOff>962394</xdr:colOff>
      <xdr:row>2</xdr:row>
      <xdr:rowOff>182928</xdr:rowOff>
    </xdr:to>
    <xdr:pic>
      <xdr:nvPicPr>
        <xdr:cNvPr id="6" name="Slika 18">
          <a:extLst>
            <a:ext uri="{FF2B5EF4-FFF2-40B4-BE49-F238E27FC236}">
              <a16:creationId xmlns:a16="http://schemas.microsoft.com/office/drawing/2014/main" id="{83DAF7B9-4C56-44AA-B3C3-38F1A49B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02856" y="346428"/>
          <a:ext cx="1904513" cy="7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257175</xdr:colOff>
      <xdr:row>1</xdr:row>
      <xdr:rowOff>43687</xdr:rowOff>
    </xdr:from>
    <xdr:to>
      <xdr:col>14</xdr:col>
      <xdr:colOff>961425</xdr:colOff>
      <xdr:row>2</xdr:row>
      <xdr:rowOff>184945</xdr:rowOff>
    </xdr:to>
    <xdr:pic>
      <xdr:nvPicPr>
        <xdr:cNvPr id="6" name="Slika 18">
          <a:extLst>
            <a:ext uri="{FF2B5EF4-FFF2-40B4-BE49-F238E27FC236}">
              <a16:creationId xmlns:a16="http://schemas.microsoft.com/office/drawing/2014/main" id="{A2E6D019-45AC-4D89-848F-C976B436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02000" y="348487"/>
          <a:ext cx="1904400" cy="712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1314449</xdr:colOff>
      <xdr:row>11</xdr:row>
      <xdr:rowOff>57150</xdr:rowOff>
    </xdr:from>
    <xdr:to>
      <xdr:col>5</xdr:col>
      <xdr:colOff>1562100</xdr:colOff>
      <xdr:row>11</xdr:row>
      <xdr:rowOff>3714751</xdr:rowOff>
    </xdr:to>
    <xdr:graphicFrame macro="">
      <xdr:nvGraphicFramePr>
        <xdr:cNvPr id="13" name="GrafikonStvarniTroškovi" descr="Pie chart showing actual expenses incurred on various categories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28574</xdr:colOff>
      <xdr:row>12</xdr:row>
      <xdr:rowOff>200025</xdr:rowOff>
    </xdr:from>
    <xdr:to>
      <xdr:col>5</xdr:col>
      <xdr:colOff>1628774</xdr:colOff>
      <xdr:row>16</xdr:row>
      <xdr:rowOff>5778</xdr:rowOff>
    </xdr:to>
    <xdr:graphicFrame macro="">
      <xdr:nvGraphicFramePr>
        <xdr:cNvPr id="8" name="GrafikonMesečniTroškovi" descr="Chart showing Planned, Actual, and Variance in Monthly Expenses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11</xdr:row>
      <xdr:rowOff>76201</xdr:rowOff>
    </xdr:from>
    <xdr:to>
      <xdr:col>3</xdr:col>
      <xdr:colOff>1162050</xdr:colOff>
      <xdr:row>11</xdr:row>
      <xdr:rowOff>3733801</xdr:rowOff>
    </xdr:to>
    <xdr:graphicFrame macro="">
      <xdr:nvGraphicFramePr>
        <xdr:cNvPr id="12" name="GrafikonPlaniraniTroškovi" descr="Pie chart showing planned expenses on various categories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285750</xdr:colOff>
      <xdr:row>1</xdr:row>
      <xdr:rowOff>1405</xdr:rowOff>
    </xdr:from>
    <xdr:to>
      <xdr:col>6</xdr:col>
      <xdr:colOff>119119</xdr:colOff>
      <xdr:row>1</xdr:row>
      <xdr:rowOff>552205</xdr:rowOff>
    </xdr:to>
    <xdr:pic>
      <xdr:nvPicPr>
        <xdr:cNvPr id="9" name="Slika 18">
          <a:extLst>
            <a:ext uri="{FF2B5EF4-FFF2-40B4-BE49-F238E27FC236}">
              <a16:creationId xmlns:a16="http://schemas.microsoft.com/office/drawing/2014/main" id="{7C6D1F32-6273-47BA-873D-2E5A8467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306205"/>
          <a:ext cx="1471669" cy="5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iraniKancelarijskiTroškovi" displayName="PlaniraniKancelarijskiTroškovi" ref="B10:O19" totalsRowCount="1" headerRowDxfId="455" totalsRowDxfId="452" headerRowBorderDxfId="454" tableBorderDxfId="453" totalsRowBorderDxfId="451">
  <autoFilter ref="B10:O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Kancelarijski troškovi" totalsRowLabel="Međuvrednost" dataDxfId="450" totalsRowDxfId="449"/>
    <tableColumn id="2" xr3:uid="{00000000-0010-0000-0000-000002000000}" name="Jan" totalsRowFunction="sum" dataDxfId="448" totalsRowDxfId="447"/>
    <tableColumn id="3" xr3:uid="{00000000-0010-0000-0000-000003000000}" name="Feb" totalsRowFunction="sum" dataDxfId="446" totalsRowDxfId="445"/>
    <tableColumn id="4" xr3:uid="{00000000-0010-0000-0000-000004000000}" name="Mar" totalsRowFunction="sum" dataDxfId="444" totalsRowDxfId="443"/>
    <tableColumn id="5" xr3:uid="{00000000-0010-0000-0000-000005000000}" name="Apr" totalsRowFunction="sum" dataDxfId="442" totalsRowDxfId="441"/>
    <tableColumn id="6" xr3:uid="{00000000-0010-0000-0000-000006000000}" name="maj" totalsRowFunction="sum" dataDxfId="440" totalsRowDxfId="439"/>
    <tableColumn id="7" xr3:uid="{00000000-0010-0000-0000-000007000000}" name="jun" totalsRowFunction="sum" dataDxfId="438" totalsRowDxfId="437"/>
    <tableColumn id="8" xr3:uid="{00000000-0010-0000-0000-000008000000}" name="jul" totalsRowFunction="sum" dataDxfId="436" totalsRowDxfId="435"/>
    <tableColumn id="9" xr3:uid="{00000000-0010-0000-0000-000009000000}" name="avg" totalsRowFunction="sum" dataDxfId="434" totalsRowDxfId="433"/>
    <tableColumn id="10" xr3:uid="{00000000-0010-0000-0000-00000A000000}" name="sep" totalsRowFunction="sum" dataDxfId="432" totalsRowDxfId="431"/>
    <tableColumn id="11" xr3:uid="{00000000-0010-0000-0000-00000B000000}" name="Okt" totalsRowFunction="sum" dataDxfId="430" totalsRowDxfId="429"/>
    <tableColumn id="12" xr3:uid="{00000000-0010-0000-0000-00000C000000}" name="Nov" totalsRowFunction="sum" dataDxfId="428" totalsRowDxfId="427"/>
    <tableColumn id="13" xr3:uid="{00000000-0010-0000-0000-00000D000000}" name="Dec" totalsRowFunction="sum" dataDxfId="426" totalsRowDxfId="425"/>
    <tableColumn id="14" xr3:uid="{00000000-0010-0000-0000-00000E000000}" name="GODINA" totalsRowFunction="sum" dataDxfId="424" totalsRowDxfId="423">
      <calculatedColumnFormula>SUM(C11:N11)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U ovu tabelu unesite planirane mesečne kancelarijske troškove. Ukupna vrednost se automatski izračunava na kraju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099C32-C8DE-492A-BEED-550CF2841A11}" name="UkupniStvarniTroškovi" displayName="UkupniStvarniTroškovi" ref="B35:O37" totalsRowShown="0" headerRowDxfId="172" dataDxfId="171" tableBorderDxfId="170">
  <autoFilter ref="B35:O37" xr:uid="{527B5B30-B216-4604-BE5A-D760DE033F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359818E9-FD74-4273-8957-D80FFA77ADE8}" name="UKUPNI planirani troškovi" dataDxfId="169"/>
    <tableColumn id="2" xr3:uid="{ED08B701-BD0B-43EA-B6B5-8B23D583D505}" name="jan" dataDxfId="168">
      <calculatedColumnFormula>SUM($C35:C$36)</calculatedColumnFormula>
    </tableColumn>
    <tableColumn id="3" xr3:uid="{953C450B-5235-4234-924F-53796609C439}" name="feb" dataDxfId="167">
      <calculatedColumnFormula>SUM($C35:D$36)</calculatedColumnFormula>
    </tableColumn>
    <tableColumn id="4" xr3:uid="{A434CE91-3696-411F-8418-02228D13F12E}" name="mar" dataDxfId="166">
      <calculatedColumnFormula>SUM($C35:E$36)</calculatedColumnFormula>
    </tableColumn>
    <tableColumn id="5" xr3:uid="{1E74C645-B91F-4CDB-9F55-6FEC8EAB0A64}" name="apr" dataDxfId="165">
      <calculatedColumnFormula>SUM($C35:F$36)</calculatedColumnFormula>
    </tableColumn>
    <tableColumn id="6" xr3:uid="{A3B698F1-9EF3-489A-A70E-8E760D6B713B}" name="maj" dataDxfId="164">
      <calculatedColumnFormula>SUM($C35:G$36)</calculatedColumnFormula>
    </tableColumn>
    <tableColumn id="7" xr3:uid="{6CEDC80B-5635-47E7-AA54-EBD827095F7C}" name="jun" dataDxfId="163">
      <calculatedColumnFormula>SUM($C35:H$36)</calculatedColumnFormula>
    </tableColumn>
    <tableColumn id="8" xr3:uid="{A73C88FE-0ABF-4134-B6B0-043ECC9295D4}" name="jul" dataDxfId="162">
      <calculatedColumnFormula>SUM($C35:I$36)</calculatedColumnFormula>
    </tableColumn>
    <tableColumn id="9" xr3:uid="{62119987-B16F-44A1-B80E-29460A9513CD}" name="avg" dataDxfId="161">
      <calculatedColumnFormula>SUM($C35:J$36)</calculatedColumnFormula>
    </tableColumn>
    <tableColumn id="10" xr3:uid="{C84A40CE-DC4A-442E-883F-891CA5A9A166}" name="sep" dataDxfId="160">
      <calculatedColumnFormula>SUM($C35:K$36)</calculatedColumnFormula>
    </tableColumn>
    <tableColumn id="11" xr3:uid="{4DB975F1-C294-416D-81FB-A8070CC2C3BC}" name="okt" dataDxfId="159">
      <calculatedColumnFormula>SUM($C35:L$36)</calculatedColumnFormula>
    </tableColumn>
    <tableColumn id="12" xr3:uid="{BC57DA11-9B5C-452D-8026-EF863D07E32E}" name="nov" dataDxfId="158">
      <calculatedColumnFormula>SUM($C35:M$36)</calculatedColumnFormula>
    </tableColumn>
    <tableColumn id="13" xr3:uid="{904E02FB-FEA8-49B0-ABA0-9B659A7720D8}" name="dec" dataDxfId="157">
      <calculatedColumnFormula>SUM($C35:N$36)</calculatedColumnFormula>
    </tableColumn>
    <tableColumn id="14" xr3:uid="{8C10E0BB-4735-4718-9538-C4AFB616D92A}" name="Godina" dataDxfId="156"/>
  </tableColumns>
  <tableStyleInfo name="TableStyleMedium1" showFirstColumn="1" showLastColumn="0" showRowStripes="0" showColumnStripes="0"/>
  <extLst>
    <ext xmlns:x14="http://schemas.microsoft.com/office/spreadsheetml/2009/9/main" uri="{504A1905-F514-4f6f-8877-14C23A59335A}">
      <x14:table altTextSummary="Mesečni i ukupni stvarni troškovi automatski se izračunavaju u ovoj tabeli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OdstupanjaOdTroškovaZaposlenih" displayName="OdstupanjaOdTroškovaZaposlenih" ref="B5:O8" totalsRowCount="1" headerRowDxfId="155" totalsRowDxfId="152" headerRowBorderDxfId="154" tableBorderDxfId="153" totalsRowBorderDxfId="151">
  <autoFilter ref="B5:O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Troškovi zaposlenih" totalsRowLabel="Međuvrednost" dataDxfId="150" totalsRowDxfId="149"/>
    <tableColumn id="2" xr3:uid="{00000000-0010-0000-0800-000002000000}" name="jan" totalsRowFunction="sum" dataDxfId="148" totalsRowDxfId="147">
      <calculatedColumnFormula>INDEX(PlaniraniTroškoviZaposlenih[],MATCH(INDEX(OdstupanjaOdTroškovaZaposlenih[],ROW()-ROW(OdstupanjaOdTroškovaZaposlenih[[#Headers],[jan]]),1),INDEX(PlaniraniTroškoviZaposlenih[],,1),0),MATCH(OdstupanjaOdTroškovaZaposlenih[[#Headers],[jan]],PlaniraniTroškoviZaposlenih[#Headers],0))-INDEX(StvarniTroškoviZaposlenih[],MATCH(INDEX(OdstupanjaOdTroškovaZaposlenih[],ROW()-ROW(OdstupanjaOdTroškovaZaposlenih[[#Headers],[jan]]),1),INDEX(PlaniraniTroškoviZaposlenih[],,1),0),MATCH(OdstupanjaOdTroškovaZaposlenih[[#Headers],[jan]],StvarniTroškoviZaposlenih[#Headers],0))</calculatedColumnFormula>
    </tableColumn>
    <tableColumn id="3" xr3:uid="{00000000-0010-0000-0800-000003000000}" name="feb" totalsRowFunction="sum" dataDxfId="146" totalsRowDxfId="145">
      <calculatedColumnFormula>INDEX(PlaniraniTroškoviZaposlenih[],MATCH(INDEX(OdstupanjaOdTroškovaZaposlenih[],ROW()-ROW(OdstupanjaOdTroškovaZaposlenih[[#Headers],[feb]]),1),INDEX(PlaniraniTroškoviZaposlenih[],,1),0),MATCH(OdstupanjaOdTroškovaZaposlenih[[#Headers],[feb]],PlaniraniTroškoviZaposlenih[#Headers],0))-INDEX(StvarniTroškoviZaposlenih[],MATCH(INDEX(OdstupanjaOdTroškovaZaposlenih[],ROW()-ROW(OdstupanjaOdTroškovaZaposlenih[[#Headers],[feb]]),1),INDEX(PlaniraniTroškoviZaposlenih[],,1),0),MATCH(OdstupanjaOdTroškovaZaposlenih[[#Headers],[feb]],StvarniTroškoviZaposlenih[#Headers],0))</calculatedColumnFormula>
    </tableColumn>
    <tableColumn id="4" xr3:uid="{00000000-0010-0000-0800-000004000000}" name="mar" totalsRowFunction="sum" dataDxfId="144" totalsRowDxfId="143">
      <calculatedColumnFormula>INDEX(PlaniraniTroškoviZaposlenih[],MATCH(INDEX(OdstupanjaOdTroškovaZaposlenih[],ROW()-ROW(OdstupanjaOdTroškovaZaposlenih[[#Headers],[mar]]),1),INDEX(PlaniraniTroškoviZaposlenih[],,1),0),MATCH(OdstupanjaOdTroškovaZaposlenih[[#Headers],[mar]],PlaniraniTroškoviZaposlenih[#Headers],0))-INDEX(StvarniTroškoviZaposlenih[],MATCH(INDEX(OdstupanjaOdTroškovaZaposlenih[],ROW()-ROW(OdstupanjaOdTroškovaZaposlenih[[#Headers],[mar]]),1),INDEX(PlaniraniTroškoviZaposlenih[],,1),0),MATCH(OdstupanjaOdTroškovaZaposlenih[[#Headers],[mar]],StvarniTroškoviZaposlenih[#Headers],0))</calculatedColumnFormula>
    </tableColumn>
    <tableColumn id="5" xr3:uid="{00000000-0010-0000-0800-000005000000}" name="apr" totalsRowFunction="sum" dataDxfId="142" totalsRowDxfId="141">
      <calculatedColumnFormula>INDEX(PlaniraniTroškoviZaposlenih[],MATCH(INDEX(OdstupanjaOdTroškovaZaposlenih[],ROW()-ROW(OdstupanjaOdTroškovaZaposlenih[[#Headers],[apr]]),1),INDEX(PlaniraniTroškoviZaposlenih[],,1),0),MATCH(OdstupanjaOdTroškovaZaposlenih[[#Headers],[apr]],PlaniraniTroškoviZaposlenih[#Headers],0))-INDEX(StvarniTroškoviZaposlenih[],MATCH(INDEX(OdstupanjaOdTroškovaZaposlenih[],ROW()-ROW(OdstupanjaOdTroškovaZaposlenih[[#Headers],[apr]]),1),INDEX(PlaniraniTroškoviZaposlenih[],,1),0),MATCH(OdstupanjaOdTroškovaZaposlenih[[#Headers],[apr]],StvarniTroškoviZaposlenih[#Headers],0))</calculatedColumnFormula>
    </tableColumn>
    <tableColumn id="6" xr3:uid="{00000000-0010-0000-0800-000006000000}" name="maj" totalsRowFunction="sum" dataDxfId="140" totalsRowDxfId="139">
      <calculatedColumnFormula>INDEX(PlaniraniTroškoviZaposlenih[],MATCH(INDEX(OdstupanjaOdTroškovaZaposlenih[],ROW()-ROW(OdstupanjaOdTroškovaZaposlenih[[#Headers],[maj]]),1),INDEX(PlaniraniTroškoviZaposlenih[],,1),0),MATCH(OdstupanjaOdTroškovaZaposlenih[[#Headers],[maj]],PlaniraniTroškoviZaposlenih[#Headers],0))-INDEX(StvarniTroškoviZaposlenih[],MATCH(INDEX(OdstupanjaOdTroškovaZaposlenih[],ROW()-ROW(OdstupanjaOdTroškovaZaposlenih[[#Headers],[maj]]),1),INDEX(PlaniraniTroškoviZaposlenih[],,1),0),MATCH(OdstupanjaOdTroškovaZaposlenih[[#Headers],[maj]],StvarniTroškoviZaposlenih[#Headers],0))</calculatedColumnFormula>
    </tableColumn>
    <tableColumn id="7" xr3:uid="{00000000-0010-0000-0800-000007000000}" name="jun" totalsRowFunction="sum" dataDxfId="138" totalsRowDxfId="137">
      <calculatedColumnFormula>INDEX(PlaniraniTroškoviZaposlenih[],MATCH(INDEX(OdstupanjaOdTroškovaZaposlenih[],ROW()-ROW(OdstupanjaOdTroškovaZaposlenih[[#Headers],[jun]]),1),INDEX(PlaniraniTroškoviZaposlenih[],,1),0),MATCH(OdstupanjaOdTroškovaZaposlenih[[#Headers],[jun]],PlaniraniTroškoviZaposlenih[#Headers],0))-INDEX(StvarniTroškoviZaposlenih[],MATCH(INDEX(OdstupanjaOdTroškovaZaposlenih[],ROW()-ROW(OdstupanjaOdTroškovaZaposlenih[[#Headers],[jun]]),1),INDEX(PlaniraniTroškoviZaposlenih[],,1),0),MATCH(OdstupanjaOdTroškovaZaposlenih[[#Headers],[jun]],StvarniTroškoviZaposlenih[#Headers],0))</calculatedColumnFormula>
    </tableColumn>
    <tableColumn id="8" xr3:uid="{00000000-0010-0000-0800-000008000000}" name="jul" totalsRowFunction="sum" dataDxfId="136" totalsRowDxfId="135">
      <calculatedColumnFormula>INDEX(PlaniraniTroškoviZaposlenih[],MATCH(INDEX(OdstupanjaOdTroškovaZaposlenih[],ROW()-ROW(OdstupanjaOdTroškovaZaposlenih[[#Headers],[jul]]),1),INDEX(PlaniraniTroškoviZaposlenih[],,1),0),MATCH(OdstupanjaOdTroškovaZaposlenih[[#Headers],[jul]],PlaniraniTroškoviZaposlenih[#Headers],0))-INDEX(StvarniTroškoviZaposlenih[],MATCH(INDEX(OdstupanjaOdTroškovaZaposlenih[],ROW()-ROW(OdstupanjaOdTroškovaZaposlenih[[#Headers],[jul]]),1),INDEX(PlaniraniTroškoviZaposlenih[],,1),0),MATCH(OdstupanjaOdTroškovaZaposlenih[[#Headers],[jul]],StvarniTroškoviZaposlenih[#Headers],0))</calculatedColumnFormula>
    </tableColumn>
    <tableColumn id="9" xr3:uid="{00000000-0010-0000-0800-000009000000}" name="avg" totalsRowFunction="sum" dataDxfId="134" totalsRowDxfId="133">
      <calculatedColumnFormula>INDEX(PlaniraniTroškoviZaposlenih[],MATCH(INDEX(OdstupanjaOdTroškovaZaposlenih[],ROW()-ROW(OdstupanjaOdTroškovaZaposlenih[[#Headers],[avg]]),1),INDEX(PlaniraniTroškoviZaposlenih[],,1),0),MATCH(OdstupanjaOdTroškovaZaposlenih[[#Headers],[avg]],PlaniraniTroškoviZaposlenih[#Headers],0))-INDEX(StvarniTroškoviZaposlenih[],MATCH(INDEX(OdstupanjaOdTroškovaZaposlenih[],ROW()-ROW(OdstupanjaOdTroškovaZaposlenih[[#Headers],[avg]]),1),INDEX(PlaniraniTroškoviZaposlenih[],,1),0),MATCH(OdstupanjaOdTroškovaZaposlenih[[#Headers],[avg]],StvarniTroškoviZaposlenih[#Headers],0))</calculatedColumnFormula>
    </tableColumn>
    <tableColumn id="10" xr3:uid="{00000000-0010-0000-0800-00000A000000}" name="sep" totalsRowFunction="sum" dataDxfId="132" totalsRowDxfId="131">
      <calculatedColumnFormula>INDEX(PlaniraniTroškoviZaposlenih[],MATCH(INDEX(OdstupanjaOdTroškovaZaposlenih[],ROW()-ROW(OdstupanjaOdTroškovaZaposlenih[[#Headers],[sep]]),1),INDEX(PlaniraniTroškoviZaposlenih[],,1),0),MATCH(OdstupanjaOdTroškovaZaposlenih[[#Headers],[sep]],PlaniraniTroškoviZaposlenih[#Headers],0))-INDEX(StvarniTroškoviZaposlenih[],MATCH(INDEX(OdstupanjaOdTroškovaZaposlenih[],ROW()-ROW(OdstupanjaOdTroškovaZaposlenih[[#Headers],[sep]]),1),INDEX(PlaniraniTroškoviZaposlenih[],,1),0),MATCH(OdstupanjaOdTroškovaZaposlenih[[#Headers],[sep]],StvarniTroškoviZaposlenih[#Headers],0))</calculatedColumnFormula>
    </tableColumn>
    <tableColumn id="11" xr3:uid="{00000000-0010-0000-0800-00000B000000}" name="okt" totalsRowFunction="sum" dataDxfId="130" totalsRowDxfId="129">
      <calculatedColumnFormula>INDEX(PlaniraniTroškoviZaposlenih[],MATCH(INDEX(OdstupanjaOdTroškovaZaposlenih[],ROW()-ROW(OdstupanjaOdTroškovaZaposlenih[[#Headers],[okt]]),1),INDEX(PlaniraniTroškoviZaposlenih[],,1),0),MATCH(OdstupanjaOdTroškovaZaposlenih[[#Headers],[okt]],PlaniraniTroškoviZaposlenih[#Headers],0))-INDEX(StvarniTroškoviZaposlenih[],MATCH(INDEX(OdstupanjaOdTroškovaZaposlenih[],ROW()-ROW(OdstupanjaOdTroškovaZaposlenih[[#Headers],[okt]]),1),INDEX(PlaniraniTroškoviZaposlenih[],,1),0),MATCH(OdstupanjaOdTroškovaZaposlenih[[#Headers],[okt]],StvarniTroškoviZaposlenih[#Headers],0))</calculatedColumnFormula>
    </tableColumn>
    <tableColumn id="12" xr3:uid="{00000000-0010-0000-0800-00000C000000}" name="nov" totalsRowFunction="sum" dataDxfId="128" totalsRowDxfId="127">
      <calculatedColumnFormula>INDEX(PlaniraniTroškoviZaposlenih[],MATCH(INDEX(OdstupanjaOdTroškovaZaposlenih[],ROW()-ROW(OdstupanjaOdTroškovaZaposlenih[[#Headers],[nov]]),1),INDEX(PlaniraniTroškoviZaposlenih[],,1),0),MATCH(OdstupanjaOdTroškovaZaposlenih[[#Headers],[nov]],PlaniraniTroškoviZaposlenih[#Headers],0))-INDEX(StvarniTroškoviZaposlenih[],MATCH(INDEX(OdstupanjaOdTroškovaZaposlenih[],ROW()-ROW(OdstupanjaOdTroškovaZaposlenih[[#Headers],[nov]]),1),INDEX(PlaniraniTroškoviZaposlenih[],,1),0),MATCH(OdstupanjaOdTroškovaZaposlenih[[#Headers],[nov]],StvarniTroškoviZaposlenih[#Headers],0))</calculatedColumnFormula>
    </tableColumn>
    <tableColumn id="13" xr3:uid="{00000000-0010-0000-0800-00000D000000}" name="dec" totalsRowFunction="sum" dataDxfId="126" totalsRowDxfId="125">
      <calculatedColumnFormula>INDEX(PlaniraniTroškoviZaposlenih[],MATCH(INDEX(OdstupanjaOdTroškovaZaposlenih[],ROW()-ROW(OdstupanjaOdTroškovaZaposlenih[[#Headers],[dec]]),1),INDEX(PlaniraniTroškoviZaposlenih[],,1),0),MATCH(OdstupanjaOdTroškovaZaposlenih[[#Headers],[dec]],PlaniraniTroškoviZaposlenih[#Headers],0))-INDEX(StvarniTroškoviZaposlenih[],MATCH(INDEX(OdstupanjaOdTroškovaZaposlenih[],ROW()-ROW(OdstupanjaOdTroškovaZaposlenih[[#Headers],[dec]]),1),INDEX(PlaniraniTroškoviZaposlenih[],,1),0),MATCH(OdstupanjaOdTroškovaZaposlenih[[#Headers],[dec]],StvarniTroškoviZaposlenih[#Headers],0))</calculatedColumnFormula>
    </tableColumn>
    <tableColumn id="14" xr3:uid="{00000000-0010-0000-0800-00000E000000}" name="GODINA" totalsRowFunction="sum" dataDxfId="124" totalsRowDxfId="123">
      <calculatedColumnFormula>SUM(OdstupanjaOdTroškovaZaposlenih[[#This Row],[jan]:[dec]])</calculatedColumnFormula>
    </tableColumn>
  </tableColumns>
  <tableStyleInfo name="TableStyleLight8" showFirstColumn="1" showLastColumn="0" showRowStripes="0" showColumnStripes="0"/>
  <extLst>
    <ext xmlns:x14="http://schemas.microsoft.com/office/spreadsheetml/2009/9/main" uri="{504A1905-F514-4f6f-8877-14C23A59335A}">
      <x14:table altTextSummary="Mesečno odstupanje od troškova zaposlenih automatski se izračunava u ovoj tabeli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OdstupanjaOdKancelarijskihTroškova" displayName="OdstupanjaOdKancelarijskihTroškova" ref="B10:O19" totalsRowCount="1" headerRowDxfId="122" totalsRowDxfId="119" headerRowBorderDxfId="121" tableBorderDxfId="120" totalsRowBorderDxfId="118">
  <autoFilter ref="B10:O18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900-000001000000}" name="Kancelarijski troškovi" totalsRowLabel="Međuvrednost" dataDxfId="117" totalsRowDxfId="116"/>
    <tableColumn id="2" xr3:uid="{00000000-0010-0000-0900-000002000000}" name="Jan" totalsRowFunction="sum" dataDxfId="115" totalsRowDxfId="114">
      <calculatedColumnFormula>INDEX(PlaniraniKancelarijskiTroškovi[],MATCH(INDEX(OdstupanjaOdKancelarijskihTroškova[],ROW()-ROW(OdstupanjaOdKancelarijskihTroškova[[#Headers],[Jan]]),1),INDEX(PlaniraniKancelarijskiTroškovi[],,1),0),MATCH(OdstupanjaOdKancelarijskihTroškova[[#Headers],[Jan]],PlaniraniKancelarijskiTroškovi[#Headers],0))-INDEX(StvarniKancelarijskiTroškovi[],MATCH(INDEX(OdstupanjaOdKancelarijskihTroškova[],ROW()-ROW(OdstupanjaOdKancelarijskihTroškova[[#Headers],[Jan]]),1),INDEX(PlaniraniKancelarijskiTroškovi[],,1),0),MATCH(OdstupanjaOdKancelarijskihTroškova[[#Headers],[Jan]],StvarniKancelarijskiTroškovi[#Headers],0))</calculatedColumnFormula>
    </tableColumn>
    <tableColumn id="3" xr3:uid="{00000000-0010-0000-0900-000003000000}" name="Feb" totalsRowFunction="sum" dataDxfId="113" totalsRowDxfId="112">
      <calculatedColumnFormula>INDEX(PlaniraniKancelarijskiTroškovi[],MATCH(INDEX(OdstupanjaOdKancelarijskihTroškova[],ROW()-ROW(OdstupanjaOdKancelarijskihTroškova[[#Headers],[Feb]]),1),INDEX(PlaniraniKancelarijskiTroškovi[],,1),0),MATCH(OdstupanjaOdKancelarijskihTroškova[[#Headers],[Feb]],PlaniraniKancelarijskiTroškovi[#Headers],0))-INDEX(StvarniKancelarijskiTroškovi[],MATCH(INDEX(OdstupanjaOdKancelarijskihTroškova[],ROW()-ROW(OdstupanjaOdKancelarijskihTroškova[[#Headers],[Feb]]),1),INDEX(PlaniraniKancelarijskiTroškovi[],,1),0),MATCH(OdstupanjaOdKancelarijskihTroškova[[#Headers],[Feb]],StvarniKancelarijskiTroškovi[#Headers],0))</calculatedColumnFormula>
    </tableColumn>
    <tableColumn id="4" xr3:uid="{00000000-0010-0000-0900-000004000000}" name="Mar" totalsRowFunction="sum" dataDxfId="111" totalsRowDxfId="110">
      <calculatedColumnFormula>INDEX(PlaniraniKancelarijskiTroškovi[],MATCH(INDEX(OdstupanjaOdKancelarijskihTroškova[],ROW()-ROW(OdstupanjaOdKancelarijskihTroškova[[#Headers],[Mar]]),1),INDEX(PlaniraniKancelarijskiTroškovi[],,1),0),MATCH(OdstupanjaOdKancelarijskihTroškova[[#Headers],[Mar]],PlaniraniKancelarijskiTroškovi[#Headers],0))-INDEX(StvarniKancelarijskiTroškovi[],MATCH(INDEX(OdstupanjaOdKancelarijskihTroškova[],ROW()-ROW(OdstupanjaOdKancelarijskihTroškova[[#Headers],[Mar]]),1),INDEX(PlaniraniKancelarijskiTroškovi[],,1),0),MATCH(OdstupanjaOdKancelarijskihTroškova[[#Headers],[Mar]],StvarniKancelarijskiTroškovi[#Headers],0))</calculatedColumnFormula>
    </tableColumn>
    <tableColumn id="5" xr3:uid="{00000000-0010-0000-0900-000005000000}" name="Apr" totalsRowFunction="sum" dataDxfId="109" totalsRowDxfId="108">
      <calculatedColumnFormula>INDEX(PlaniraniKancelarijskiTroškovi[],MATCH(INDEX(OdstupanjaOdKancelarijskihTroškova[],ROW()-ROW(OdstupanjaOdKancelarijskihTroškova[[#Headers],[Apr]]),1),INDEX(PlaniraniKancelarijskiTroškovi[],,1),0),MATCH(OdstupanjaOdKancelarijskihTroškova[[#Headers],[Apr]],PlaniraniKancelarijskiTroškovi[#Headers],0))-INDEX(StvarniKancelarijskiTroškovi[],MATCH(INDEX(OdstupanjaOdKancelarijskihTroškova[],ROW()-ROW(OdstupanjaOdKancelarijskihTroškova[[#Headers],[Apr]]),1),INDEX(PlaniraniKancelarijskiTroškovi[],,1),0),MATCH(OdstupanjaOdKancelarijskihTroškova[[#Headers],[Apr]],StvarniKancelarijskiTroškovi[#Headers],0))</calculatedColumnFormula>
    </tableColumn>
    <tableColumn id="6" xr3:uid="{00000000-0010-0000-0900-000006000000}" name="maj" totalsRowFunction="sum" dataDxfId="107" totalsRowDxfId="106">
      <calculatedColumnFormula>INDEX(PlaniraniKancelarijskiTroškovi[],MATCH(INDEX(OdstupanjaOdKancelarijskihTroškova[],ROW()-ROW(OdstupanjaOdKancelarijskihTroškova[[#Headers],[maj]]),1),INDEX(PlaniraniKancelarijskiTroškovi[],,1),0),MATCH(OdstupanjaOdKancelarijskihTroškova[[#Headers],[maj]],PlaniraniKancelarijskiTroškovi[#Headers],0))-INDEX(StvarniKancelarijskiTroškovi[],MATCH(INDEX(OdstupanjaOdKancelarijskihTroškova[],ROW()-ROW(OdstupanjaOdKancelarijskihTroškova[[#Headers],[maj]]),1),INDEX(PlaniraniKancelarijskiTroškovi[],,1),0),MATCH(OdstupanjaOdKancelarijskihTroškova[[#Headers],[maj]],StvarniKancelarijskiTroškovi[#Headers],0))</calculatedColumnFormula>
    </tableColumn>
    <tableColumn id="7" xr3:uid="{00000000-0010-0000-0900-000007000000}" name="jun" totalsRowFunction="sum" dataDxfId="105" totalsRowDxfId="104">
      <calculatedColumnFormula>INDEX(PlaniraniKancelarijskiTroškovi[],MATCH(INDEX(OdstupanjaOdKancelarijskihTroškova[],ROW()-ROW(OdstupanjaOdKancelarijskihTroškova[[#Headers],[jun]]),1),INDEX(PlaniraniKancelarijskiTroškovi[],,1),0),MATCH(OdstupanjaOdKancelarijskihTroškova[[#Headers],[jun]],PlaniraniKancelarijskiTroškovi[#Headers],0))-INDEX(StvarniKancelarijskiTroškovi[],MATCH(INDEX(OdstupanjaOdKancelarijskihTroškova[],ROW()-ROW(OdstupanjaOdKancelarijskihTroškova[[#Headers],[jun]]),1),INDEX(PlaniraniKancelarijskiTroškovi[],,1),0),MATCH(OdstupanjaOdKancelarijskihTroškova[[#Headers],[jun]],StvarniKancelarijskiTroškovi[#Headers],0))</calculatedColumnFormula>
    </tableColumn>
    <tableColumn id="8" xr3:uid="{00000000-0010-0000-0900-000008000000}" name="jul" totalsRowFunction="sum" dataDxfId="103" totalsRowDxfId="102">
      <calculatedColumnFormula>INDEX(PlaniraniKancelarijskiTroškovi[],MATCH(INDEX(OdstupanjaOdKancelarijskihTroškova[],ROW()-ROW(OdstupanjaOdKancelarijskihTroškova[[#Headers],[jul]]),1),INDEX(PlaniraniKancelarijskiTroškovi[],,1),0),MATCH(OdstupanjaOdKancelarijskihTroškova[[#Headers],[jul]],PlaniraniKancelarijskiTroškovi[#Headers],0))-INDEX(StvarniKancelarijskiTroškovi[],MATCH(INDEX(OdstupanjaOdKancelarijskihTroškova[],ROW()-ROW(OdstupanjaOdKancelarijskihTroškova[[#Headers],[jul]]),1),INDEX(PlaniraniKancelarijskiTroškovi[],,1),0),MATCH(OdstupanjaOdKancelarijskihTroškova[[#Headers],[jul]],StvarniKancelarijskiTroškovi[#Headers],0))</calculatedColumnFormula>
    </tableColumn>
    <tableColumn id="9" xr3:uid="{00000000-0010-0000-0900-000009000000}" name="avg" totalsRowFunction="sum" dataDxfId="101" totalsRowDxfId="100">
      <calculatedColumnFormula>INDEX(PlaniraniKancelarijskiTroškovi[],MATCH(INDEX(OdstupanjaOdKancelarijskihTroškova[],ROW()-ROW(OdstupanjaOdKancelarijskihTroškova[[#Headers],[avg]]),1),INDEX(PlaniraniKancelarijskiTroškovi[],,1),0),MATCH(OdstupanjaOdKancelarijskihTroškova[[#Headers],[avg]],PlaniraniKancelarijskiTroškovi[#Headers],0))-INDEX(StvarniKancelarijskiTroškovi[],MATCH(INDEX(OdstupanjaOdKancelarijskihTroškova[],ROW()-ROW(OdstupanjaOdKancelarijskihTroškova[[#Headers],[avg]]),1),INDEX(PlaniraniKancelarijskiTroškovi[],,1),0),MATCH(OdstupanjaOdKancelarijskihTroškova[[#Headers],[avg]],StvarniKancelarijskiTroškovi[#Headers],0))</calculatedColumnFormula>
    </tableColumn>
    <tableColumn id="10" xr3:uid="{00000000-0010-0000-0900-00000A000000}" name="sep" totalsRowFunction="sum" dataDxfId="99" totalsRowDxfId="98">
      <calculatedColumnFormula>INDEX(PlaniraniKancelarijskiTroškovi[],MATCH(INDEX(OdstupanjaOdKancelarijskihTroškova[],ROW()-ROW(OdstupanjaOdKancelarijskihTroškova[[#Headers],[sep]]),1),INDEX(PlaniraniKancelarijskiTroškovi[],,1),0),MATCH(OdstupanjaOdKancelarijskihTroškova[[#Headers],[sep]],PlaniraniKancelarijskiTroškovi[#Headers],0))-INDEX(StvarniKancelarijskiTroškovi[],MATCH(INDEX(OdstupanjaOdKancelarijskihTroškova[],ROW()-ROW(OdstupanjaOdKancelarijskihTroškova[[#Headers],[sep]]),1),INDEX(PlaniraniKancelarijskiTroškovi[],,1),0),MATCH(OdstupanjaOdKancelarijskihTroškova[[#Headers],[sep]],StvarniKancelarijskiTroškovi[#Headers],0))</calculatedColumnFormula>
    </tableColumn>
    <tableColumn id="11" xr3:uid="{00000000-0010-0000-0900-00000B000000}" name="Okt" totalsRowFunction="sum" dataDxfId="97" totalsRowDxfId="96">
      <calculatedColumnFormula>INDEX(PlaniraniKancelarijskiTroškovi[],MATCH(INDEX(OdstupanjaOdKancelarijskihTroškova[],ROW()-ROW(OdstupanjaOdKancelarijskihTroškova[[#Headers],[Okt]]),1),INDEX(PlaniraniKancelarijskiTroškovi[],,1),0),MATCH(OdstupanjaOdKancelarijskihTroškova[[#Headers],[Okt]],PlaniraniKancelarijskiTroškovi[#Headers],0))-INDEX(StvarniKancelarijskiTroškovi[],MATCH(INDEX(OdstupanjaOdKancelarijskihTroškova[],ROW()-ROW(OdstupanjaOdKancelarijskihTroškova[[#Headers],[Okt]]),1),INDEX(PlaniraniKancelarijskiTroškovi[],,1),0),MATCH(OdstupanjaOdKancelarijskihTroškova[[#Headers],[Okt]],StvarniKancelarijskiTroškovi[#Headers],0))</calculatedColumnFormula>
    </tableColumn>
    <tableColumn id="12" xr3:uid="{00000000-0010-0000-0900-00000C000000}" name="Nov" totalsRowFunction="sum" dataDxfId="95" totalsRowDxfId="94">
      <calculatedColumnFormula>INDEX(PlaniraniKancelarijskiTroškovi[],MATCH(INDEX(OdstupanjaOdKancelarijskihTroškova[],ROW()-ROW(OdstupanjaOdKancelarijskihTroškova[[#Headers],[Nov]]),1),INDEX(PlaniraniKancelarijskiTroškovi[],,1),0),MATCH(OdstupanjaOdKancelarijskihTroškova[[#Headers],[Nov]],PlaniraniKancelarijskiTroškovi[#Headers],0))-INDEX(StvarniKancelarijskiTroškovi[],MATCH(INDEX(OdstupanjaOdKancelarijskihTroškova[],ROW()-ROW(OdstupanjaOdKancelarijskihTroškova[[#Headers],[Nov]]),1),INDEX(PlaniraniKancelarijskiTroškovi[],,1),0),MATCH(OdstupanjaOdKancelarijskihTroškova[[#Headers],[Nov]],StvarniKancelarijskiTroškovi[#Headers],0))</calculatedColumnFormula>
    </tableColumn>
    <tableColumn id="13" xr3:uid="{00000000-0010-0000-0900-00000D000000}" name="Dec" totalsRowFunction="sum" dataDxfId="93" totalsRowDxfId="92">
      <calculatedColumnFormula>INDEX(PlaniraniKancelarijskiTroškovi[],MATCH(INDEX(OdstupanjaOdKancelarijskihTroškova[],ROW()-ROW(OdstupanjaOdKancelarijskihTroškova[[#Headers],[Dec]]),1),INDEX(PlaniraniKancelarijskiTroškovi[],,1),0),MATCH(OdstupanjaOdKancelarijskihTroškova[[#Headers],[Dec]],PlaniraniKancelarijskiTroškovi[#Headers],0))-INDEX(StvarniKancelarijskiTroškovi[],MATCH(INDEX(OdstupanjaOdKancelarijskihTroškova[],ROW()-ROW(OdstupanjaOdKancelarijskihTroškova[[#Headers],[Dec]]),1),INDEX(PlaniraniKancelarijskiTroškovi[],,1),0),MATCH(OdstupanjaOdKancelarijskihTroškova[[#Headers],[Dec]],StvarniKancelarijskiTroškovi[#Headers],0))</calculatedColumnFormula>
    </tableColumn>
    <tableColumn id="14" xr3:uid="{00000000-0010-0000-0900-00000E000000}" name="GODINA" totalsRowFunction="sum" dataDxfId="91" totalsRowDxfId="90">
      <calculatedColumnFormula>SUM(OdstupanjaOdKancelarijskihTroškova[[#This Row],[Jan]:[Dec]])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Mesečno odstupanje od kancelarijskih troškova automatski se izračunava u ovoj tabeli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OdstupanjaOdTroškovaMarketinga" displayName="OdstupanjaOdTroškovaMarketinga" ref="B21:O28" totalsRowCount="1" headerRowDxfId="89" totalsRowDxfId="86" headerRowBorderDxfId="88" tableBorderDxfId="87" totalsRowBorderDxfId="85">
  <autoFilter ref="B21:O27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A00-000001000000}" name="Troškovi marketinga" totalsRowLabel="Međuvrednost" dataDxfId="84" totalsRowDxfId="83"/>
    <tableColumn id="2" xr3:uid="{00000000-0010-0000-0A00-000002000000}" name="Jan" totalsRowFunction="sum" dataDxfId="82" totalsRowDxfId="81">
      <calculatedColumnFormula>INDEX(PlaniraniTroškoviMarketinga[],MATCH(INDEX(OdstupanjaOdTroškovaMarketinga[],ROW()-ROW(OdstupanjaOdTroškovaMarketinga[[#Headers],[Jan]]),1),INDEX(PlaniraniTroškoviMarketinga[],,1),0),MATCH(OdstupanjaOdTroškovaMarketinga[[#Headers],[Jan]],PlaniraniTroškoviMarketinga[#Headers],0))-INDEX(StvarniTroškoviMarketinga[],MATCH(INDEX(OdstupanjaOdTroškovaMarketinga[],ROW()-ROW(OdstupanjaOdTroškovaMarketinga[[#Headers],[Jan]]),1),INDEX(PlaniraniTroškoviMarketinga[],,1),0),MATCH(OdstupanjaOdTroškovaMarketinga[[#Headers],[Jan]],StvarniTroškoviMarketinga[#Headers],0))</calculatedColumnFormula>
    </tableColumn>
    <tableColumn id="3" xr3:uid="{00000000-0010-0000-0A00-000003000000}" name="Feb" totalsRowFunction="sum" dataDxfId="80" totalsRowDxfId="79">
      <calculatedColumnFormula>INDEX(PlaniraniTroškoviMarketinga[],MATCH(INDEX(OdstupanjaOdTroškovaMarketinga[],ROW()-ROW(OdstupanjaOdTroškovaMarketinga[[#Headers],[Feb]]),1),INDEX(PlaniraniTroškoviMarketinga[],,1),0),MATCH(OdstupanjaOdTroškovaMarketinga[[#Headers],[Feb]],PlaniraniTroškoviMarketinga[#Headers],0))-INDEX(StvarniTroškoviMarketinga[],MATCH(INDEX(OdstupanjaOdTroškovaMarketinga[],ROW()-ROW(OdstupanjaOdTroškovaMarketinga[[#Headers],[Feb]]),1),INDEX(PlaniraniTroškoviMarketinga[],,1),0),MATCH(OdstupanjaOdTroškovaMarketinga[[#Headers],[Feb]],StvarniTroškoviMarketinga[#Headers],0))</calculatedColumnFormula>
    </tableColumn>
    <tableColumn id="4" xr3:uid="{00000000-0010-0000-0A00-000004000000}" name="Mar" totalsRowFunction="sum" dataDxfId="78" totalsRowDxfId="77">
      <calculatedColumnFormula>INDEX(PlaniraniTroškoviMarketinga[],MATCH(INDEX(OdstupanjaOdTroškovaMarketinga[],ROW()-ROW(OdstupanjaOdTroškovaMarketinga[[#Headers],[Mar]]),1),INDEX(PlaniraniTroškoviMarketinga[],,1),0),MATCH(OdstupanjaOdTroškovaMarketinga[[#Headers],[Mar]],PlaniraniTroškoviMarketinga[#Headers],0))-INDEX(StvarniTroškoviMarketinga[],MATCH(INDEX(OdstupanjaOdTroškovaMarketinga[],ROW()-ROW(OdstupanjaOdTroškovaMarketinga[[#Headers],[Mar]]),1),INDEX(PlaniraniTroškoviMarketinga[],,1),0),MATCH(OdstupanjaOdTroškovaMarketinga[[#Headers],[Mar]],StvarniTroškoviMarketinga[#Headers],0))</calculatedColumnFormula>
    </tableColumn>
    <tableColumn id="5" xr3:uid="{00000000-0010-0000-0A00-000005000000}" name="Apr" totalsRowFunction="sum" dataDxfId="76" totalsRowDxfId="75">
      <calculatedColumnFormula>INDEX(PlaniraniTroškoviMarketinga[],MATCH(INDEX(OdstupanjaOdTroškovaMarketinga[],ROW()-ROW(OdstupanjaOdTroškovaMarketinga[[#Headers],[Apr]]),1),INDEX(PlaniraniTroškoviMarketinga[],,1),0),MATCH(OdstupanjaOdTroškovaMarketinga[[#Headers],[Apr]],PlaniraniTroškoviMarketinga[#Headers],0))-INDEX(StvarniTroškoviMarketinga[],MATCH(INDEX(OdstupanjaOdTroškovaMarketinga[],ROW()-ROW(OdstupanjaOdTroškovaMarketinga[[#Headers],[Apr]]),1),INDEX(PlaniraniTroškoviMarketinga[],,1),0),MATCH(OdstupanjaOdTroškovaMarketinga[[#Headers],[Apr]],StvarniTroškoviMarketinga[#Headers],0))</calculatedColumnFormula>
    </tableColumn>
    <tableColumn id="6" xr3:uid="{00000000-0010-0000-0A00-000006000000}" name="maj" totalsRowFunction="sum" dataDxfId="74" totalsRowDxfId="73">
      <calculatedColumnFormula>INDEX(PlaniraniTroškoviMarketinga[],MATCH(INDEX(OdstupanjaOdTroškovaMarketinga[],ROW()-ROW(OdstupanjaOdTroškovaMarketinga[[#Headers],[maj]]),1),INDEX(PlaniraniTroškoviMarketinga[],,1),0),MATCH(OdstupanjaOdTroškovaMarketinga[[#Headers],[maj]],PlaniraniTroškoviMarketinga[#Headers],0))-INDEX(StvarniTroškoviMarketinga[],MATCH(INDEX(OdstupanjaOdTroškovaMarketinga[],ROW()-ROW(OdstupanjaOdTroškovaMarketinga[[#Headers],[maj]]),1),INDEX(PlaniraniTroškoviMarketinga[],,1),0),MATCH(OdstupanjaOdTroškovaMarketinga[[#Headers],[maj]],StvarniTroškoviMarketinga[#Headers],0))</calculatedColumnFormula>
    </tableColumn>
    <tableColumn id="7" xr3:uid="{00000000-0010-0000-0A00-000007000000}" name="jun" totalsRowFunction="sum" dataDxfId="72" totalsRowDxfId="71">
      <calculatedColumnFormula>INDEX(PlaniraniTroškoviMarketinga[],MATCH(INDEX(OdstupanjaOdTroškovaMarketinga[],ROW()-ROW(OdstupanjaOdTroškovaMarketinga[[#Headers],[jun]]),1),INDEX(PlaniraniTroškoviMarketinga[],,1),0),MATCH(OdstupanjaOdTroškovaMarketinga[[#Headers],[jun]],PlaniraniTroškoviMarketinga[#Headers],0))-INDEX(StvarniTroškoviMarketinga[],MATCH(INDEX(OdstupanjaOdTroškovaMarketinga[],ROW()-ROW(OdstupanjaOdTroškovaMarketinga[[#Headers],[jun]]),1),INDEX(PlaniraniTroškoviMarketinga[],,1),0),MATCH(OdstupanjaOdTroškovaMarketinga[[#Headers],[jun]],StvarniTroškoviMarketinga[#Headers],0))</calculatedColumnFormula>
    </tableColumn>
    <tableColumn id="8" xr3:uid="{00000000-0010-0000-0A00-000008000000}" name="jul" totalsRowFunction="sum" dataDxfId="70" totalsRowDxfId="69">
      <calculatedColumnFormula>INDEX(PlaniraniTroškoviMarketinga[],MATCH(INDEX(OdstupanjaOdTroškovaMarketinga[],ROW()-ROW(OdstupanjaOdTroškovaMarketinga[[#Headers],[jul]]),1),INDEX(PlaniraniTroškoviMarketinga[],,1),0),MATCH(OdstupanjaOdTroškovaMarketinga[[#Headers],[jul]],PlaniraniTroškoviMarketinga[#Headers],0))-INDEX(StvarniTroškoviMarketinga[],MATCH(INDEX(OdstupanjaOdTroškovaMarketinga[],ROW()-ROW(OdstupanjaOdTroškovaMarketinga[[#Headers],[jul]]),1),INDEX(PlaniraniTroškoviMarketinga[],,1),0),MATCH(OdstupanjaOdTroškovaMarketinga[[#Headers],[jul]],StvarniTroškoviMarketinga[#Headers],0))</calculatedColumnFormula>
    </tableColumn>
    <tableColumn id="9" xr3:uid="{00000000-0010-0000-0A00-000009000000}" name="avg" totalsRowFunction="sum" dataDxfId="68" totalsRowDxfId="67">
      <calculatedColumnFormula>INDEX(PlaniraniTroškoviMarketinga[],MATCH(INDEX(OdstupanjaOdTroškovaMarketinga[],ROW()-ROW(OdstupanjaOdTroškovaMarketinga[[#Headers],[avg]]),1),INDEX(PlaniraniTroškoviMarketinga[],,1),0),MATCH(OdstupanjaOdTroškovaMarketinga[[#Headers],[avg]],PlaniraniTroškoviMarketinga[#Headers],0))-INDEX(StvarniTroškoviMarketinga[],MATCH(INDEX(OdstupanjaOdTroškovaMarketinga[],ROW()-ROW(OdstupanjaOdTroškovaMarketinga[[#Headers],[avg]]),1),INDEX(PlaniraniTroškoviMarketinga[],,1),0),MATCH(OdstupanjaOdTroškovaMarketinga[[#Headers],[avg]],StvarniTroškoviMarketinga[#Headers],0))</calculatedColumnFormula>
    </tableColumn>
    <tableColumn id="10" xr3:uid="{00000000-0010-0000-0A00-00000A000000}" name="sep" totalsRowFunction="sum" dataDxfId="66" totalsRowDxfId="65">
      <calculatedColumnFormula>INDEX(PlaniraniTroškoviMarketinga[],MATCH(INDEX(OdstupanjaOdTroškovaMarketinga[],ROW()-ROW(OdstupanjaOdTroškovaMarketinga[[#Headers],[sep]]),1),INDEX(PlaniraniTroškoviMarketinga[],,1),0),MATCH(OdstupanjaOdTroškovaMarketinga[[#Headers],[sep]],PlaniraniTroškoviMarketinga[#Headers],0))-INDEX(StvarniTroškoviMarketinga[],MATCH(INDEX(OdstupanjaOdTroškovaMarketinga[],ROW()-ROW(OdstupanjaOdTroškovaMarketinga[[#Headers],[sep]]),1),INDEX(PlaniraniTroškoviMarketinga[],,1),0),MATCH(OdstupanjaOdTroškovaMarketinga[[#Headers],[sep]],StvarniTroškoviMarketinga[#Headers],0))</calculatedColumnFormula>
    </tableColumn>
    <tableColumn id="11" xr3:uid="{00000000-0010-0000-0A00-00000B000000}" name="Okt" totalsRowFunction="sum" dataDxfId="64" totalsRowDxfId="63">
      <calculatedColumnFormula>INDEX(PlaniraniTroškoviMarketinga[],MATCH(INDEX(OdstupanjaOdTroškovaMarketinga[],ROW()-ROW(OdstupanjaOdTroškovaMarketinga[[#Headers],[Okt]]),1),INDEX(PlaniraniTroškoviMarketinga[],,1),0),MATCH(OdstupanjaOdTroškovaMarketinga[[#Headers],[Okt]],PlaniraniTroškoviMarketinga[#Headers],0))-INDEX(StvarniTroškoviMarketinga[],MATCH(INDEX(OdstupanjaOdTroškovaMarketinga[],ROW()-ROW(OdstupanjaOdTroškovaMarketinga[[#Headers],[Okt]]),1),INDEX(PlaniraniTroškoviMarketinga[],,1),0),MATCH(OdstupanjaOdTroškovaMarketinga[[#Headers],[Okt]],StvarniTroškoviMarketinga[#Headers],0))</calculatedColumnFormula>
    </tableColumn>
    <tableColumn id="12" xr3:uid="{00000000-0010-0000-0A00-00000C000000}" name="Nov" totalsRowFunction="sum" dataDxfId="62" totalsRowDxfId="61">
      <calculatedColumnFormula>INDEX(PlaniraniTroškoviMarketinga[],MATCH(INDEX(OdstupanjaOdTroškovaMarketinga[],ROW()-ROW(OdstupanjaOdTroškovaMarketinga[[#Headers],[Nov]]),1),INDEX(PlaniraniTroškoviMarketinga[],,1),0),MATCH(OdstupanjaOdTroškovaMarketinga[[#Headers],[Nov]],PlaniraniTroškoviMarketinga[#Headers],0))-INDEX(StvarniTroškoviMarketinga[],MATCH(INDEX(OdstupanjaOdTroškovaMarketinga[],ROW()-ROW(OdstupanjaOdTroškovaMarketinga[[#Headers],[Nov]]),1),INDEX(PlaniraniTroškoviMarketinga[],,1),0),MATCH(OdstupanjaOdTroškovaMarketinga[[#Headers],[Nov]],StvarniTroškoviMarketinga[#Headers],0))</calculatedColumnFormula>
    </tableColumn>
    <tableColumn id="13" xr3:uid="{00000000-0010-0000-0A00-00000D000000}" name="Dec" totalsRowFunction="sum" dataDxfId="60" totalsRowDxfId="59">
      <calculatedColumnFormula>INDEX(PlaniraniTroškoviMarketinga[],MATCH(INDEX(OdstupanjaOdTroškovaMarketinga[],ROW()-ROW(OdstupanjaOdTroškovaMarketinga[[#Headers],[Dec]]),1),INDEX(PlaniraniTroškoviMarketinga[],,1),0),MATCH(OdstupanjaOdTroškovaMarketinga[[#Headers],[Dec]],PlaniraniTroškoviMarketinga[#Headers],0))-INDEX(StvarniTroškoviMarketinga[],MATCH(INDEX(OdstupanjaOdTroškovaMarketinga[],ROW()-ROW(OdstupanjaOdTroškovaMarketinga[[#Headers],[Dec]]),1),INDEX(PlaniraniTroškoviMarketinga[],,1),0),MATCH(OdstupanjaOdTroškovaMarketinga[[#Headers],[Dec]],StvarniTroškoviMarketinga[#Headers],0))</calculatedColumnFormula>
    </tableColumn>
    <tableColumn id="14" xr3:uid="{00000000-0010-0000-0A00-00000E000000}" name="GODINA" totalsRowFunction="sum" dataDxfId="58" totalsRowDxfId="57">
      <calculatedColumnFormula>SUM(OdstupanjaOdTroškovaMarketinga[[#This Row],[Jan]:[Dec]])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Mesečno odstupanje od troškova marketinga automatski se izračunava u ovoj tabeli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OdstupanjaOdTroškovaObukeIPutnihTroškova" displayName="OdstupanjaOdTroškovaObukeIPutnihTroškova" ref="B30:O33" totalsRowCount="1" headerRowDxfId="56" totalsRowDxfId="53" headerRowBorderDxfId="55" tableBorderDxfId="54" totalsRowBorderDxfId="52">
  <autoFilter ref="B30:O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B00-000001000000}" name="Obuka/putovanje" totalsRowLabel="Međuvrednost" dataDxfId="51" totalsRowDxfId="50"/>
    <tableColumn id="2" xr3:uid="{00000000-0010-0000-0B00-000002000000}" name="Jan" totalsRowFunction="sum" dataDxfId="49" totalsRowDxfId="48">
      <calculatedColumnFormula>INDEX(PlaniraniTroškoviObukeIPutniTroškovi[],MATCH(INDEX(OdstupanjaOdTroškovaObukeIPutnihTroškova[],ROW()-ROW(OdstupanjaOdTroškovaObukeIPutnihTroškova[[#Headers],[Jan]]),1),INDEX(PlaniraniTroškoviObukeIPutniTroškovi[],,1),0),MATCH(OdstupanjaOdTroškovaObukeIPutnihTroškova[[#Headers],[Jan]],PlaniraniTroškoviObukeIPutniTroškovi[#Headers],0))-INDEX(StvarniTroškoviObukeIPutniTroškovi[],MATCH(INDEX(OdstupanjaOdTroškovaObukeIPutnihTroškova[],ROW()-ROW(OdstupanjaOdTroškovaObukeIPutnihTroškova[[#Headers],[Jan]]),1),INDEX(PlaniraniTroškoviObukeIPutniTroškovi[],,1),0),MATCH(OdstupanjaOdTroškovaObukeIPutnihTroškova[[#Headers],[Jan]],StvarniTroškoviObukeIPutniTroškovi[#Headers],0))</calculatedColumnFormula>
    </tableColumn>
    <tableColumn id="3" xr3:uid="{00000000-0010-0000-0B00-000003000000}" name="Feb" totalsRowFunction="sum" dataDxfId="47" totalsRowDxfId="46">
      <calculatedColumnFormula>INDEX(PlaniraniTroškoviObukeIPutniTroškovi[],MATCH(INDEX(OdstupanjaOdTroškovaObukeIPutnihTroškova[],ROW()-ROW(OdstupanjaOdTroškovaObukeIPutnihTroškova[[#Headers],[Feb]]),1),INDEX(PlaniraniTroškoviObukeIPutniTroškovi[],,1),0),MATCH(OdstupanjaOdTroškovaObukeIPutnihTroškova[[#Headers],[Feb]],PlaniraniTroškoviObukeIPutniTroškovi[#Headers],0))-INDEX(StvarniTroškoviObukeIPutniTroškovi[],MATCH(INDEX(OdstupanjaOdTroškovaObukeIPutnihTroškova[],ROW()-ROW(OdstupanjaOdTroškovaObukeIPutnihTroškova[[#Headers],[Feb]]),1),INDEX(PlaniraniTroškoviObukeIPutniTroškovi[],,1),0),MATCH(OdstupanjaOdTroškovaObukeIPutnihTroškova[[#Headers],[Feb]],StvarniTroškoviObukeIPutniTroškovi[#Headers],0))</calculatedColumnFormula>
    </tableColumn>
    <tableColumn id="4" xr3:uid="{00000000-0010-0000-0B00-000004000000}" name="Mar" totalsRowFunction="sum" dataDxfId="45" totalsRowDxfId="44">
      <calculatedColumnFormula>INDEX(PlaniraniTroškoviObukeIPutniTroškovi[],MATCH(INDEX(OdstupanjaOdTroškovaObukeIPutnihTroškova[],ROW()-ROW(OdstupanjaOdTroškovaObukeIPutnihTroškova[[#Headers],[Mar]]),1),INDEX(PlaniraniTroškoviObukeIPutniTroškovi[],,1),0),MATCH(OdstupanjaOdTroškovaObukeIPutnihTroškova[[#Headers],[Mar]],PlaniraniTroškoviObukeIPutniTroškovi[#Headers],0))-INDEX(StvarniTroškoviObukeIPutniTroškovi[],MATCH(INDEX(OdstupanjaOdTroškovaObukeIPutnihTroškova[],ROW()-ROW(OdstupanjaOdTroškovaObukeIPutnihTroškova[[#Headers],[Mar]]),1),INDEX(PlaniraniTroškoviObukeIPutniTroškovi[],,1),0),MATCH(OdstupanjaOdTroškovaObukeIPutnihTroškova[[#Headers],[Mar]],StvarniTroškoviObukeIPutniTroškovi[#Headers],0))</calculatedColumnFormula>
    </tableColumn>
    <tableColumn id="5" xr3:uid="{00000000-0010-0000-0B00-000005000000}" name="Apr" totalsRowFunction="sum" dataDxfId="43" totalsRowDxfId="42">
      <calculatedColumnFormula>INDEX(PlaniraniTroškoviObukeIPutniTroškovi[],MATCH(INDEX(OdstupanjaOdTroškovaObukeIPutnihTroškova[],ROW()-ROW(OdstupanjaOdTroškovaObukeIPutnihTroškova[[#Headers],[Apr]]),1),INDEX(PlaniraniTroškoviObukeIPutniTroškovi[],,1),0),MATCH(OdstupanjaOdTroškovaObukeIPutnihTroškova[[#Headers],[Apr]],PlaniraniTroškoviObukeIPutniTroškovi[#Headers],0))-INDEX(StvarniTroškoviObukeIPutniTroškovi[],MATCH(INDEX(OdstupanjaOdTroškovaObukeIPutnihTroškova[],ROW()-ROW(OdstupanjaOdTroškovaObukeIPutnihTroškova[[#Headers],[Apr]]),1),INDEX(PlaniraniTroškoviObukeIPutniTroškovi[],,1),0),MATCH(OdstupanjaOdTroškovaObukeIPutnihTroškova[[#Headers],[Apr]],StvarniTroškoviObukeIPutniTroškovi[#Headers],0))</calculatedColumnFormula>
    </tableColumn>
    <tableColumn id="6" xr3:uid="{00000000-0010-0000-0B00-000006000000}" name="maj" totalsRowFunction="sum" dataDxfId="41" totalsRowDxfId="40">
      <calculatedColumnFormula>INDEX(PlaniraniTroškoviObukeIPutniTroškovi[],MATCH(INDEX(OdstupanjaOdTroškovaObukeIPutnihTroškova[],ROW()-ROW(OdstupanjaOdTroškovaObukeIPutnihTroškova[[#Headers],[maj]]),1),INDEX(PlaniraniTroškoviObukeIPutniTroškovi[],,1),0),MATCH(OdstupanjaOdTroškovaObukeIPutnihTroškova[[#Headers],[maj]],PlaniraniTroškoviObukeIPutniTroškovi[#Headers],0))-INDEX(StvarniTroškoviObukeIPutniTroškovi[],MATCH(INDEX(OdstupanjaOdTroškovaObukeIPutnihTroškova[],ROW()-ROW(OdstupanjaOdTroškovaObukeIPutnihTroškova[[#Headers],[maj]]),1),INDEX(PlaniraniTroškoviObukeIPutniTroškovi[],,1),0),MATCH(OdstupanjaOdTroškovaObukeIPutnihTroškova[[#Headers],[maj]],StvarniTroškoviObukeIPutniTroškovi[#Headers],0))</calculatedColumnFormula>
    </tableColumn>
    <tableColumn id="7" xr3:uid="{00000000-0010-0000-0B00-000007000000}" name="jun" totalsRowFunction="sum" dataDxfId="39" totalsRowDxfId="38">
      <calculatedColumnFormula>INDEX(PlaniraniTroškoviObukeIPutniTroškovi[],MATCH(INDEX(OdstupanjaOdTroškovaObukeIPutnihTroškova[],ROW()-ROW(OdstupanjaOdTroškovaObukeIPutnihTroškova[[#Headers],[jun]]),1),INDEX(PlaniraniTroškoviObukeIPutniTroškovi[],,1),0),MATCH(OdstupanjaOdTroškovaObukeIPutnihTroškova[[#Headers],[jun]],PlaniraniTroškoviObukeIPutniTroškovi[#Headers],0))-INDEX(StvarniTroškoviObukeIPutniTroškovi[],MATCH(INDEX(OdstupanjaOdTroškovaObukeIPutnihTroškova[],ROW()-ROW(OdstupanjaOdTroškovaObukeIPutnihTroškova[[#Headers],[jun]]),1),INDEX(PlaniraniTroškoviObukeIPutniTroškovi[],,1),0),MATCH(OdstupanjaOdTroškovaObukeIPutnihTroškova[[#Headers],[jun]],StvarniTroškoviObukeIPutniTroškovi[#Headers],0))</calculatedColumnFormula>
    </tableColumn>
    <tableColumn id="8" xr3:uid="{00000000-0010-0000-0B00-000008000000}" name="jul" totalsRowFunction="sum" dataDxfId="37" totalsRowDxfId="36">
      <calculatedColumnFormula>INDEX(PlaniraniTroškoviObukeIPutniTroškovi[],MATCH(INDEX(OdstupanjaOdTroškovaObukeIPutnihTroškova[],ROW()-ROW(OdstupanjaOdTroškovaObukeIPutnihTroškova[[#Headers],[jul]]),1),INDEX(PlaniraniTroškoviObukeIPutniTroškovi[],,1),0),MATCH(OdstupanjaOdTroškovaObukeIPutnihTroškova[[#Headers],[jul]],PlaniraniTroškoviObukeIPutniTroškovi[#Headers],0))-INDEX(StvarniTroškoviObukeIPutniTroškovi[],MATCH(INDEX(OdstupanjaOdTroškovaObukeIPutnihTroškova[],ROW()-ROW(OdstupanjaOdTroškovaObukeIPutnihTroškova[[#Headers],[jul]]),1),INDEX(PlaniraniTroškoviObukeIPutniTroškovi[],,1),0),MATCH(OdstupanjaOdTroškovaObukeIPutnihTroškova[[#Headers],[jul]],StvarniTroškoviObukeIPutniTroškovi[#Headers],0))</calculatedColumnFormula>
    </tableColumn>
    <tableColumn id="9" xr3:uid="{00000000-0010-0000-0B00-000009000000}" name="avg" totalsRowFunction="sum" dataDxfId="35" totalsRowDxfId="34">
      <calculatedColumnFormula>INDEX(PlaniraniTroškoviObukeIPutniTroškovi[],MATCH(INDEX(OdstupanjaOdTroškovaObukeIPutnihTroškova[],ROW()-ROW(OdstupanjaOdTroškovaObukeIPutnihTroškova[[#Headers],[avg]]),1),INDEX(PlaniraniTroškoviObukeIPutniTroškovi[],,1),0),MATCH(OdstupanjaOdTroškovaObukeIPutnihTroškova[[#Headers],[avg]],PlaniraniTroškoviObukeIPutniTroškovi[#Headers],0))-INDEX(StvarniTroškoviObukeIPutniTroškovi[],MATCH(INDEX(OdstupanjaOdTroškovaObukeIPutnihTroškova[],ROW()-ROW(OdstupanjaOdTroškovaObukeIPutnihTroškova[[#Headers],[avg]]),1),INDEX(PlaniraniTroškoviObukeIPutniTroškovi[],,1),0),MATCH(OdstupanjaOdTroškovaObukeIPutnihTroškova[[#Headers],[avg]],StvarniTroškoviObukeIPutniTroškovi[#Headers],0))</calculatedColumnFormula>
    </tableColumn>
    <tableColumn id="10" xr3:uid="{00000000-0010-0000-0B00-00000A000000}" name="sep" totalsRowFunction="sum" dataDxfId="33" totalsRowDxfId="32">
      <calculatedColumnFormula>INDEX(PlaniraniTroškoviObukeIPutniTroškovi[],MATCH(INDEX(OdstupanjaOdTroškovaObukeIPutnihTroškova[],ROW()-ROW(OdstupanjaOdTroškovaObukeIPutnihTroškova[[#Headers],[sep]]),1),INDEX(PlaniraniTroškoviObukeIPutniTroškovi[],,1),0),MATCH(OdstupanjaOdTroškovaObukeIPutnihTroškova[[#Headers],[sep]],PlaniraniTroškoviObukeIPutniTroškovi[#Headers],0))-INDEX(StvarniTroškoviObukeIPutniTroškovi[],MATCH(INDEX(OdstupanjaOdTroškovaObukeIPutnihTroškova[],ROW()-ROW(OdstupanjaOdTroškovaObukeIPutnihTroškova[[#Headers],[sep]]),1),INDEX(PlaniraniTroškoviObukeIPutniTroškovi[],,1),0),MATCH(OdstupanjaOdTroškovaObukeIPutnihTroškova[[#Headers],[sep]],StvarniTroškoviObukeIPutniTroškovi[#Headers],0))</calculatedColumnFormula>
    </tableColumn>
    <tableColumn id="11" xr3:uid="{00000000-0010-0000-0B00-00000B000000}" name="Okt" totalsRowFunction="sum" dataDxfId="31" totalsRowDxfId="30">
      <calculatedColumnFormula>INDEX(PlaniraniTroškoviObukeIPutniTroškovi[],MATCH(INDEX(OdstupanjaOdTroškovaObukeIPutnihTroškova[],ROW()-ROW(OdstupanjaOdTroškovaObukeIPutnihTroškova[[#Headers],[Okt]]),1),INDEX(PlaniraniTroškoviObukeIPutniTroškovi[],,1),0),MATCH(OdstupanjaOdTroškovaObukeIPutnihTroškova[[#Headers],[Okt]],PlaniraniTroškoviObukeIPutniTroškovi[#Headers],0))-INDEX(StvarniTroškoviObukeIPutniTroškovi[],MATCH(INDEX(OdstupanjaOdTroškovaObukeIPutnihTroškova[],ROW()-ROW(OdstupanjaOdTroškovaObukeIPutnihTroškova[[#Headers],[Okt]]),1),INDEX(PlaniraniTroškoviObukeIPutniTroškovi[],,1),0),MATCH(OdstupanjaOdTroškovaObukeIPutnihTroškova[[#Headers],[Okt]],StvarniTroškoviObukeIPutniTroškovi[#Headers],0))</calculatedColumnFormula>
    </tableColumn>
    <tableColumn id="12" xr3:uid="{00000000-0010-0000-0B00-00000C000000}" name="Nov" totalsRowFunction="sum" dataDxfId="29" totalsRowDxfId="28">
      <calculatedColumnFormula>INDEX(PlaniraniTroškoviObukeIPutniTroškovi[],MATCH(INDEX(OdstupanjaOdTroškovaObukeIPutnihTroškova[],ROW()-ROW(OdstupanjaOdTroškovaObukeIPutnihTroškova[[#Headers],[Nov]]),1),INDEX(PlaniraniTroškoviObukeIPutniTroškovi[],,1),0),MATCH(OdstupanjaOdTroškovaObukeIPutnihTroškova[[#Headers],[Nov]],PlaniraniTroškoviObukeIPutniTroškovi[#Headers],0))-INDEX(StvarniTroškoviObukeIPutniTroškovi[],MATCH(INDEX(OdstupanjaOdTroškovaObukeIPutnihTroškova[],ROW()-ROW(OdstupanjaOdTroškovaObukeIPutnihTroškova[[#Headers],[Nov]]),1),INDEX(PlaniraniTroškoviObukeIPutniTroškovi[],,1),0),MATCH(OdstupanjaOdTroškovaObukeIPutnihTroškova[[#Headers],[Nov]],StvarniTroškoviObukeIPutniTroškovi[#Headers],0))</calculatedColumnFormula>
    </tableColumn>
    <tableColumn id="13" xr3:uid="{00000000-0010-0000-0B00-00000D000000}" name="Dec" totalsRowFunction="sum" dataDxfId="27" totalsRowDxfId="26">
      <calculatedColumnFormula>INDEX(PlaniraniTroškoviObukeIPutniTroškovi[],MATCH(INDEX(OdstupanjaOdTroškovaObukeIPutnihTroškova[],ROW()-ROW(OdstupanjaOdTroškovaObukeIPutnihTroškova[[#Headers],[Dec]]),1),INDEX(PlaniraniTroškoviObukeIPutniTroškovi[],,1),0),MATCH(OdstupanjaOdTroškovaObukeIPutnihTroškova[[#Headers],[Dec]],PlaniraniTroškoviObukeIPutniTroškovi[#Headers],0))-INDEX(StvarniTroškoviObukeIPutniTroškovi[],MATCH(INDEX(OdstupanjaOdTroškovaObukeIPutnihTroškova[],ROW()-ROW(OdstupanjaOdTroškovaObukeIPutnihTroškova[[#Headers],[Dec]]),1),INDEX(PlaniraniTroškoviObukeIPutniTroškovi[],,1),0),MATCH(OdstupanjaOdTroškovaObukeIPutnihTroškova[[#Headers],[Dec]],StvarniTroškoviObukeIPutniTroškovi[#Headers],0))</calculatedColumnFormula>
    </tableColumn>
    <tableColumn id="14" xr3:uid="{00000000-0010-0000-0B00-00000E000000}" name="GODINA" totalsRowFunction="sum" dataDxfId="25" totalsRowDxfId="24">
      <calculatedColumnFormula>SUM(OdstupanjaOdTroškovaObukeIPutnihTroškova[[#This Row],[Jan]:[Dec]])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Mesečno odstupanje od troškova obuke i putnih troškova automatski se izračunava u ovoj tabeli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D450248-DB77-46F5-B207-E715DE10D029}" name="UkupnaOdstupanja" displayName="UkupnaOdstupanja" ref="B35:O37" totalsRowShown="0" headerRowDxfId="23" dataDxfId="22" tableBorderDxfId="21">
  <autoFilter ref="B35:O37" xr:uid="{B407F9FC-1AB0-4A37-B2B1-EDE36CD997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CA1B301-8171-4BDA-9269-D51F18A1CE72}" name="UKUPNE VREDNOSTI" dataDxfId="20"/>
    <tableColumn id="2" xr3:uid="{AE0C21A5-398B-42DE-950D-8AE4AD1A8551}" name="jan" dataDxfId="19">
      <calculatedColumnFormula>SUM($C35:C$36)</calculatedColumnFormula>
    </tableColumn>
    <tableColumn id="3" xr3:uid="{A43B0B0E-F35F-4E04-8A0D-11BB7356D5F1}" name="feb" dataDxfId="18">
      <calculatedColumnFormula>SUM($C35:D$36)</calculatedColumnFormula>
    </tableColumn>
    <tableColumn id="4" xr3:uid="{F14459A4-8E61-4E04-9A53-A7DA16CE366A}" name="mar" dataDxfId="17">
      <calculatedColumnFormula>SUM($C35:E$36)</calculatedColumnFormula>
    </tableColumn>
    <tableColumn id="5" xr3:uid="{1C90C974-8801-4A11-B3AF-1DC144BB0C14}" name="apr" dataDxfId="16">
      <calculatedColumnFormula>SUM($C35:F$36)</calculatedColumnFormula>
    </tableColumn>
    <tableColumn id="6" xr3:uid="{C8E3F4F6-5F27-4CC7-9916-6D86833782C1}" name="maj" dataDxfId="15">
      <calculatedColumnFormula>SUM($C35:G$36)</calculatedColumnFormula>
    </tableColumn>
    <tableColumn id="7" xr3:uid="{AF75D92B-7578-4087-BB78-DD5AD8165117}" name="jun" dataDxfId="14">
      <calculatedColumnFormula>SUM($C35:H$36)</calculatedColumnFormula>
    </tableColumn>
    <tableColumn id="8" xr3:uid="{35F61ABA-09FB-4695-B0F5-A2C6B6580A2E}" name="jul" dataDxfId="13">
      <calculatedColumnFormula>SUM($C35:I$36)</calculatedColumnFormula>
    </tableColumn>
    <tableColumn id="9" xr3:uid="{59F62437-45DC-439F-945A-D0E79C444E8E}" name="avg" dataDxfId="12">
      <calculatedColumnFormula>SUM($C35:J$36)</calculatedColumnFormula>
    </tableColumn>
    <tableColumn id="10" xr3:uid="{2BF9DCC5-B211-44A6-BD40-E91602CDA85C}" name="sep" dataDxfId="11">
      <calculatedColumnFormula>SUM($C35:K$36)</calculatedColumnFormula>
    </tableColumn>
    <tableColumn id="11" xr3:uid="{4280684A-CD23-4103-8664-029757D0A2A2}" name="okt" dataDxfId="10">
      <calculatedColumnFormula>SUM($C35:L$36)</calculatedColumnFormula>
    </tableColumn>
    <tableColumn id="12" xr3:uid="{07DED434-EC8F-4DAF-83E3-E350A33F2EAE}" name="nov" dataDxfId="9">
      <calculatedColumnFormula>SUM($C35:M$36)</calculatedColumnFormula>
    </tableColumn>
    <tableColumn id="13" xr3:uid="{32BA0102-0F05-43CF-91BA-724F1FE01DAA}" name="dec" dataDxfId="8">
      <calculatedColumnFormula>SUM($C35:N$36)</calculatedColumnFormula>
    </tableColumn>
    <tableColumn id="14" xr3:uid="{57A0D710-AEB8-4057-928D-010058E02081}" name="Godina" dataDxfId="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Mesečna i ukupna odstupanja od troškova automatski se izračunavaju u ovoj tabeli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029F34C-CC7A-4C9E-8687-3CBA6E03BB7D}" name="Analiza" displayName="Analiza" ref="B5:F10" totalsRowShown="0" dataDxfId="6" tableBorderDxfId="5">
  <autoFilter ref="B5:F10" xr:uid="{FF30FBEE-D7F5-45FA-A994-455B735EFD1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5D5DD3A-2DA8-4CC6-8C75-2348A5B1DCE5}" name="Kategorija troška" dataDxfId="4"/>
    <tableColumn id="2" xr3:uid="{71038352-BC76-49DD-9F6C-B394E5F033ED}" name="Planirani troškovi" dataDxfId="3"/>
    <tableColumn id="3" xr3:uid="{19ED3EBC-BC10-47F6-9800-62129A32BC8E}" name="Stvarni troškovi" dataDxfId="2"/>
    <tableColumn id="4" xr3:uid="{E8D5E1DD-7CB1-4A1A-8F42-EFBF70790FE7}" name="Odstupanja od troškova" dataDxfId="1">
      <calculatedColumnFormula>C6-D6</calculatedColumnFormula>
    </tableColumn>
    <tableColumn id="5" xr3:uid="{47E1881E-12A2-4F0E-8364-B79F2DC5D0B1}" name="Procenat odstupanja" dataDxfId="0">
      <calculatedColumnFormula>E6/C6</calculatedColumnFormula>
    </tableColumn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laniraniTroškoviMarketinga" displayName="PlaniraniTroškoviMarketinga" ref="B21:O28" totalsRowCount="1" headerRowDxfId="422" totalsRowDxfId="419" headerRowBorderDxfId="421" tableBorderDxfId="420" totalsRowBorderDxfId="418">
  <autoFilter ref="B21:O2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Troškovi marketinga" totalsRowLabel="Međuvrednost" dataDxfId="417" totalsRowDxfId="416"/>
    <tableColumn id="2" xr3:uid="{00000000-0010-0000-0100-000002000000}" name="Jan" totalsRowFunction="sum" dataDxfId="415" totalsRowDxfId="414"/>
    <tableColumn id="3" xr3:uid="{00000000-0010-0000-0100-000003000000}" name="Feb" totalsRowFunction="sum" dataDxfId="413" totalsRowDxfId="412"/>
    <tableColumn id="4" xr3:uid="{00000000-0010-0000-0100-000004000000}" name="Mar" totalsRowFunction="sum" dataDxfId="411" totalsRowDxfId="410"/>
    <tableColumn id="5" xr3:uid="{00000000-0010-0000-0100-000005000000}" name="Apr" totalsRowFunction="sum" dataDxfId="409" totalsRowDxfId="408"/>
    <tableColumn id="6" xr3:uid="{00000000-0010-0000-0100-000006000000}" name="maj" totalsRowFunction="sum" dataDxfId="407" totalsRowDxfId="406"/>
    <tableColumn id="7" xr3:uid="{00000000-0010-0000-0100-000007000000}" name="jun" totalsRowFunction="sum" dataDxfId="405" totalsRowDxfId="404"/>
    <tableColumn id="8" xr3:uid="{00000000-0010-0000-0100-000008000000}" name="jul" totalsRowFunction="sum" dataDxfId="403" totalsRowDxfId="402"/>
    <tableColumn id="9" xr3:uid="{00000000-0010-0000-0100-000009000000}" name="avg" totalsRowFunction="sum" dataDxfId="401" totalsRowDxfId="400"/>
    <tableColumn id="10" xr3:uid="{00000000-0010-0000-0100-00000A000000}" name="sep" totalsRowFunction="sum" dataDxfId="399" totalsRowDxfId="398"/>
    <tableColumn id="11" xr3:uid="{00000000-0010-0000-0100-00000B000000}" name="Okt" totalsRowFunction="sum" dataDxfId="397" totalsRowDxfId="396"/>
    <tableColumn id="12" xr3:uid="{00000000-0010-0000-0100-00000C000000}" name="Nov" totalsRowFunction="sum" dataDxfId="395" totalsRowDxfId="394"/>
    <tableColumn id="13" xr3:uid="{00000000-0010-0000-0100-00000D000000}" name="Dec" totalsRowFunction="sum" dataDxfId="393" totalsRowDxfId="392"/>
    <tableColumn id="14" xr3:uid="{00000000-0010-0000-0100-00000E000000}" name="GODINA" totalsRowFunction="sum" dataDxfId="391" totalsRowDxfId="390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U ovu tabelu unesite planirane mesečne troškove marketinga. Ukupna vrednost se automatski izračunava na kraj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laniraniTroškoviObukeIPutniTroškovi" displayName="PlaniraniTroškoviObukeIPutniTroškovi" ref="B30:O33" totalsRowCount="1" headerRowDxfId="389" totalsRowDxfId="386" headerRowBorderDxfId="388" tableBorderDxfId="387" totalsRowBorderDxfId="385">
  <autoFilter ref="B30:O3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Obuka/putovanje" totalsRowLabel="Međuvrednost" dataDxfId="384" totalsRowDxfId="383"/>
    <tableColumn id="2" xr3:uid="{00000000-0010-0000-0200-000002000000}" name="Jan" totalsRowFunction="sum" dataDxfId="382" totalsRowDxfId="381"/>
    <tableColumn id="3" xr3:uid="{00000000-0010-0000-0200-000003000000}" name="Feb" totalsRowFunction="sum" dataDxfId="380" totalsRowDxfId="379"/>
    <tableColumn id="4" xr3:uid="{00000000-0010-0000-0200-000004000000}" name="Mar" totalsRowFunction="sum" dataDxfId="378" totalsRowDxfId="377"/>
    <tableColumn id="5" xr3:uid="{00000000-0010-0000-0200-000005000000}" name="Apr" totalsRowFunction="sum" dataDxfId="376" totalsRowDxfId="375"/>
    <tableColumn id="6" xr3:uid="{00000000-0010-0000-0200-000006000000}" name="maj" totalsRowFunction="sum" dataDxfId="374" totalsRowDxfId="373"/>
    <tableColumn id="7" xr3:uid="{00000000-0010-0000-0200-000007000000}" name="jun" totalsRowFunction="sum" dataDxfId="372" totalsRowDxfId="371"/>
    <tableColumn id="8" xr3:uid="{00000000-0010-0000-0200-000008000000}" name="jul" totalsRowFunction="sum" dataDxfId="370" totalsRowDxfId="369"/>
    <tableColumn id="9" xr3:uid="{00000000-0010-0000-0200-000009000000}" name="avg" totalsRowFunction="sum" dataDxfId="368" totalsRowDxfId="367"/>
    <tableColumn id="10" xr3:uid="{00000000-0010-0000-0200-00000A000000}" name="sep" totalsRowFunction="sum" dataDxfId="366" totalsRowDxfId="365"/>
    <tableColumn id="11" xr3:uid="{00000000-0010-0000-0200-00000B000000}" name="Okt" totalsRowFunction="sum" dataDxfId="364" totalsRowDxfId="363"/>
    <tableColumn id="12" xr3:uid="{00000000-0010-0000-0200-00000C000000}" name="Nov" totalsRowFunction="sum" dataDxfId="362" totalsRowDxfId="361"/>
    <tableColumn id="13" xr3:uid="{00000000-0010-0000-0200-00000D000000}" name="Dec" totalsRowFunction="sum" dataDxfId="360" totalsRowDxfId="359"/>
    <tableColumn id="14" xr3:uid="{00000000-0010-0000-0200-00000E000000}" name="GODINA" totalsRowFunction="sum" dataDxfId="358" totalsRowDxfId="357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U ovu tabelu unesite planirane mesečne troškove obuke i putne troškove. Ukupna vrednost se automatski izračunava na kraj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laniraniTroškoviZaposlenih" displayName="PlaniraniTroškoviZaposlenih" ref="B5:O8" totalsRowCount="1" headerRowDxfId="356" totalsRowDxfId="353" headerRowBorderDxfId="355" tableBorderDxfId="354" totalsRowBorderDxfId="352">
  <autoFilter ref="B5:O7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Troškovi zaposlenih" totalsRowLabel="Međuvrednost" dataDxfId="351" totalsRowDxfId="350"/>
    <tableColumn id="2" xr3:uid="{00000000-0010-0000-0300-000002000000}" name="jan" totalsRowFunction="sum" dataDxfId="349" totalsRowDxfId="348">
      <calculatedColumnFormula>C5*0.27</calculatedColumnFormula>
    </tableColumn>
    <tableColumn id="3" xr3:uid="{00000000-0010-0000-0300-000003000000}" name="feb" totalsRowFunction="sum" dataDxfId="347" totalsRowDxfId="346">
      <calculatedColumnFormula>D5*0.27</calculatedColumnFormula>
    </tableColumn>
    <tableColumn id="4" xr3:uid="{00000000-0010-0000-0300-000004000000}" name="Mar" totalsRowFunction="sum" dataDxfId="345" totalsRowDxfId="344">
      <calculatedColumnFormula>E5*0.27</calculatedColumnFormula>
    </tableColumn>
    <tableColumn id="5" xr3:uid="{00000000-0010-0000-0300-000005000000}" name="apr" totalsRowFunction="sum" dataDxfId="343" totalsRowDxfId="342">
      <calculatedColumnFormula>F5*0.27</calculatedColumnFormula>
    </tableColumn>
    <tableColumn id="6" xr3:uid="{00000000-0010-0000-0300-000006000000}" name="maj" totalsRowFunction="sum" dataDxfId="341" totalsRowDxfId="340">
      <calculatedColumnFormula>G5*0.27</calculatedColumnFormula>
    </tableColumn>
    <tableColumn id="7" xr3:uid="{00000000-0010-0000-0300-000007000000}" name="jun" totalsRowFunction="sum" dataDxfId="339" totalsRowDxfId="338">
      <calculatedColumnFormula>H5*0.27</calculatedColumnFormula>
    </tableColumn>
    <tableColumn id="8" xr3:uid="{00000000-0010-0000-0300-000008000000}" name="jul" totalsRowFunction="sum" dataDxfId="337" totalsRowDxfId="336">
      <calculatedColumnFormula>I5*0.27</calculatedColumnFormula>
    </tableColumn>
    <tableColumn id="9" xr3:uid="{00000000-0010-0000-0300-000009000000}" name="avg" totalsRowFunction="sum" dataDxfId="335" totalsRowDxfId="334">
      <calculatedColumnFormula>J5*0.27</calculatedColumnFormula>
    </tableColumn>
    <tableColumn id="10" xr3:uid="{00000000-0010-0000-0300-00000A000000}" name="sep" totalsRowFunction="sum" dataDxfId="333" totalsRowDxfId="332">
      <calculatedColumnFormula>K5*0.27</calculatedColumnFormula>
    </tableColumn>
    <tableColumn id="11" xr3:uid="{00000000-0010-0000-0300-00000B000000}" name="okt" totalsRowFunction="sum" dataDxfId="331" totalsRowDxfId="330">
      <calculatedColumnFormula>L5*0.27</calculatedColumnFormula>
    </tableColumn>
    <tableColumn id="12" xr3:uid="{00000000-0010-0000-0300-00000C000000}" name="nov" totalsRowFunction="sum" dataDxfId="329" totalsRowDxfId="328">
      <calculatedColumnFormula>M5*0.27</calculatedColumnFormula>
    </tableColumn>
    <tableColumn id="13" xr3:uid="{00000000-0010-0000-0300-00000D000000}" name="dec" totalsRowFunction="sum" dataDxfId="327" totalsRowDxfId="326">
      <calculatedColumnFormula>N5*0.27</calculatedColumnFormula>
    </tableColumn>
    <tableColumn id="14" xr3:uid="{00000000-0010-0000-0300-00000E000000}" name="GODINA" totalsRowFunction="sum" dataDxfId="325" totalsRowDxfId="324">
      <calculatedColumnFormula>SUM(C6:N6)</calculatedColumnFormula>
    </tableColumn>
  </tableColumns>
  <tableStyleInfo name="TableStyleMedium1" showFirstColumn="1" showLastColumn="1" showRowStripes="1" showColumnStripes="0"/>
  <extLst>
    <ext xmlns:x14="http://schemas.microsoft.com/office/spreadsheetml/2009/9/main" uri="{504A1905-F514-4f6f-8877-14C23A59335A}">
      <x14:table altTextSummary="U ovu tabelu unesite planirane mesečne troškove zaposlenih. Ukupna vrednost se automatski izračunava na kraju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1654C0-A6E2-4402-ADF4-C02B29E915BD}" name="UkupniPlaniraniTroškovi" displayName="UkupniPlaniraniTroškovi" ref="B35:O37" totalsRowShown="0" headerRowDxfId="323" dataDxfId="321" headerRowBorderDxfId="322" tableBorderDxfId="320" totalsRowBorderDxfId="319">
  <autoFilter ref="B35:O37" xr:uid="{630CA614-6744-438B-8D74-F7C59585F1E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DAEAEE0-3B16-417F-B274-1F203D9CFCF2}" name="UKUPNE VREDNOSTI" dataDxfId="318"/>
    <tableColumn id="2" xr3:uid="{3CBCAAC6-5850-43CE-8A4B-7299FADFEA94}" name="jan" dataDxfId="317">
      <calculatedColumnFormula>SUM($C35:C$36)</calculatedColumnFormula>
    </tableColumn>
    <tableColumn id="3" xr3:uid="{E78EAAAB-F732-4079-94F1-D17531764B41}" name="feb" dataDxfId="316">
      <calculatedColumnFormula>SUM($C35:D$36)</calculatedColumnFormula>
    </tableColumn>
    <tableColumn id="4" xr3:uid="{7E178853-B334-4E02-A0B5-9E8AC39D6929}" name="mar" dataDxfId="315">
      <calculatedColumnFormula>SUM($C35:E$36)</calculatedColumnFormula>
    </tableColumn>
    <tableColumn id="5" xr3:uid="{901BCAA1-7C45-46E6-9DAA-C055B5CC4D9E}" name="apr" dataDxfId="314">
      <calculatedColumnFormula>SUM($C35:F$36)</calculatedColumnFormula>
    </tableColumn>
    <tableColumn id="6" xr3:uid="{FDC62F5A-FCA8-49DA-AFE4-FBDA22CB588C}" name="maj" dataDxfId="313">
      <calculatedColumnFormula>SUM($C35:G$36)</calculatedColumnFormula>
    </tableColumn>
    <tableColumn id="7" xr3:uid="{6B7E4F62-6387-4545-9593-FCFE8EB0E87B}" name="jun" dataDxfId="312">
      <calculatedColumnFormula>SUM($C35:H$36)</calculatedColumnFormula>
    </tableColumn>
    <tableColumn id="8" xr3:uid="{29C96D76-82C3-4C86-A866-135D2B5F6766}" name="jul" dataDxfId="311">
      <calculatedColumnFormula>SUM($C35:I$36)</calculatedColumnFormula>
    </tableColumn>
    <tableColumn id="9" xr3:uid="{8EAF7A8A-BCFD-4A07-ADFE-7B3A8A367BB3}" name="avg" dataDxfId="310">
      <calculatedColumnFormula>SUM($C35:J$36)</calculatedColumnFormula>
    </tableColumn>
    <tableColumn id="10" xr3:uid="{F40CD844-EFB4-4B82-8FEA-F130D1DDE9B6}" name="sep" dataDxfId="309">
      <calculatedColumnFormula>SUM($C35:K$36)</calculatedColumnFormula>
    </tableColumn>
    <tableColumn id="11" xr3:uid="{42E3BDAF-1274-4A42-93E1-A70D8EFF4D76}" name="okt" dataDxfId="308">
      <calculatedColumnFormula>SUM($C35:L$36)</calculatedColumnFormula>
    </tableColumn>
    <tableColumn id="12" xr3:uid="{4F7ADDB3-3705-4D5F-B56D-EBBC8E7DFAFB}" name="nov" dataDxfId="307">
      <calculatedColumnFormula>SUM($C35:M$36)</calculatedColumnFormula>
    </tableColumn>
    <tableColumn id="13" xr3:uid="{56789314-1137-4ED4-BA2B-969187ADECB2}" name="dec" dataDxfId="306">
      <calculatedColumnFormula>SUM($C35:N$36)</calculatedColumnFormula>
    </tableColumn>
    <tableColumn id="14" xr3:uid="{284F34B8-8D32-4E44-96FD-25CE69A931D2}" name="Godina" dataDxfId="305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Mesečni i ukupni planirani troškovi automatski se izračunavaju u ovoj tabel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StvarniKancelarijskiTroškovi" displayName="StvarniKancelarijskiTroškovi" ref="B10:O19" totalsRowCount="1" headerRowDxfId="304" totalsRowDxfId="301" headerRowBorderDxfId="303" tableBorderDxfId="302" totalsRowBorderDxfId="300">
  <autoFilter ref="B10:O1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Kancelarijski troškovi" totalsRowLabel="Međuvrednost" dataDxfId="299" totalsRowDxfId="298"/>
    <tableColumn id="2" xr3:uid="{00000000-0010-0000-0400-000002000000}" name="Jan" totalsRowFunction="sum" dataDxfId="297" totalsRowDxfId="296"/>
    <tableColumn id="3" xr3:uid="{00000000-0010-0000-0400-000003000000}" name="Feb" totalsRowFunction="sum" dataDxfId="295" totalsRowDxfId="294"/>
    <tableColumn id="4" xr3:uid="{00000000-0010-0000-0400-000004000000}" name="Mar" totalsRowFunction="sum" dataDxfId="293" totalsRowDxfId="292"/>
    <tableColumn id="5" xr3:uid="{00000000-0010-0000-0400-000005000000}" name="Apr" totalsRowFunction="sum" dataDxfId="291" totalsRowDxfId="290"/>
    <tableColumn id="6" xr3:uid="{00000000-0010-0000-0400-000006000000}" name="maj" totalsRowFunction="sum" dataDxfId="289" totalsRowDxfId="288"/>
    <tableColumn id="7" xr3:uid="{00000000-0010-0000-0400-000007000000}" name="jun" totalsRowFunction="sum" dataDxfId="287" totalsRowDxfId="286"/>
    <tableColumn id="8" xr3:uid="{00000000-0010-0000-0400-000008000000}" name="jul" totalsRowFunction="sum" dataDxfId="285" totalsRowDxfId="284"/>
    <tableColumn id="9" xr3:uid="{00000000-0010-0000-0400-000009000000}" name="avg" totalsRowFunction="sum" dataDxfId="283" totalsRowDxfId="282"/>
    <tableColumn id="10" xr3:uid="{00000000-0010-0000-0400-00000A000000}" name="sep" totalsRowFunction="sum" dataDxfId="281" totalsRowDxfId="280"/>
    <tableColumn id="11" xr3:uid="{00000000-0010-0000-0400-00000B000000}" name="Okt" totalsRowFunction="sum" dataDxfId="279" totalsRowDxfId="278"/>
    <tableColumn id="12" xr3:uid="{00000000-0010-0000-0400-00000C000000}" name="Nov" totalsRowFunction="sum" dataDxfId="277" totalsRowDxfId="276"/>
    <tableColumn id="13" xr3:uid="{00000000-0010-0000-0400-00000D000000}" name="Dec" totalsRowFunction="sum" dataDxfId="275" totalsRowDxfId="274"/>
    <tableColumn id="14" xr3:uid="{00000000-0010-0000-0400-00000E000000}" name="GODINA" totalsRowFunction="sum" dataDxfId="273" totalsRowDxfId="272">
      <calculatedColumnFormula>SUM(C11:N11)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U ovu tabelu unesite stvarne mesečne kancelarijske troškove. Ukupna vrednost se automatski izračunava na kraju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StvarniTroškoviMarketinga" displayName="StvarniTroškoviMarketinga" ref="B21:O28" totalsRowCount="1" headerRowDxfId="271" totalsRowDxfId="268" headerRowBorderDxfId="270" tableBorderDxfId="269" totalsRowBorderDxfId="267">
  <autoFilter ref="B21:O2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Troškovi marketinga" totalsRowLabel="Međuvrednost" dataDxfId="266" totalsRowDxfId="265"/>
    <tableColumn id="2" xr3:uid="{00000000-0010-0000-0500-000002000000}" name="Jan" totalsRowFunction="sum" dataDxfId="264" totalsRowDxfId="263"/>
    <tableColumn id="3" xr3:uid="{00000000-0010-0000-0500-000003000000}" name="Feb" totalsRowFunction="sum" dataDxfId="262" totalsRowDxfId="261"/>
    <tableColumn id="4" xr3:uid="{00000000-0010-0000-0500-000004000000}" name="Mar" totalsRowFunction="sum" dataDxfId="260" totalsRowDxfId="259"/>
    <tableColumn id="5" xr3:uid="{00000000-0010-0000-0500-000005000000}" name="Apr" totalsRowFunction="sum" dataDxfId="258" totalsRowDxfId="257"/>
    <tableColumn id="6" xr3:uid="{00000000-0010-0000-0500-000006000000}" name="maj" totalsRowFunction="sum" dataDxfId="256" totalsRowDxfId="255"/>
    <tableColumn id="7" xr3:uid="{00000000-0010-0000-0500-000007000000}" name="jun" totalsRowFunction="sum" dataDxfId="254" totalsRowDxfId="253"/>
    <tableColumn id="8" xr3:uid="{00000000-0010-0000-0500-000008000000}" name="jul" totalsRowFunction="sum" dataDxfId="252" totalsRowDxfId="251"/>
    <tableColumn id="9" xr3:uid="{00000000-0010-0000-0500-000009000000}" name="avg" totalsRowFunction="sum" dataDxfId="250" totalsRowDxfId="249"/>
    <tableColumn id="10" xr3:uid="{00000000-0010-0000-0500-00000A000000}" name="sep" totalsRowFunction="sum" dataDxfId="248" totalsRowDxfId="247"/>
    <tableColumn id="11" xr3:uid="{00000000-0010-0000-0500-00000B000000}" name="Okt" totalsRowFunction="sum" dataDxfId="246" totalsRowDxfId="245"/>
    <tableColumn id="12" xr3:uid="{00000000-0010-0000-0500-00000C000000}" name="Nov" totalsRowFunction="sum" dataDxfId="244" totalsRowDxfId="243"/>
    <tableColumn id="13" xr3:uid="{00000000-0010-0000-0500-00000D000000}" name="Dec" totalsRowFunction="sum" dataDxfId="242" totalsRowDxfId="241"/>
    <tableColumn id="14" xr3:uid="{00000000-0010-0000-0500-00000E000000}" name="GODINA" totalsRowFunction="sum" dataDxfId="240" totalsRowDxfId="239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U ovu tabelu unesite stvarne mesečne troškove marketinga. Ukupna vrednost se automatski izračunava na kraju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StvarniTroškoviObukeIPutniTroškovi" displayName="StvarniTroškoviObukeIPutniTroškovi" ref="B30:O33" totalsRowCount="1" headerRowDxfId="238" totalsRowDxfId="235" headerRowBorderDxfId="237" tableBorderDxfId="236" totalsRowBorderDxfId="234">
  <autoFilter ref="B30:O3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Obuka/putovanje" totalsRowLabel="Međuvrednost" dataDxfId="233" totalsRowDxfId="232"/>
    <tableColumn id="2" xr3:uid="{00000000-0010-0000-0600-000002000000}" name="Jan" totalsRowFunction="sum" dataDxfId="231" totalsRowDxfId="230"/>
    <tableColumn id="3" xr3:uid="{00000000-0010-0000-0600-000003000000}" name="Feb" totalsRowFunction="sum" dataDxfId="229" totalsRowDxfId="228"/>
    <tableColumn id="4" xr3:uid="{00000000-0010-0000-0600-000004000000}" name="Mar" totalsRowFunction="sum" dataDxfId="227" totalsRowDxfId="226"/>
    <tableColumn id="5" xr3:uid="{00000000-0010-0000-0600-000005000000}" name="Apr" totalsRowFunction="sum" dataDxfId="225" totalsRowDxfId="224"/>
    <tableColumn id="6" xr3:uid="{00000000-0010-0000-0600-000006000000}" name="maj" totalsRowFunction="sum" dataDxfId="223" totalsRowDxfId="222"/>
    <tableColumn id="7" xr3:uid="{00000000-0010-0000-0600-000007000000}" name="jun" totalsRowFunction="sum" dataDxfId="221" totalsRowDxfId="220"/>
    <tableColumn id="8" xr3:uid="{00000000-0010-0000-0600-000008000000}" name="jul" totalsRowFunction="sum" dataDxfId="219" totalsRowDxfId="218"/>
    <tableColumn id="9" xr3:uid="{00000000-0010-0000-0600-000009000000}" name="avg" totalsRowFunction="sum" dataDxfId="217" totalsRowDxfId="216"/>
    <tableColumn id="10" xr3:uid="{00000000-0010-0000-0600-00000A000000}" name="sep" totalsRowFunction="sum" dataDxfId="215" totalsRowDxfId="214"/>
    <tableColumn id="11" xr3:uid="{00000000-0010-0000-0600-00000B000000}" name="Okt" totalsRowFunction="sum" dataDxfId="213" totalsRowDxfId="212"/>
    <tableColumn id="12" xr3:uid="{00000000-0010-0000-0600-00000C000000}" name="Nov" totalsRowFunction="sum" dataDxfId="211" totalsRowDxfId="210"/>
    <tableColumn id="13" xr3:uid="{00000000-0010-0000-0600-00000D000000}" name="Dec" totalsRowFunction="sum" dataDxfId="209" totalsRowDxfId="208"/>
    <tableColumn id="14" xr3:uid="{00000000-0010-0000-0600-00000E000000}" name="GODINA" totalsRowFunction="sum" dataDxfId="207" totalsRowDxfId="206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U ovu tabelu unesite stvarne mesečne troškove obuke i putne troškove. Ukupna vrednost se automatski izračunava na kraju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StvarniTroškoviZaposlenih" displayName="StvarniTroškoviZaposlenih" ref="B5:O8" totalsRowCount="1" headerRowDxfId="205" totalsRowDxfId="202" headerRowBorderDxfId="204" tableBorderDxfId="203" totalsRowBorderDxfId="201">
  <autoFilter ref="B5:O7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Troškovi zaposlenih" totalsRowLabel="Međuvrednost" dataDxfId="200" totalsRowDxfId="199"/>
    <tableColumn id="2" xr3:uid="{00000000-0010-0000-0700-000002000000}" name="jan" totalsRowFunction="sum" dataDxfId="198" totalsRowDxfId="197">
      <calculatedColumnFormula>C5*0.27</calculatedColumnFormula>
    </tableColumn>
    <tableColumn id="3" xr3:uid="{00000000-0010-0000-0700-000003000000}" name="feb" totalsRowFunction="sum" dataDxfId="196" totalsRowDxfId="195">
      <calculatedColumnFormula>D5*0.27</calculatedColumnFormula>
    </tableColumn>
    <tableColumn id="4" xr3:uid="{00000000-0010-0000-0700-000004000000}" name="mar" totalsRowFunction="sum" dataDxfId="194" totalsRowDxfId="193">
      <calculatedColumnFormula>E5*0.27</calculatedColumnFormula>
    </tableColumn>
    <tableColumn id="5" xr3:uid="{00000000-0010-0000-0700-000005000000}" name="apr" totalsRowFunction="sum" dataDxfId="192" totalsRowDxfId="191">
      <calculatedColumnFormula>F5*0.27</calculatedColumnFormula>
    </tableColumn>
    <tableColumn id="6" xr3:uid="{00000000-0010-0000-0700-000006000000}" name="maj" totalsRowFunction="sum" dataDxfId="190" totalsRowDxfId="189">
      <calculatedColumnFormula>G5*0.27</calculatedColumnFormula>
    </tableColumn>
    <tableColumn id="7" xr3:uid="{00000000-0010-0000-0700-000007000000}" name="jun" totalsRowFunction="sum" dataDxfId="188" totalsRowDxfId="187">
      <calculatedColumnFormula>H5*0.27</calculatedColumnFormula>
    </tableColumn>
    <tableColumn id="8" xr3:uid="{00000000-0010-0000-0700-000008000000}" name="jul" totalsRowFunction="sum" dataDxfId="186" totalsRowDxfId="185"/>
    <tableColumn id="9" xr3:uid="{00000000-0010-0000-0700-000009000000}" name="avg" totalsRowFunction="sum" dataDxfId="184" totalsRowDxfId="183"/>
    <tableColumn id="10" xr3:uid="{00000000-0010-0000-0700-00000A000000}" name="sep" totalsRowFunction="sum" dataDxfId="182" totalsRowDxfId="181"/>
    <tableColumn id="11" xr3:uid="{00000000-0010-0000-0700-00000B000000}" name="okt" totalsRowFunction="sum" dataDxfId="180" totalsRowDxfId="179"/>
    <tableColumn id="12" xr3:uid="{00000000-0010-0000-0700-00000C000000}" name="nov" totalsRowFunction="sum" dataDxfId="178" totalsRowDxfId="177"/>
    <tableColumn id="13" xr3:uid="{00000000-0010-0000-0700-00000D000000}" name="dec" totalsRowFunction="sum" dataDxfId="176" totalsRowDxfId="175"/>
    <tableColumn id="14" xr3:uid="{00000000-0010-0000-0700-00000E000000}" name="GODINA" totalsRowFunction="sum" dataDxfId="174" totalsRowDxfId="173">
      <calculatedColumnFormula>SUM(C6:N6)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U ovu tabelu unesite stvarne mesečne troškove zaposlenih. Ukupna vrednost se automatski izračunava na kraju"/>
    </ext>
  </extLst>
</table>
</file>

<file path=xl/theme/theme1.xml><?xml version="1.0" encoding="utf-8"?>
<a:theme xmlns:a="http://schemas.openxmlformats.org/drawingml/2006/main" name="Office Theme">
  <a:themeElements>
    <a:clrScheme name="Custom 25">
      <a:dk1>
        <a:sysClr val="windowText" lastClr="000000"/>
      </a:dk1>
      <a:lt1>
        <a:srgbClr val="FFFFFF"/>
      </a:lt1>
      <a:dk2>
        <a:srgbClr val="2F4B83"/>
      </a:dk2>
      <a:lt2>
        <a:srgbClr val="F2F2F2"/>
      </a:lt2>
      <a:accent1>
        <a:srgbClr val="CC1D10"/>
      </a:accent1>
      <a:accent2>
        <a:srgbClr val="357B37"/>
      </a:accent2>
      <a:accent3>
        <a:srgbClr val="34A0DC"/>
      </a:accent3>
      <a:accent4>
        <a:srgbClr val="B71F66"/>
      </a:accent4>
      <a:accent5>
        <a:srgbClr val="255D77"/>
      </a:accent5>
      <a:accent6>
        <a:srgbClr val="EF4538"/>
      </a:accent6>
      <a:hlink>
        <a:srgbClr val="7DC6F3"/>
      </a:hlink>
      <a:folHlink>
        <a:srgbClr val="7DC6F3"/>
      </a:folHlink>
    </a:clrScheme>
    <a:fontScheme name="Custom 18">
      <a:majorFont>
        <a:latin typeface="Franklin Gothic Book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652D-94A4-43B5-AFA7-1A6439101CE6}">
  <sheetPr>
    <tabColor theme="3" tint="-0.249977111117893"/>
  </sheetPr>
  <dimension ref="B1:B8"/>
  <sheetViews>
    <sheetView tabSelected="1" workbookViewId="0"/>
  </sheetViews>
  <sheetFormatPr defaultRowHeight="12.75" x14ac:dyDescent="0.2"/>
  <cols>
    <col min="1" max="1" width="2.7109375" customWidth="1"/>
    <col min="2" max="2" width="75.42578125" customWidth="1"/>
    <col min="3" max="3" width="2.7109375" customWidth="1"/>
  </cols>
  <sheetData>
    <row r="1" spans="2:2" s="30" customFormat="1" ht="30" customHeight="1" x14ac:dyDescent="0.2">
      <c r="B1" s="31" t="s">
        <v>0</v>
      </c>
    </row>
    <row r="2" spans="2:2" ht="36.75" customHeight="1" x14ac:dyDescent="0.2">
      <c r="B2" s="40" t="s">
        <v>1</v>
      </c>
    </row>
    <row r="3" spans="2:2" ht="30" customHeight="1" x14ac:dyDescent="0.2">
      <c r="B3" s="40" t="s">
        <v>2</v>
      </c>
    </row>
    <row r="4" spans="2:2" ht="40.5" customHeight="1" x14ac:dyDescent="0.2">
      <c r="B4" s="40" t="s">
        <v>3</v>
      </c>
    </row>
    <row r="5" spans="2:2" ht="36" customHeight="1" x14ac:dyDescent="0.2">
      <c r="B5" s="40" t="s">
        <v>4</v>
      </c>
    </row>
    <row r="6" spans="2:2" ht="36" customHeight="1" x14ac:dyDescent="0.2">
      <c r="B6" s="42" t="s">
        <v>5</v>
      </c>
    </row>
    <row r="7" spans="2:2" ht="53.25" customHeight="1" x14ac:dyDescent="0.2">
      <c r="B7" s="40" t="s">
        <v>6</v>
      </c>
    </row>
    <row r="8" spans="2:2" ht="40.5" customHeight="1" x14ac:dyDescent="0.25">
      <c r="B8" s="41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A1:T38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36.42578125" style="1" customWidth="1"/>
    <col min="3" max="14" width="18" style="1" customWidth="1"/>
    <col min="15" max="15" width="18" style="1" bestFit="1" customWidth="1"/>
    <col min="16" max="16" width="4.7109375" style="1" customWidth="1"/>
    <col min="17" max="17" width="1.7109375" style="1" customWidth="1"/>
    <col min="18" max="19" width="9.140625" style="1"/>
    <col min="20" max="20" width="11.140625" style="1" customWidth="1"/>
    <col min="21" max="16384" width="9.140625" style="1"/>
  </cols>
  <sheetData>
    <row r="1" spans="1:20" s="88" customFormat="1" ht="24" customHeight="1" x14ac:dyDescent="0.3">
      <c r="A1" s="84" t="s">
        <v>99</v>
      </c>
      <c r="B1" s="85"/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76</v>
      </c>
    </row>
    <row r="2" spans="1:20" s="88" customFormat="1" ht="45" customHeight="1" x14ac:dyDescent="0.35">
      <c r="A2" s="89" t="s">
        <v>8</v>
      </c>
      <c r="B2" s="137" t="s">
        <v>12</v>
      </c>
      <c r="C2" s="137"/>
      <c r="D2" s="137"/>
      <c r="E2" s="90"/>
      <c r="F2" s="8"/>
      <c r="G2" s="8"/>
      <c r="H2" s="8"/>
      <c r="I2" s="8"/>
      <c r="J2" s="8"/>
      <c r="K2" s="134" t="s">
        <v>60</v>
      </c>
      <c r="L2" s="134"/>
      <c r="M2" s="134"/>
      <c r="N2" s="133" t="s">
        <v>70</v>
      </c>
      <c r="O2" s="133"/>
      <c r="P2" s="86"/>
    </row>
    <row r="3" spans="1:20" s="88" customFormat="1" ht="30" customHeight="1" x14ac:dyDescent="0.3">
      <c r="A3" s="89" t="s">
        <v>9</v>
      </c>
      <c r="B3" s="137"/>
      <c r="C3" s="137"/>
      <c r="D3" s="137"/>
      <c r="E3" s="91"/>
      <c r="F3" s="9"/>
      <c r="G3" s="9"/>
      <c r="H3" s="9"/>
      <c r="I3" s="9"/>
      <c r="J3" s="9"/>
      <c r="K3" s="138" t="s">
        <v>61</v>
      </c>
      <c r="L3" s="138"/>
      <c r="M3" s="138"/>
      <c r="N3" s="133"/>
      <c r="O3" s="133"/>
      <c r="P3" s="86"/>
    </row>
    <row r="4" spans="1:20" s="93" customFormat="1" ht="49.5" customHeight="1" x14ac:dyDescent="0.3">
      <c r="A4" s="92" t="s">
        <v>10</v>
      </c>
      <c r="B4" s="22" t="s">
        <v>13</v>
      </c>
      <c r="C4" s="23" t="s">
        <v>40</v>
      </c>
      <c r="D4" s="23" t="s">
        <v>43</v>
      </c>
      <c r="E4" s="23" t="s">
        <v>46</v>
      </c>
      <c r="F4" s="23" t="s">
        <v>49</v>
      </c>
      <c r="G4" s="23" t="s">
        <v>52</v>
      </c>
      <c r="H4" s="23" t="s">
        <v>54</v>
      </c>
      <c r="I4" s="23" t="s">
        <v>56</v>
      </c>
      <c r="J4" s="23" t="s">
        <v>58</v>
      </c>
      <c r="K4" s="23" t="s">
        <v>62</v>
      </c>
      <c r="L4" s="23" t="s">
        <v>64</v>
      </c>
      <c r="M4" s="23" t="s">
        <v>67</v>
      </c>
      <c r="N4" s="23" t="s">
        <v>71</v>
      </c>
      <c r="O4" s="23" t="s">
        <v>74</v>
      </c>
      <c r="R4" s="131" t="s">
        <v>77</v>
      </c>
      <c r="S4" s="132"/>
      <c r="T4" s="132"/>
    </row>
    <row r="5" spans="1:20" s="95" customFormat="1" ht="24.95" customHeight="1" thickBot="1" x14ac:dyDescent="0.35">
      <c r="A5" s="94" t="s">
        <v>100</v>
      </c>
      <c r="B5" s="43" t="s">
        <v>14</v>
      </c>
      <c r="C5" s="60" t="s">
        <v>41</v>
      </c>
      <c r="D5" s="58" t="s">
        <v>44</v>
      </c>
      <c r="E5" s="58" t="s">
        <v>47</v>
      </c>
      <c r="F5" s="58" t="s">
        <v>50</v>
      </c>
      <c r="G5" s="58" t="s">
        <v>53</v>
      </c>
      <c r="H5" s="58" t="s">
        <v>55</v>
      </c>
      <c r="I5" s="58" t="s">
        <v>57</v>
      </c>
      <c r="J5" s="58" t="s">
        <v>59</v>
      </c>
      <c r="K5" s="58" t="s">
        <v>63</v>
      </c>
      <c r="L5" s="58" t="s">
        <v>65</v>
      </c>
      <c r="M5" s="58" t="s">
        <v>68</v>
      </c>
      <c r="N5" s="58" t="s">
        <v>72</v>
      </c>
      <c r="O5" s="59" t="s">
        <v>74</v>
      </c>
      <c r="R5" s="132"/>
      <c r="S5" s="132"/>
      <c r="T5" s="132"/>
    </row>
    <row r="6" spans="1:20" ht="24.95" customHeight="1" thickBot="1" x14ac:dyDescent="0.35">
      <c r="A6" s="32"/>
      <c r="B6" s="44" t="s">
        <v>15</v>
      </c>
      <c r="C6" s="99">
        <v>85000</v>
      </c>
      <c r="D6" s="100">
        <v>85000</v>
      </c>
      <c r="E6" s="100">
        <v>85000</v>
      </c>
      <c r="F6" s="100">
        <v>87500</v>
      </c>
      <c r="G6" s="100">
        <v>87500</v>
      </c>
      <c r="H6" s="100">
        <v>87500</v>
      </c>
      <c r="I6" s="100">
        <v>87500</v>
      </c>
      <c r="J6" s="100">
        <v>92400</v>
      </c>
      <c r="K6" s="100">
        <v>92400</v>
      </c>
      <c r="L6" s="100">
        <v>92400</v>
      </c>
      <c r="M6" s="100">
        <v>92400</v>
      </c>
      <c r="N6" s="100">
        <v>92400</v>
      </c>
      <c r="O6" s="101">
        <f>SUM(C6:N6)</f>
        <v>1067000</v>
      </c>
      <c r="R6" s="132"/>
      <c r="S6" s="132"/>
      <c r="T6" s="132"/>
    </row>
    <row r="7" spans="1:20" ht="24.95" customHeight="1" thickBot="1" x14ac:dyDescent="0.35">
      <c r="A7" s="32"/>
      <c r="B7" s="44" t="s">
        <v>16</v>
      </c>
      <c r="C7" s="99">
        <f t="shared" ref="C7:N7" si="0">C6*0.27</f>
        <v>22950</v>
      </c>
      <c r="D7" s="100">
        <f t="shared" si="0"/>
        <v>22950</v>
      </c>
      <c r="E7" s="100">
        <f t="shared" si="0"/>
        <v>22950</v>
      </c>
      <c r="F7" s="100">
        <f t="shared" si="0"/>
        <v>23625</v>
      </c>
      <c r="G7" s="100">
        <f t="shared" si="0"/>
        <v>23625</v>
      </c>
      <c r="H7" s="100">
        <f t="shared" si="0"/>
        <v>23625</v>
      </c>
      <c r="I7" s="100">
        <f t="shared" si="0"/>
        <v>23625</v>
      </c>
      <c r="J7" s="100">
        <f t="shared" si="0"/>
        <v>24948</v>
      </c>
      <c r="K7" s="100">
        <f t="shared" si="0"/>
        <v>24948</v>
      </c>
      <c r="L7" s="100">
        <f t="shared" si="0"/>
        <v>24948</v>
      </c>
      <c r="M7" s="100">
        <f t="shared" si="0"/>
        <v>24948</v>
      </c>
      <c r="N7" s="100">
        <f t="shared" si="0"/>
        <v>24948</v>
      </c>
      <c r="O7" s="101">
        <f>SUM(C7:N7)</f>
        <v>288090</v>
      </c>
      <c r="R7" s="132"/>
      <c r="S7" s="132"/>
      <c r="T7" s="132"/>
    </row>
    <row r="8" spans="1:20" ht="24.95" customHeight="1" x14ac:dyDescent="0.3">
      <c r="A8" s="32"/>
      <c r="B8" s="45" t="s">
        <v>17</v>
      </c>
      <c r="C8" s="102">
        <f>SUBTOTAL(109,PlaniraniTroškoviZaposlenih[jan])</f>
        <v>107950</v>
      </c>
      <c r="D8" s="103">
        <f>SUBTOTAL(109,PlaniraniTroškoviZaposlenih[feb])</f>
        <v>107950</v>
      </c>
      <c r="E8" s="103">
        <f>SUBTOTAL(109,PlaniraniTroškoviZaposlenih[Mar])</f>
        <v>107950</v>
      </c>
      <c r="F8" s="103">
        <f>SUBTOTAL(109,PlaniraniTroškoviZaposlenih[apr])</f>
        <v>111125</v>
      </c>
      <c r="G8" s="103">
        <f>SUBTOTAL(109,PlaniraniTroškoviZaposlenih[maj])</f>
        <v>111125</v>
      </c>
      <c r="H8" s="103">
        <f>SUBTOTAL(109,PlaniraniTroškoviZaposlenih[jun])</f>
        <v>111125</v>
      </c>
      <c r="I8" s="103">
        <f>SUBTOTAL(109,PlaniraniTroškoviZaposlenih[jul])</f>
        <v>111125</v>
      </c>
      <c r="J8" s="103">
        <f>SUBTOTAL(109,PlaniraniTroškoviZaposlenih[avg])</f>
        <v>117348</v>
      </c>
      <c r="K8" s="103">
        <f>SUBTOTAL(109,PlaniraniTroškoviZaposlenih[sep])</f>
        <v>117348</v>
      </c>
      <c r="L8" s="103">
        <f>SUBTOTAL(109,PlaniraniTroškoviZaposlenih[okt])</f>
        <v>117348</v>
      </c>
      <c r="M8" s="103">
        <f>SUBTOTAL(109,PlaniraniTroškoviZaposlenih[nov])</f>
        <v>117348</v>
      </c>
      <c r="N8" s="103">
        <f>SUBTOTAL(109,PlaniraniTroškoviZaposlenih[dec])</f>
        <v>117348</v>
      </c>
      <c r="O8" s="104">
        <f>SUBTOTAL(109,PlaniraniTroškoviZaposlenih[GODINA])</f>
        <v>1355090</v>
      </c>
      <c r="R8" s="132"/>
      <c r="S8" s="132"/>
      <c r="T8" s="132"/>
    </row>
    <row r="9" spans="1:20" ht="21" customHeight="1" thickBot="1" x14ac:dyDescent="0.35">
      <c r="A9" s="32"/>
      <c r="B9" s="135"/>
      <c r="C9" s="13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  <c r="R9" s="132"/>
      <c r="S9" s="132"/>
      <c r="T9" s="132"/>
    </row>
    <row r="10" spans="1:20" ht="24.95" customHeight="1" thickBot="1" x14ac:dyDescent="0.35">
      <c r="A10" s="32" t="s">
        <v>101</v>
      </c>
      <c r="B10" s="54" t="s">
        <v>18</v>
      </c>
      <c r="C10" s="51" t="s">
        <v>42</v>
      </c>
      <c r="D10" s="52" t="s">
        <v>45</v>
      </c>
      <c r="E10" s="52" t="s">
        <v>47</v>
      </c>
      <c r="F10" s="52" t="s">
        <v>51</v>
      </c>
      <c r="G10" s="52" t="s">
        <v>53</v>
      </c>
      <c r="H10" s="52" t="s">
        <v>55</v>
      </c>
      <c r="I10" s="52" t="s">
        <v>57</v>
      </c>
      <c r="J10" s="52" t="s">
        <v>59</v>
      </c>
      <c r="K10" s="52" t="s">
        <v>63</v>
      </c>
      <c r="L10" s="52" t="s">
        <v>66</v>
      </c>
      <c r="M10" s="52" t="s">
        <v>69</v>
      </c>
      <c r="N10" s="52" t="s">
        <v>73</v>
      </c>
      <c r="O10" s="53" t="s">
        <v>74</v>
      </c>
      <c r="R10" s="132"/>
      <c r="S10" s="132"/>
      <c r="T10" s="132"/>
    </row>
    <row r="11" spans="1:20" ht="24.95" customHeight="1" thickBot="1" x14ac:dyDescent="0.35">
      <c r="A11" s="32"/>
      <c r="B11" s="80" t="s">
        <v>19</v>
      </c>
      <c r="C11" s="99">
        <v>9800</v>
      </c>
      <c r="D11" s="100">
        <v>9800</v>
      </c>
      <c r="E11" s="100">
        <v>9800</v>
      </c>
      <c r="F11" s="100">
        <v>9800</v>
      </c>
      <c r="G11" s="100">
        <v>9800</v>
      </c>
      <c r="H11" s="100">
        <v>9800</v>
      </c>
      <c r="I11" s="100">
        <v>9800</v>
      </c>
      <c r="J11" s="100">
        <v>9800</v>
      </c>
      <c r="K11" s="100">
        <v>9800</v>
      </c>
      <c r="L11" s="100">
        <v>9800</v>
      </c>
      <c r="M11" s="100">
        <v>9800</v>
      </c>
      <c r="N11" s="100">
        <v>9800</v>
      </c>
      <c r="O11" s="101">
        <f t="shared" ref="O11:O18" si="1">SUM(C11:N11)</f>
        <v>117600</v>
      </c>
      <c r="R11" s="132"/>
      <c r="S11" s="132"/>
      <c r="T11" s="132"/>
    </row>
    <row r="12" spans="1:20" ht="24.95" customHeight="1" thickBot="1" x14ac:dyDescent="0.35">
      <c r="A12" s="32"/>
      <c r="B12" s="80" t="s">
        <v>20</v>
      </c>
      <c r="C12" s="99"/>
      <c r="D12" s="100">
        <v>400</v>
      </c>
      <c r="E12" s="100">
        <v>400</v>
      </c>
      <c r="F12" s="100">
        <v>100</v>
      </c>
      <c r="G12" s="100">
        <v>100</v>
      </c>
      <c r="H12" s="100">
        <v>100</v>
      </c>
      <c r="I12" s="100">
        <v>100</v>
      </c>
      <c r="J12" s="100">
        <v>100</v>
      </c>
      <c r="K12" s="100">
        <v>100</v>
      </c>
      <c r="L12" s="100">
        <v>100</v>
      </c>
      <c r="M12" s="100">
        <v>400</v>
      </c>
      <c r="N12" s="100">
        <v>400</v>
      </c>
      <c r="O12" s="101">
        <f t="shared" si="1"/>
        <v>2300</v>
      </c>
      <c r="R12" s="132"/>
      <c r="S12" s="132"/>
      <c r="T12" s="132"/>
    </row>
    <row r="13" spans="1:20" ht="24.95" customHeight="1" thickBot="1" x14ac:dyDescent="0.35">
      <c r="A13" s="32"/>
      <c r="B13" s="80" t="s">
        <v>21</v>
      </c>
      <c r="C13" s="99">
        <v>300</v>
      </c>
      <c r="D13" s="100">
        <v>300</v>
      </c>
      <c r="E13" s="100">
        <v>300</v>
      </c>
      <c r="F13" s="100">
        <v>300</v>
      </c>
      <c r="G13" s="100">
        <v>300</v>
      </c>
      <c r="H13" s="100">
        <v>300</v>
      </c>
      <c r="I13" s="100">
        <v>300</v>
      </c>
      <c r="J13" s="100">
        <v>300</v>
      </c>
      <c r="K13" s="100">
        <v>300</v>
      </c>
      <c r="L13" s="100">
        <v>300</v>
      </c>
      <c r="M13" s="100">
        <v>300</v>
      </c>
      <c r="N13" s="100">
        <v>300</v>
      </c>
      <c r="O13" s="101">
        <f t="shared" si="1"/>
        <v>3600</v>
      </c>
      <c r="R13" s="132"/>
      <c r="S13" s="132"/>
      <c r="T13" s="132"/>
    </row>
    <row r="14" spans="1:20" ht="24.95" customHeight="1" thickBot="1" x14ac:dyDescent="0.35">
      <c r="A14" s="32"/>
      <c r="B14" s="80" t="s">
        <v>22</v>
      </c>
      <c r="C14" s="99">
        <v>40</v>
      </c>
      <c r="D14" s="100">
        <v>40</v>
      </c>
      <c r="E14" s="100">
        <v>40</v>
      </c>
      <c r="F14" s="100">
        <v>40</v>
      </c>
      <c r="G14" s="100">
        <v>40</v>
      </c>
      <c r="H14" s="100">
        <v>40</v>
      </c>
      <c r="I14" s="100">
        <v>40</v>
      </c>
      <c r="J14" s="100">
        <v>40</v>
      </c>
      <c r="K14" s="100">
        <v>40</v>
      </c>
      <c r="L14" s="100">
        <v>40</v>
      </c>
      <c r="M14" s="100">
        <v>40</v>
      </c>
      <c r="N14" s="100">
        <v>40</v>
      </c>
      <c r="O14" s="101">
        <f t="shared" si="1"/>
        <v>480</v>
      </c>
    </row>
    <row r="15" spans="1:20" ht="24.95" customHeight="1" thickBot="1" x14ac:dyDescent="0.35">
      <c r="A15" s="32"/>
      <c r="B15" s="80" t="s">
        <v>23</v>
      </c>
      <c r="C15" s="99">
        <v>250</v>
      </c>
      <c r="D15" s="100">
        <v>250</v>
      </c>
      <c r="E15" s="100">
        <v>250</v>
      </c>
      <c r="F15" s="100">
        <v>250</v>
      </c>
      <c r="G15" s="100">
        <v>250</v>
      </c>
      <c r="H15" s="100">
        <v>250</v>
      </c>
      <c r="I15" s="100">
        <v>250</v>
      </c>
      <c r="J15" s="100">
        <v>250</v>
      </c>
      <c r="K15" s="100">
        <v>250</v>
      </c>
      <c r="L15" s="100">
        <v>250</v>
      </c>
      <c r="M15" s="100">
        <v>250</v>
      </c>
      <c r="N15" s="100">
        <v>250</v>
      </c>
      <c r="O15" s="101">
        <f t="shared" si="1"/>
        <v>3000</v>
      </c>
    </row>
    <row r="16" spans="1:20" ht="24.95" customHeight="1" thickBot="1" x14ac:dyDescent="0.35">
      <c r="A16" s="32"/>
      <c r="B16" s="80" t="s">
        <v>24</v>
      </c>
      <c r="C16" s="99">
        <v>180</v>
      </c>
      <c r="D16" s="100">
        <v>180</v>
      </c>
      <c r="E16" s="100">
        <v>180</v>
      </c>
      <c r="F16" s="100">
        <v>180</v>
      </c>
      <c r="G16" s="100">
        <v>180</v>
      </c>
      <c r="H16" s="100">
        <v>180</v>
      </c>
      <c r="I16" s="100">
        <v>180</v>
      </c>
      <c r="J16" s="100">
        <v>180</v>
      </c>
      <c r="K16" s="100">
        <v>180</v>
      </c>
      <c r="L16" s="100">
        <v>180</v>
      </c>
      <c r="M16" s="100">
        <v>180</v>
      </c>
      <c r="N16" s="100">
        <v>180</v>
      </c>
      <c r="O16" s="101">
        <f t="shared" si="1"/>
        <v>2160</v>
      </c>
    </row>
    <row r="17" spans="1:15" ht="24.95" customHeight="1" thickBot="1" x14ac:dyDescent="0.35">
      <c r="A17" s="32"/>
      <c r="B17" s="80" t="s">
        <v>25</v>
      </c>
      <c r="C17" s="99">
        <v>200</v>
      </c>
      <c r="D17" s="100">
        <v>200</v>
      </c>
      <c r="E17" s="100">
        <v>200</v>
      </c>
      <c r="F17" s="100">
        <v>200</v>
      </c>
      <c r="G17" s="100">
        <v>200</v>
      </c>
      <c r="H17" s="100">
        <v>200</v>
      </c>
      <c r="I17" s="100">
        <v>200</v>
      </c>
      <c r="J17" s="100">
        <v>200</v>
      </c>
      <c r="K17" s="100">
        <v>200</v>
      </c>
      <c r="L17" s="100">
        <v>200</v>
      </c>
      <c r="M17" s="100">
        <v>200</v>
      </c>
      <c r="N17" s="100">
        <v>200</v>
      </c>
      <c r="O17" s="101">
        <f t="shared" si="1"/>
        <v>2400</v>
      </c>
    </row>
    <row r="18" spans="1:15" ht="24.95" customHeight="1" thickBot="1" x14ac:dyDescent="0.35">
      <c r="A18" s="32"/>
      <c r="B18" s="80" t="s">
        <v>26</v>
      </c>
      <c r="C18" s="99">
        <v>600</v>
      </c>
      <c r="D18" s="100">
        <v>600</v>
      </c>
      <c r="E18" s="100">
        <v>600</v>
      </c>
      <c r="F18" s="100">
        <v>600</v>
      </c>
      <c r="G18" s="100">
        <v>600</v>
      </c>
      <c r="H18" s="100">
        <v>600</v>
      </c>
      <c r="I18" s="100">
        <v>600</v>
      </c>
      <c r="J18" s="100">
        <v>600</v>
      </c>
      <c r="K18" s="100">
        <v>600</v>
      </c>
      <c r="L18" s="100">
        <v>600</v>
      </c>
      <c r="M18" s="100">
        <v>600</v>
      </c>
      <c r="N18" s="100">
        <v>600</v>
      </c>
      <c r="O18" s="101">
        <f t="shared" si="1"/>
        <v>7200</v>
      </c>
    </row>
    <row r="19" spans="1:15" ht="24.95" customHeight="1" thickBot="1" x14ac:dyDescent="0.35">
      <c r="A19" s="32"/>
      <c r="B19" s="61" t="s">
        <v>17</v>
      </c>
      <c r="C19" s="105">
        <f>SUBTOTAL(109,PlaniraniKancelarijskiTroškovi[Jan])</f>
        <v>11370</v>
      </c>
      <c r="D19" s="106">
        <f>SUBTOTAL(109,PlaniraniKancelarijskiTroškovi[Feb])</f>
        <v>11770</v>
      </c>
      <c r="E19" s="106">
        <f>SUBTOTAL(109,PlaniraniKancelarijskiTroškovi[Mar])</f>
        <v>11770</v>
      </c>
      <c r="F19" s="106">
        <f>SUBTOTAL(109,PlaniraniKancelarijskiTroškovi[Apr])</f>
        <v>11470</v>
      </c>
      <c r="G19" s="106">
        <f>SUBTOTAL(109,PlaniraniKancelarijskiTroškovi[maj])</f>
        <v>11470</v>
      </c>
      <c r="H19" s="106">
        <f>SUBTOTAL(109,PlaniraniKancelarijskiTroškovi[jun])</f>
        <v>11470</v>
      </c>
      <c r="I19" s="106">
        <f>SUBTOTAL(109,PlaniraniKancelarijskiTroškovi[jul])</f>
        <v>11470</v>
      </c>
      <c r="J19" s="106">
        <f>SUBTOTAL(109,PlaniraniKancelarijskiTroškovi[avg])</f>
        <v>11470</v>
      </c>
      <c r="K19" s="106">
        <f>SUBTOTAL(109,PlaniraniKancelarijskiTroškovi[sep])</f>
        <v>11470</v>
      </c>
      <c r="L19" s="106">
        <f>SUBTOTAL(109,PlaniraniKancelarijskiTroškovi[Okt])</f>
        <v>11470</v>
      </c>
      <c r="M19" s="106">
        <f>SUBTOTAL(109,PlaniraniKancelarijskiTroškovi[Nov])</f>
        <v>11770</v>
      </c>
      <c r="N19" s="106">
        <f>SUBTOTAL(109,PlaniraniKancelarijskiTroškovi[Dec])</f>
        <v>11770</v>
      </c>
      <c r="O19" s="107">
        <f>SUBTOTAL(109,PlaniraniKancelarijskiTroškovi[GODINA])</f>
        <v>138740</v>
      </c>
    </row>
    <row r="20" spans="1:15" ht="21" customHeight="1" x14ac:dyDescent="0.3">
      <c r="A20" s="32"/>
      <c r="B20" s="136"/>
      <c r="C20" s="136"/>
      <c r="D20" s="96"/>
      <c r="E20" s="96"/>
      <c r="F20" s="98"/>
      <c r="G20" s="98"/>
      <c r="H20" s="98"/>
      <c r="I20" s="98"/>
      <c r="J20" s="98"/>
      <c r="K20" s="98"/>
      <c r="L20" s="98"/>
      <c r="M20" s="98"/>
      <c r="N20" s="98"/>
      <c r="O20" s="97"/>
    </row>
    <row r="21" spans="1:15" ht="24.95" customHeight="1" thickBot="1" x14ac:dyDescent="0.35">
      <c r="A21" s="32" t="s">
        <v>102</v>
      </c>
      <c r="B21" s="55" t="s">
        <v>27</v>
      </c>
      <c r="C21" s="48" t="s">
        <v>42</v>
      </c>
      <c r="D21" s="48" t="s">
        <v>45</v>
      </c>
      <c r="E21" s="48" t="s">
        <v>47</v>
      </c>
      <c r="F21" s="48" t="s">
        <v>51</v>
      </c>
      <c r="G21" s="48" t="s">
        <v>53</v>
      </c>
      <c r="H21" s="48" t="s">
        <v>55</v>
      </c>
      <c r="I21" s="48" t="s">
        <v>57</v>
      </c>
      <c r="J21" s="48" t="s">
        <v>59</v>
      </c>
      <c r="K21" s="48" t="s">
        <v>63</v>
      </c>
      <c r="L21" s="48" t="s">
        <v>66</v>
      </c>
      <c r="M21" s="48" t="s">
        <v>69</v>
      </c>
      <c r="N21" s="48" t="s">
        <v>73</v>
      </c>
      <c r="O21" s="49" t="s">
        <v>74</v>
      </c>
    </row>
    <row r="22" spans="1:15" ht="24.95" customHeight="1" thickBot="1" x14ac:dyDescent="0.35">
      <c r="A22" s="32"/>
      <c r="B22" s="44" t="s">
        <v>28</v>
      </c>
      <c r="C22" s="108">
        <v>500</v>
      </c>
      <c r="D22" s="109">
        <v>500</v>
      </c>
      <c r="E22" s="109">
        <v>500</v>
      </c>
      <c r="F22" s="109">
        <v>500</v>
      </c>
      <c r="G22" s="109">
        <v>500</v>
      </c>
      <c r="H22" s="109">
        <v>500</v>
      </c>
      <c r="I22" s="109">
        <v>500</v>
      </c>
      <c r="J22" s="109">
        <v>500</v>
      </c>
      <c r="K22" s="109">
        <v>500</v>
      </c>
      <c r="L22" s="109">
        <v>500</v>
      </c>
      <c r="M22" s="109">
        <v>500</v>
      </c>
      <c r="N22" s="109">
        <v>500</v>
      </c>
      <c r="O22" s="101">
        <f t="shared" ref="O22:O27" si="2">SUM(C22:N22)</f>
        <v>6000</v>
      </c>
    </row>
    <row r="23" spans="1:15" ht="24.95" customHeight="1" thickBot="1" x14ac:dyDescent="0.35">
      <c r="A23" s="32"/>
      <c r="B23" s="44" t="s">
        <v>29</v>
      </c>
      <c r="C23" s="108">
        <v>200</v>
      </c>
      <c r="D23" s="109">
        <v>200</v>
      </c>
      <c r="E23" s="109">
        <v>200</v>
      </c>
      <c r="F23" s="109">
        <v>200</v>
      </c>
      <c r="G23" s="109">
        <v>200</v>
      </c>
      <c r="H23" s="109">
        <v>1000</v>
      </c>
      <c r="I23" s="109">
        <v>200</v>
      </c>
      <c r="J23" s="109">
        <v>200</v>
      </c>
      <c r="K23" s="109">
        <v>200</v>
      </c>
      <c r="L23" s="109">
        <v>200</v>
      </c>
      <c r="M23" s="109">
        <v>200</v>
      </c>
      <c r="N23" s="109">
        <v>1000</v>
      </c>
      <c r="O23" s="101">
        <f t="shared" si="2"/>
        <v>4000</v>
      </c>
    </row>
    <row r="24" spans="1:15" ht="24.95" customHeight="1" thickBot="1" x14ac:dyDescent="0.35">
      <c r="A24" s="32"/>
      <c r="B24" s="44" t="s">
        <v>30</v>
      </c>
      <c r="C24" s="108">
        <v>5000</v>
      </c>
      <c r="D24" s="109">
        <v>0</v>
      </c>
      <c r="E24" s="109">
        <v>0</v>
      </c>
      <c r="F24" s="109">
        <v>5000</v>
      </c>
      <c r="G24" s="109">
        <v>0</v>
      </c>
      <c r="H24" s="109">
        <v>0</v>
      </c>
      <c r="I24" s="109">
        <v>5000</v>
      </c>
      <c r="J24" s="109">
        <v>0</v>
      </c>
      <c r="K24" s="109">
        <v>0</v>
      </c>
      <c r="L24" s="109">
        <v>5000</v>
      </c>
      <c r="M24" s="109">
        <v>0</v>
      </c>
      <c r="N24" s="109">
        <v>0</v>
      </c>
      <c r="O24" s="101">
        <f t="shared" si="2"/>
        <v>20000</v>
      </c>
    </row>
    <row r="25" spans="1:15" ht="24.95" customHeight="1" thickBot="1" x14ac:dyDescent="0.35">
      <c r="A25" s="32"/>
      <c r="B25" s="44" t="s">
        <v>31</v>
      </c>
      <c r="C25" s="108">
        <v>200</v>
      </c>
      <c r="D25" s="109">
        <v>200</v>
      </c>
      <c r="E25" s="109">
        <v>200</v>
      </c>
      <c r="F25" s="109">
        <v>200</v>
      </c>
      <c r="G25" s="109">
        <v>200</v>
      </c>
      <c r="H25" s="109">
        <v>200</v>
      </c>
      <c r="I25" s="109">
        <v>200</v>
      </c>
      <c r="J25" s="109">
        <v>200</v>
      </c>
      <c r="K25" s="109">
        <v>200</v>
      </c>
      <c r="L25" s="109">
        <v>200</v>
      </c>
      <c r="M25" s="109">
        <v>200</v>
      </c>
      <c r="N25" s="109">
        <v>200</v>
      </c>
      <c r="O25" s="101">
        <f t="shared" si="2"/>
        <v>2400</v>
      </c>
    </row>
    <row r="26" spans="1:15" ht="24.95" customHeight="1" thickBot="1" x14ac:dyDescent="0.35">
      <c r="A26" s="32"/>
      <c r="B26" s="44" t="s">
        <v>32</v>
      </c>
      <c r="C26" s="108">
        <v>2000</v>
      </c>
      <c r="D26" s="109">
        <v>2000</v>
      </c>
      <c r="E26" s="109">
        <v>2000</v>
      </c>
      <c r="F26" s="109">
        <v>5000</v>
      </c>
      <c r="G26" s="109">
        <v>2000</v>
      </c>
      <c r="H26" s="109">
        <v>2000</v>
      </c>
      <c r="I26" s="109">
        <v>2000</v>
      </c>
      <c r="J26" s="109">
        <v>5000</v>
      </c>
      <c r="K26" s="109">
        <v>2000</v>
      </c>
      <c r="L26" s="109">
        <v>2000</v>
      </c>
      <c r="M26" s="109">
        <v>2000</v>
      </c>
      <c r="N26" s="109">
        <v>5000</v>
      </c>
      <c r="O26" s="101">
        <f t="shared" si="2"/>
        <v>33000</v>
      </c>
    </row>
    <row r="27" spans="1:15" ht="24.95" customHeight="1" thickBot="1" x14ac:dyDescent="0.35">
      <c r="A27" s="32"/>
      <c r="B27" s="44" t="s">
        <v>33</v>
      </c>
      <c r="C27" s="108">
        <v>200</v>
      </c>
      <c r="D27" s="109">
        <v>200</v>
      </c>
      <c r="E27" s="109">
        <v>200</v>
      </c>
      <c r="F27" s="109">
        <v>200</v>
      </c>
      <c r="G27" s="109">
        <v>200</v>
      </c>
      <c r="H27" s="109">
        <v>200</v>
      </c>
      <c r="I27" s="109">
        <v>200</v>
      </c>
      <c r="J27" s="109">
        <v>200</v>
      </c>
      <c r="K27" s="109">
        <v>200</v>
      </c>
      <c r="L27" s="109">
        <v>200</v>
      </c>
      <c r="M27" s="109">
        <v>200</v>
      </c>
      <c r="N27" s="109">
        <v>200</v>
      </c>
      <c r="O27" s="101">
        <f t="shared" si="2"/>
        <v>2400</v>
      </c>
    </row>
    <row r="28" spans="1:15" ht="24.95" customHeight="1" x14ac:dyDescent="0.3">
      <c r="A28" s="32"/>
      <c r="B28" s="46" t="s">
        <v>17</v>
      </c>
      <c r="C28" s="102">
        <f>SUBTOTAL(109,PlaniraniTroškoviMarketinga[Jan])</f>
        <v>8100</v>
      </c>
      <c r="D28" s="103">
        <f>SUBTOTAL(109,PlaniraniTroškoviMarketinga[Feb])</f>
        <v>3100</v>
      </c>
      <c r="E28" s="103">
        <f>SUBTOTAL(109,PlaniraniTroškoviMarketinga[Mar])</f>
        <v>3100</v>
      </c>
      <c r="F28" s="103">
        <f>SUBTOTAL(109,PlaniraniTroškoviMarketinga[Apr])</f>
        <v>11100</v>
      </c>
      <c r="G28" s="103">
        <f>SUBTOTAL(109,PlaniraniTroškoviMarketinga[maj])</f>
        <v>3100</v>
      </c>
      <c r="H28" s="103">
        <f>SUBTOTAL(109,PlaniraniTroškoviMarketinga[jun])</f>
        <v>3900</v>
      </c>
      <c r="I28" s="103">
        <f>SUBTOTAL(109,PlaniraniTroškoviMarketinga[jul])</f>
        <v>8100</v>
      </c>
      <c r="J28" s="103">
        <f>SUBTOTAL(109,PlaniraniTroškoviMarketinga[avg])</f>
        <v>6100</v>
      </c>
      <c r="K28" s="103">
        <f>SUBTOTAL(109,PlaniraniTroškoviMarketinga[sep])</f>
        <v>3100</v>
      </c>
      <c r="L28" s="103">
        <f>SUBTOTAL(109,PlaniraniTroškoviMarketinga[Okt])</f>
        <v>8100</v>
      </c>
      <c r="M28" s="103">
        <f>SUBTOTAL(109,PlaniraniTroškoviMarketinga[Nov])</f>
        <v>3100</v>
      </c>
      <c r="N28" s="103">
        <f>SUBTOTAL(109,PlaniraniTroškoviMarketinga[Dec])</f>
        <v>6900</v>
      </c>
      <c r="O28" s="104">
        <f>SUBTOTAL(109,PlaniraniTroškoviMarketinga[GODINA])</f>
        <v>67800</v>
      </c>
    </row>
    <row r="29" spans="1:15" ht="21" customHeight="1" x14ac:dyDescent="0.3">
      <c r="A29" s="32"/>
      <c r="B29" s="135"/>
      <c r="C29" s="135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7"/>
    </row>
    <row r="30" spans="1:15" ht="21" customHeight="1" thickBot="1" x14ac:dyDescent="0.35">
      <c r="A30" s="32" t="s">
        <v>11</v>
      </c>
      <c r="B30" s="56" t="s">
        <v>34</v>
      </c>
      <c r="C30" s="48" t="s">
        <v>42</v>
      </c>
      <c r="D30" s="48" t="s">
        <v>45</v>
      </c>
      <c r="E30" s="48" t="s">
        <v>47</v>
      </c>
      <c r="F30" s="48" t="s">
        <v>51</v>
      </c>
      <c r="G30" s="48" t="s">
        <v>53</v>
      </c>
      <c r="H30" s="48" t="s">
        <v>55</v>
      </c>
      <c r="I30" s="48" t="s">
        <v>57</v>
      </c>
      <c r="J30" s="48" t="s">
        <v>59</v>
      </c>
      <c r="K30" s="48" t="s">
        <v>63</v>
      </c>
      <c r="L30" s="48" t="s">
        <v>66</v>
      </c>
      <c r="M30" s="48" t="s">
        <v>69</v>
      </c>
      <c r="N30" s="48" t="s">
        <v>73</v>
      </c>
      <c r="O30" s="49" t="s">
        <v>74</v>
      </c>
    </row>
    <row r="31" spans="1:15" ht="21" customHeight="1" thickBot="1" x14ac:dyDescent="0.35">
      <c r="A31" s="32"/>
      <c r="B31" s="44" t="s">
        <v>35</v>
      </c>
      <c r="C31" s="108">
        <v>2000</v>
      </c>
      <c r="D31" s="109">
        <v>2000</v>
      </c>
      <c r="E31" s="109">
        <v>2000</v>
      </c>
      <c r="F31" s="109">
        <v>2000</v>
      </c>
      <c r="G31" s="109">
        <v>2000</v>
      </c>
      <c r="H31" s="109">
        <v>2000</v>
      </c>
      <c r="I31" s="109">
        <v>2000</v>
      </c>
      <c r="J31" s="109">
        <v>2000</v>
      </c>
      <c r="K31" s="109">
        <v>2000</v>
      </c>
      <c r="L31" s="109">
        <v>2000</v>
      </c>
      <c r="M31" s="109">
        <v>2000</v>
      </c>
      <c r="N31" s="109">
        <v>2000</v>
      </c>
      <c r="O31" s="110">
        <f>SUM(C31:N31)</f>
        <v>24000</v>
      </c>
    </row>
    <row r="32" spans="1:15" ht="21" customHeight="1" thickBot="1" x14ac:dyDescent="0.35">
      <c r="A32" s="32"/>
      <c r="B32" s="44" t="s">
        <v>36</v>
      </c>
      <c r="C32" s="108">
        <v>2000</v>
      </c>
      <c r="D32" s="109">
        <v>2000</v>
      </c>
      <c r="E32" s="109">
        <v>2000</v>
      </c>
      <c r="F32" s="109">
        <v>2000</v>
      </c>
      <c r="G32" s="109">
        <v>2000</v>
      </c>
      <c r="H32" s="109">
        <v>2000</v>
      </c>
      <c r="I32" s="109">
        <v>2000</v>
      </c>
      <c r="J32" s="109">
        <v>2000</v>
      </c>
      <c r="K32" s="109">
        <v>2000</v>
      </c>
      <c r="L32" s="109">
        <v>2000</v>
      </c>
      <c r="M32" s="109">
        <v>2000</v>
      </c>
      <c r="N32" s="109">
        <v>2000</v>
      </c>
      <c r="O32" s="110">
        <f>SUM(C32:N32)</f>
        <v>24000</v>
      </c>
    </row>
    <row r="33" spans="1:15" ht="21" customHeight="1" x14ac:dyDescent="0.3">
      <c r="A33" s="32"/>
      <c r="B33" s="46" t="s">
        <v>17</v>
      </c>
      <c r="C33" s="111">
        <f>SUBTOTAL(109,PlaniraniTroškoviObukeIPutniTroškovi[Jan])</f>
        <v>4000</v>
      </c>
      <c r="D33" s="112">
        <f>SUBTOTAL(109,PlaniraniTroškoviObukeIPutniTroškovi[Feb])</f>
        <v>4000</v>
      </c>
      <c r="E33" s="112">
        <f>SUBTOTAL(109,PlaniraniTroškoviObukeIPutniTroškovi[Mar])</f>
        <v>4000</v>
      </c>
      <c r="F33" s="112">
        <f>SUBTOTAL(109,PlaniraniTroškoviObukeIPutniTroškovi[Apr])</f>
        <v>4000</v>
      </c>
      <c r="G33" s="112">
        <f>SUBTOTAL(109,PlaniraniTroškoviObukeIPutniTroškovi[maj])</f>
        <v>4000</v>
      </c>
      <c r="H33" s="112">
        <f>SUBTOTAL(109,PlaniraniTroškoviObukeIPutniTroškovi[jun])</f>
        <v>4000</v>
      </c>
      <c r="I33" s="112">
        <f>SUBTOTAL(109,PlaniraniTroškoviObukeIPutniTroškovi[jul])</f>
        <v>4000</v>
      </c>
      <c r="J33" s="112">
        <f>SUBTOTAL(109,PlaniraniTroškoviObukeIPutniTroškovi[avg])</f>
        <v>4000</v>
      </c>
      <c r="K33" s="112">
        <f>SUBTOTAL(109,PlaniraniTroškoviObukeIPutniTroškovi[sep])</f>
        <v>4000</v>
      </c>
      <c r="L33" s="112">
        <f>SUBTOTAL(109,PlaniraniTroškoviObukeIPutniTroškovi[Okt])</f>
        <v>4000</v>
      </c>
      <c r="M33" s="112">
        <f>SUBTOTAL(109,PlaniraniTroškoviObukeIPutniTroškovi[Nov])</f>
        <v>4000</v>
      </c>
      <c r="N33" s="112">
        <f>SUBTOTAL(109,PlaniraniTroškoviObukeIPutniTroškovi[Dec])</f>
        <v>4000</v>
      </c>
      <c r="O33" s="113">
        <f>SUBTOTAL(109,PlaniraniTroškoviObukeIPutniTroškovi[GODINA])</f>
        <v>48000</v>
      </c>
    </row>
    <row r="34" spans="1:15" ht="21" customHeight="1" x14ac:dyDescent="0.3">
      <c r="A34" s="32"/>
      <c r="B34" s="135"/>
      <c r="C34" s="135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24.95" customHeight="1" thickBot="1" x14ac:dyDescent="0.35">
      <c r="A35" s="32" t="s">
        <v>103</v>
      </c>
      <c r="B35" s="24" t="s">
        <v>37</v>
      </c>
      <c r="C35" s="26" t="s">
        <v>41</v>
      </c>
      <c r="D35" s="26" t="s">
        <v>44</v>
      </c>
      <c r="E35" s="26" t="s">
        <v>48</v>
      </c>
      <c r="F35" s="26" t="s">
        <v>50</v>
      </c>
      <c r="G35" s="26" t="s">
        <v>53</v>
      </c>
      <c r="H35" s="26" t="s">
        <v>55</v>
      </c>
      <c r="I35" s="26" t="s">
        <v>57</v>
      </c>
      <c r="J35" s="26" t="s">
        <v>59</v>
      </c>
      <c r="K35" s="26" t="s">
        <v>63</v>
      </c>
      <c r="L35" s="26" t="s">
        <v>65</v>
      </c>
      <c r="M35" s="26" t="s">
        <v>68</v>
      </c>
      <c r="N35" s="26" t="s">
        <v>72</v>
      </c>
      <c r="O35" s="26" t="s">
        <v>75</v>
      </c>
    </row>
    <row r="36" spans="1:15" ht="24.95" customHeight="1" thickBot="1" x14ac:dyDescent="0.35">
      <c r="A36" s="32"/>
      <c r="B36" s="25" t="s">
        <v>38</v>
      </c>
      <c r="C36" s="114">
        <f>PlaniraniTroškoviObukeIPutniTroškovi[[#Totals],[Jan]]+PlaniraniTroškoviMarketinga[[#Totals],[Jan]]+PlaniraniKancelarijskiTroškovi[[#Totals],[Jan]]+PlaniraniTroškoviZaposlenih[[#Totals],[jan]]</f>
        <v>131420</v>
      </c>
      <c r="D36" s="114">
        <f>PlaniraniTroškoviObukeIPutniTroškovi[[#Totals],[Feb]]+PlaniraniTroškoviMarketinga[[#Totals],[Feb]]+PlaniraniKancelarijskiTroškovi[[#Totals],[Feb]]+PlaniraniTroškoviZaposlenih[[#Totals],[feb]]</f>
        <v>126820</v>
      </c>
      <c r="E36" s="114">
        <f>PlaniraniTroškoviObukeIPutniTroškovi[[#Totals],[Mar]]+PlaniraniTroškoviMarketinga[[#Totals],[Mar]]+PlaniraniKancelarijskiTroškovi[[#Totals],[Mar]]+PlaniraniTroškoviZaposlenih[[#Totals],[Mar]]</f>
        <v>126820</v>
      </c>
      <c r="F36" s="114">
        <f>PlaniraniTroškoviObukeIPutniTroškovi[[#Totals],[Apr]]+PlaniraniTroškoviMarketinga[[#Totals],[Apr]]+PlaniraniKancelarijskiTroškovi[[#Totals],[Apr]]+PlaniraniTroškoviZaposlenih[[#Totals],[apr]]</f>
        <v>137695</v>
      </c>
      <c r="G36" s="114">
        <f>PlaniraniTroškoviObukeIPutniTroškovi[[#Totals],[maj]]+PlaniraniTroškoviMarketinga[[#Totals],[maj]]+PlaniraniKancelarijskiTroškovi[[#Totals],[maj]]+PlaniraniTroškoviZaposlenih[[#Totals],[maj]]</f>
        <v>129695</v>
      </c>
      <c r="H36" s="114">
        <f>PlaniraniTroškoviObukeIPutniTroškovi[[#Totals],[jun]]+PlaniraniTroškoviMarketinga[[#Totals],[jun]]+PlaniraniKancelarijskiTroškovi[[#Totals],[jun]]+PlaniraniTroškoviZaposlenih[[#Totals],[jun]]</f>
        <v>130495</v>
      </c>
      <c r="I36" s="115">
        <f>PlaniraniTroškoviObukeIPutniTroškovi[[#Totals],[jul]]+PlaniraniTroškoviMarketinga[[#Totals],[jul]]+PlaniraniKancelarijskiTroškovi[[#Totals],[jul]]+PlaniraniTroškoviZaposlenih[[#Totals],[jul]]</f>
        <v>134695</v>
      </c>
      <c r="J36" s="114">
        <f>PlaniraniTroškoviObukeIPutniTroškovi[[#Totals],[avg]]+PlaniraniTroškoviMarketinga[[#Totals],[avg]]+PlaniraniKancelarijskiTroškovi[[#Totals],[avg]]+PlaniraniTroškoviZaposlenih[[#Totals],[avg]]</f>
        <v>138918</v>
      </c>
      <c r="K36" s="114">
        <f>PlaniraniTroškoviObukeIPutniTroškovi[[#Totals],[sep]]+PlaniraniTroškoviMarketinga[[#Totals],[sep]]+PlaniraniKancelarijskiTroškovi[[#Totals],[sep]]+PlaniraniTroškoviZaposlenih[[#Totals],[sep]]</f>
        <v>135918</v>
      </c>
      <c r="L36" s="114">
        <f>PlaniraniTroškoviObukeIPutniTroškovi[[#Totals],[Okt]]+PlaniraniTroškoviMarketinga[[#Totals],[Okt]]+PlaniraniKancelarijskiTroškovi[[#Totals],[Okt]]+PlaniraniTroškoviZaposlenih[[#Totals],[okt]]</f>
        <v>140918</v>
      </c>
      <c r="M36" s="114">
        <f>PlaniraniTroškoviObukeIPutniTroškovi[[#Totals],[Nov]]+PlaniraniTroškoviMarketinga[[#Totals],[Nov]]+PlaniraniKancelarijskiTroškovi[[#Totals],[Nov]]+PlaniraniTroškoviZaposlenih[[#Totals],[nov]]</f>
        <v>136218</v>
      </c>
      <c r="N36" s="114">
        <f>PlaniraniTroškoviObukeIPutniTroškovi[[#Totals],[Dec]]+PlaniraniTroškoviMarketinga[[#Totals],[Dec]]+PlaniraniKancelarijskiTroškovi[[#Totals],[Dec]]+PlaniraniTroškoviZaposlenih[[#Totals],[dec]]</f>
        <v>140018</v>
      </c>
      <c r="O36" s="114">
        <f>PlaniraniTroškoviObukeIPutniTroškovi[[#Totals],[GODINA]]+PlaniraniTroškoviMarketinga[[#Totals],[GODINA]]+PlaniraniKancelarijskiTroškovi[[#Totals],[GODINA]]+PlaniraniTroškoviZaposlenih[[#Totals],[GODINA]]</f>
        <v>1609630</v>
      </c>
    </row>
    <row r="37" spans="1:15" ht="24.95" customHeight="1" x14ac:dyDescent="0.3">
      <c r="A37" s="32"/>
      <c r="B37" s="25" t="s">
        <v>39</v>
      </c>
      <c r="C37" s="114">
        <f>SUM($C$36:C36)</f>
        <v>131420</v>
      </c>
      <c r="D37" s="114">
        <f>SUM($C$36:D36)</f>
        <v>258240</v>
      </c>
      <c r="E37" s="114">
        <f>SUM($C$36:E36)</f>
        <v>385060</v>
      </c>
      <c r="F37" s="114">
        <f>SUM($C$36:F36)</f>
        <v>522755</v>
      </c>
      <c r="G37" s="114">
        <f>SUM($C$36:G36)</f>
        <v>652450</v>
      </c>
      <c r="H37" s="114">
        <f>SUM($C$36:H36)</f>
        <v>782945</v>
      </c>
      <c r="I37" s="114">
        <f>SUM($C$36:I36)</f>
        <v>917640</v>
      </c>
      <c r="J37" s="114">
        <f>SUM($C$36:J36)</f>
        <v>1056558</v>
      </c>
      <c r="K37" s="114">
        <f>SUM($C$36:K36)</f>
        <v>1192476</v>
      </c>
      <c r="L37" s="114">
        <f>SUM($C$36:L36)</f>
        <v>1333394</v>
      </c>
      <c r="M37" s="114">
        <f>SUM($C$36:M36)</f>
        <v>1469612</v>
      </c>
      <c r="N37" s="114">
        <f>SUM($C$36:N36)</f>
        <v>1609630</v>
      </c>
      <c r="O37" s="114"/>
    </row>
    <row r="38" spans="1:15" ht="21" customHeight="1" x14ac:dyDescent="0.3">
      <c r="A38" s="32"/>
      <c r="N38" s="3"/>
      <c r="O38" s="3"/>
    </row>
  </sheetData>
  <mergeCells count="9">
    <mergeCell ref="R4:T13"/>
    <mergeCell ref="N2:O3"/>
    <mergeCell ref="K2:M2"/>
    <mergeCell ref="B34:C34"/>
    <mergeCell ref="B29:C29"/>
    <mergeCell ref="B20:C20"/>
    <mergeCell ref="B9:C9"/>
    <mergeCell ref="B2:D3"/>
    <mergeCell ref="K3:M3"/>
  </mergeCell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C6:N6 C36:O37" calculatedColumn="1"/>
    <ignoredError sqref="O12" emptyCellReference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3B893D"/>
    <pageSetUpPr autoPageBreaks="0" fitToPage="1"/>
  </sheetPr>
  <dimension ref="A1:P41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36.42578125" style="4" bestFit="1" customWidth="1"/>
    <col min="3" max="15" width="18" style="4" customWidth="1"/>
    <col min="16" max="16" width="4.7109375" style="1" customWidth="1"/>
    <col min="17" max="16384" width="9.140625" style="4"/>
  </cols>
  <sheetData>
    <row r="1" spans="1:16" s="88" customFormat="1" ht="24" customHeight="1" x14ac:dyDescent="0.3">
      <c r="A1" s="84" t="s">
        <v>104</v>
      </c>
      <c r="B1" s="85"/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76</v>
      </c>
    </row>
    <row r="2" spans="1:16" s="88" customFormat="1" ht="45" customHeight="1" x14ac:dyDescent="0.35">
      <c r="A2" s="89" t="s">
        <v>78</v>
      </c>
      <c r="B2" s="137" t="str">
        <f>'PLANIRANI TROŠKOVI'!B2:D3</f>
        <v>Ime preduzeća</v>
      </c>
      <c r="C2" s="137"/>
      <c r="D2" s="137"/>
      <c r="E2" s="90"/>
      <c r="F2" s="8"/>
      <c r="G2" s="8"/>
      <c r="H2" s="8"/>
      <c r="I2" s="8"/>
      <c r="J2" s="8"/>
      <c r="K2" s="134" t="str">
        <f>naslov_radnog_lista</f>
        <v>Detaljne procene troškova</v>
      </c>
      <c r="L2" s="134"/>
      <c r="M2" s="134"/>
      <c r="N2" s="133" t="s">
        <v>70</v>
      </c>
      <c r="O2" s="133"/>
      <c r="P2" s="86"/>
    </row>
    <row r="3" spans="1:16" s="88" customFormat="1" ht="30" customHeight="1" x14ac:dyDescent="0.3">
      <c r="A3" s="89" t="s">
        <v>9</v>
      </c>
      <c r="B3" s="137"/>
      <c r="C3" s="137"/>
      <c r="D3" s="137"/>
      <c r="E3" s="91"/>
      <c r="F3" s="9"/>
      <c r="G3" s="9"/>
      <c r="H3" s="9"/>
      <c r="I3" s="9"/>
      <c r="J3" s="9"/>
      <c r="K3" s="139" t="s">
        <v>61</v>
      </c>
      <c r="L3" s="139"/>
      <c r="M3" s="139"/>
      <c r="N3" s="133"/>
      <c r="O3" s="133"/>
      <c r="P3" s="86"/>
    </row>
    <row r="4" spans="1:16" s="93" customFormat="1" ht="49.5" customHeight="1" x14ac:dyDescent="0.3">
      <c r="A4" s="92" t="s">
        <v>79</v>
      </c>
      <c r="B4" s="22" t="s">
        <v>81</v>
      </c>
      <c r="C4" s="23" t="s">
        <v>40</v>
      </c>
      <c r="D4" s="23" t="s">
        <v>43</v>
      </c>
      <c r="E4" s="23" t="s">
        <v>46</v>
      </c>
      <c r="F4" s="23" t="s">
        <v>49</v>
      </c>
      <c r="G4" s="23" t="s">
        <v>52</v>
      </c>
      <c r="H4" s="23" t="s">
        <v>54</v>
      </c>
      <c r="I4" s="23" t="s">
        <v>56</v>
      </c>
      <c r="J4" s="23" t="s">
        <v>58</v>
      </c>
      <c r="K4" s="23" t="s">
        <v>62</v>
      </c>
      <c r="L4" s="23" t="s">
        <v>64</v>
      </c>
      <c r="M4" s="23" t="s">
        <v>67</v>
      </c>
      <c r="N4" s="23" t="s">
        <v>71</v>
      </c>
      <c r="O4" s="23" t="s">
        <v>74</v>
      </c>
    </row>
    <row r="5" spans="1:16" s="116" customFormat="1" ht="24.95" customHeight="1" thickBot="1" x14ac:dyDescent="0.35">
      <c r="A5" s="94" t="s">
        <v>105</v>
      </c>
      <c r="B5" s="43" t="s">
        <v>14</v>
      </c>
      <c r="C5" s="67" t="s">
        <v>41</v>
      </c>
      <c r="D5" s="63" t="s">
        <v>44</v>
      </c>
      <c r="E5" s="63" t="s">
        <v>48</v>
      </c>
      <c r="F5" s="63" t="s">
        <v>50</v>
      </c>
      <c r="G5" s="63" t="s">
        <v>53</v>
      </c>
      <c r="H5" s="63" t="s">
        <v>55</v>
      </c>
      <c r="I5" s="63" t="s">
        <v>57</v>
      </c>
      <c r="J5" s="63" t="s">
        <v>59</v>
      </c>
      <c r="K5" s="63" t="s">
        <v>63</v>
      </c>
      <c r="L5" s="63" t="s">
        <v>65</v>
      </c>
      <c r="M5" s="63" t="s">
        <v>68</v>
      </c>
      <c r="N5" s="63" t="s">
        <v>72</v>
      </c>
      <c r="O5" s="64" t="s">
        <v>74</v>
      </c>
      <c r="P5" s="95"/>
    </row>
    <row r="6" spans="1:16" s="5" customFormat="1" ht="24.95" customHeight="1" thickBot="1" x14ac:dyDescent="0.35">
      <c r="A6" s="32"/>
      <c r="B6" s="44" t="s">
        <v>15</v>
      </c>
      <c r="C6" s="108">
        <v>85000</v>
      </c>
      <c r="D6" s="109">
        <v>85000</v>
      </c>
      <c r="E6" s="109">
        <v>85000</v>
      </c>
      <c r="F6" s="109">
        <v>88000</v>
      </c>
      <c r="G6" s="109">
        <v>88000</v>
      </c>
      <c r="H6" s="109">
        <v>88000</v>
      </c>
      <c r="I6" s="109"/>
      <c r="J6" s="109"/>
      <c r="K6" s="109"/>
      <c r="L6" s="109"/>
      <c r="M6" s="109"/>
      <c r="N6" s="109"/>
      <c r="O6" s="110">
        <f>SUM(C6:N6)</f>
        <v>519000</v>
      </c>
      <c r="P6" s="1"/>
    </row>
    <row r="7" spans="1:16" s="5" customFormat="1" ht="24.95" customHeight="1" thickBot="1" x14ac:dyDescent="0.35">
      <c r="A7" s="32"/>
      <c r="B7" s="44" t="s">
        <v>16</v>
      </c>
      <c r="C7" s="108">
        <f t="shared" ref="C7:N7" si="0">C6*0.27</f>
        <v>22950</v>
      </c>
      <c r="D7" s="109">
        <f t="shared" si="0"/>
        <v>22950</v>
      </c>
      <c r="E7" s="109">
        <f t="shared" si="0"/>
        <v>22950</v>
      </c>
      <c r="F7" s="109">
        <f t="shared" si="0"/>
        <v>23760</v>
      </c>
      <c r="G7" s="109">
        <f t="shared" si="0"/>
        <v>23760</v>
      </c>
      <c r="H7" s="109">
        <f t="shared" si="0"/>
        <v>23760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0</v>
      </c>
      <c r="O7" s="110">
        <f>SUM(C7:N7)</f>
        <v>140130</v>
      </c>
      <c r="P7" s="1"/>
    </row>
    <row r="8" spans="1:16" ht="24.95" customHeight="1" x14ac:dyDescent="0.3">
      <c r="A8" s="32"/>
      <c r="B8" s="68" t="s">
        <v>17</v>
      </c>
      <c r="C8" s="117">
        <f>SUBTOTAL(109,StvarniTroškoviZaposlenih[jan])</f>
        <v>107950</v>
      </c>
      <c r="D8" s="118">
        <f>SUBTOTAL(109,StvarniTroškoviZaposlenih[feb])</f>
        <v>107950</v>
      </c>
      <c r="E8" s="118">
        <f>SUBTOTAL(109,StvarniTroškoviZaposlenih[mar])</f>
        <v>107950</v>
      </c>
      <c r="F8" s="118">
        <f>SUBTOTAL(109,StvarniTroškoviZaposlenih[apr])</f>
        <v>111760</v>
      </c>
      <c r="G8" s="118">
        <f>SUBTOTAL(109,StvarniTroškoviZaposlenih[maj])</f>
        <v>111760</v>
      </c>
      <c r="H8" s="118">
        <f>SUBTOTAL(109,StvarniTroškoviZaposlenih[jun])</f>
        <v>111760</v>
      </c>
      <c r="I8" s="118">
        <f>SUBTOTAL(109,StvarniTroškoviZaposlenih[jul])</f>
        <v>0</v>
      </c>
      <c r="J8" s="118">
        <f>SUBTOTAL(109,StvarniTroškoviZaposlenih[avg])</f>
        <v>0</v>
      </c>
      <c r="K8" s="118">
        <f>SUBTOTAL(109,StvarniTroškoviZaposlenih[sep])</f>
        <v>0</v>
      </c>
      <c r="L8" s="118">
        <f>SUBTOTAL(109,StvarniTroškoviZaposlenih[okt])</f>
        <v>0</v>
      </c>
      <c r="M8" s="118">
        <f>SUBTOTAL(109,StvarniTroškoviZaposlenih[nov])</f>
        <v>0</v>
      </c>
      <c r="N8" s="118">
        <f>SUBTOTAL(109,StvarniTroškoviZaposlenih[dec])</f>
        <v>0</v>
      </c>
      <c r="O8" s="119">
        <f>SUBTOTAL(109,StvarniTroškoviZaposlenih[GODINA])</f>
        <v>659130</v>
      </c>
    </row>
    <row r="9" spans="1:16" s="1" customFormat="1" ht="21" customHeight="1" x14ac:dyDescent="0.3">
      <c r="A9" s="32"/>
      <c r="B9" s="135"/>
      <c r="C9" s="13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spans="1:16" ht="24.95" customHeight="1" thickBot="1" x14ac:dyDescent="0.35">
      <c r="A10" s="32" t="s">
        <v>106</v>
      </c>
      <c r="B10" s="50" t="s">
        <v>18</v>
      </c>
      <c r="C10" s="67" t="s">
        <v>42</v>
      </c>
      <c r="D10" s="63" t="s">
        <v>45</v>
      </c>
      <c r="E10" s="63" t="s">
        <v>47</v>
      </c>
      <c r="F10" s="63" t="s">
        <v>51</v>
      </c>
      <c r="G10" s="63" t="s">
        <v>53</v>
      </c>
      <c r="H10" s="63" t="s">
        <v>55</v>
      </c>
      <c r="I10" s="63" t="s">
        <v>57</v>
      </c>
      <c r="J10" s="63" t="s">
        <v>59</v>
      </c>
      <c r="K10" s="63" t="s">
        <v>63</v>
      </c>
      <c r="L10" s="63" t="s">
        <v>66</v>
      </c>
      <c r="M10" s="63" t="s">
        <v>69</v>
      </c>
      <c r="N10" s="63" t="s">
        <v>73</v>
      </c>
      <c r="O10" s="64" t="s">
        <v>74</v>
      </c>
    </row>
    <row r="11" spans="1:16" ht="24.95" customHeight="1" thickBot="1" x14ac:dyDescent="0.35">
      <c r="A11" s="32"/>
      <c r="B11" s="44" t="s">
        <v>19</v>
      </c>
      <c r="C11" s="108">
        <v>9800</v>
      </c>
      <c r="D11" s="109">
        <v>9800</v>
      </c>
      <c r="E11" s="109">
        <v>9800</v>
      </c>
      <c r="F11" s="109">
        <v>9800</v>
      </c>
      <c r="G11" s="109">
        <v>9800</v>
      </c>
      <c r="H11" s="109">
        <v>9800</v>
      </c>
      <c r="I11" s="109"/>
      <c r="J11" s="109"/>
      <c r="K11" s="109"/>
      <c r="L11" s="109"/>
      <c r="M11" s="109"/>
      <c r="N11" s="109"/>
      <c r="O11" s="110">
        <f t="shared" ref="O11:O18" si="1">SUM(C11:N11)</f>
        <v>58800</v>
      </c>
    </row>
    <row r="12" spans="1:16" ht="24.95" customHeight="1" thickBot="1" x14ac:dyDescent="0.35">
      <c r="A12" s="32"/>
      <c r="B12" s="44" t="s">
        <v>20</v>
      </c>
      <c r="C12" s="108">
        <v>4</v>
      </c>
      <c r="D12" s="109">
        <v>430</v>
      </c>
      <c r="E12" s="109">
        <v>385</v>
      </c>
      <c r="F12" s="109">
        <v>230</v>
      </c>
      <c r="G12" s="109">
        <v>87</v>
      </c>
      <c r="H12" s="109">
        <v>88</v>
      </c>
      <c r="I12" s="109"/>
      <c r="J12" s="109"/>
      <c r="K12" s="109"/>
      <c r="L12" s="109"/>
      <c r="M12" s="109"/>
      <c r="N12" s="109"/>
      <c r="O12" s="110">
        <f t="shared" si="1"/>
        <v>1224</v>
      </c>
    </row>
    <row r="13" spans="1:16" ht="24.95" customHeight="1" thickBot="1" x14ac:dyDescent="0.35">
      <c r="A13" s="32"/>
      <c r="B13" s="44" t="s">
        <v>21</v>
      </c>
      <c r="C13" s="108">
        <v>288</v>
      </c>
      <c r="D13" s="109">
        <v>278</v>
      </c>
      <c r="E13" s="109">
        <v>268</v>
      </c>
      <c r="F13" s="109">
        <v>299</v>
      </c>
      <c r="G13" s="109">
        <v>306</v>
      </c>
      <c r="H13" s="109">
        <v>290</v>
      </c>
      <c r="I13" s="109"/>
      <c r="J13" s="109"/>
      <c r="K13" s="109"/>
      <c r="L13" s="109"/>
      <c r="M13" s="109"/>
      <c r="N13" s="109"/>
      <c r="O13" s="110">
        <f t="shared" si="1"/>
        <v>1729</v>
      </c>
    </row>
    <row r="14" spans="1:16" ht="24.95" customHeight="1" thickBot="1" x14ac:dyDescent="0.35">
      <c r="A14" s="32"/>
      <c r="B14" s="44" t="s">
        <v>22</v>
      </c>
      <c r="C14" s="108">
        <v>35</v>
      </c>
      <c r="D14" s="109">
        <v>33</v>
      </c>
      <c r="E14" s="109">
        <v>34</v>
      </c>
      <c r="F14" s="109">
        <v>36</v>
      </c>
      <c r="G14" s="109">
        <v>34</v>
      </c>
      <c r="H14" s="109">
        <v>36</v>
      </c>
      <c r="I14" s="109"/>
      <c r="J14" s="109"/>
      <c r="K14" s="109"/>
      <c r="L14" s="109"/>
      <c r="M14" s="109"/>
      <c r="N14" s="109"/>
      <c r="O14" s="110">
        <f t="shared" si="1"/>
        <v>208</v>
      </c>
    </row>
    <row r="15" spans="1:16" ht="24.95" customHeight="1" thickBot="1" x14ac:dyDescent="0.35">
      <c r="A15" s="32"/>
      <c r="B15" s="44" t="s">
        <v>23</v>
      </c>
      <c r="C15" s="108">
        <v>224</v>
      </c>
      <c r="D15" s="109">
        <v>235</v>
      </c>
      <c r="E15" s="109">
        <v>265</v>
      </c>
      <c r="F15" s="109">
        <v>245</v>
      </c>
      <c r="G15" s="109">
        <v>245</v>
      </c>
      <c r="H15" s="109">
        <v>220</v>
      </c>
      <c r="I15" s="109"/>
      <c r="J15" s="109"/>
      <c r="K15" s="109"/>
      <c r="L15" s="109"/>
      <c r="M15" s="109"/>
      <c r="N15" s="109"/>
      <c r="O15" s="110">
        <f t="shared" si="1"/>
        <v>1434</v>
      </c>
    </row>
    <row r="16" spans="1:16" ht="24.95" customHeight="1" thickBot="1" x14ac:dyDescent="0.35">
      <c r="A16" s="32"/>
      <c r="B16" s="44" t="s">
        <v>24</v>
      </c>
      <c r="C16" s="108">
        <v>180</v>
      </c>
      <c r="D16" s="109">
        <v>180</v>
      </c>
      <c r="E16" s="109">
        <v>180</v>
      </c>
      <c r="F16" s="109">
        <v>180</v>
      </c>
      <c r="G16" s="109">
        <v>180</v>
      </c>
      <c r="H16" s="109">
        <v>180</v>
      </c>
      <c r="I16" s="109"/>
      <c r="J16" s="109"/>
      <c r="K16" s="109"/>
      <c r="L16" s="109"/>
      <c r="M16" s="109"/>
      <c r="N16" s="109"/>
      <c r="O16" s="110">
        <f t="shared" si="1"/>
        <v>1080</v>
      </c>
    </row>
    <row r="17" spans="1:15" ht="24.95" customHeight="1" thickBot="1" x14ac:dyDescent="0.35">
      <c r="A17" s="32"/>
      <c r="B17" s="44" t="s">
        <v>25</v>
      </c>
      <c r="C17" s="108">
        <v>256</v>
      </c>
      <c r="D17" s="109">
        <v>142</v>
      </c>
      <c r="E17" s="109">
        <v>160</v>
      </c>
      <c r="F17" s="109">
        <v>221</v>
      </c>
      <c r="G17" s="109">
        <v>256</v>
      </c>
      <c r="H17" s="109">
        <v>240</v>
      </c>
      <c r="I17" s="109"/>
      <c r="J17" s="109"/>
      <c r="K17" s="109"/>
      <c r="L17" s="109"/>
      <c r="M17" s="109"/>
      <c r="N17" s="109"/>
      <c r="O17" s="110">
        <f t="shared" si="1"/>
        <v>1275</v>
      </c>
    </row>
    <row r="18" spans="1:15" ht="24.95" customHeight="1" thickBot="1" x14ac:dyDescent="0.35">
      <c r="A18" s="32"/>
      <c r="B18" s="44" t="s">
        <v>26</v>
      </c>
      <c r="C18" s="108">
        <v>600</v>
      </c>
      <c r="D18" s="109">
        <v>600</v>
      </c>
      <c r="E18" s="109">
        <v>600</v>
      </c>
      <c r="F18" s="109">
        <v>600</v>
      </c>
      <c r="G18" s="109">
        <v>600</v>
      </c>
      <c r="H18" s="109">
        <v>600</v>
      </c>
      <c r="I18" s="109"/>
      <c r="J18" s="109"/>
      <c r="K18" s="109"/>
      <c r="L18" s="109"/>
      <c r="M18" s="109"/>
      <c r="N18" s="109"/>
      <c r="O18" s="110">
        <f t="shared" si="1"/>
        <v>3600</v>
      </c>
    </row>
    <row r="19" spans="1:15" ht="24.95" customHeight="1" x14ac:dyDescent="0.3">
      <c r="A19" s="32"/>
      <c r="B19" s="69" t="s">
        <v>17</v>
      </c>
      <c r="C19" s="112">
        <f>SUBTOTAL(109,StvarniKancelarijskiTroškovi[Jan])</f>
        <v>11387</v>
      </c>
      <c r="D19" s="112">
        <f>SUBTOTAL(109,StvarniKancelarijskiTroškovi[Feb])</f>
        <v>11698</v>
      </c>
      <c r="E19" s="112">
        <f>SUBTOTAL(109,StvarniKancelarijskiTroškovi[Mar])</f>
        <v>11692</v>
      </c>
      <c r="F19" s="112">
        <f>SUBTOTAL(109,StvarniKancelarijskiTroškovi[Apr])</f>
        <v>11611</v>
      </c>
      <c r="G19" s="112">
        <f>SUBTOTAL(109,StvarniKancelarijskiTroškovi[maj])</f>
        <v>11508</v>
      </c>
      <c r="H19" s="112">
        <f>SUBTOTAL(109,StvarniKancelarijskiTroškovi[jun])</f>
        <v>11454</v>
      </c>
      <c r="I19" s="112">
        <f>SUBTOTAL(109,StvarniKancelarijskiTroškovi[jul])</f>
        <v>0</v>
      </c>
      <c r="J19" s="112">
        <f>SUBTOTAL(109,StvarniKancelarijskiTroškovi[avg])</f>
        <v>0</v>
      </c>
      <c r="K19" s="112">
        <f>SUBTOTAL(109,StvarniKancelarijskiTroškovi[sep])</f>
        <v>0</v>
      </c>
      <c r="L19" s="112">
        <f>SUBTOTAL(109,StvarniKancelarijskiTroškovi[Okt])</f>
        <v>0</v>
      </c>
      <c r="M19" s="112">
        <f>SUBTOTAL(109,StvarniKancelarijskiTroškovi[Nov])</f>
        <v>0</v>
      </c>
      <c r="N19" s="112">
        <f>SUBTOTAL(109,StvarniKancelarijskiTroškovi[Dec])</f>
        <v>0</v>
      </c>
      <c r="O19" s="113">
        <f>SUBTOTAL(109,StvarniKancelarijskiTroškovi[GODINA])</f>
        <v>69350</v>
      </c>
    </row>
    <row r="20" spans="1:15" ht="21" customHeight="1" x14ac:dyDescent="0.3">
      <c r="A20" s="32"/>
      <c r="B20" s="136"/>
      <c r="C20" s="136"/>
      <c r="D20" s="96"/>
      <c r="E20" s="96"/>
      <c r="F20" s="98"/>
      <c r="G20" s="98"/>
      <c r="H20" s="98"/>
      <c r="I20" s="98"/>
      <c r="J20" s="98"/>
      <c r="K20" s="98"/>
      <c r="L20" s="98"/>
      <c r="M20" s="98"/>
      <c r="N20" s="98"/>
      <c r="O20" s="97"/>
    </row>
    <row r="21" spans="1:15" ht="24.95" customHeight="1" thickBot="1" x14ac:dyDescent="0.35">
      <c r="A21" s="32" t="s">
        <v>107</v>
      </c>
      <c r="B21" s="70" t="s">
        <v>27</v>
      </c>
      <c r="C21" s="67" t="s">
        <v>42</v>
      </c>
      <c r="D21" s="63" t="s">
        <v>45</v>
      </c>
      <c r="E21" s="63" t="s">
        <v>47</v>
      </c>
      <c r="F21" s="63" t="s">
        <v>51</v>
      </c>
      <c r="G21" s="63" t="s">
        <v>53</v>
      </c>
      <c r="H21" s="63" t="s">
        <v>55</v>
      </c>
      <c r="I21" s="63" t="s">
        <v>57</v>
      </c>
      <c r="J21" s="63" t="s">
        <v>59</v>
      </c>
      <c r="K21" s="63" t="s">
        <v>63</v>
      </c>
      <c r="L21" s="63" t="s">
        <v>66</v>
      </c>
      <c r="M21" s="63" t="s">
        <v>69</v>
      </c>
      <c r="N21" s="63" t="s">
        <v>73</v>
      </c>
      <c r="O21" s="64" t="s">
        <v>74</v>
      </c>
    </row>
    <row r="22" spans="1:15" ht="24.95" customHeight="1" thickBot="1" x14ac:dyDescent="0.35">
      <c r="A22" s="32"/>
      <c r="B22" s="44" t="s">
        <v>28</v>
      </c>
      <c r="C22" s="108">
        <v>500</v>
      </c>
      <c r="D22" s="109">
        <v>500</v>
      </c>
      <c r="E22" s="109">
        <v>500</v>
      </c>
      <c r="F22" s="109">
        <v>500</v>
      </c>
      <c r="G22" s="109">
        <v>500</v>
      </c>
      <c r="H22" s="109">
        <v>500</v>
      </c>
      <c r="I22" s="109"/>
      <c r="J22" s="109"/>
      <c r="K22" s="109"/>
      <c r="L22" s="109"/>
      <c r="M22" s="109"/>
      <c r="N22" s="109"/>
      <c r="O22" s="110">
        <f t="shared" ref="O22:O27" si="2">SUM(C22:N22)</f>
        <v>3000</v>
      </c>
    </row>
    <row r="23" spans="1:15" ht="24.95" customHeight="1" thickBot="1" x14ac:dyDescent="0.35">
      <c r="A23" s="32"/>
      <c r="B23" s="44" t="s">
        <v>29</v>
      </c>
      <c r="C23" s="108">
        <v>200</v>
      </c>
      <c r="D23" s="109">
        <v>200</v>
      </c>
      <c r="E23" s="109">
        <v>200</v>
      </c>
      <c r="F23" s="109">
        <v>200</v>
      </c>
      <c r="G23" s="109">
        <v>200</v>
      </c>
      <c r="H23" s="109">
        <v>1500</v>
      </c>
      <c r="I23" s="109"/>
      <c r="J23" s="109"/>
      <c r="K23" s="109"/>
      <c r="L23" s="109"/>
      <c r="M23" s="109"/>
      <c r="N23" s="109"/>
      <c r="O23" s="110">
        <f t="shared" si="2"/>
        <v>2500</v>
      </c>
    </row>
    <row r="24" spans="1:15" ht="24.95" customHeight="1" thickBot="1" x14ac:dyDescent="0.35">
      <c r="A24" s="32"/>
      <c r="B24" s="44" t="s">
        <v>30</v>
      </c>
      <c r="C24" s="108">
        <v>4800</v>
      </c>
      <c r="D24" s="109">
        <v>0</v>
      </c>
      <c r="E24" s="109">
        <v>0</v>
      </c>
      <c r="F24" s="109">
        <v>5500</v>
      </c>
      <c r="G24" s="109">
        <v>0</v>
      </c>
      <c r="H24" s="109">
        <v>0</v>
      </c>
      <c r="I24" s="109"/>
      <c r="J24" s="109"/>
      <c r="K24" s="109"/>
      <c r="L24" s="109"/>
      <c r="M24" s="109"/>
      <c r="N24" s="109"/>
      <c r="O24" s="110">
        <f t="shared" si="2"/>
        <v>10300</v>
      </c>
    </row>
    <row r="25" spans="1:15" ht="24.95" customHeight="1" thickBot="1" x14ac:dyDescent="0.35">
      <c r="A25" s="32"/>
      <c r="B25" s="44" t="s">
        <v>31</v>
      </c>
      <c r="C25" s="108">
        <v>100</v>
      </c>
      <c r="D25" s="109">
        <v>500</v>
      </c>
      <c r="E25" s="109">
        <v>100</v>
      </c>
      <c r="F25" s="109">
        <v>100</v>
      </c>
      <c r="G25" s="109">
        <v>600</v>
      </c>
      <c r="H25" s="109">
        <v>180</v>
      </c>
      <c r="I25" s="109"/>
      <c r="J25" s="109"/>
      <c r="K25" s="109"/>
      <c r="L25" s="109"/>
      <c r="M25" s="109"/>
      <c r="N25" s="109"/>
      <c r="O25" s="110">
        <f t="shared" si="2"/>
        <v>1580</v>
      </c>
    </row>
    <row r="26" spans="1:15" ht="24.95" customHeight="1" thickBot="1" x14ac:dyDescent="0.35">
      <c r="A26" s="32"/>
      <c r="B26" s="44" t="s">
        <v>32</v>
      </c>
      <c r="C26" s="108">
        <v>1800</v>
      </c>
      <c r="D26" s="109">
        <v>2200</v>
      </c>
      <c r="E26" s="109">
        <v>2200</v>
      </c>
      <c r="F26" s="109">
        <v>4700</v>
      </c>
      <c r="G26" s="109">
        <v>1500</v>
      </c>
      <c r="H26" s="109">
        <v>2300</v>
      </c>
      <c r="I26" s="109"/>
      <c r="J26" s="109"/>
      <c r="K26" s="109"/>
      <c r="L26" s="109"/>
      <c r="M26" s="109"/>
      <c r="N26" s="109"/>
      <c r="O26" s="110">
        <f t="shared" si="2"/>
        <v>14700</v>
      </c>
    </row>
    <row r="27" spans="1:15" ht="24.95" customHeight="1" thickBot="1" x14ac:dyDescent="0.35">
      <c r="A27" s="32"/>
      <c r="B27" s="44" t="s">
        <v>33</v>
      </c>
      <c r="C27" s="108">
        <v>145</v>
      </c>
      <c r="D27" s="109">
        <v>156</v>
      </c>
      <c r="E27" s="109">
        <v>123</v>
      </c>
      <c r="F27" s="109">
        <v>223</v>
      </c>
      <c r="G27" s="109">
        <v>187</v>
      </c>
      <c r="H27" s="109">
        <v>245</v>
      </c>
      <c r="I27" s="109"/>
      <c r="J27" s="109"/>
      <c r="K27" s="109"/>
      <c r="L27" s="109"/>
      <c r="M27" s="109"/>
      <c r="N27" s="109"/>
      <c r="O27" s="110">
        <f t="shared" si="2"/>
        <v>1079</v>
      </c>
    </row>
    <row r="28" spans="1:15" ht="24.95" customHeight="1" x14ac:dyDescent="0.3">
      <c r="A28" s="32"/>
      <c r="B28" s="66" t="s">
        <v>17</v>
      </c>
      <c r="C28" s="120">
        <f>SUBTOTAL(109,StvarniTroškoviMarketinga[Jan])</f>
        <v>7545</v>
      </c>
      <c r="D28" s="112">
        <f>SUBTOTAL(109,StvarniTroškoviMarketinga[Feb])</f>
        <v>3556</v>
      </c>
      <c r="E28" s="112">
        <f>SUBTOTAL(109,StvarniTroškoviMarketinga[Mar])</f>
        <v>3123</v>
      </c>
      <c r="F28" s="112">
        <f>SUBTOTAL(109,StvarniTroškoviMarketinga[Apr])</f>
        <v>11223</v>
      </c>
      <c r="G28" s="112">
        <f>SUBTOTAL(109,StvarniTroškoviMarketinga[maj])</f>
        <v>2987</v>
      </c>
      <c r="H28" s="112">
        <f>SUBTOTAL(109,StvarniTroškoviMarketinga[jun])</f>
        <v>4725</v>
      </c>
      <c r="I28" s="112">
        <f>SUBTOTAL(109,StvarniTroškoviMarketinga[jul])</f>
        <v>0</v>
      </c>
      <c r="J28" s="112">
        <f>SUBTOTAL(109,StvarniTroškoviMarketinga[avg])</f>
        <v>0</v>
      </c>
      <c r="K28" s="112">
        <f>SUBTOTAL(109,StvarniTroškoviMarketinga[sep])</f>
        <v>0</v>
      </c>
      <c r="L28" s="112">
        <f>SUBTOTAL(109,StvarniTroškoviMarketinga[Okt])</f>
        <v>0</v>
      </c>
      <c r="M28" s="112">
        <f>SUBTOTAL(109,StvarniTroškoviMarketinga[Nov])</f>
        <v>0</v>
      </c>
      <c r="N28" s="112">
        <f>SUBTOTAL(109,StvarniTroškoviMarketinga[Dec])</f>
        <v>0</v>
      </c>
      <c r="O28" s="113">
        <f>SUBTOTAL(109,StvarniTroškoviMarketinga[GODINA])</f>
        <v>33159</v>
      </c>
    </row>
    <row r="29" spans="1:15" ht="21" customHeight="1" x14ac:dyDescent="0.3">
      <c r="A29" s="32"/>
      <c r="B29" s="135"/>
      <c r="C29" s="135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7"/>
    </row>
    <row r="30" spans="1:15" ht="24.95" customHeight="1" thickBot="1" x14ac:dyDescent="0.35">
      <c r="A30" s="32" t="s">
        <v>80</v>
      </c>
      <c r="B30" s="57" t="s">
        <v>34</v>
      </c>
      <c r="C30" s="63" t="s">
        <v>42</v>
      </c>
      <c r="D30" s="63" t="s">
        <v>45</v>
      </c>
      <c r="E30" s="63" t="s">
        <v>47</v>
      </c>
      <c r="F30" s="63" t="s">
        <v>51</v>
      </c>
      <c r="G30" s="63" t="s">
        <v>53</v>
      </c>
      <c r="H30" s="63" t="s">
        <v>55</v>
      </c>
      <c r="I30" s="63" t="s">
        <v>57</v>
      </c>
      <c r="J30" s="63" t="s">
        <v>59</v>
      </c>
      <c r="K30" s="63" t="s">
        <v>63</v>
      </c>
      <c r="L30" s="63" t="s">
        <v>66</v>
      </c>
      <c r="M30" s="63" t="s">
        <v>69</v>
      </c>
      <c r="N30" s="63" t="s">
        <v>73</v>
      </c>
      <c r="O30" s="64" t="s">
        <v>74</v>
      </c>
    </row>
    <row r="31" spans="1:15" ht="24.95" customHeight="1" thickBot="1" x14ac:dyDescent="0.35">
      <c r="A31" s="32"/>
      <c r="B31" s="65" t="s">
        <v>35</v>
      </c>
      <c r="C31" s="109">
        <v>1600</v>
      </c>
      <c r="D31" s="109">
        <v>2400</v>
      </c>
      <c r="E31" s="109">
        <v>1400</v>
      </c>
      <c r="F31" s="109">
        <v>1600</v>
      </c>
      <c r="G31" s="109">
        <v>1200</v>
      </c>
      <c r="H31" s="109">
        <v>2800</v>
      </c>
      <c r="I31" s="109"/>
      <c r="J31" s="109"/>
      <c r="K31" s="109"/>
      <c r="L31" s="109"/>
      <c r="M31" s="109"/>
      <c r="N31" s="109"/>
      <c r="O31" s="110">
        <f>SUM(C31:N31)</f>
        <v>11000</v>
      </c>
    </row>
    <row r="32" spans="1:15" ht="24.95" customHeight="1" thickBot="1" x14ac:dyDescent="0.35">
      <c r="A32" s="32"/>
      <c r="B32" s="65" t="s">
        <v>36</v>
      </c>
      <c r="C32" s="109">
        <v>1200</v>
      </c>
      <c r="D32" s="109">
        <v>2200</v>
      </c>
      <c r="E32" s="109">
        <v>1400</v>
      </c>
      <c r="F32" s="109">
        <v>1200</v>
      </c>
      <c r="G32" s="109">
        <v>800</v>
      </c>
      <c r="H32" s="109">
        <v>3500</v>
      </c>
      <c r="I32" s="109"/>
      <c r="J32" s="109"/>
      <c r="K32" s="109"/>
      <c r="L32" s="109"/>
      <c r="M32" s="109"/>
      <c r="N32" s="109"/>
      <c r="O32" s="110">
        <f>SUM(C32:N32)</f>
        <v>10300</v>
      </c>
    </row>
    <row r="33" spans="1:16" ht="24.95" customHeight="1" x14ac:dyDescent="0.3">
      <c r="A33" s="32"/>
      <c r="B33" s="69" t="s">
        <v>17</v>
      </c>
      <c r="C33" s="112">
        <f>SUBTOTAL(109,StvarniTroškoviObukeIPutniTroškovi[Jan])</f>
        <v>2800</v>
      </c>
      <c r="D33" s="112">
        <f>SUBTOTAL(109,StvarniTroškoviObukeIPutniTroškovi[Feb])</f>
        <v>4600</v>
      </c>
      <c r="E33" s="112">
        <f>SUBTOTAL(109,StvarniTroškoviObukeIPutniTroškovi[Mar])</f>
        <v>2800</v>
      </c>
      <c r="F33" s="112">
        <f>SUBTOTAL(109,StvarniTroškoviObukeIPutniTroškovi[Apr])</f>
        <v>2800</v>
      </c>
      <c r="G33" s="112">
        <f>SUBTOTAL(109,StvarniTroškoviObukeIPutniTroškovi[maj])</f>
        <v>2000</v>
      </c>
      <c r="H33" s="112">
        <f>SUBTOTAL(109,StvarniTroškoviObukeIPutniTroškovi[jun])</f>
        <v>6300</v>
      </c>
      <c r="I33" s="112">
        <f>SUBTOTAL(109,StvarniTroškoviObukeIPutniTroškovi[jul])</f>
        <v>0</v>
      </c>
      <c r="J33" s="112">
        <f>SUBTOTAL(109,StvarniTroškoviObukeIPutniTroškovi[avg])</f>
        <v>0</v>
      </c>
      <c r="K33" s="112">
        <f>SUBTOTAL(109,StvarniTroškoviObukeIPutniTroškovi[sep])</f>
        <v>0</v>
      </c>
      <c r="L33" s="112">
        <f>SUBTOTAL(109,StvarniTroškoviObukeIPutniTroškovi[Okt])</f>
        <v>0</v>
      </c>
      <c r="M33" s="112">
        <f>SUBTOTAL(109,StvarniTroškoviObukeIPutniTroškovi[Nov])</f>
        <v>0</v>
      </c>
      <c r="N33" s="112">
        <f>SUBTOTAL(109,StvarniTroškoviObukeIPutniTroškovi[Dec])</f>
        <v>0</v>
      </c>
      <c r="O33" s="113">
        <f>SUBTOTAL(109,StvarniTroškoviObukeIPutniTroškovi[GODINA])</f>
        <v>21300</v>
      </c>
    </row>
    <row r="34" spans="1:16" ht="21" customHeight="1" x14ac:dyDescent="0.3">
      <c r="A34" s="32"/>
      <c r="B34" s="135"/>
      <c r="C34" s="135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6" ht="24.95" customHeight="1" thickBot="1" x14ac:dyDescent="0.35">
      <c r="A35" s="32" t="s">
        <v>108</v>
      </c>
      <c r="B35" s="28" t="s">
        <v>39</v>
      </c>
      <c r="C35" s="29" t="s">
        <v>41</v>
      </c>
      <c r="D35" s="29" t="s">
        <v>44</v>
      </c>
      <c r="E35" s="29" t="s">
        <v>48</v>
      </c>
      <c r="F35" s="29" t="s">
        <v>50</v>
      </c>
      <c r="G35" s="29" t="s">
        <v>53</v>
      </c>
      <c r="H35" s="29" t="s">
        <v>55</v>
      </c>
      <c r="I35" s="29" t="s">
        <v>57</v>
      </c>
      <c r="J35" s="29" t="s">
        <v>59</v>
      </c>
      <c r="K35" s="29" t="s">
        <v>63</v>
      </c>
      <c r="L35" s="29" t="s">
        <v>65</v>
      </c>
      <c r="M35" s="29" t="s">
        <v>68</v>
      </c>
      <c r="N35" s="29" t="s">
        <v>72</v>
      </c>
      <c r="O35" s="72" t="s">
        <v>75</v>
      </c>
    </row>
    <row r="36" spans="1:16" ht="24.95" customHeight="1" thickBot="1" x14ac:dyDescent="0.35">
      <c r="A36" s="32"/>
      <c r="B36" s="71" t="s">
        <v>82</v>
      </c>
      <c r="C36" s="121">
        <f>StvarniTroškoviObukeIPutniTroškovi[[#Totals],[Jan]]+StvarniTroškoviMarketinga[[#Totals],[Jan]]+StvarniKancelarijskiTroškovi[[#Totals],[Jan]]+StvarniTroškoviZaposlenih[[#Totals],[jan]]</f>
        <v>129682</v>
      </c>
      <c r="D36" s="122">
        <f>StvarniTroškoviObukeIPutniTroškovi[[#Totals],[Feb]]+StvarniTroškoviMarketinga[[#Totals],[Feb]]+StvarniKancelarijskiTroškovi[[#Totals],[Feb]]+StvarniTroškoviZaposlenih[[#Totals],[feb]]</f>
        <v>127804</v>
      </c>
      <c r="E36" s="122">
        <f>StvarniTroškoviObukeIPutniTroškovi[[#Totals],[Mar]]+StvarniTroškoviMarketinga[[#Totals],[Mar]]+StvarniKancelarijskiTroškovi[[#Totals],[Mar]]+StvarniTroškoviZaposlenih[[#Totals],[mar]]</f>
        <v>125565</v>
      </c>
      <c r="F36" s="122">
        <f>StvarniTroškoviObukeIPutniTroškovi[[#Totals],[Apr]]+StvarniTroškoviMarketinga[[#Totals],[Apr]]+StvarniKancelarijskiTroškovi[[#Totals],[Apr]]+StvarniTroškoviZaposlenih[[#Totals],[apr]]</f>
        <v>137394</v>
      </c>
      <c r="G36" s="122">
        <f>StvarniTroškoviObukeIPutniTroškovi[[#Totals],[maj]]+StvarniTroškoviMarketinga[[#Totals],[maj]]+StvarniKancelarijskiTroškovi[[#Totals],[maj]]+StvarniTroškoviZaposlenih[[#Totals],[maj]]</f>
        <v>128255</v>
      </c>
      <c r="H36" s="122">
        <f>StvarniTroškoviObukeIPutniTroškovi[[#Totals],[jun]]+StvarniTroškoviMarketinga[[#Totals],[jun]]+StvarniKancelarijskiTroškovi[[#Totals],[jun]]+StvarniTroškoviZaposlenih[[#Totals],[jun]]</f>
        <v>134239</v>
      </c>
      <c r="I36" s="122">
        <f>StvarniTroškoviObukeIPutniTroškovi[[#Totals],[jul]]+StvarniTroškoviMarketinga[[#Totals],[jul]]+StvarniKancelarijskiTroškovi[[#Totals],[jul]]+StvarniTroškoviZaposlenih[[#Totals],[jul]]</f>
        <v>0</v>
      </c>
      <c r="J36" s="122">
        <f>StvarniTroškoviObukeIPutniTroškovi[[#Totals],[avg]]+StvarniTroškoviMarketinga[[#Totals],[avg]]+StvarniKancelarijskiTroškovi[[#Totals],[avg]]+StvarniTroškoviZaposlenih[[#Totals],[avg]]</f>
        <v>0</v>
      </c>
      <c r="K36" s="122">
        <f>StvarniTroškoviObukeIPutniTroškovi[[#Totals],[sep]]+StvarniTroškoviMarketinga[[#Totals],[sep]]+StvarniKancelarijskiTroškovi[[#Totals],[sep]]+StvarniTroškoviZaposlenih[[#Totals],[sep]]</f>
        <v>0</v>
      </c>
      <c r="L36" s="122">
        <f>StvarniTroškoviObukeIPutniTroškovi[[#Totals],[Okt]]+StvarniTroškoviMarketinga[[#Totals],[Okt]]+StvarniKancelarijskiTroškovi[[#Totals],[Okt]]+StvarniTroškoviZaposlenih[[#Totals],[okt]]</f>
        <v>0</v>
      </c>
      <c r="M36" s="122">
        <f>StvarniTroškoviObukeIPutniTroškovi[[#Totals],[Nov]]+StvarniTroškoviMarketinga[[#Totals],[Nov]]+StvarniKancelarijskiTroškovi[[#Totals],[Nov]]+StvarniTroškoviZaposlenih[[#Totals],[nov]]</f>
        <v>0</v>
      </c>
      <c r="N36" s="122">
        <f>StvarniTroškoviObukeIPutniTroškovi[[#Totals],[Dec]]+StvarniTroškoviMarketinga[[#Totals],[Dec]]+StvarniKancelarijskiTroškovi[[#Totals],[Dec]]+StvarniTroškoviZaposlenih[[#Totals],[dec]]</f>
        <v>0</v>
      </c>
      <c r="O36" s="122">
        <f>StvarniTroškoviObukeIPutniTroškovi[[#Totals],[GODINA]]+StvarniTroškoviMarketinga[[#Totals],[GODINA]]+StvarniKancelarijskiTroškovi[[#Totals],[GODINA]]+StvarniTroškoviZaposlenih[[#Totals],[GODINA]]</f>
        <v>782939</v>
      </c>
      <c r="P36"/>
    </row>
    <row r="37" spans="1:16" ht="24.95" customHeight="1" thickBot="1" x14ac:dyDescent="0.35">
      <c r="A37" s="32"/>
      <c r="B37" s="71" t="s">
        <v>83</v>
      </c>
      <c r="C37" s="123">
        <f>SUM($C$36:C36)</f>
        <v>129682</v>
      </c>
      <c r="D37" s="124">
        <f>SUM($C$36:D36)</f>
        <v>257486</v>
      </c>
      <c r="E37" s="124">
        <f>SUM($C$36:E36)</f>
        <v>383051</v>
      </c>
      <c r="F37" s="124">
        <f>SUM($C$36:F36)</f>
        <v>520445</v>
      </c>
      <c r="G37" s="124">
        <f>SUM($C$36:G36)</f>
        <v>648700</v>
      </c>
      <c r="H37" s="125">
        <f>SUM($C$36:H36)</f>
        <v>782939</v>
      </c>
      <c r="I37" s="124">
        <f>SUM($C$36:I36)</f>
        <v>782939</v>
      </c>
      <c r="J37" s="124">
        <f>SUM($C$36:J36)</f>
        <v>782939</v>
      </c>
      <c r="K37" s="124">
        <f>SUM($C$36:K36)</f>
        <v>782939</v>
      </c>
      <c r="L37" s="124">
        <f>SUM($C$36:L36)</f>
        <v>782939</v>
      </c>
      <c r="M37" s="125">
        <f>SUM($C$36:M36)</f>
        <v>782939</v>
      </c>
      <c r="N37" s="124">
        <f>SUM($C$36:N36)</f>
        <v>782939</v>
      </c>
      <c r="O37" s="125"/>
      <c r="P37"/>
    </row>
    <row r="38" spans="1:16" ht="21" customHeight="1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14"/>
      <c r="M38" s="14"/>
      <c r="N38" s="14"/>
      <c r="O38" s="14"/>
    </row>
    <row r="39" spans="1:16" ht="21" customHeight="1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ht="21" customHeigh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ht="21" customHeight="1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8">
    <mergeCell ref="N2:O3"/>
    <mergeCell ref="K2:M2"/>
    <mergeCell ref="K3:M3"/>
    <mergeCell ref="B34:C34"/>
    <mergeCell ref="B29:C29"/>
    <mergeCell ref="B20:C20"/>
    <mergeCell ref="B9:C9"/>
    <mergeCell ref="B2:D3"/>
  </mergeCell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2 O31:O33 O22:O28 O11:O19" emptyCellReference="1"/>
    <ignoredError sqref="C36:O37 C7:H7 C6:N6 O7" calculatedColumn="1"/>
    <ignoredError sqref="O6 I7:N7" emptyCellReference="1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/>
    <pageSetUpPr autoPageBreaks="0" fitToPage="1"/>
  </sheetPr>
  <dimension ref="A1:P38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36.42578125" style="4" customWidth="1"/>
    <col min="3" max="15" width="18" style="4" customWidth="1"/>
    <col min="16" max="16" width="4.7109375" style="1" customWidth="1"/>
    <col min="17" max="16384" width="9.140625" style="4"/>
  </cols>
  <sheetData>
    <row r="1" spans="1:16" s="88" customFormat="1" ht="24" customHeight="1" x14ac:dyDescent="0.3">
      <c r="A1" s="84" t="s">
        <v>109</v>
      </c>
      <c r="B1" s="85"/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76</v>
      </c>
    </row>
    <row r="2" spans="1:16" s="88" customFormat="1" ht="45" customHeight="1" x14ac:dyDescent="0.35">
      <c r="A2" s="89" t="s">
        <v>78</v>
      </c>
      <c r="B2" s="137" t="str">
        <f>'PLANIRANI TROŠKOVI'!B2:D3</f>
        <v>Ime preduzeća</v>
      </c>
      <c r="C2" s="137"/>
      <c r="D2" s="137"/>
      <c r="E2" s="90"/>
      <c r="F2" s="8"/>
      <c r="G2" s="8"/>
      <c r="H2" s="8"/>
      <c r="I2" s="8"/>
      <c r="J2" s="8"/>
      <c r="K2" s="134" t="str">
        <f>naslov_radnog_lista</f>
        <v>Detaljne procene troškova</v>
      </c>
      <c r="L2" s="134"/>
      <c r="M2" s="134"/>
      <c r="N2" s="133" t="s">
        <v>70</v>
      </c>
      <c r="O2" s="133"/>
      <c r="P2" s="86"/>
    </row>
    <row r="3" spans="1:16" s="88" customFormat="1" ht="30" customHeight="1" x14ac:dyDescent="0.3">
      <c r="A3" s="89" t="s">
        <v>9</v>
      </c>
      <c r="B3" s="137"/>
      <c r="C3" s="137"/>
      <c r="D3" s="137"/>
      <c r="E3" s="91"/>
      <c r="F3" s="9"/>
      <c r="G3" s="9"/>
      <c r="H3" s="9"/>
      <c r="I3" s="9"/>
      <c r="J3" s="9"/>
      <c r="K3" s="139" t="s">
        <v>61</v>
      </c>
      <c r="L3" s="139"/>
      <c r="M3" s="139"/>
      <c r="N3" s="133"/>
      <c r="O3" s="133"/>
      <c r="P3" s="86"/>
    </row>
    <row r="4" spans="1:16" s="93" customFormat="1" ht="49.5" customHeight="1" x14ac:dyDescent="0.3">
      <c r="A4" s="92" t="s">
        <v>84</v>
      </c>
      <c r="B4" s="22" t="s">
        <v>87</v>
      </c>
      <c r="C4" s="23" t="s">
        <v>40</v>
      </c>
      <c r="D4" s="23" t="s">
        <v>43</v>
      </c>
      <c r="E4" s="23" t="s">
        <v>46</v>
      </c>
      <c r="F4" s="23" t="s">
        <v>49</v>
      </c>
      <c r="G4" s="23" t="s">
        <v>52</v>
      </c>
      <c r="H4" s="23" t="s">
        <v>54</v>
      </c>
      <c r="I4" s="23" t="s">
        <v>56</v>
      </c>
      <c r="J4" s="23" t="s">
        <v>58</v>
      </c>
      <c r="K4" s="23" t="s">
        <v>62</v>
      </c>
      <c r="L4" s="23" t="s">
        <v>64</v>
      </c>
      <c r="M4" s="23" t="s">
        <v>67</v>
      </c>
      <c r="N4" s="23" t="s">
        <v>71</v>
      </c>
      <c r="O4" s="23" t="s">
        <v>74</v>
      </c>
    </row>
    <row r="5" spans="1:16" s="116" customFormat="1" ht="24.95" customHeight="1" thickBot="1" x14ac:dyDescent="0.35">
      <c r="A5" s="94" t="s">
        <v>110</v>
      </c>
      <c r="B5" s="57" t="s">
        <v>14</v>
      </c>
      <c r="C5" s="73" t="s">
        <v>41</v>
      </c>
      <c r="D5" s="73" t="s">
        <v>44</v>
      </c>
      <c r="E5" s="73" t="s">
        <v>48</v>
      </c>
      <c r="F5" s="73" t="s">
        <v>50</v>
      </c>
      <c r="G5" s="73" t="s">
        <v>53</v>
      </c>
      <c r="H5" s="73" t="s">
        <v>55</v>
      </c>
      <c r="I5" s="73" t="s">
        <v>57</v>
      </c>
      <c r="J5" s="73" t="s">
        <v>59</v>
      </c>
      <c r="K5" s="73" t="s">
        <v>63</v>
      </c>
      <c r="L5" s="73" t="s">
        <v>65</v>
      </c>
      <c r="M5" s="73" t="s">
        <v>68</v>
      </c>
      <c r="N5" s="73" t="s">
        <v>72</v>
      </c>
      <c r="O5" s="74" t="s">
        <v>74</v>
      </c>
      <c r="P5" s="95"/>
    </row>
    <row r="6" spans="1:16" ht="24.95" customHeight="1" thickBot="1" x14ac:dyDescent="0.35">
      <c r="A6" s="32"/>
      <c r="B6" s="44" t="s">
        <v>15</v>
      </c>
      <c r="C6" s="108">
        <f>INDEX(PlaniraniTroškoviZaposlenih[],MATCH(INDEX(OdstupanjaOdTroškovaZaposlenih[],ROW()-ROW(OdstupanjaOdTroškovaZaposlenih[[#Headers],[jan]]),1),INDEX(PlaniraniTroškoviZaposlenih[],,1),0),MATCH(OdstupanjaOdTroškovaZaposlenih[[#Headers],[jan]],PlaniraniTroškoviZaposlenih[#Headers],0))-INDEX(StvarniTroškoviZaposlenih[],MATCH(INDEX(OdstupanjaOdTroškovaZaposlenih[],ROW()-ROW(OdstupanjaOdTroškovaZaposlenih[[#Headers],[jan]]),1),INDEX(PlaniraniTroškoviZaposlenih[],,1),0),MATCH(OdstupanjaOdTroškovaZaposlenih[[#Headers],[jan]],StvarniTroškoviZaposlenih[#Headers],0))</f>
        <v>0</v>
      </c>
      <c r="D6" s="109">
        <f>INDEX(PlaniraniTroškoviZaposlenih[],MATCH(INDEX(OdstupanjaOdTroškovaZaposlenih[],ROW()-ROW(OdstupanjaOdTroškovaZaposlenih[[#Headers],[feb]]),1),INDEX(PlaniraniTroškoviZaposlenih[],,1),0),MATCH(OdstupanjaOdTroškovaZaposlenih[[#Headers],[feb]],PlaniraniTroškoviZaposlenih[#Headers],0))-INDEX(StvarniTroškoviZaposlenih[],MATCH(INDEX(OdstupanjaOdTroškovaZaposlenih[],ROW()-ROW(OdstupanjaOdTroškovaZaposlenih[[#Headers],[feb]]),1),INDEX(PlaniraniTroškoviZaposlenih[],,1),0),MATCH(OdstupanjaOdTroškovaZaposlenih[[#Headers],[feb]],StvarniTroškoviZaposlenih[#Headers],0))</f>
        <v>0</v>
      </c>
      <c r="E6" s="109">
        <f>INDEX(PlaniraniTroškoviZaposlenih[],MATCH(INDEX(OdstupanjaOdTroškovaZaposlenih[],ROW()-ROW(OdstupanjaOdTroškovaZaposlenih[[#Headers],[mar]]),1),INDEX(PlaniraniTroškoviZaposlenih[],,1),0),MATCH(OdstupanjaOdTroškovaZaposlenih[[#Headers],[mar]],PlaniraniTroškoviZaposlenih[#Headers],0))-INDEX(StvarniTroškoviZaposlenih[],MATCH(INDEX(OdstupanjaOdTroškovaZaposlenih[],ROW()-ROW(OdstupanjaOdTroškovaZaposlenih[[#Headers],[mar]]),1),INDEX(PlaniraniTroškoviZaposlenih[],,1),0),MATCH(OdstupanjaOdTroškovaZaposlenih[[#Headers],[mar]],StvarniTroškoviZaposlenih[#Headers],0))</f>
        <v>0</v>
      </c>
      <c r="F6" s="109">
        <f>INDEX(PlaniraniTroškoviZaposlenih[],MATCH(INDEX(OdstupanjaOdTroškovaZaposlenih[],ROW()-ROW(OdstupanjaOdTroškovaZaposlenih[[#Headers],[apr]]),1),INDEX(PlaniraniTroškoviZaposlenih[],,1),0),MATCH(OdstupanjaOdTroškovaZaposlenih[[#Headers],[apr]],PlaniraniTroškoviZaposlenih[#Headers],0))-INDEX(StvarniTroškoviZaposlenih[],MATCH(INDEX(OdstupanjaOdTroškovaZaposlenih[],ROW()-ROW(OdstupanjaOdTroškovaZaposlenih[[#Headers],[apr]]),1),INDEX(PlaniraniTroškoviZaposlenih[],,1),0),MATCH(OdstupanjaOdTroškovaZaposlenih[[#Headers],[apr]],StvarniTroškoviZaposlenih[#Headers],0))</f>
        <v>-500</v>
      </c>
      <c r="G6" s="109">
        <f>INDEX(PlaniraniTroškoviZaposlenih[],MATCH(INDEX(OdstupanjaOdTroškovaZaposlenih[],ROW()-ROW(OdstupanjaOdTroškovaZaposlenih[[#Headers],[maj]]),1),INDEX(PlaniraniTroškoviZaposlenih[],,1),0),MATCH(OdstupanjaOdTroškovaZaposlenih[[#Headers],[maj]],PlaniraniTroškoviZaposlenih[#Headers],0))-INDEX(StvarniTroškoviZaposlenih[],MATCH(INDEX(OdstupanjaOdTroškovaZaposlenih[],ROW()-ROW(OdstupanjaOdTroškovaZaposlenih[[#Headers],[maj]]),1),INDEX(PlaniraniTroškoviZaposlenih[],,1),0),MATCH(OdstupanjaOdTroškovaZaposlenih[[#Headers],[maj]],StvarniTroškoviZaposlenih[#Headers],0))</f>
        <v>-500</v>
      </c>
      <c r="H6" s="109">
        <f>INDEX(PlaniraniTroškoviZaposlenih[],MATCH(INDEX(OdstupanjaOdTroškovaZaposlenih[],ROW()-ROW(OdstupanjaOdTroškovaZaposlenih[[#Headers],[jun]]),1),INDEX(PlaniraniTroškoviZaposlenih[],,1),0),MATCH(OdstupanjaOdTroškovaZaposlenih[[#Headers],[jun]],PlaniraniTroškoviZaposlenih[#Headers],0))-INDEX(StvarniTroškoviZaposlenih[],MATCH(INDEX(OdstupanjaOdTroškovaZaposlenih[],ROW()-ROW(OdstupanjaOdTroškovaZaposlenih[[#Headers],[jun]]),1),INDEX(PlaniraniTroškoviZaposlenih[],,1),0),MATCH(OdstupanjaOdTroškovaZaposlenih[[#Headers],[jun]],StvarniTroškoviZaposlenih[#Headers],0))</f>
        <v>-500</v>
      </c>
      <c r="I6" s="109">
        <f>INDEX(PlaniraniTroškoviZaposlenih[],MATCH(INDEX(OdstupanjaOdTroškovaZaposlenih[],ROW()-ROW(OdstupanjaOdTroškovaZaposlenih[[#Headers],[jul]]),1),INDEX(PlaniraniTroškoviZaposlenih[],,1),0),MATCH(OdstupanjaOdTroškovaZaposlenih[[#Headers],[jul]],PlaniraniTroškoviZaposlenih[#Headers],0))-INDEX(StvarniTroškoviZaposlenih[],MATCH(INDEX(OdstupanjaOdTroškovaZaposlenih[],ROW()-ROW(OdstupanjaOdTroškovaZaposlenih[[#Headers],[jul]]),1),INDEX(PlaniraniTroškoviZaposlenih[],,1),0),MATCH(OdstupanjaOdTroškovaZaposlenih[[#Headers],[jul]],StvarniTroškoviZaposlenih[#Headers],0))</f>
        <v>87500</v>
      </c>
      <c r="J6" s="109">
        <f>INDEX(PlaniraniTroškoviZaposlenih[],MATCH(INDEX(OdstupanjaOdTroškovaZaposlenih[],ROW()-ROW(OdstupanjaOdTroškovaZaposlenih[[#Headers],[avg]]),1),INDEX(PlaniraniTroškoviZaposlenih[],,1),0),MATCH(OdstupanjaOdTroškovaZaposlenih[[#Headers],[avg]],PlaniraniTroškoviZaposlenih[#Headers],0))-INDEX(StvarniTroškoviZaposlenih[],MATCH(INDEX(OdstupanjaOdTroškovaZaposlenih[],ROW()-ROW(OdstupanjaOdTroškovaZaposlenih[[#Headers],[avg]]),1),INDEX(PlaniraniTroškoviZaposlenih[],,1),0),MATCH(OdstupanjaOdTroškovaZaposlenih[[#Headers],[avg]],StvarniTroškoviZaposlenih[#Headers],0))</f>
        <v>92400</v>
      </c>
      <c r="K6" s="109">
        <f>INDEX(PlaniraniTroškoviZaposlenih[],MATCH(INDEX(OdstupanjaOdTroškovaZaposlenih[],ROW()-ROW(OdstupanjaOdTroškovaZaposlenih[[#Headers],[sep]]),1),INDEX(PlaniraniTroškoviZaposlenih[],,1),0),MATCH(OdstupanjaOdTroškovaZaposlenih[[#Headers],[sep]],PlaniraniTroškoviZaposlenih[#Headers],0))-INDEX(StvarniTroškoviZaposlenih[],MATCH(INDEX(OdstupanjaOdTroškovaZaposlenih[],ROW()-ROW(OdstupanjaOdTroškovaZaposlenih[[#Headers],[sep]]),1),INDEX(PlaniraniTroškoviZaposlenih[],,1),0),MATCH(OdstupanjaOdTroškovaZaposlenih[[#Headers],[sep]],StvarniTroškoviZaposlenih[#Headers],0))</f>
        <v>92400</v>
      </c>
      <c r="L6" s="109">
        <f>INDEX(PlaniraniTroškoviZaposlenih[],MATCH(INDEX(OdstupanjaOdTroškovaZaposlenih[],ROW()-ROW(OdstupanjaOdTroškovaZaposlenih[[#Headers],[okt]]),1),INDEX(PlaniraniTroškoviZaposlenih[],,1),0),MATCH(OdstupanjaOdTroškovaZaposlenih[[#Headers],[okt]],PlaniraniTroškoviZaposlenih[#Headers],0))-INDEX(StvarniTroškoviZaposlenih[],MATCH(INDEX(OdstupanjaOdTroškovaZaposlenih[],ROW()-ROW(OdstupanjaOdTroškovaZaposlenih[[#Headers],[okt]]),1),INDEX(PlaniraniTroškoviZaposlenih[],,1),0),MATCH(OdstupanjaOdTroškovaZaposlenih[[#Headers],[okt]],StvarniTroškoviZaposlenih[#Headers],0))</f>
        <v>92400</v>
      </c>
      <c r="M6" s="109">
        <f>INDEX(PlaniraniTroškoviZaposlenih[],MATCH(INDEX(OdstupanjaOdTroškovaZaposlenih[],ROW()-ROW(OdstupanjaOdTroškovaZaposlenih[[#Headers],[nov]]),1),INDEX(PlaniraniTroškoviZaposlenih[],,1),0),MATCH(OdstupanjaOdTroškovaZaposlenih[[#Headers],[nov]],PlaniraniTroškoviZaposlenih[#Headers],0))-INDEX(StvarniTroškoviZaposlenih[],MATCH(INDEX(OdstupanjaOdTroškovaZaposlenih[],ROW()-ROW(OdstupanjaOdTroškovaZaposlenih[[#Headers],[nov]]),1),INDEX(PlaniraniTroškoviZaposlenih[],,1),0),MATCH(OdstupanjaOdTroškovaZaposlenih[[#Headers],[nov]],StvarniTroškoviZaposlenih[#Headers],0))</f>
        <v>92400</v>
      </c>
      <c r="N6" s="109">
        <f>INDEX(PlaniraniTroškoviZaposlenih[],MATCH(INDEX(OdstupanjaOdTroškovaZaposlenih[],ROW()-ROW(OdstupanjaOdTroškovaZaposlenih[[#Headers],[dec]]),1),INDEX(PlaniraniTroškoviZaposlenih[],,1),0),MATCH(OdstupanjaOdTroškovaZaposlenih[[#Headers],[dec]],PlaniraniTroškoviZaposlenih[#Headers],0))-INDEX(StvarniTroškoviZaposlenih[],MATCH(INDEX(OdstupanjaOdTroškovaZaposlenih[],ROW()-ROW(OdstupanjaOdTroškovaZaposlenih[[#Headers],[dec]]),1),INDEX(PlaniraniTroškoviZaposlenih[],,1),0),MATCH(OdstupanjaOdTroškovaZaposlenih[[#Headers],[dec]],StvarniTroškoviZaposlenih[#Headers],0))</f>
        <v>92400</v>
      </c>
      <c r="O6" s="110">
        <f>SUM(OdstupanjaOdTroškovaZaposlenih[[#This Row],[jan]:[dec]])</f>
        <v>548000</v>
      </c>
    </row>
    <row r="7" spans="1:16" ht="24.95" customHeight="1" thickBot="1" x14ac:dyDescent="0.35">
      <c r="A7" s="32"/>
      <c r="B7" s="44" t="s">
        <v>16</v>
      </c>
      <c r="C7" s="108">
        <f>INDEX(PlaniraniTroškoviZaposlenih[],MATCH(INDEX(OdstupanjaOdTroškovaZaposlenih[],ROW()-ROW(OdstupanjaOdTroškovaZaposlenih[[#Headers],[jan]]),1),INDEX(PlaniraniTroškoviZaposlenih[],,1),0),MATCH(OdstupanjaOdTroškovaZaposlenih[[#Headers],[jan]],PlaniraniTroškoviZaposlenih[#Headers],0))-INDEX(StvarniTroškoviZaposlenih[],MATCH(INDEX(OdstupanjaOdTroškovaZaposlenih[],ROW()-ROW(OdstupanjaOdTroškovaZaposlenih[[#Headers],[jan]]),1),INDEX(PlaniraniTroškoviZaposlenih[],,1),0),MATCH(OdstupanjaOdTroškovaZaposlenih[[#Headers],[jan]],StvarniTroškoviZaposlenih[#Headers],0))</f>
        <v>0</v>
      </c>
      <c r="D7" s="109">
        <f>INDEX(PlaniraniTroškoviZaposlenih[],MATCH(INDEX(OdstupanjaOdTroškovaZaposlenih[],ROW()-ROW(OdstupanjaOdTroškovaZaposlenih[[#Headers],[feb]]),1),INDEX(PlaniraniTroškoviZaposlenih[],,1),0),MATCH(OdstupanjaOdTroškovaZaposlenih[[#Headers],[feb]],PlaniraniTroškoviZaposlenih[#Headers],0))-INDEX(StvarniTroškoviZaposlenih[],MATCH(INDEX(OdstupanjaOdTroškovaZaposlenih[],ROW()-ROW(OdstupanjaOdTroškovaZaposlenih[[#Headers],[feb]]),1),INDEX(PlaniraniTroškoviZaposlenih[],,1),0),MATCH(OdstupanjaOdTroškovaZaposlenih[[#Headers],[feb]],StvarniTroškoviZaposlenih[#Headers],0))</f>
        <v>0</v>
      </c>
      <c r="E7" s="109">
        <f>INDEX(PlaniraniTroškoviZaposlenih[],MATCH(INDEX(OdstupanjaOdTroškovaZaposlenih[],ROW()-ROW(OdstupanjaOdTroškovaZaposlenih[[#Headers],[mar]]),1),INDEX(PlaniraniTroškoviZaposlenih[],,1),0),MATCH(OdstupanjaOdTroškovaZaposlenih[[#Headers],[mar]],PlaniraniTroškoviZaposlenih[#Headers],0))-INDEX(StvarniTroškoviZaposlenih[],MATCH(INDEX(OdstupanjaOdTroškovaZaposlenih[],ROW()-ROW(OdstupanjaOdTroškovaZaposlenih[[#Headers],[mar]]),1),INDEX(PlaniraniTroškoviZaposlenih[],,1),0),MATCH(OdstupanjaOdTroškovaZaposlenih[[#Headers],[mar]],StvarniTroškoviZaposlenih[#Headers],0))</f>
        <v>0</v>
      </c>
      <c r="F7" s="109">
        <f>INDEX(PlaniraniTroškoviZaposlenih[],MATCH(INDEX(OdstupanjaOdTroškovaZaposlenih[],ROW()-ROW(OdstupanjaOdTroškovaZaposlenih[[#Headers],[apr]]),1),INDEX(PlaniraniTroškoviZaposlenih[],,1),0),MATCH(OdstupanjaOdTroškovaZaposlenih[[#Headers],[apr]],PlaniraniTroškoviZaposlenih[#Headers],0))-INDEX(StvarniTroškoviZaposlenih[],MATCH(INDEX(OdstupanjaOdTroškovaZaposlenih[],ROW()-ROW(OdstupanjaOdTroškovaZaposlenih[[#Headers],[apr]]),1),INDEX(PlaniraniTroškoviZaposlenih[],,1),0),MATCH(OdstupanjaOdTroškovaZaposlenih[[#Headers],[apr]],StvarniTroškoviZaposlenih[#Headers],0))</f>
        <v>-135</v>
      </c>
      <c r="G7" s="109">
        <f>INDEX(PlaniraniTroškoviZaposlenih[],MATCH(INDEX(OdstupanjaOdTroškovaZaposlenih[],ROW()-ROW(OdstupanjaOdTroškovaZaposlenih[[#Headers],[maj]]),1),INDEX(PlaniraniTroškoviZaposlenih[],,1),0),MATCH(OdstupanjaOdTroškovaZaposlenih[[#Headers],[maj]],PlaniraniTroškoviZaposlenih[#Headers],0))-INDEX(StvarniTroškoviZaposlenih[],MATCH(INDEX(OdstupanjaOdTroškovaZaposlenih[],ROW()-ROW(OdstupanjaOdTroškovaZaposlenih[[#Headers],[maj]]),1),INDEX(PlaniraniTroškoviZaposlenih[],,1),0),MATCH(OdstupanjaOdTroškovaZaposlenih[[#Headers],[maj]],StvarniTroškoviZaposlenih[#Headers],0))</f>
        <v>-135</v>
      </c>
      <c r="H7" s="109">
        <f>INDEX(PlaniraniTroškoviZaposlenih[],MATCH(INDEX(OdstupanjaOdTroškovaZaposlenih[],ROW()-ROW(OdstupanjaOdTroškovaZaposlenih[[#Headers],[jun]]),1),INDEX(PlaniraniTroškoviZaposlenih[],,1),0),MATCH(OdstupanjaOdTroškovaZaposlenih[[#Headers],[jun]],PlaniraniTroškoviZaposlenih[#Headers],0))-INDEX(StvarniTroškoviZaposlenih[],MATCH(INDEX(OdstupanjaOdTroškovaZaposlenih[],ROW()-ROW(OdstupanjaOdTroškovaZaposlenih[[#Headers],[jun]]),1),INDEX(PlaniraniTroškoviZaposlenih[],,1),0),MATCH(OdstupanjaOdTroškovaZaposlenih[[#Headers],[jun]],StvarniTroškoviZaposlenih[#Headers],0))</f>
        <v>-135</v>
      </c>
      <c r="I7" s="109">
        <f>INDEX(PlaniraniTroškoviZaposlenih[],MATCH(INDEX(OdstupanjaOdTroškovaZaposlenih[],ROW()-ROW(OdstupanjaOdTroškovaZaposlenih[[#Headers],[jul]]),1),INDEX(PlaniraniTroškoviZaposlenih[],,1),0),MATCH(OdstupanjaOdTroškovaZaposlenih[[#Headers],[jul]],PlaniraniTroškoviZaposlenih[#Headers],0))-INDEX(StvarniTroškoviZaposlenih[],MATCH(INDEX(OdstupanjaOdTroškovaZaposlenih[],ROW()-ROW(OdstupanjaOdTroškovaZaposlenih[[#Headers],[jul]]),1),INDEX(PlaniraniTroškoviZaposlenih[],,1),0),MATCH(OdstupanjaOdTroškovaZaposlenih[[#Headers],[jul]],StvarniTroškoviZaposlenih[#Headers],0))</f>
        <v>23625</v>
      </c>
      <c r="J7" s="109">
        <f>INDEX(PlaniraniTroškoviZaposlenih[],MATCH(INDEX(OdstupanjaOdTroškovaZaposlenih[],ROW()-ROW(OdstupanjaOdTroškovaZaposlenih[[#Headers],[avg]]),1),INDEX(PlaniraniTroškoviZaposlenih[],,1),0),MATCH(OdstupanjaOdTroškovaZaposlenih[[#Headers],[avg]],PlaniraniTroškoviZaposlenih[#Headers],0))-INDEX(StvarniTroškoviZaposlenih[],MATCH(INDEX(OdstupanjaOdTroškovaZaposlenih[],ROW()-ROW(OdstupanjaOdTroškovaZaposlenih[[#Headers],[avg]]),1),INDEX(PlaniraniTroškoviZaposlenih[],,1),0),MATCH(OdstupanjaOdTroškovaZaposlenih[[#Headers],[avg]],StvarniTroškoviZaposlenih[#Headers],0))</f>
        <v>24948</v>
      </c>
      <c r="K7" s="109">
        <f>INDEX(PlaniraniTroškoviZaposlenih[],MATCH(INDEX(OdstupanjaOdTroškovaZaposlenih[],ROW()-ROW(OdstupanjaOdTroškovaZaposlenih[[#Headers],[sep]]),1),INDEX(PlaniraniTroškoviZaposlenih[],,1),0),MATCH(OdstupanjaOdTroškovaZaposlenih[[#Headers],[sep]],PlaniraniTroškoviZaposlenih[#Headers],0))-INDEX(StvarniTroškoviZaposlenih[],MATCH(INDEX(OdstupanjaOdTroškovaZaposlenih[],ROW()-ROW(OdstupanjaOdTroškovaZaposlenih[[#Headers],[sep]]),1),INDEX(PlaniraniTroškoviZaposlenih[],,1),0),MATCH(OdstupanjaOdTroškovaZaposlenih[[#Headers],[sep]],StvarniTroškoviZaposlenih[#Headers],0))</f>
        <v>24948</v>
      </c>
      <c r="L7" s="109">
        <f>INDEX(PlaniraniTroškoviZaposlenih[],MATCH(INDEX(OdstupanjaOdTroškovaZaposlenih[],ROW()-ROW(OdstupanjaOdTroškovaZaposlenih[[#Headers],[okt]]),1),INDEX(PlaniraniTroškoviZaposlenih[],,1),0),MATCH(OdstupanjaOdTroškovaZaposlenih[[#Headers],[okt]],PlaniraniTroškoviZaposlenih[#Headers],0))-INDEX(StvarniTroškoviZaposlenih[],MATCH(INDEX(OdstupanjaOdTroškovaZaposlenih[],ROW()-ROW(OdstupanjaOdTroškovaZaposlenih[[#Headers],[okt]]),1),INDEX(PlaniraniTroškoviZaposlenih[],,1),0),MATCH(OdstupanjaOdTroškovaZaposlenih[[#Headers],[okt]],StvarniTroškoviZaposlenih[#Headers],0))</f>
        <v>24948</v>
      </c>
      <c r="M7" s="109">
        <f>INDEX(PlaniraniTroškoviZaposlenih[],MATCH(INDEX(OdstupanjaOdTroškovaZaposlenih[],ROW()-ROW(OdstupanjaOdTroškovaZaposlenih[[#Headers],[nov]]),1),INDEX(PlaniraniTroškoviZaposlenih[],,1),0),MATCH(OdstupanjaOdTroškovaZaposlenih[[#Headers],[nov]],PlaniraniTroškoviZaposlenih[#Headers],0))-INDEX(StvarniTroškoviZaposlenih[],MATCH(INDEX(OdstupanjaOdTroškovaZaposlenih[],ROW()-ROW(OdstupanjaOdTroškovaZaposlenih[[#Headers],[nov]]),1),INDEX(PlaniraniTroškoviZaposlenih[],,1),0),MATCH(OdstupanjaOdTroškovaZaposlenih[[#Headers],[nov]],StvarniTroškoviZaposlenih[#Headers],0))</f>
        <v>24948</v>
      </c>
      <c r="N7" s="109">
        <f>INDEX(PlaniraniTroškoviZaposlenih[],MATCH(INDEX(OdstupanjaOdTroškovaZaposlenih[],ROW()-ROW(OdstupanjaOdTroškovaZaposlenih[[#Headers],[dec]]),1),INDEX(PlaniraniTroškoviZaposlenih[],,1),0),MATCH(OdstupanjaOdTroškovaZaposlenih[[#Headers],[dec]],PlaniraniTroškoviZaposlenih[#Headers],0))-INDEX(StvarniTroškoviZaposlenih[],MATCH(INDEX(OdstupanjaOdTroškovaZaposlenih[],ROW()-ROW(OdstupanjaOdTroškovaZaposlenih[[#Headers],[dec]]),1),INDEX(PlaniraniTroškoviZaposlenih[],,1),0),MATCH(OdstupanjaOdTroškovaZaposlenih[[#Headers],[dec]],StvarniTroškoviZaposlenih[#Headers],0))</f>
        <v>24948</v>
      </c>
      <c r="O7" s="110">
        <f>SUM(OdstupanjaOdTroškovaZaposlenih[[#This Row],[jan]:[dec]])</f>
        <v>147960</v>
      </c>
    </row>
    <row r="8" spans="1:16" ht="24.95" customHeight="1" x14ac:dyDescent="0.3">
      <c r="A8" s="32"/>
      <c r="B8" s="75" t="s">
        <v>17</v>
      </c>
      <c r="C8" s="118">
        <f>SUBTOTAL(109,OdstupanjaOdTroškovaZaposlenih[jan])</f>
        <v>0</v>
      </c>
      <c r="D8" s="118">
        <f>SUBTOTAL(109,OdstupanjaOdTroškovaZaposlenih[feb])</f>
        <v>0</v>
      </c>
      <c r="E8" s="118">
        <f>SUBTOTAL(109,OdstupanjaOdTroškovaZaposlenih[mar])</f>
        <v>0</v>
      </c>
      <c r="F8" s="118">
        <f>SUBTOTAL(109,OdstupanjaOdTroškovaZaposlenih[apr])</f>
        <v>-635</v>
      </c>
      <c r="G8" s="118">
        <f>SUBTOTAL(109,OdstupanjaOdTroškovaZaposlenih[maj])</f>
        <v>-635</v>
      </c>
      <c r="H8" s="118">
        <f>SUBTOTAL(109,OdstupanjaOdTroškovaZaposlenih[jun])</f>
        <v>-635</v>
      </c>
      <c r="I8" s="118">
        <f>SUBTOTAL(109,OdstupanjaOdTroškovaZaposlenih[jul])</f>
        <v>111125</v>
      </c>
      <c r="J8" s="118">
        <f>SUBTOTAL(109,OdstupanjaOdTroškovaZaposlenih[avg])</f>
        <v>117348</v>
      </c>
      <c r="K8" s="118">
        <f>SUBTOTAL(109,OdstupanjaOdTroškovaZaposlenih[sep])</f>
        <v>117348</v>
      </c>
      <c r="L8" s="118">
        <f>SUBTOTAL(109,OdstupanjaOdTroškovaZaposlenih[okt])</f>
        <v>117348</v>
      </c>
      <c r="M8" s="118">
        <f>SUBTOTAL(109,OdstupanjaOdTroškovaZaposlenih[nov])</f>
        <v>117348</v>
      </c>
      <c r="N8" s="118">
        <f>SUBTOTAL(109,OdstupanjaOdTroškovaZaposlenih[dec])</f>
        <v>117348</v>
      </c>
      <c r="O8" s="119">
        <f>SUBTOTAL(109,OdstupanjaOdTroškovaZaposlenih[GODINA])</f>
        <v>695960</v>
      </c>
    </row>
    <row r="9" spans="1:16" ht="21" customHeight="1" x14ac:dyDescent="0.3">
      <c r="A9" s="32"/>
      <c r="B9" s="140"/>
      <c r="C9" s="140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spans="1:16" ht="24.95" customHeight="1" thickBot="1" x14ac:dyDescent="0.35">
      <c r="A10" s="32" t="s">
        <v>111</v>
      </c>
      <c r="B10" s="47" t="s">
        <v>18</v>
      </c>
      <c r="C10" s="63" t="s">
        <v>42</v>
      </c>
      <c r="D10" s="63" t="s">
        <v>45</v>
      </c>
      <c r="E10" s="63" t="s">
        <v>47</v>
      </c>
      <c r="F10" s="63" t="s">
        <v>51</v>
      </c>
      <c r="G10" s="63" t="s">
        <v>53</v>
      </c>
      <c r="H10" s="63" t="s">
        <v>55</v>
      </c>
      <c r="I10" s="63" t="s">
        <v>57</v>
      </c>
      <c r="J10" s="63" t="s">
        <v>59</v>
      </c>
      <c r="K10" s="63" t="s">
        <v>63</v>
      </c>
      <c r="L10" s="63" t="s">
        <v>66</v>
      </c>
      <c r="M10" s="63" t="s">
        <v>69</v>
      </c>
      <c r="N10" s="63" t="s">
        <v>73</v>
      </c>
      <c r="O10" s="64" t="s">
        <v>74</v>
      </c>
    </row>
    <row r="11" spans="1:16" ht="24.95" customHeight="1" thickBot="1" x14ac:dyDescent="0.35">
      <c r="A11" s="32"/>
      <c r="B11" s="65" t="s">
        <v>19</v>
      </c>
      <c r="C11" s="109">
        <f>INDEX(PlaniraniKancelarijskiTroškovi[],MATCH(INDEX(OdstupanjaOdKancelarijskihTroškova[],ROW()-ROW(OdstupanjaOdKancelarijskihTroškova[[#Headers],[Jan]]),1),INDEX(PlaniraniKancelarijskiTroškovi[],,1),0),MATCH(OdstupanjaOdKancelarijskihTroškova[[#Headers],[Jan]],PlaniraniKancelarijskiTroškovi[#Headers],0))-INDEX(StvarniKancelarijskiTroškovi[],MATCH(INDEX(OdstupanjaOdKancelarijskihTroškova[],ROW()-ROW(OdstupanjaOdKancelarijskihTroškova[[#Headers],[Jan]]),1),INDEX(PlaniraniKancelarijskiTroškovi[],,1),0),MATCH(OdstupanjaOdKancelarijskihTroškova[[#Headers],[Jan]],StvarniKancelarijskiTroškovi[#Headers],0))</f>
        <v>0</v>
      </c>
      <c r="D11" s="109">
        <f>INDEX(PlaniraniKancelarijskiTroškovi[],MATCH(INDEX(OdstupanjaOdKancelarijskihTroškova[],ROW()-ROW(OdstupanjaOdKancelarijskihTroškova[[#Headers],[Feb]]),1),INDEX(PlaniraniKancelarijskiTroškovi[],,1),0),MATCH(OdstupanjaOdKancelarijskihTroškova[[#Headers],[Feb]],PlaniraniKancelarijskiTroškovi[#Headers],0))-INDEX(StvarniKancelarijskiTroškovi[],MATCH(INDEX(OdstupanjaOdKancelarijskihTroškova[],ROW()-ROW(OdstupanjaOdKancelarijskihTroškova[[#Headers],[Feb]]),1),INDEX(PlaniraniKancelarijskiTroškovi[],,1),0),MATCH(OdstupanjaOdKancelarijskihTroškova[[#Headers],[Feb]],StvarniKancelarijskiTroškovi[#Headers],0))</f>
        <v>0</v>
      </c>
      <c r="E11" s="109">
        <f>INDEX(PlaniraniKancelarijskiTroškovi[],MATCH(INDEX(OdstupanjaOdKancelarijskihTroškova[],ROW()-ROW(OdstupanjaOdKancelarijskihTroškova[[#Headers],[Mar]]),1),INDEX(PlaniraniKancelarijskiTroškovi[],,1),0),MATCH(OdstupanjaOdKancelarijskihTroškova[[#Headers],[Mar]],PlaniraniKancelarijskiTroškovi[#Headers],0))-INDEX(StvarniKancelarijskiTroškovi[],MATCH(INDEX(OdstupanjaOdKancelarijskihTroškova[],ROW()-ROW(OdstupanjaOdKancelarijskihTroškova[[#Headers],[Mar]]),1),INDEX(PlaniraniKancelarijskiTroškovi[],,1),0),MATCH(OdstupanjaOdKancelarijskihTroškova[[#Headers],[Mar]],StvarniKancelarijskiTroškovi[#Headers],0))</f>
        <v>0</v>
      </c>
      <c r="F11" s="109">
        <f>INDEX(PlaniraniKancelarijskiTroškovi[],MATCH(INDEX(OdstupanjaOdKancelarijskihTroškova[],ROW()-ROW(OdstupanjaOdKancelarijskihTroškova[[#Headers],[Apr]]),1),INDEX(PlaniraniKancelarijskiTroškovi[],,1),0),MATCH(OdstupanjaOdKancelarijskihTroškova[[#Headers],[Apr]],PlaniraniKancelarijskiTroškovi[#Headers],0))-INDEX(StvarniKancelarijskiTroškovi[],MATCH(INDEX(OdstupanjaOdKancelarijskihTroškova[],ROW()-ROW(OdstupanjaOdKancelarijskihTroškova[[#Headers],[Apr]]),1),INDEX(PlaniraniKancelarijskiTroškovi[],,1),0),MATCH(OdstupanjaOdKancelarijskihTroškova[[#Headers],[Apr]],StvarniKancelarijskiTroškovi[#Headers],0))</f>
        <v>0</v>
      </c>
      <c r="G11" s="109">
        <f>INDEX(PlaniraniKancelarijskiTroškovi[],MATCH(INDEX(OdstupanjaOdKancelarijskihTroškova[],ROW()-ROW(OdstupanjaOdKancelarijskihTroškova[[#Headers],[maj]]),1),INDEX(PlaniraniKancelarijskiTroškovi[],,1),0),MATCH(OdstupanjaOdKancelarijskihTroškova[[#Headers],[maj]],PlaniraniKancelarijskiTroškovi[#Headers],0))-INDEX(StvarniKancelarijskiTroškovi[],MATCH(INDEX(OdstupanjaOdKancelarijskihTroškova[],ROW()-ROW(OdstupanjaOdKancelarijskihTroškova[[#Headers],[maj]]),1),INDEX(PlaniraniKancelarijskiTroškovi[],,1),0),MATCH(OdstupanjaOdKancelarijskihTroškova[[#Headers],[maj]],StvarniKancelarijskiTroškovi[#Headers],0))</f>
        <v>0</v>
      </c>
      <c r="H11" s="109">
        <f>INDEX(PlaniraniKancelarijskiTroškovi[],MATCH(INDEX(OdstupanjaOdKancelarijskihTroškova[],ROW()-ROW(OdstupanjaOdKancelarijskihTroškova[[#Headers],[jun]]),1),INDEX(PlaniraniKancelarijskiTroškovi[],,1),0),MATCH(OdstupanjaOdKancelarijskihTroškova[[#Headers],[jun]],PlaniraniKancelarijskiTroškovi[#Headers],0))-INDEX(StvarniKancelarijskiTroškovi[],MATCH(INDEX(OdstupanjaOdKancelarijskihTroškova[],ROW()-ROW(OdstupanjaOdKancelarijskihTroškova[[#Headers],[jun]]),1),INDEX(PlaniraniKancelarijskiTroškovi[],,1),0),MATCH(OdstupanjaOdKancelarijskihTroškova[[#Headers],[jun]],StvarniKancelarijskiTroškovi[#Headers],0))</f>
        <v>0</v>
      </c>
      <c r="I11" s="109">
        <f>INDEX(PlaniraniKancelarijskiTroškovi[],MATCH(INDEX(OdstupanjaOdKancelarijskihTroškova[],ROW()-ROW(OdstupanjaOdKancelarijskihTroškova[[#Headers],[jul]]),1),INDEX(PlaniraniKancelarijskiTroškovi[],,1),0),MATCH(OdstupanjaOdKancelarijskihTroškova[[#Headers],[jul]],PlaniraniKancelarijskiTroškovi[#Headers],0))-INDEX(StvarniKancelarijskiTroškovi[],MATCH(INDEX(OdstupanjaOdKancelarijskihTroškova[],ROW()-ROW(OdstupanjaOdKancelarijskihTroškova[[#Headers],[jul]]),1),INDEX(PlaniraniKancelarijskiTroškovi[],,1),0),MATCH(OdstupanjaOdKancelarijskihTroškova[[#Headers],[jul]],StvarniKancelarijskiTroškovi[#Headers],0))</f>
        <v>9800</v>
      </c>
      <c r="J11" s="109">
        <f>INDEX(PlaniraniKancelarijskiTroškovi[],MATCH(INDEX(OdstupanjaOdKancelarijskihTroškova[],ROW()-ROW(OdstupanjaOdKancelarijskihTroškova[[#Headers],[avg]]),1),INDEX(PlaniraniKancelarijskiTroškovi[],,1),0),MATCH(OdstupanjaOdKancelarijskihTroškova[[#Headers],[avg]],PlaniraniKancelarijskiTroškovi[#Headers],0))-INDEX(StvarniKancelarijskiTroškovi[],MATCH(INDEX(OdstupanjaOdKancelarijskihTroškova[],ROW()-ROW(OdstupanjaOdKancelarijskihTroškova[[#Headers],[avg]]),1),INDEX(PlaniraniKancelarijskiTroškovi[],,1),0),MATCH(OdstupanjaOdKancelarijskihTroškova[[#Headers],[avg]],StvarniKancelarijskiTroškovi[#Headers],0))</f>
        <v>9800</v>
      </c>
      <c r="K11" s="109">
        <f>INDEX(PlaniraniKancelarijskiTroškovi[],MATCH(INDEX(OdstupanjaOdKancelarijskihTroškova[],ROW()-ROW(OdstupanjaOdKancelarijskihTroškova[[#Headers],[sep]]),1),INDEX(PlaniraniKancelarijskiTroškovi[],,1),0),MATCH(OdstupanjaOdKancelarijskihTroškova[[#Headers],[sep]],PlaniraniKancelarijskiTroškovi[#Headers],0))-INDEX(StvarniKancelarijskiTroškovi[],MATCH(INDEX(OdstupanjaOdKancelarijskihTroškova[],ROW()-ROW(OdstupanjaOdKancelarijskihTroškova[[#Headers],[sep]]),1),INDEX(PlaniraniKancelarijskiTroškovi[],,1),0),MATCH(OdstupanjaOdKancelarijskihTroškova[[#Headers],[sep]],StvarniKancelarijskiTroškovi[#Headers],0))</f>
        <v>9800</v>
      </c>
      <c r="L11" s="109">
        <f>INDEX(PlaniraniKancelarijskiTroškovi[],MATCH(INDEX(OdstupanjaOdKancelarijskihTroškova[],ROW()-ROW(OdstupanjaOdKancelarijskihTroškova[[#Headers],[Okt]]),1),INDEX(PlaniraniKancelarijskiTroškovi[],,1),0),MATCH(OdstupanjaOdKancelarijskihTroškova[[#Headers],[Okt]],PlaniraniKancelarijskiTroškovi[#Headers],0))-INDEX(StvarniKancelarijskiTroškovi[],MATCH(INDEX(OdstupanjaOdKancelarijskihTroškova[],ROW()-ROW(OdstupanjaOdKancelarijskihTroškova[[#Headers],[Okt]]),1),INDEX(PlaniraniKancelarijskiTroškovi[],,1),0),MATCH(OdstupanjaOdKancelarijskihTroškova[[#Headers],[Okt]],StvarniKancelarijskiTroškovi[#Headers],0))</f>
        <v>9800</v>
      </c>
      <c r="M11" s="109">
        <f>INDEX(PlaniraniKancelarijskiTroškovi[],MATCH(INDEX(OdstupanjaOdKancelarijskihTroškova[],ROW()-ROW(OdstupanjaOdKancelarijskihTroškova[[#Headers],[Nov]]),1),INDEX(PlaniraniKancelarijskiTroškovi[],,1),0),MATCH(OdstupanjaOdKancelarijskihTroškova[[#Headers],[Nov]],PlaniraniKancelarijskiTroškovi[#Headers],0))-INDEX(StvarniKancelarijskiTroškovi[],MATCH(INDEX(OdstupanjaOdKancelarijskihTroškova[],ROW()-ROW(OdstupanjaOdKancelarijskihTroškova[[#Headers],[Nov]]),1),INDEX(PlaniraniKancelarijskiTroškovi[],,1),0),MATCH(OdstupanjaOdKancelarijskihTroškova[[#Headers],[Nov]],StvarniKancelarijskiTroškovi[#Headers],0))</f>
        <v>9800</v>
      </c>
      <c r="N11" s="109">
        <f>INDEX(PlaniraniKancelarijskiTroškovi[],MATCH(INDEX(OdstupanjaOdKancelarijskihTroškova[],ROW()-ROW(OdstupanjaOdKancelarijskihTroškova[[#Headers],[Dec]]),1),INDEX(PlaniraniKancelarijskiTroškovi[],,1),0),MATCH(OdstupanjaOdKancelarijskihTroškova[[#Headers],[Dec]],PlaniraniKancelarijskiTroškovi[#Headers],0))-INDEX(StvarniKancelarijskiTroškovi[],MATCH(INDEX(OdstupanjaOdKancelarijskihTroškova[],ROW()-ROW(OdstupanjaOdKancelarijskihTroškova[[#Headers],[Dec]]),1),INDEX(PlaniraniKancelarijskiTroškovi[],,1),0),MATCH(OdstupanjaOdKancelarijskihTroškova[[#Headers],[Dec]],StvarniKancelarijskiTroškovi[#Headers],0))</f>
        <v>9800</v>
      </c>
      <c r="O11" s="110">
        <f>SUM(OdstupanjaOdKancelarijskihTroškova[[#This Row],[Jan]:[Dec]])</f>
        <v>58800</v>
      </c>
    </row>
    <row r="12" spans="1:16" ht="24.95" customHeight="1" thickBot="1" x14ac:dyDescent="0.35">
      <c r="A12" s="32"/>
      <c r="B12" s="65" t="s">
        <v>20</v>
      </c>
      <c r="C12" s="109">
        <f>INDEX(PlaniraniKancelarijskiTroškovi[],MATCH(INDEX(OdstupanjaOdKancelarijskihTroškova[],ROW()-ROW(OdstupanjaOdKancelarijskihTroškova[[#Headers],[Jan]]),1),INDEX(PlaniraniKancelarijskiTroškovi[],,1),0),MATCH(OdstupanjaOdKancelarijskihTroškova[[#Headers],[Jan]],PlaniraniKancelarijskiTroškovi[#Headers],0))-INDEX(StvarniKancelarijskiTroškovi[],MATCH(INDEX(OdstupanjaOdKancelarijskihTroškova[],ROW()-ROW(OdstupanjaOdKancelarijskihTroškova[[#Headers],[Jan]]),1),INDEX(PlaniraniKancelarijskiTroškovi[],,1),0),MATCH(OdstupanjaOdKancelarijskihTroškova[[#Headers],[Jan]],StvarniKancelarijskiTroškovi[#Headers],0))</f>
        <v>-4</v>
      </c>
      <c r="D12" s="109">
        <f>INDEX(PlaniraniKancelarijskiTroškovi[],MATCH(INDEX(OdstupanjaOdKancelarijskihTroškova[],ROW()-ROW(OdstupanjaOdKancelarijskihTroškova[[#Headers],[Feb]]),1),INDEX(PlaniraniKancelarijskiTroškovi[],,1),0),MATCH(OdstupanjaOdKancelarijskihTroškova[[#Headers],[Feb]],PlaniraniKancelarijskiTroškovi[#Headers],0))-INDEX(StvarniKancelarijskiTroškovi[],MATCH(INDEX(OdstupanjaOdKancelarijskihTroškova[],ROW()-ROW(OdstupanjaOdKancelarijskihTroškova[[#Headers],[Feb]]),1),INDEX(PlaniraniKancelarijskiTroškovi[],,1),0),MATCH(OdstupanjaOdKancelarijskihTroškova[[#Headers],[Feb]],StvarniKancelarijskiTroškovi[#Headers],0))</f>
        <v>-30</v>
      </c>
      <c r="E12" s="109">
        <f>INDEX(PlaniraniKancelarijskiTroškovi[],MATCH(INDEX(OdstupanjaOdKancelarijskihTroškova[],ROW()-ROW(OdstupanjaOdKancelarijskihTroškova[[#Headers],[Mar]]),1),INDEX(PlaniraniKancelarijskiTroškovi[],,1),0),MATCH(OdstupanjaOdKancelarijskihTroškova[[#Headers],[Mar]],PlaniraniKancelarijskiTroškovi[#Headers],0))-INDEX(StvarniKancelarijskiTroškovi[],MATCH(INDEX(OdstupanjaOdKancelarijskihTroškova[],ROW()-ROW(OdstupanjaOdKancelarijskihTroškova[[#Headers],[Mar]]),1),INDEX(PlaniraniKancelarijskiTroškovi[],,1),0),MATCH(OdstupanjaOdKancelarijskihTroškova[[#Headers],[Mar]],StvarniKancelarijskiTroškovi[#Headers],0))</f>
        <v>15</v>
      </c>
      <c r="F12" s="109">
        <f>INDEX(PlaniraniKancelarijskiTroškovi[],MATCH(INDEX(OdstupanjaOdKancelarijskihTroškova[],ROW()-ROW(OdstupanjaOdKancelarijskihTroškova[[#Headers],[Apr]]),1),INDEX(PlaniraniKancelarijskiTroškovi[],,1),0),MATCH(OdstupanjaOdKancelarijskihTroškova[[#Headers],[Apr]],PlaniraniKancelarijskiTroškovi[#Headers],0))-INDEX(StvarniKancelarijskiTroškovi[],MATCH(INDEX(OdstupanjaOdKancelarijskihTroškova[],ROW()-ROW(OdstupanjaOdKancelarijskihTroškova[[#Headers],[Apr]]),1),INDEX(PlaniraniKancelarijskiTroškovi[],,1),0),MATCH(OdstupanjaOdKancelarijskihTroškova[[#Headers],[Apr]],StvarniKancelarijskiTroškovi[#Headers],0))</f>
        <v>-130</v>
      </c>
      <c r="G12" s="109">
        <f>INDEX(PlaniraniKancelarijskiTroškovi[],MATCH(INDEX(OdstupanjaOdKancelarijskihTroškova[],ROW()-ROW(OdstupanjaOdKancelarijskihTroškova[[#Headers],[maj]]),1),INDEX(PlaniraniKancelarijskiTroškovi[],,1),0),MATCH(OdstupanjaOdKancelarijskihTroškova[[#Headers],[maj]],PlaniraniKancelarijskiTroškovi[#Headers],0))-INDEX(StvarniKancelarijskiTroškovi[],MATCH(INDEX(OdstupanjaOdKancelarijskihTroškova[],ROW()-ROW(OdstupanjaOdKancelarijskihTroškova[[#Headers],[maj]]),1),INDEX(PlaniraniKancelarijskiTroškovi[],,1),0),MATCH(OdstupanjaOdKancelarijskihTroškova[[#Headers],[maj]],StvarniKancelarijskiTroškovi[#Headers],0))</f>
        <v>13</v>
      </c>
      <c r="H12" s="109">
        <f>INDEX(PlaniraniKancelarijskiTroškovi[],MATCH(INDEX(OdstupanjaOdKancelarijskihTroškova[],ROW()-ROW(OdstupanjaOdKancelarijskihTroškova[[#Headers],[jun]]),1),INDEX(PlaniraniKancelarijskiTroškovi[],,1),0),MATCH(OdstupanjaOdKancelarijskihTroškova[[#Headers],[jun]],PlaniraniKancelarijskiTroškovi[#Headers],0))-INDEX(StvarniKancelarijskiTroškovi[],MATCH(INDEX(OdstupanjaOdKancelarijskihTroškova[],ROW()-ROW(OdstupanjaOdKancelarijskihTroškova[[#Headers],[jun]]),1),INDEX(PlaniraniKancelarijskiTroškovi[],,1),0),MATCH(OdstupanjaOdKancelarijskihTroškova[[#Headers],[jun]],StvarniKancelarijskiTroškovi[#Headers],0))</f>
        <v>12</v>
      </c>
      <c r="I12" s="109">
        <f>INDEX(PlaniraniKancelarijskiTroškovi[],MATCH(INDEX(OdstupanjaOdKancelarijskihTroškova[],ROW()-ROW(OdstupanjaOdKancelarijskihTroškova[[#Headers],[jul]]),1),INDEX(PlaniraniKancelarijskiTroškovi[],,1),0),MATCH(OdstupanjaOdKancelarijskihTroškova[[#Headers],[jul]],PlaniraniKancelarijskiTroškovi[#Headers],0))-INDEX(StvarniKancelarijskiTroškovi[],MATCH(INDEX(OdstupanjaOdKancelarijskihTroškova[],ROW()-ROW(OdstupanjaOdKancelarijskihTroškova[[#Headers],[jul]]),1),INDEX(PlaniraniKancelarijskiTroškovi[],,1),0),MATCH(OdstupanjaOdKancelarijskihTroškova[[#Headers],[jul]],StvarniKancelarijskiTroškovi[#Headers],0))</f>
        <v>100</v>
      </c>
      <c r="J12" s="109">
        <f>INDEX(PlaniraniKancelarijskiTroškovi[],MATCH(INDEX(OdstupanjaOdKancelarijskihTroškova[],ROW()-ROW(OdstupanjaOdKancelarijskihTroškova[[#Headers],[avg]]),1),INDEX(PlaniraniKancelarijskiTroškovi[],,1),0),MATCH(OdstupanjaOdKancelarijskihTroškova[[#Headers],[avg]],PlaniraniKancelarijskiTroškovi[#Headers],0))-INDEX(StvarniKancelarijskiTroškovi[],MATCH(INDEX(OdstupanjaOdKancelarijskihTroškova[],ROW()-ROW(OdstupanjaOdKancelarijskihTroškova[[#Headers],[avg]]),1),INDEX(PlaniraniKancelarijskiTroškovi[],,1),0),MATCH(OdstupanjaOdKancelarijskihTroškova[[#Headers],[avg]],StvarniKancelarijskiTroškovi[#Headers],0))</f>
        <v>100</v>
      </c>
      <c r="K12" s="109">
        <f>INDEX(PlaniraniKancelarijskiTroškovi[],MATCH(INDEX(OdstupanjaOdKancelarijskihTroškova[],ROW()-ROW(OdstupanjaOdKancelarijskihTroškova[[#Headers],[sep]]),1),INDEX(PlaniraniKancelarijskiTroškovi[],,1),0),MATCH(OdstupanjaOdKancelarijskihTroškova[[#Headers],[sep]],PlaniraniKancelarijskiTroškovi[#Headers],0))-INDEX(StvarniKancelarijskiTroškovi[],MATCH(INDEX(OdstupanjaOdKancelarijskihTroškova[],ROW()-ROW(OdstupanjaOdKancelarijskihTroškova[[#Headers],[sep]]),1),INDEX(PlaniraniKancelarijskiTroškovi[],,1),0),MATCH(OdstupanjaOdKancelarijskihTroškova[[#Headers],[sep]],StvarniKancelarijskiTroškovi[#Headers],0))</f>
        <v>100</v>
      </c>
      <c r="L12" s="109">
        <f>INDEX(PlaniraniKancelarijskiTroškovi[],MATCH(INDEX(OdstupanjaOdKancelarijskihTroškova[],ROW()-ROW(OdstupanjaOdKancelarijskihTroškova[[#Headers],[Okt]]),1),INDEX(PlaniraniKancelarijskiTroškovi[],,1),0),MATCH(OdstupanjaOdKancelarijskihTroškova[[#Headers],[Okt]],PlaniraniKancelarijskiTroškovi[#Headers],0))-INDEX(StvarniKancelarijskiTroškovi[],MATCH(INDEX(OdstupanjaOdKancelarijskihTroškova[],ROW()-ROW(OdstupanjaOdKancelarijskihTroškova[[#Headers],[Okt]]),1),INDEX(PlaniraniKancelarijskiTroškovi[],,1),0),MATCH(OdstupanjaOdKancelarijskihTroškova[[#Headers],[Okt]],StvarniKancelarijskiTroškovi[#Headers],0))</f>
        <v>100</v>
      </c>
      <c r="M12" s="109">
        <f>INDEX(PlaniraniKancelarijskiTroškovi[],MATCH(INDEX(OdstupanjaOdKancelarijskihTroškova[],ROW()-ROW(OdstupanjaOdKancelarijskihTroškova[[#Headers],[Nov]]),1),INDEX(PlaniraniKancelarijskiTroškovi[],,1),0),MATCH(OdstupanjaOdKancelarijskihTroškova[[#Headers],[Nov]],PlaniraniKancelarijskiTroškovi[#Headers],0))-INDEX(StvarniKancelarijskiTroškovi[],MATCH(INDEX(OdstupanjaOdKancelarijskihTroškova[],ROW()-ROW(OdstupanjaOdKancelarijskihTroškova[[#Headers],[Nov]]),1),INDEX(PlaniraniKancelarijskiTroškovi[],,1),0),MATCH(OdstupanjaOdKancelarijskihTroškova[[#Headers],[Nov]],StvarniKancelarijskiTroškovi[#Headers],0))</f>
        <v>400</v>
      </c>
      <c r="N12" s="109">
        <f>INDEX(PlaniraniKancelarijskiTroškovi[],MATCH(INDEX(OdstupanjaOdKancelarijskihTroškova[],ROW()-ROW(OdstupanjaOdKancelarijskihTroškova[[#Headers],[Dec]]),1),INDEX(PlaniraniKancelarijskiTroškovi[],,1),0),MATCH(OdstupanjaOdKancelarijskihTroškova[[#Headers],[Dec]],PlaniraniKancelarijskiTroškovi[#Headers],0))-INDEX(StvarniKancelarijskiTroškovi[],MATCH(INDEX(OdstupanjaOdKancelarijskihTroškova[],ROW()-ROW(OdstupanjaOdKancelarijskihTroškova[[#Headers],[Dec]]),1),INDEX(PlaniraniKancelarijskiTroškovi[],,1),0),MATCH(OdstupanjaOdKancelarijskihTroškova[[#Headers],[Dec]],StvarniKancelarijskiTroškovi[#Headers],0))</f>
        <v>400</v>
      </c>
      <c r="O12" s="110">
        <f>SUM(OdstupanjaOdKancelarijskihTroškova[[#This Row],[Jan]:[Dec]])</f>
        <v>1076</v>
      </c>
    </row>
    <row r="13" spans="1:16" ht="24.95" customHeight="1" thickBot="1" x14ac:dyDescent="0.35">
      <c r="A13" s="32"/>
      <c r="B13" s="65" t="s">
        <v>21</v>
      </c>
      <c r="C13" s="109">
        <f>INDEX(PlaniraniKancelarijskiTroškovi[],MATCH(INDEX(OdstupanjaOdKancelarijskihTroškova[],ROW()-ROW(OdstupanjaOdKancelarijskihTroškova[[#Headers],[Jan]]),1),INDEX(PlaniraniKancelarijskiTroškovi[],,1),0),MATCH(OdstupanjaOdKancelarijskihTroškova[[#Headers],[Jan]],PlaniraniKancelarijskiTroškovi[#Headers],0))-INDEX(StvarniKancelarijskiTroškovi[],MATCH(INDEX(OdstupanjaOdKancelarijskihTroškova[],ROW()-ROW(OdstupanjaOdKancelarijskihTroškova[[#Headers],[Jan]]),1),INDEX(PlaniraniKancelarijskiTroškovi[],,1),0),MATCH(OdstupanjaOdKancelarijskihTroškova[[#Headers],[Jan]],StvarniKancelarijskiTroškovi[#Headers],0))</f>
        <v>12</v>
      </c>
      <c r="D13" s="109">
        <f>INDEX(PlaniraniKancelarijskiTroškovi[],MATCH(INDEX(OdstupanjaOdKancelarijskihTroškova[],ROW()-ROW(OdstupanjaOdKancelarijskihTroškova[[#Headers],[Feb]]),1),INDEX(PlaniraniKancelarijskiTroškovi[],,1),0),MATCH(OdstupanjaOdKancelarijskihTroškova[[#Headers],[Feb]],PlaniraniKancelarijskiTroškovi[#Headers],0))-INDEX(StvarniKancelarijskiTroškovi[],MATCH(INDEX(OdstupanjaOdKancelarijskihTroškova[],ROW()-ROW(OdstupanjaOdKancelarijskihTroškova[[#Headers],[Feb]]),1),INDEX(PlaniraniKancelarijskiTroškovi[],,1),0),MATCH(OdstupanjaOdKancelarijskihTroškova[[#Headers],[Feb]],StvarniKancelarijskiTroškovi[#Headers],0))</f>
        <v>22</v>
      </c>
      <c r="E13" s="109">
        <f>INDEX(PlaniraniKancelarijskiTroškovi[],MATCH(INDEX(OdstupanjaOdKancelarijskihTroškova[],ROW()-ROW(OdstupanjaOdKancelarijskihTroškova[[#Headers],[Mar]]),1),INDEX(PlaniraniKancelarijskiTroškovi[],,1),0),MATCH(OdstupanjaOdKancelarijskihTroškova[[#Headers],[Mar]],PlaniraniKancelarijskiTroškovi[#Headers],0))-INDEX(StvarniKancelarijskiTroškovi[],MATCH(INDEX(OdstupanjaOdKancelarijskihTroškova[],ROW()-ROW(OdstupanjaOdKancelarijskihTroškova[[#Headers],[Mar]]),1),INDEX(PlaniraniKancelarijskiTroškovi[],,1),0),MATCH(OdstupanjaOdKancelarijskihTroškova[[#Headers],[Mar]],StvarniKancelarijskiTroškovi[#Headers],0))</f>
        <v>32</v>
      </c>
      <c r="F13" s="109">
        <f>INDEX(PlaniraniKancelarijskiTroškovi[],MATCH(INDEX(OdstupanjaOdKancelarijskihTroškova[],ROW()-ROW(OdstupanjaOdKancelarijskihTroškova[[#Headers],[Apr]]),1),INDEX(PlaniraniKancelarijskiTroškovi[],,1),0),MATCH(OdstupanjaOdKancelarijskihTroškova[[#Headers],[Apr]],PlaniraniKancelarijskiTroškovi[#Headers],0))-INDEX(StvarniKancelarijskiTroškovi[],MATCH(INDEX(OdstupanjaOdKancelarijskihTroškova[],ROW()-ROW(OdstupanjaOdKancelarijskihTroškova[[#Headers],[Apr]]),1),INDEX(PlaniraniKancelarijskiTroškovi[],,1),0),MATCH(OdstupanjaOdKancelarijskihTroškova[[#Headers],[Apr]],StvarniKancelarijskiTroškovi[#Headers],0))</f>
        <v>1</v>
      </c>
      <c r="G13" s="109">
        <f>INDEX(PlaniraniKancelarijskiTroškovi[],MATCH(INDEX(OdstupanjaOdKancelarijskihTroškova[],ROW()-ROW(OdstupanjaOdKancelarijskihTroškova[[#Headers],[maj]]),1),INDEX(PlaniraniKancelarijskiTroškovi[],,1),0),MATCH(OdstupanjaOdKancelarijskihTroškova[[#Headers],[maj]],PlaniraniKancelarijskiTroškovi[#Headers],0))-INDEX(StvarniKancelarijskiTroškovi[],MATCH(INDEX(OdstupanjaOdKancelarijskihTroškova[],ROW()-ROW(OdstupanjaOdKancelarijskihTroškova[[#Headers],[maj]]),1),INDEX(PlaniraniKancelarijskiTroškovi[],,1),0),MATCH(OdstupanjaOdKancelarijskihTroškova[[#Headers],[maj]],StvarniKancelarijskiTroškovi[#Headers],0))</f>
        <v>-6</v>
      </c>
      <c r="H13" s="109">
        <f>INDEX(PlaniraniKancelarijskiTroškovi[],MATCH(INDEX(OdstupanjaOdKancelarijskihTroškova[],ROW()-ROW(OdstupanjaOdKancelarijskihTroškova[[#Headers],[jun]]),1),INDEX(PlaniraniKancelarijskiTroškovi[],,1),0),MATCH(OdstupanjaOdKancelarijskihTroškova[[#Headers],[jun]],PlaniraniKancelarijskiTroškovi[#Headers],0))-INDEX(StvarniKancelarijskiTroškovi[],MATCH(INDEX(OdstupanjaOdKancelarijskihTroškova[],ROW()-ROW(OdstupanjaOdKancelarijskihTroškova[[#Headers],[jun]]),1),INDEX(PlaniraniKancelarijskiTroškovi[],,1),0),MATCH(OdstupanjaOdKancelarijskihTroškova[[#Headers],[jun]],StvarniKancelarijskiTroškovi[#Headers],0))</f>
        <v>10</v>
      </c>
      <c r="I13" s="109">
        <f>INDEX(PlaniraniKancelarijskiTroškovi[],MATCH(INDEX(OdstupanjaOdKancelarijskihTroškova[],ROW()-ROW(OdstupanjaOdKancelarijskihTroškova[[#Headers],[jul]]),1),INDEX(PlaniraniKancelarijskiTroškovi[],,1),0),MATCH(OdstupanjaOdKancelarijskihTroškova[[#Headers],[jul]],PlaniraniKancelarijskiTroškovi[#Headers],0))-INDEX(StvarniKancelarijskiTroškovi[],MATCH(INDEX(OdstupanjaOdKancelarijskihTroškova[],ROW()-ROW(OdstupanjaOdKancelarijskihTroškova[[#Headers],[jul]]),1),INDEX(PlaniraniKancelarijskiTroškovi[],,1),0),MATCH(OdstupanjaOdKancelarijskihTroškova[[#Headers],[jul]],StvarniKancelarijskiTroškovi[#Headers],0))</f>
        <v>300</v>
      </c>
      <c r="J13" s="109">
        <f>INDEX(PlaniraniKancelarijskiTroškovi[],MATCH(INDEX(OdstupanjaOdKancelarijskihTroškova[],ROW()-ROW(OdstupanjaOdKancelarijskihTroškova[[#Headers],[avg]]),1),INDEX(PlaniraniKancelarijskiTroškovi[],,1),0),MATCH(OdstupanjaOdKancelarijskihTroškova[[#Headers],[avg]],PlaniraniKancelarijskiTroškovi[#Headers],0))-INDEX(StvarniKancelarijskiTroškovi[],MATCH(INDEX(OdstupanjaOdKancelarijskihTroškova[],ROW()-ROW(OdstupanjaOdKancelarijskihTroškova[[#Headers],[avg]]),1),INDEX(PlaniraniKancelarijskiTroškovi[],,1),0),MATCH(OdstupanjaOdKancelarijskihTroškova[[#Headers],[avg]],StvarniKancelarijskiTroškovi[#Headers],0))</f>
        <v>300</v>
      </c>
      <c r="K13" s="109">
        <f>INDEX(PlaniraniKancelarijskiTroškovi[],MATCH(INDEX(OdstupanjaOdKancelarijskihTroškova[],ROW()-ROW(OdstupanjaOdKancelarijskihTroškova[[#Headers],[sep]]),1),INDEX(PlaniraniKancelarijskiTroškovi[],,1),0),MATCH(OdstupanjaOdKancelarijskihTroškova[[#Headers],[sep]],PlaniraniKancelarijskiTroškovi[#Headers],0))-INDEX(StvarniKancelarijskiTroškovi[],MATCH(INDEX(OdstupanjaOdKancelarijskihTroškova[],ROW()-ROW(OdstupanjaOdKancelarijskihTroškova[[#Headers],[sep]]),1),INDEX(PlaniraniKancelarijskiTroškovi[],,1),0),MATCH(OdstupanjaOdKancelarijskihTroškova[[#Headers],[sep]],StvarniKancelarijskiTroškovi[#Headers],0))</f>
        <v>300</v>
      </c>
      <c r="L13" s="109">
        <f>INDEX(PlaniraniKancelarijskiTroškovi[],MATCH(INDEX(OdstupanjaOdKancelarijskihTroškova[],ROW()-ROW(OdstupanjaOdKancelarijskihTroškova[[#Headers],[Okt]]),1),INDEX(PlaniraniKancelarijskiTroškovi[],,1),0),MATCH(OdstupanjaOdKancelarijskihTroškova[[#Headers],[Okt]],PlaniraniKancelarijskiTroškovi[#Headers],0))-INDEX(StvarniKancelarijskiTroškovi[],MATCH(INDEX(OdstupanjaOdKancelarijskihTroškova[],ROW()-ROW(OdstupanjaOdKancelarijskihTroškova[[#Headers],[Okt]]),1),INDEX(PlaniraniKancelarijskiTroškovi[],,1),0),MATCH(OdstupanjaOdKancelarijskihTroškova[[#Headers],[Okt]],StvarniKancelarijskiTroškovi[#Headers],0))</f>
        <v>300</v>
      </c>
      <c r="M13" s="109">
        <f>INDEX(PlaniraniKancelarijskiTroškovi[],MATCH(INDEX(OdstupanjaOdKancelarijskihTroškova[],ROW()-ROW(OdstupanjaOdKancelarijskihTroškova[[#Headers],[Nov]]),1),INDEX(PlaniraniKancelarijskiTroškovi[],,1),0),MATCH(OdstupanjaOdKancelarijskihTroškova[[#Headers],[Nov]],PlaniraniKancelarijskiTroškovi[#Headers],0))-INDEX(StvarniKancelarijskiTroškovi[],MATCH(INDEX(OdstupanjaOdKancelarijskihTroškova[],ROW()-ROW(OdstupanjaOdKancelarijskihTroškova[[#Headers],[Nov]]),1),INDEX(PlaniraniKancelarijskiTroškovi[],,1),0),MATCH(OdstupanjaOdKancelarijskihTroškova[[#Headers],[Nov]],StvarniKancelarijskiTroškovi[#Headers],0))</f>
        <v>300</v>
      </c>
      <c r="N13" s="109">
        <f>INDEX(PlaniraniKancelarijskiTroškovi[],MATCH(INDEX(OdstupanjaOdKancelarijskihTroškova[],ROW()-ROW(OdstupanjaOdKancelarijskihTroškova[[#Headers],[Dec]]),1),INDEX(PlaniraniKancelarijskiTroškovi[],,1),0),MATCH(OdstupanjaOdKancelarijskihTroškova[[#Headers],[Dec]],PlaniraniKancelarijskiTroškovi[#Headers],0))-INDEX(StvarniKancelarijskiTroškovi[],MATCH(INDEX(OdstupanjaOdKancelarijskihTroškova[],ROW()-ROW(OdstupanjaOdKancelarijskihTroškova[[#Headers],[Dec]]),1),INDEX(PlaniraniKancelarijskiTroškovi[],,1),0),MATCH(OdstupanjaOdKancelarijskihTroškova[[#Headers],[Dec]],StvarniKancelarijskiTroškovi[#Headers],0))</f>
        <v>300</v>
      </c>
      <c r="O13" s="110">
        <f>SUM(OdstupanjaOdKancelarijskihTroškova[[#This Row],[Jan]:[Dec]])</f>
        <v>1871</v>
      </c>
    </row>
    <row r="14" spans="1:16" ht="24.95" customHeight="1" thickBot="1" x14ac:dyDescent="0.35">
      <c r="A14" s="32"/>
      <c r="B14" s="65" t="s">
        <v>22</v>
      </c>
      <c r="C14" s="109">
        <f>INDEX(PlaniraniKancelarijskiTroškovi[],MATCH(INDEX(OdstupanjaOdKancelarijskihTroškova[],ROW()-ROW(OdstupanjaOdKancelarijskihTroškova[[#Headers],[Jan]]),1),INDEX(PlaniraniKancelarijskiTroškovi[],,1),0),MATCH(OdstupanjaOdKancelarijskihTroškova[[#Headers],[Jan]],PlaniraniKancelarijskiTroškovi[#Headers],0))-INDEX(StvarniKancelarijskiTroškovi[],MATCH(INDEX(OdstupanjaOdKancelarijskihTroškova[],ROW()-ROW(OdstupanjaOdKancelarijskihTroškova[[#Headers],[Jan]]),1),INDEX(PlaniraniKancelarijskiTroškovi[],,1),0),MATCH(OdstupanjaOdKancelarijskihTroškova[[#Headers],[Jan]],StvarniKancelarijskiTroškovi[#Headers],0))</f>
        <v>5</v>
      </c>
      <c r="D14" s="109">
        <f>INDEX(PlaniraniKancelarijskiTroškovi[],MATCH(INDEX(OdstupanjaOdKancelarijskihTroškova[],ROW()-ROW(OdstupanjaOdKancelarijskihTroškova[[#Headers],[Feb]]),1),INDEX(PlaniraniKancelarijskiTroškovi[],,1),0),MATCH(OdstupanjaOdKancelarijskihTroškova[[#Headers],[Feb]],PlaniraniKancelarijskiTroškovi[#Headers],0))-INDEX(StvarniKancelarijskiTroškovi[],MATCH(INDEX(OdstupanjaOdKancelarijskihTroškova[],ROW()-ROW(OdstupanjaOdKancelarijskihTroškova[[#Headers],[Feb]]),1),INDEX(PlaniraniKancelarijskiTroškovi[],,1),0),MATCH(OdstupanjaOdKancelarijskihTroškova[[#Headers],[Feb]],StvarniKancelarijskiTroškovi[#Headers],0))</f>
        <v>7</v>
      </c>
      <c r="E14" s="109">
        <f>INDEX(PlaniraniKancelarijskiTroškovi[],MATCH(INDEX(OdstupanjaOdKancelarijskihTroškova[],ROW()-ROW(OdstupanjaOdKancelarijskihTroškova[[#Headers],[Mar]]),1),INDEX(PlaniraniKancelarijskiTroškovi[],,1),0),MATCH(OdstupanjaOdKancelarijskihTroškova[[#Headers],[Mar]],PlaniraniKancelarijskiTroškovi[#Headers],0))-INDEX(StvarniKancelarijskiTroškovi[],MATCH(INDEX(OdstupanjaOdKancelarijskihTroškova[],ROW()-ROW(OdstupanjaOdKancelarijskihTroškova[[#Headers],[Mar]]),1),INDEX(PlaniraniKancelarijskiTroškovi[],,1),0),MATCH(OdstupanjaOdKancelarijskihTroškova[[#Headers],[Mar]],StvarniKancelarijskiTroškovi[#Headers],0))</f>
        <v>6</v>
      </c>
      <c r="F14" s="109">
        <f>INDEX(PlaniraniKancelarijskiTroškovi[],MATCH(INDEX(OdstupanjaOdKancelarijskihTroškova[],ROW()-ROW(OdstupanjaOdKancelarijskihTroškova[[#Headers],[Apr]]),1),INDEX(PlaniraniKancelarijskiTroškovi[],,1),0),MATCH(OdstupanjaOdKancelarijskihTroškova[[#Headers],[Apr]],PlaniraniKancelarijskiTroškovi[#Headers],0))-INDEX(StvarniKancelarijskiTroškovi[],MATCH(INDEX(OdstupanjaOdKancelarijskihTroškova[],ROW()-ROW(OdstupanjaOdKancelarijskihTroškova[[#Headers],[Apr]]),1),INDEX(PlaniraniKancelarijskiTroškovi[],,1),0),MATCH(OdstupanjaOdKancelarijskihTroškova[[#Headers],[Apr]],StvarniKancelarijskiTroškovi[#Headers],0))</f>
        <v>4</v>
      </c>
      <c r="G14" s="109">
        <f>INDEX(PlaniraniKancelarijskiTroškovi[],MATCH(INDEX(OdstupanjaOdKancelarijskihTroškova[],ROW()-ROW(OdstupanjaOdKancelarijskihTroškova[[#Headers],[maj]]),1),INDEX(PlaniraniKancelarijskiTroškovi[],,1),0),MATCH(OdstupanjaOdKancelarijskihTroškova[[#Headers],[maj]],PlaniraniKancelarijskiTroškovi[#Headers],0))-INDEX(StvarniKancelarijskiTroškovi[],MATCH(INDEX(OdstupanjaOdKancelarijskihTroškova[],ROW()-ROW(OdstupanjaOdKancelarijskihTroškova[[#Headers],[maj]]),1),INDEX(PlaniraniKancelarijskiTroškovi[],,1),0),MATCH(OdstupanjaOdKancelarijskihTroškova[[#Headers],[maj]],StvarniKancelarijskiTroškovi[#Headers],0))</f>
        <v>6</v>
      </c>
      <c r="H14" s="109">
        <f>INDEX(PlaniraniKancelarijskiTroškovi[],MATCH(INDEX(OdstupanjaOdKancelarijskihTroškova[],ROW()-ROW(OdstupanjaOdKancelarijskihTroškova[[#Headers],[jun]]),1),INDEX(PlaniraniKancelarijskiTroškovi[],,1),0),MATCH(OdstupanjaOdKancelarijskihTroškova[[#Headers],[jun]],PlaniraniKancelarijskiTroškovi[#Headers],0))-INDEX(StvarniKancelarijskiTroškovi[],MATCH(INDEX(OdstupanjaOdKancelarijskihTroškova[],ROW()-ROW(OdstupanjaOdKancelarijskihTroškova[[#Headers],[jun]]),1),INDEX(PlaniraniKancelarijskiTroškovi[],,1),0),MATCH(OdstupanjaOdKancelarijskihTroškova[[#Headers],[jun]],StvarniKancelarijskiTroškovi[#Headers],0))</f>
        <v>4</v>
      </c>
      <c r="I14" s="109">
        <f>INDEX(PlaniraniKancelarijskiTroškovi[],MATCH(INDEX(OdstupanjaOdKancelarijskihTroškova[],ROW()-ROW(OdstupanjaOdKancelarijskihTroškova[[#Headers],[jul]]),1),INDEX(PlaniraniKancelarijskiTroškovi[],,1),0),MATCH(OdstupanjaOdKancelarijskihTroškova[[#Headers],[jul]],PlaniraniKancelarijskiTroškovi[#Headers],0))-INDEX(StvarniKancelarijskiTroškovi[],MATCH(INDEX(OdstupanjaOdKancelarijskihTroškova[],ROW()-ROW(OdstupanjaOdKancelarijskihTroškova[[#Headers],[jul]]),1),INDEX(PlaniraniKancelarijskiTroškovi[],,1),0),MATCH(OdstupanjaOdKancelarijskihTroškova[[#Headers],[jul]],StvarniKancelarijskiTroškovi[#Headers],0))</f>
        <v>40</v>
      </c>
      <c r="J14" s="109">
        <f>INDEX(PlaniraniKancelarijskiTroškovi[],MATCH(INDEX(OdstupanjaOdKancelarijskihTroškova[],ROW()-ROW(OdstupanjaOdKancelarijskihTroškova[[#Headers],[avg]]),1),INDEX(PlaniraniKancelarijskiTroškovi[],,1),0),MATCH(OdstupanjaOdKancelarijskihTroškova[[#Headers],[avg]],PlaniraniKancelarijskiTroškovi[#Headers],0))-INDEX(StvarniKancelarijskiTroškovi[],MATCH(INDEX(OdstupanjaOdKancelarijskihTroškova[],ROW()-ROW(OdstupanjaOdKancelarijskihTroškova[[#Headers],[avg]]),1),INDEX(PlaniraniKancelarijskiTroškovi[],,1),0),MATCH(OdstupanjaOdKancelarijskihTroškova[[#Headers],[avg]],StvarniKancelarijskiTroškovi[#Headers],0))</f>
        <v>40</v>
      </c>
      <c r="K14" s="109">
        <f>INDEX(PlaniraniKancelarijskiTroškovi[],MATCH(INDEX(OdstupanjaOdKancelarijskihTroškova[],ROW()-ROW(OdstupanjaOdKancelarijskihTroškova[[#Headers],[sep]]),1),INDEX(PlaniraniKancelarijskiTroškovi[],,1),0),MATCH(OdstupanjaOdKancelarijskihTroškova[[#Headers],[sep]],PlaniraniKancelarijskiTroškovi[#Headers],0))-INDEX(StvarniKancelarijskiTroškovi[],MATCH(INDEX(OdstupanjaOdKancelarijskihTroškova[],ROW()-ROW(OdstupanjaOdKancelarijskihTroškova[[#Headers],[sep]]),1),INDEX(PlaniraniKancelarijskiTroškovi[],,1),0),MATCH(OdstupanjaOdKancelarijskihTroškova[[#Headers],[sep]],StvarniKancelarijskiTroškovi[#Headers],0))</f>
        <v>40</v>
      </c>
      <c r="L14" s="109">
        <f>INDEX(PlaniraniKancelarijskiTroškovi[],MATCH(INDEX(OdstupanjaOdKancelarijskihTroškova[],ROW()-ROW(OdstupanjaOdKancelarijskihTroškova[[#Headers],[Okt]]),1),INDEX(PlaniraniKancelarijskiTroškovi[],,1),0),MATCH(OdstupanjaOdKancelarijskihTroškova[[#Headers],[Okt]],PlaniraniKancelarijskiTroškovi[#Headers],0))-INDEX(StvarniKancelarijskiTroškovi[],MATCH(INDEX(OdstupanjaOdKancelarijskihTroškova[],ROW()-ROW(OdstupanjaOdKancelarijskihTroškova[[#Headers],[Okt]]),1),INDEX(PlaniraniKancelarijskiTroškovi[],,1),0),MATCH(OdstupanjaOdKancelarijskihTroškova[[#Headers],[Okt]],StvarniKancelarijskiTroškovi[#Headers],0))</f>
        <v>40</v>
      </c>
      <c r="M14" s="109">
        <f>INDEX(PlaniraniKancelarijskiTroškovi[],MATCH(INDEX(OdstupanjaOdKancelarijskihTroškova[],ROW()-ROW(OdstupanjaOdKancelarijskihTroškova[[#Headers],[Nov]]),1),INDEX(PlaniraniKancelarijskiTroškovi[],,1),0),MATCH(OdstupanjaOdKancelarijskihTroškova[[#Headers],[Nov]],PlaniraniKancelarijskiTroškovi[#Headers],0))-INDEX(StvarniKancelarijskiTroškovi[],MATCH(INDEX(OdstupanjaOdKancelarijskihTroškova[],ROW()-ROW(OdstupanjaOdKancelarijskihTroškova[[#Headers],[Nov]]),1),INDEX(PlaniraniKancelarijskiTroškovi[],,1),0),MATCH(OdstupanjaOdKancelarijskihTroškova[[#Headers],[Nov]],StvarniKancelarijskiTroškovi[#Headers],0))</f>
        <v>40</v>
      </c>
      <c r="N14" s="109">
        <f>INDEX(PlaniraniKancelarijskiTroškovi[],MATCH(INDEX(OdstupanjaOdKancelarijskihTroškova[],ROW()-ROW(OdstupanjaOdKancelarijskihTroškova[[#Headers],[Dec]]),1),INDEX(PlaniraniKancelarijskiTroškovi[],,1),0),MATCH(OdstupanjaOdKancelarijskihTroškova[[#Headers],[Dec]],PlaniraniKancelarijskiTroškovi[#Headers],0))-INDEX(StvarniKancelarijskiTroškovi[],MATCH(INDEX(OdstupanjaOdKancelarijskihTroškova[],ROW()-ROW(OdstupanjaOdKancelarijskihTroškova[[#Headers],[Dec]]),1),INDEX(PlaniraniKancelarijskiTroškovi[],,1),0),MATCH(OdstupanjaOdKancelarijskihTroškova[[#Headers],[Dec]],StvarniKancelarijskiTroškovi[#Headers],0))</f>
        <v>40</v>
      </c>
      <c r="O14" s="110">
        <f>SUM(OdstupanjaOdKancelarijskihTroškova[[#This Row],[Jan]:[Dec]])</f>
        <v>272</v>
      </c>
    </row>
    <row r="15" spans="1:16" ht="24.95" customHeight="1" thickBot="1" x14ac:dyDescent="0.35">
      <c r="A15" s="32"/>
      <c r="B15" s="65" t="s">
        <v>23</v>
      </c>
      <c r="C15" s="109">
        <f>INDEX(PlaniraniKancelarijskiTroškovi[],MATCH(INDEX(OdstupanjaOdKancelarijskihTroškova[],ROW()-ROW(OdstupanjaOdKancelarijskihTroškova[[#Headers],[Jan]]),1),INDEX(PlaniraniKancelarijskiTroškovi[],,1),0),MATCH(OdstupanjaOdKancelarijskihTroškova[[#Headers],[Jan]],PlaniraniKancelarijskiTroškovi[#Headers],0))-INDEX(StvarniKancelarijskiTroškovi[],MATCH(INDEX(OdstupanjaOdKancelarijskihTroškova[],ROW()-ROW(OdstupanjaOdKancelarijskihTroškova[[#Headers],[Jan]]),1),INDEX(PlaniraniKancelarijskiTroškovi[],,1),0),MATCH(OdstupanjaOdKancelarijskihTroškova[[#Headers],[Jan]],StvarniKancelarijskiTroškovi[#Headers],0))</f>
        <v>26</v>
      </c>
      <c r="D15" s="109">
        <f>INDEX(PlaniraniKancelarijskiTroškovi[],MATCH(INDEX(OdstupanjaOdKancelarijskihTroškova[],ROW()-ROW(OdstupanjaOdKancelarijskihTroškova[[#Headers],[Feb]]),1),INDEX(PlaniraniKancelarijskiTroškovi[],,1),0),MATCH(OdstupanjaOdKancelarijskihTroškova[[#Headers],[Feb]],PlaniraniKancelarijskiTroškovi[#Headers],0))-INDEX(StvarniKancelarijskiTroškovi[],MATCH(INDEX(OdstupanjaOdKancelarijskihTroškova[],ROW()-ROW(OdstupanjaOdKancelarijskihTroškova[[#Headers],[Feb]]),1),INDEX(PlaniraniKancelarijskiTroškovi[],,1),0),MATCH(OdstupanjaOdKancelarijskihTroškova[[#Headers],[Feb]],StvarniKancelarijskiTroškovi[#Headers],0))</f>
        <v>15</v>
      </c>
      <c r="E15" s="109">
        <f>INDEX(PlaniraniKancelarijskiTroškovi[],MATCH(INDEX(OdstupanjaOdKancelarijskihTroškova[],ROW()-ROW(OdstupanjaOdKancelarijskihTroškova[[#Headers],[Mar]]),1),INDEX(PlaniraniKancelarijskiTroškovi[],,1),0),MATCH(OdstupanjaOdKancelarijskihTroškova[[#Headers],[Mar]],PlaniraniKancelarijskiTroškovi[#Headers],0))-INDEX(StvarniKancelarijskiTroškovi[],MATCH(INDEX(OdstupanjaOdKancelarijskihTroškova[],ROW()-ROW(OdstupanjaOdKancelarijskihTroškova[[#Headers],[Mar]]),1),INDEX(PlaniraniKancelarijskiTroškovi[],,1),0),MATCH(OdstupanjaOdKancelarijskihTroškova[[#Headers],[Mar]],StvarniKancelarijskiTroškovi[#Headers],0))</f>
        <v>-15</v>
      </c>
      <c r="F15" s="109">
        <f>INDEX(PlaniraniKancelarijskiTroškovi[],MATCH(INDEX(OdstupanjaOdKancelarijskihTroškova[],ROW()-ROW(OdstupanjaOdKancelarijskihTroškova[[#Headers],[Apr]]),1),INDEX(PlaniraniKancelarijskiTroškovi[],,1),0),MATCH(OdstupanjaOdKancelarijskihTroškova[[#Headers],[Apr]],PlaniraniKancelarijskiTroškovi[#Headers],0))-INDEX(StvarniKancelarijskiTroškovi[],MATCH(INDEX(OdstupanjaOdKancelarijskihTroškova[],ROW()-ROW(OdstupanjaOdKancelarijskihTroškova[[#Headers],[Apr]]),1),INDEX(PlaniraniKancelarijskiTroškovi[],,1),0),MATCH(OdstupanjaOdKancelarijskihTroškova[[#Headers],[Apr]],StvarniKancelarijskiTroškovi[#Headers],0))</f>
        <v>5</v>
      </c>
      <c r="G15" s="109">
        <f>INDEX(PlaniraniKancelarijskiTroškovi[],MATCH(INDEX(OdstupanjaOdKancelarijskihTroškova[],ROW()-ROW(OdstupanjaOdKancelarijskihTroškova[[#Headers],[maj]]),1),INDEX(PlaniraniKancelarijskiTroškovi[],,1),0),MATCH(OdstupanjaOdKancelarijskihTroškova[[#Headers],[maj]],PlaniraniKancelarijskiTroškovi[#Headers],0))-INDEX(StvarniKancelarijskiTroškovi[],MATCH(INDEX(OdstupanjaOdKancelarijskihTroškova[],ROW()-ROW(OdstupanjaOdKancelarijskihTroškova[[#Headers],[maj]]),1),INDEX(PlaniraniKancelarijskiTroškovi[],,1),0),MATCH(OdstupanjaOdKancelarijskihTroškova[[#Headers],[maj]],StvarniKancelarijskiTroškovi[#Headers],0))</f>
        <v>5</v>
      </c>
      <c r="H15" s="109">
        <f>INDEX(PlaniraniKancelarijskiTroškovi[],MATCH(INDEX(OdstupanjaOdKancelarijskihTroškova[],ROW()-ROW(OdstupanjaOdKancelarijskihTroškova[[#Headers],[jun]]),1),INDEX(PlaniraniKancelarijskiTroškovi[],,1),0),MATCH(OdstupanjaOdKancelarijskihTroškova[[#Headers],[jun]],PlaniraniKancelarijskiTroškovi[#Headers],0))-INDEX(StvarniKancelarijskiTroškovi[],MATCH(INDEX(OdstupanjaOdKancelarijskihTroškova[],ROW()-ROW(OdstupanjaOdKancelarijskihTroškova[[#Headers],[jun]]),1),INDEX(PlaniraniKancelarijskiTroškovi[],,1),0),MATCH(OdstupanjaOdKancelarijskihTroškova[[#Headers],[jun]],StvarniKancelarijskiTroškovi[#Headers],0))</f>
        <v>30</v>
      </c>
      <c r="I15" s="109">
        <f>INDEX(PlaniraniKancelarijskiTroškovi[],MATCH(INDEX(OdstupanjaOdKancelarijskihTroškova[],ROW()-ROW(OdstupanjaOdKancelarijskihTroškova[[#Headers],[jul]]),1),INDEX(PlaniraniKancelarijskiTroškovi[],,1),0),MATCH(OdstupanjaOdKancelarijskihTroškova[[#Headers],[jul]],PlaniraniKancelarijskiTroškovi[#Headers],0))-INDEX(StvarniKancelarijskiTroškovi[],MATCH(INDEX(OdstupanjaOdKancelarijskihTroškova[],ROW()-ROW(OdstupanjaOdKancelarijskihTroškova[[#Headers],[jul]]),1),INDEX(PlaniraniKancelarijskiTroškovi[],,1),0),MATCH(OdstupanjaOdKancelarijskihTroškova[[#Headers],[jul]],StvarniKancelarijskiTroškovi[#Headers],0))</f>
        <v>250</v>
      </c>
      <c r="J15" s="109">
        <f>INDEX(PlaniraniKancelarijskiTroškovi[],MATCH(INDEX(OdstupanjaOdKancelarijskihTroškova[],ROW()-ROW(OdstupanjaOdKancelarijskihTroškova[[#Headers],[avg]]),1),INDEX(PlaniraniKancelarijskiTroškovi[],,1),0),MATCH(OdstupanjaOdKancelarijskihTroškova[[#Headers],[avg]],PlaniraniKancelarijskiTroškovi[#Headers],0))-INDEX(StvarniKancelarijskiTroškovi[],MATCH(INDEX(OdstupanjaOdKancelarijskihTroškova[],ROW()-ROW(OdstupanjaOdKancelarijskihTroškova[[#Headers],[avg]]),1),INDEX(PlaniraniKancelarijskiTroškovi[],,1),0),MATCH(OdstupanjaOdKancelarijskihTroškova[[#Headers],[avg]],StvarniKancelarijskiTroškovi[#Headers],0))</f>
        <v>250</v>
      </c>
      <c r="K15" s="109">
        <f>INDEX(PlaniraniKancelarijskiTroškovi[],MATCH(INDEX(OdstupanjaOdKancelarijskihTroškova[],ROW()-ROW(OdstupanjaOdKancelarijskihTroškova[[#Headers],[sep]]),1),INDEX(PlaniraniKancelarijskiTroškovi[],,1),0),MATCH(OdstupanjaOdKancelarijskihTroškova[[#Headers],[sep]],PlaniraniKancelarijskiTroškovi[#Headers],0))-INDEX(StvarniKancelarijskiTroškovi[],MATCH(INDEX(OdstupanjaOdKancelarijskihTroškova[],ROW()-ROW(OdstupanjaOdKancelarijskihTroškova[[#Headers],[sep]]),1),INDEX(PlaniraniKancelarijskiTroškovi[],,1),0),MATCH(OdstupanjaOdKancelarijskihTroškova[[#Headers],[sep]],StvarniKancelarijskiTroškovi[#Headers],0))</f>
        <v>250</v>
      </c>
      <c r="L15" s="109">
        <f>INDEX(PlaniraniKancelarijskiTroškovi[],MATCH(INDEX(OdstupanjaOdKancelarijskihTroškova[],ROW()-ROW(OdstupanjaOdKancelarijskihTroškova[[#Headers],[Okt]]),1),INDEX(PlaniraniKancelarijskiTroškovi[],,1),0),MATCH(OdstupanjaOdKancelarijskihTroškova[[#Headers],[Okt]],PlaniraniKancelarijskiTroškovi[#Headers],0))-INDEX(StvarniKancelarijskiTroškovi[],MATCH(INDEX(OdstupanjaOdKancelarijskihTroškova[],ROW()-ROW(OdstupanjaOdKancelarijskihTroškova[[#Headers],[Okt]]),1),INDEX(PlaniraniKancelarijskiTroškovi[],,1),0),MATCH(OdstupanjaOdKancelarijskihTroškova[[#Headers],[Okt]],StvarniKancelarijskiTroškovi[#Headers],0))</f>
        <v>250</v>
      </c>
      <c r="M15" s="109">
        <f>INDEX(PlaniraniKancelarijskiTroškovi[],MATCH(INDEX(OdstupanjaOdKancelarijskihTroškova[],ROW()-ROW(OdstupanjaOdKancelarijskihTroškova[[#Headers],[Nov]]),1),INDEX(PlaniraniKancelarijskiTroškovi[],,1),0),MATCH(OdstupanjaOdKancelarijskihTroškova[[#Headers],[Nov]],PlaniraniKancelarijskiTroškovi[#Headers],0))-INDEX(StvarniKancelarijskiTroškovi[],MATCH(INDEX(OdstupanjaOdKancelarijskihTroškova[],ROW()-ROW(OdstupanjaOdKancelarijskihTroškova[[#Headers],[Nov]]),1),INDEX(PlaniraniKancelarijskiTroškovi[],,1),0),MATCH(OdstupanjaOdKancelarijskihTroškova[[#Headers],[Nov]],StvarniKancelarijskiTroškovi[#Headers],0))</f>
        <v>250</v>
      </c>
      <c r="N15" s="109">
        <f>INDEX(PlaniraniKancelarijskiTroškovi[],MATCH(INDEX(OdstupanjaOdKancelarijskihTroškova[],ROW()-ROW(OdstupanjaOdKancelarijskihTroškova[[#Headers],[Dec]]),1),INDEX(PlaniraniKancelarijskiTroškovi[],,1),0),MATCH(OdstupanjaOdKancelarijskihTroškova[[#Headers],[Dec]],PlaniraniKancelarijskiTroškovi[#Headers],0))-INDEX(StvarniKancelarijskiTroškovi[],MATCH(INDEX(OdstupanjaOdKancelarijskihTroškova[],ROW()-ROW(OdstupanjaOdKancelarijskihTroškova[[#Headers],[Dec]]),1),INDEX(PlaniraniKancelarijskiTroškovi[],,1),0),MATCH(OdstupanjaOdKancelarijskihTroškova[[#Headers],[Dec]],StvarniKancelarijskiTroškovi[#Headers],0))</f>
        <v>250</v>
      </c>
      <c r="O15" s="110">
        <f>SUM(OdstupanjaOdKancelarijskihTroškova[[#This Row],[Jan]:[Dec]])</f>
        <v>1566</v>
      </c>
    </row>
    <row r="16" spans="1:16" ht="24.95" customHeight="1" thickBot="1" x14ac:dyDescent="0.35">
      <c r="A16" s="32"/>
      <c r="B16" s="65" t="s">
        <v>24</v>
      </c>
      <c r="C16" s="109">
        <f>INDEX(PlaniraniKancelarijskiTroškovi[],MATCH(INDEX(OdstupanjaOdKancelarijskihTroškova[],ROW()-ROW(OdstupanjaOdKancelarijskihTroškova[[#Headers],[Jan]]),1),INDEX(PlaniraniKancelarijskiTroškovi[],,1),0),MATCH(OdstupanjaOdKancelarijskihTroškova[[#Headers],[Jan]],PlaniraniKancelarijskiTroškovi[#Headers],0))-INDEX(StvarniKancelarijskiTroškovi[],MATCH(INDEX(OdstupanjaOdKancelarijskihTroškova[],ROW()-ROW(OdstupanjaOdKancelarijskihTroškova[[#Headers],[Jan]]),1),INDEX(PlaniraniKancelarijskiTroškovi[],,1),0),MATCH(OdstupanjaOdKancelarijskihTroškova[[#Headers],[Jan]],StvarniKancelarijskiTroškovi[#Headers],0))</f>
        <v>0</v>
      </c>
      <c r="D16" s="109">
        <f>INDEX(PlaniraniKancelarijskiTroškovi[],MATCH(INDEX(OdstupanjaOdKancelarijskihTroškova[],ROW()-ROW(OdstupanjaOdKancelarijskihTroškova[[#Headers],[Feb]]),1),INDEX(PlaniraniKancelarijskiTroškovi[],,1),0),MATCH(OdstupanjaOdKancelarijskihTroškova[[#Headers],[Feb]],PlaniraniKancelarijskiTroškovi[#Headers],0))-INDEX(StvarniKancelarijskiTroškovi[],MATCH(INDEX(OdstupanjaOdKancelarijskihTroškova[],ROW()-ROW(OdstupanjaOdKancelarijskihTroškova[[#Headers],[Feb]]),1),INDEX(PlaniraniKancelarijskiTroškovi[],,1),0),MATCH(OdstupanjaOdKancelarijskihTroškova[[#Headers],[Feb]],StvarniKancelarijskiTroškovi[#Headers],0))</f>
        <v>0</v>
      </c>
      <c r="E16" s="109">
        <f>INDEX(PlaniraniKancelarijskiTroškovi[],MATCH(INDEX(OdstupanjaOdKancelarijskihTroškova[],ROW()-ROW(OdstupanjaOdKancelarijskihTroškova[[#Headers],[Mar]]),1),INDEX(PlaniraniKancelarijskiTroškovi[],,1),0),MATCH(OdstupanjaOdKancelarijskihTroškova[[#Headers],[Mar]],PlaniraniKancelarijskiTroškovi[#Headers],0))-INDEX(StvarniKancelarijskiTroškovi[],MATCH(INDEX(OdstupanjaOdKancelarijskihTroškova[],ROW()-ROW(OdstupanjaOdKancelarijskihTroškova[[#Headers],[Mar]]),1),INDEX(PlaniraniKancelarijskiTroškovi[],,1),0),MATCH(OdstupanjaOdKancelarijskihTroškova[[#Headers],[Mar]],StvarniKancelarijskiTroškovi[#Headers],0))</f>
        <v>0</v>
      </c>
      <c r="F16" s="109">
        <f>INDEX(PlaniraniKancelarijskiTroškovi[],MATCH(INDEX(OdstupanjaOdKancelarijskihTroškova[],ROW()-ROW(OdstupanjaOdKancelarijskihTroškova[[#Headers],[Apr]]),1),INDEX(PlaniraniKancelarijskiTroškovi[],,1),0),MATCH(OdstupanjaOdKancelarijskihTroškova[[#Headers],[Apr]],PlaniraniKancelarijskiTroškovi[#Headers],0))-INDEX(StvarniKancelarijskiTroškovi[],MATCH(INDEX(OdstupanjaOdKancelarijskihTroškova[],ROW()-ROW(OdstupanjaOdKancelarijskihTroškova[[#Headers],[Apr]]),1),INDEX(PlaniraniKancelarijskiTroškovi[],,1),0),MATCH(OdstupanjaOdKancelarijskihTroškova[[#Headers],[Apr]],StvarniKancelarijskiTroškovi[#Headers],0))</f>
        <v>0</v>
      </c>
      <c r="G16" s="109">
        <f>INDEX(PlaniraniKancelarijskiTroškovi[],MATCH(INDEX(OdstupanjaOdKancelarijskihTroškova[],ROW()-ROW(OdstupanjaOdKancelarijskihTroškova[[#Headers],[maj]]),1),INDEX(PlaniraniKancelarijskiTroškovi[],,1),0),MATCH(OdstupanjaOdKancelarijskihTroškova[[#Headers],[maj]],PlaniraniKancelarijskiTroškovi[#Headers],0))-INDEX(StvarniKancelarijskiTroškovi[],MATCH(INDEX(OdstupanjaOdKancelarijskihTroškova[],ROW()-ROW(OdstupanjaOdKancelarijskihTroškova[[#Headers],[maj]]),1),INDEX(PlaniraniKancelarijskiTroškovi[],,1),0),MATCH(OdstupanjaOdKancelarijskihTroškova[[#Headers],[maj]],StvarniKancelarijskiTroškovi[#Headers],0))</f>
        <v>0</v>
      </c>
      <c r="H16" s="109">
        <f>INDEX(PlaniraniKancelarijskiTroškovi[],MATCH(INDEX(OdstupanjaOdKancelarijskihTroškova[],ROW()-ROW(OdstupanjaOdKancelarijskihTroškova[[#Headers],[jun]]),1),INDEX(PlaniraniKancelarijskiTroškovi[],,1),0),MATCH(OdstupanjaOdKancelarijskihTroškova[[#Headers],[jun]],PlaniraniKancelarijskiTroškovi[#Headers],0))-INDEX(StvarniKancelarijskiTroškovi[],MATCH(INDEX(OdstupanjaOdKancelarijskihTroškova[],ROW()-ROW(OdstupanjaOdKancelarijskihTroškova[[#Headers],[jun]]),1),INDEX(PlaniraniKancelarijskiTroškovi[],,1),0),MATCH(OdstupanjaOdKancelarijskihTroškova[[#Headers],[jun]],StvarniKancelarijskiTroškovi[#Headers],0))</f>
        <v>0</v>
      </c>
      <c r="I16" s="109">
        <f>INDEX(PlaniraniKancelarijskiTroškovi[],MATCH(INDEX(OdstupanjaOdKancelarijskihTroškova[],ROW()-ROW(OdstupanjaOdKancelarijskihTroškova[[#Headers],[jul]]),1),INDEX(PlaniraniKancelarijskiTroškovi[],,1),0),MATCH(OdstupanjaOdKancelarijskihTroškova[[#Headers],[jul]],PlaniraniKancelarijskiTroškovi[#Headers],0))-INDEX(StvarniKancelarijskiTroškovi[],MATCH(INDEX(OdstupanjaOdKancelarijskihTroškova[],ROW()-ROW(OdstupanjaOdKancelarijskihTroškova[[#Headers],[jul]]),1),INDEX(PlaniraniKancelarijskiTroškovi[],,1),0),MATCH(OdstupanjaOdKancelarijskihTroškova[[#Headers],[jul]],StvarniKancelarijskiTroškovi[#Headers],0))</f>
        <v>180</v>
      </c>
      <c r="J16" s="109">
        <f>INDEX(PlaniraniKancelarijskiTroškovi[],MATCH(INDEX(OdstupanjaOdKancelarijskihTroškova[],ROW()-ROW(OdstupanjaOdKancelarijskihTroškova[[#Headers],[avg]]),1),INDEX(PlaniraniKancelarijskiTroškovi[],,1),0),MATCH(OdstupanjaOdKancelarijskihTroškova[[#Headers],[avg]],PlaniraniKancelarijskiTroškovi[#Headers],0))-INDEX(StvarniKancelarijskiTroškovi[],MATCH(INDEX(OdstupanjaOdKancelarijskihTroškova[],ROW()-ROW(OdstupanjaOdKancelarijskihTroškova[[#Headers],[avg]]),1),INDEX(PlaniraniKancelarijskiTroškovi[],,1),0),MATCH(OdstupanjaOdKancelarijskihTroškova[[#Headers],[avg]],StvarniKancelarijskiTroškovi[#Headers],0))</f>
        <v>180</v>
      </c>
      <c r="K16" s="109">
        <f>INDEX(PlaniraniKancelarijskiTroškovi[],MATCH(INDEX(OdstupanjaOdKancelarijskihTroškova[],ROW()-ROW(OdstupanjaOdKancelarijskihTroškova[[#Headers],[sep]]),1),INDEX(PlaniraniKancelarijskiTroškovi[],,1),0),MATCH(OdstupanjaOdKancelarijskihTroškova[[#Headers],[sep]],PlaniraniKancelarijskiTroškovi[#Headers],0))-INDEX(StvarniKancelarijskiTroškovi[],MATCH(INDEX(OdstupanjaOdKancelarijskihTroškova[],ROW()-ROW(OdstupanjaOdKancelarijskihTroškova[[#Headers],[sep]]),1),INDEX(PlaniraniKancelarijskiTroškovi[],,1),0),MATCH(OdstupanjaOdKancelarijskihTroškova[[#Headers],[sep]],StvarniKancelarijskiTroškovi[#Headers],0))</f>
        <v>180</v>
      </c>
      <c r="L16" s="109">
        <f>INDEX(PlaniraniKancelarijskiTroškovi[],MATCH(INDEX(OdstupanjaOdKancelarijskihTroškova[],ROW()-ROW(OdstupanjaOdKancelarijskihTroškova[[#Headers],[Okt]]),1),INDEX(PlaniraniKancelarijskiTroškovi[],,1),0),MATCH(OdstupanjaOdKancelarijskihTroškova[[#Headers],[Okt]],PlaniraniKancelarijskiTroškovi[#Headers],0))-INDEX(StvarniKancelarijskiTroškovi[],MATCH(INDEX(OdstupanjaOdKancelarijskihTroškova[],ROW()-ROW(OdstupanjaOdKancelarijskihTroškova[[#Headers],[Okt]]),1),INDEX(PlaniraniKancelarijskiTroškovi[],,1),0),MATCH(OdstupanjaOdKancelarijskihTroškova[[#Headers],[Okt]],StvarniKancelarijskiTroškovi[#Headers],0))</f>
        <v>180</v>
      </c>
      <c r="M16" s="109">
        <f>INDEX(PlaniraniKancelarijskiTroškovi[],MATCH(INDEX(OdstupanjaOdKancelarijskihTroškova[],ROW()-ROW(OdstupanjaOdKancelarijskihTroškova[[#Headers],[Nov]]),1),INDEX(PlaniraniKancelarijskiTroškovi[],,1),0),MATCH(OdstupanjaOdKancelarijskihTroškova[[#Headers],[Nov]],PlaniraniKancelarijskiTroškovi[#Headers],0))-INDEX(StvarniKancelarijskiTroškovi[],MATCH(INDEX(OdstupanjaOdKancelarijskihTroškova[],ROW()-ROW(OdstupanjaOdKancelarijskihTroškova[[#Headers],[Nov]]),1),INDEX(PlaniraniKancelarijskiTroškovi[],,1),0),MATCH(OdstupanjaOdKancelarijskihTroškova[[#Headers],[Nov]],StvarniKancelarijskiTroškovi[#Headers],0))</f>
        <v>180</v>
      </c>
      <c r="N16" s="109">
        <f>INDEX(PlaniraniKancelarijskiTroškovi[],MATCH(INDEX(OdstupanjaOdKancelarijskihTroškova[],ROW()-ROW(OdstupanjaOdKancelarijskihTroškova[[#Headers],[Dec]]),1),INDEX(PlaniraniKancelarijskiTroškovi[],,1),0),MATCH(OdstupanjaOdKancelarijskihTroškova[[#Headers],[Dec]],PlaniraniKancelarijskiTroškovi[#Headers],0))-INDEX(StvarniKancelarijskiTroškovi[],MATCH(INDEX(OdstupanjaOdKancelarijskihTroškova[],ROW()-ROW(OdstupanjaOdKancelarijskihTroškova[[#Headers],[Dec]]),1),INDEX(PlaniraniKancelarijskiTroškovi[],,1),0),MATCH(OdstupanjaOdKancelarijskihTroškova[[#Headers],[Dec]],StvarniKancelarijskiTroškovi[#Headers],0))</f>
        <v>180</v>
      </c>
      <c r="O16" s="110">
        <f>SUM(OdstupanjaOdKancelarijskihTroškova[[#This Row],[Jan]:[Dec]])</f>
        <v>1080</v>
      </c>
    </row>
    <row r="17" spans="1:15" ht="24.95" customHeight="1" thickBot="1" x14ac:dyDescent="0.35">
      <c r="A17" s="32"/>
      <c r="B17" s="65" t="s">
        <v>25</v>
      </c>
      <c r="C17" s="109">
        <f>INDEX(PlaniraniKancelarijskiTroškovi[],MATCH(INDEX(OdstupanjaOdKancelarijskihTroškova[],ROW()-ROW(OdstupanjaOdKancelarijskihTroškova[[#Headers],[Jan]]),1),INDEX(PlaniraniKancelarijskiTroškovi[],,1),0),MATCH(OdstupanjaOdKancelarijskihTroškova[[#Headers],[Jan]],PlaniraniKancelarijskiTroškovi[#Headers],0))-INDEX(StvarniKancelarijskiTroškovi[],MATCH(INDEX(OdstupanjaOdKancelarijskihTroškova[],ROW()-ROW(OdstupanjaOdKancelarijskihTroškova[[#Headers],[Jan]]),1),INDEX(PlaniraniKancelarijskiTroškovi[],,1),0),MATCH(OdstupanjaOdKancelarijskihTroškova[[#Headers],[Jan]],StvarniKancelarijskiTroškovi[#Headers],0))</f>
        <v>-56</v>
      </c>
      <c r="D17" s="109">
        <f>INDEX(PlaniraniKancelarijskiTroškovi[],MATCH(INDEX(OdstupanjaOdKancelarijskihTroškova[],ROW()-ROW(OdstupanjaOdKancelarijskihTroškova[[#Headers],[Feb]]),1),INDEX(PlaniraniKancelarijskiTroškovi[],,1),0),MATCH(OdstupanjaOdKancelarijskihTroškova[[#Headers],[Feb]],PlaniraniKancelarijskiTroškovi[#Headers],0))-INDEX(StvarniKancelarijskiTroškovi[],MATCH(INDEX(OdstupanjaOdKancelarijskihTroškova[],ROW()-ROW(OdstupanjaOdKancelarijskihTroškova[[#Headers],[Feb]]),1),INDEX(PlaniraniKancelarijskiTroškovi[],,1),0),MATCH(OdstupanjaOdKancelarijskihTroškova[[#Headers],[Feb]],StvarniKancelarijskiTroškovi[#Headers],0))</f>
        <v>58</v>
      </c>
      <c r="E17" s="109">
        <f>INDEX(PlaniraniKancelarijskiTroškovi[],MATCH(INDEX(OdstupanjaOdKancelarijskihTroškova[],ROW()-ROW(OdstupanjaOdKancelarijskihTroškova[[#Headers],[Mar]]),1),INDEX(PlaniraniKancelarijskiTroškovi[],,1),0),MATCH(OdstupanjaOdKancelarijskihTroškova[[#Headers],[Mar]],PlaniraniKancelarijskiTroškovi[#Headers],0))-INDEX(StvarniKancelarijskiTroškovi[],MATCH(INDEX(OdstupanjaOdKancelarijskihTroškova[],ROW()-ROW(OdstupanjaOdKancelarijskihTroškova[[#Headers],[Mar]]),1),INDEX(PlaniraniKancelarijskiTroškovi[],,1),0),MATCH(OdstupanjaOdKancelarijskihTroškova[[#Headers],[Mar]],StvarniKancelarijskiTroškovi[#Headers],0))</f>
        <v>40</v>
      </c>
      <c r="F17" s="109">
        <f>INDEX(PlaniraniKancelarijskiTroškovi[],MATCH(INDEX(OdstupanjaOdKancelarijskihTroškova[],ROW()-ROW(OdstupanjaOdKancelarijskihTroškova[[#Headers],[Apr]]),1),INDEX(PlaniraniKancelarijskiTroškovi[],,1),0),MATCH(OdstupanjaOdKancelarijskihTroškova[[#Headers],[Apr]],PlaniraniKancelarijskiTroškovi[#Headers],0))-INDEX(StvarniKancelarijskiTroškovi[],MATCH(INDEX(OdstupanjaOdKancelarijskihTroškova[],ROW()-ROW(OdstupanjaOdKancelarijskihTroškova[[#Headers],[Apr]]),1),INDEX(PlaniraniKancelarijskiTroškovi[],,1),0),MATCH(OdstupanjaOdKancelarijskihTroškova[[#Headers],[Apr]],StvarniKancelarijskiTroškovi[#Headers],0))</f>
        <v>-21</v>
      </c>
      <c r="G17" s="109">
        <f>INDEX(PlaniraniKancelarijskiTroškovi[],MATCH(INDEX(OdstupanjaOdKancelarijskihTroškova[],ROW()-ROW(OdstupanjaOdKancelarijskihTroškova[[#Headers],[maj]]),1),INDEX(PlaniraniKancelarijskiTroškovi[],,1),0),MATCH(OdstupanjaOdKancelarijskihTroškova[[#Headers],[maj]],PlaniraniKancelarijskiTroškovi[#Headers],0))-INDEX(StvarniKancelarijskiTroškovi[],MATCH(INDEX(OdstupanjaOdKancelarijskihTroškova[],ROW()-ROW(OdstupanjaOdKancelarijskihTroškova[[#Headers],[maj]]),1),INDEX(PlaniraniKancelarijskiTroškovi[],,1),0),MATCH(OdstupanjaOdKancelarijskihTroškova[[#Headers],[maj]],StvarniKancelarijskiTroškovi[#Headers],0))</f>
        <v>-56</v>
      </c>
      <c r="H17" s="109">
        <f>INDEX(PlaniraniKancelarijskiTroškovi[],MATCH(INDEX(OdstupanjaOdKancelarijskihTroškova[],ROW()-ROW(OdstupanjaOdKancelarijskihTroškova[[#Headers],[jun]]),1),INDEX(PlaniraniKancelarijskiTroškovi[],,1),0),MATCH(OdstupanjaOdKancelarijskihTroškova[[#Headers],[jun]],PlaniraniKancelarijskiTroškovi[#Headers],0))-INDEX(StvarniKancelarijskiTroškovi[],MATCH(INDEX(OdstupanjaOdKancelarijskihTroškova[],ROW()-ROW(OdstupanjaOdKancelarijskihTroškova[[#Headers],[jun]]),1),INDEX(PlaniraniKancelarijskiTroškovi[],,1),0),MATCH(OdstupanjaOdKancelarijskihTroškova[[#Headers],[jun]],StvarniKancelarijskiTroškovi[#Headers],0))</f>
        <v>-40</v>
      </c>
      <c r="I17" s="109">
        <f>INDEX(PlaniraniKancelarijskiTroškovi[],MATCH(INDEX(OdstupanjaOdKancelarijskihTroškova[],ROW()-ROW(OdstupanjaOdKancelarijskihTroškova[[#Headers],[jul]]),1),INDEX(PlaniraniKancelarijskiTroškovi[],,1),0),MATCH(OdstupanjaOdKancelarijskihTroškova[[#Headers],[jul]],PlaniraniKancelarijskiTroškovi[#Headers],0))-INDEX(StvarniKancelarijskiTroškovi[],MATCH(INDEX(OdstupanjaOdKancelarijskihTroškova[],ROW()-ROW(OdstupanjaOdKancelarijskihTroškova[[#Headers],[jul]]),1),INDEX(PlaniraniKancelarijskiTroškovi[],,1),0),MATCH(OdstupanjaOdKancelarijskihTroškova[[#Headers],[jul]],StvarniKancelarijskiTroškovi[#Headers],0))</f>
        <v>200</v>
      </c>
      <c r="J17" s="109">
        <f>INDEX(PlaniraniKancelarijskiTroškovi[],MATCH(INDEX(OdstupanjaOdKancelarijskihTroškova[],ROW()-ROW(OdstupanjaOdKancelarijskihTroškova[[#Headers],[avg]]),1),INDEX(PlaniraniKancelarijskiTroškovi[],,1),0),MATCH(OdstupanjaOdKancelarijskihTroškova[[#Headers],[avg]],PlaniraniKancelarijskiTroškovi[#Headers],0))-INDEX(StvarniKancelarijskiTroškovi[],MATCH(INDEX(OdstupanjaOdKancelarijskihTroškova[],ROW()-ROW(OdstupanjaOdKancelarijskihTroškova[[#Headers],[avg]]),1),INDEX(PlaniraniKancelarijskiTroškovi[],,1),0),MATCH(OdstupanjaOdKancelarijskihTroškova[[#Headers],[avg]],StvarniKancelarijskiTroškovi[#Headers],0))</f>
        <v>200</v>
      </c>
      <c r="K17" s="109">
        <f>INDEX(PlaniraniKancelarijskiTroškovi[],MATCH(INDEX(OdstupanjaOdKancelarijskihTroškova[],ROW()-ROW(OdstupanjaOdKancelarijskihTroškova[[#Headers],[sep]]),1),INDEX(PlaniraniKancelarijskiTroškovi[],,1),0),MATCH(OdstupanjaOdKancelarijskihTroškova[[#Headers],[sep]],PlaniraniKancelarijskiTroškovi[#Headers],0))-INDEX(StvarniKancelarijskiTroškovi[],MATCH(INDEX(OdstupanjaOdKancelarijskihTroškova[],ROW()-ROW(OdstupanjaOdKancelarijskihTroškova[[#Headers],[sep]]),1),INDEX(PlaniraniKancelarijskiTroškovi[],,1),0),MATCH(OdstupanjaOdKancelarijskihTroškova[[#Headers],[sep]],StvarniKancelarijskiTroškovi[#Headers],0))</f>
        <v>200</v>
      </c>
      <c r="L17" s="109">
        <f>INDEX(PlaniraniKancelarijskiTroškovi[],MATCH(INDEX(OdstupanjaOdKancelarijskihTroškova[],ROW()-ROW(OdstupanjaOdKancelarijskihTroškova[[#Headers],[Okt]]),1),INDEX(PlaniraniKancelarijskiTroškovi[],,1),0),MATCH(OdstupanjaOdKancelarijskihTroškova[[#Headers],[Okt]],PlaniraniKancelarijskiTroškovi[#Headers],0))-INDEX(StvarniKancelarijskiTroškovi[],MATCH(INDEX(OdstupanjaOdKancelarijskihTroškova[],ROW()-ROW(OdstupanjaOdKancelarijskihTroškova[[#Headers],[Okt]]),1),INDEX(PlaniraniKancelarijskiTroškovi[],,1),0),MATCH(OdstupanjaOdKancelarijskihTroškova[[#Headers],[Okt]],StvarniKancelarijskiTroškovi[#Headers],0))</f>
        <v>200</v>
      </c>
      <c r="M17" s="109">
        <f>INDEX(PlaniraniKancelarijskiTroškovi[],MATCH(INDEX(OdstupanjaOdKancelarijskihTroškova[],ROW()-ROW(OdstupanjaOdKancelarijskihTroškova[[#Headers],[Nov]]),1),INDEX(PlaniraniKancelarijskiTroškovi[],,1),0),MATCH(OdstupanjaOdKancelarijskihTroškova[[#Headers],[Nov]],PlaniraniKancelarijskiTroškovi[#Headers],0))-INDEX(StvarniKancelarijskiTroškovi[],MATCH(INDEX(OdstupanjaOdKancelarijskihTroškova[],ROW()-ROW(OdstupanjaOdKancelarijskihTroškova[[#Headers],[Nov]]),1),INDEX(PlaniraniKancelarijskiTroškovi[],,1),0),MATCH(OdstupanjaOdKancelarijskihTroškova[[#Headers],[Nov]],StvarniKancelarijskiTroškovi[#Headers],0))</f>
        <v>200</v>
      </c>
      <c r="N17" s="109">
        <f>INDEX(PlaniraniKancelarijskiTroškovi[],MATCH(INDEX(OdstupanjaOdKancelarijskihTroškova[],ROW()-ROW(OdstupanjaOdKancelarijskihTroškova[[#Headers],[Dec]]),1),INDEX(PlaniraniKancelarijskiTroškovi[],,1),0),MATCH(OdstupanjaOdKancelarijskihTroškova[[#Headers],[Dec]],PlaniraniKancelarijskiTroškovi[#Headers],0))-INDEX(StvarniKancelarijskiTroškovi[],MATCH(INDEX(OdstupanjaOdKancelarijskihTroškova[],ROW()-ROW(OdstupanjaOdKancelarijskihTroškova[[#Headers],[Dec]]),1),INDEX(PlaniraniKancelarijskiTroškovi[],,1),0),MATCH(OdstupanjaOdKancelarijskihTroškova[[#Headers],[Dec]],StvarniKancelarijskiTroškovi[#Headers],0))</f>
        <v>200</v>
      </c>
      <c r="O17" s="110">
        <f>SUM(OdstupanjaOdKancelarijskihTroškova[[#This Row],[Jan]:[Dec]])</f>
        <v>1125</v>
      </c>
    </row>
    <row r="18" spans="1:15" ht="24.95" customHeight="1" thickBot="1" x14ac:dyDescent="0.35">
      <c r="A18" s="32"/>
      <c r="B18" s="65" t="s">
        <v>26</v>
      </c>
      <c r="C18" s="109">
        <f>INDEX(PlaniraniKancelarijskiTroškovi[],MATCH(INDEX(OdstupanjaOdKancelarijskihTroškova[],ROW()-ROW(OdstupanjaOdKancelarijskihTroškova[[#Headers],[Jan]]),1),INDEX(PlaniraniKancelarijskiTroškovi[],,1),0),MATCH(OdstupanjaOdKancelarijskihTroškova[[#Headers],[Jan]],PlaniraniKancelarijskiTroškovi[#Headers],0))-INDEX(StvarniKancelarijskiTroškovi[],MATCH(INDEX(OdstupanjaOdKancelarijskihTroškova[],ROW()-ROW(OdstupanjaOdKancelarijskihTroškova[[#Headers],[Jan]]),1),INDEX(PlaniraniKancelarijskiTroškovi[],,1),0),MATCH(OdstupanjaOdKancelarijskihTroškova[[#Headers],[Jan]],StvarniKancelarijskiTroškovi[#Headers],0))</f>
        <v>0</v>
      </c>
      <c r="D18" s="109">
        <f>INDEX(PlaniraniKancelarijskiTroškovi[],MATCH(INDEX(OdstupanjaOdKancelarijskihTroškova[],ROW()-ROW(OdstupanjaOdKancelarijskihTroškova[[#Headers],[Feb]]),1),INDEX(PlaniraniKancelarijskiTroškovi[],,1),0),MATCH(OdstupanjaOdKancelarijskihTroškova[[#Headers],[Feb]],PlaniraniKancelarijskiTroškovi[#Headers],0))-INDEX(StvarniKancelarijskiTroškovi[],MATCH(INDEX(OdstupanjaOdKancelarijskihTroškova[],ROW()-ROW(OdstupanjaOdKancelarijskihTroškova[[#Headers],[Feb]]),1),INDEX(PlaniraniKancelarijskiTroškovi[],,1),0),MATCH(OdstupanjaOdKancelarijskihTroškova[[#Headers],[Feb]],StvarniKancelarijskiTroškovi[#Headers],0))</f>
        <v>0</v>
      </c>
      <c r="E18" s="109">
        <f>INDEX(PlaniraniKancelarijskiTroškovi[],MATCH(INDEX(OdstupanjaOdKancelarijskihTroškova[],ROW()-ROW(OdstupanjaOdKancelarijskihTroškova[[#Headers],[Mar]]),1),INDEX(PlaniraniKancelarijskiTroškovi[],,1),0),MATCH(OdstupanjaOdKancelarijskihTroškova[[#Headers],[Mar]],PlaniraniKancelarijskiTroškovi[#Headers],0))-INDEX(StvarniKancelarijskiTroškovi[],MATCH(INDEX(OdstupanjaOdKancelarijskihTroškova[],ROW()-ROW(OdstupanjaOdKancelarijskihTroškova[[#Headers],[Mar]]),1),INDEX(PlaniraniKancelarijskiTroškovi[],,1),0),MATCH(OdstupanjaOdKancelarijskihTroškova[[#Headers],[Mar]],StvarniKancelarijskiTroškovi[#Headers],0))</f>
        <v>0</v>
      </c>
      <c r="F18" s="109">
        <f>INDEX(PlaniraniKancelarijskiTroškovi[],MATCH(INDEX(OdstupanjaOdKancelarijskihTroškova[],ROW()-ROW(OdstupanjaOdKancelarijskihTroškova[[#Headers],[Apr]]),1),INDEX(PlaniraniKancelarijskiTroškovi[],,1),0),MATCH(OdstupanjaOdKancelarijskihTroškova[[#Headers],[Apr]],PlaniraniKancelarijskiTroškovi[#Headers],0))-INDEX(StvarniKancelarijskiTroškovi[],MATCH(INDEX(OdstupanjaOdKancelarijskihTroškova[],ROW()-ROW(OdstupanjaOdKancelarijskihTroškova[[#Headers],[Apr]]),1),INDEX(PlaniraniKancelarijskiTroškovi[],,1),0),MATCH(OdstupanjaOdKancelarijskihTroškova[[#Headers],[Apr]],StvarniKancelarijskiTroškovi[#Headers],0))</f>
        <v>0</v>
      </c>
      <c r="G18" s="109">
        <f>INDEX(PlaniraniKancelarijskiTroškovi[],MATCH(INDEX(OdstupanjaOdKancelarijskihTroškova[],ROW()-ROW(OdstupanjaOdKancelarijskihTroškova[[#Headers],[maj]]),1),INDEX(PlaniraniKancelarijskiTroškovi[],,1),0),MATCH(OdstupanjaOdKancelarijskihTroškova[[#Headers],[maj]],PlaniraniKancelarijskiTroškovi[#Headers],0))-INDEX(StvarniKancelarijskiTroškovi[],MATCH(INDEX(OdstupanjaOdKancelarijskihTroškova[],ROW()-ROW(OdstupanjaOdKancelarijskihTroškova[[#Headers],[maj]]),1),INDEX(PlaniraniKancelarijskiTroškovi[],,1),0),MATCH(OdstupanjaOdKancelarijskihTroškova[[#Headers],[maj]],StvarniKancelarijskiTroškovi[#Headers],0))</f>
        <v>0</v>
      </c>
      <c r="H18" s="109">
        <f>INDEX(PlaniraniKancelarijskiTroškovi[],MATCH(INDEX(OdstupanjaOdKancelarijskihTroškova[],ROW()-ROW(OdstupanjaOdKancelarijskihTroškova[[#Headers],[jun]]),1),INDEX(PlaniraniKancelarijskiTroškovi[],,1),0),MATCH(OdstupanjaOdKancelarijskihTroškova[[#Headers],[jun]],PlaniraniKancelarijskiTroškovi[#Headers],0))-INDEX(StvarniKancelarijskiTroškovi[],MATCH(INDEX(OdstupanjaOdKancelarijskihTroškova[],ROW()-ROW(OdstupanjaOdKancelarijskihTroškova[[#Headers],[jun]]),1),INDEX(PlaniraniKancelarijskiTroškovi[],,1),0),MATCH(OdstupanjaOdKancelarijskihTroškova[[#Headers],[jun]],StvarniKancelarijskiTroškovi[#Headers],0))</f>
        <v>0</v>
      </c>
      <c r="I18" s="109">
        <f>INDEX(PlaniraniKancelarijskiTroškovi[],MATCH(INDEX(OdstupanjaOdKancelarijskihTroškova[],ROW()-ROW(OdstupanjaOdKancelarijskihTroškova[[#Headers],[jul]]),1),INDEX(PlaniraniKancelarijskiTroškovi[],,1),0),MATCH(OdstupanjaOdKancelarijskihTroškova[[#Headers],[jul]],PlaniraniKancelarijskiTroškovi[#Headers],0))-INDEX(StvarniKancelarijskiTroškovi[],MATCH(INDEX(OdstupanjaOdKancelarijskihTroškova[],ROW()-ROW(OdstupanjaOdKancelarijskihTroškova[[#Headers],[jul]]),1),INDEX(PlaniraniKancelarijskiTroškovi[],,1),0),MATCH(OdstupanjaOdKancelarijskihTroškova[[#Headers],[jul]],StvarniKancelarijskiTroškovi[#Headers],0))</f>
        <v>600</v>
      </c>
      <c r="J18" s="109">
        <f>INDEX(PlaniraniKancelarijskiTroškovi[],MATCH(INDEX(OdstupanjaOdKancelarijskihTroškova[],ROW()-ROW(OdstupanjaOdKancelarijskihTroškova[[#Headers],[avg]]),1),INDEX(PlaniraniKancelarijskiTroškovi[],,1),0),MATCH(OdstupanjaOdKancelarijskihTroškova[[#Headers],[avg]],PlaniraniKancelarijskiTroškovi[#Headers],0))-INDEX(StvarniKancelarijskiTroškovi[],MATCH(INDEX(OdstupanjaOdKancelarijskihTroškova[],ROW()-ROW(OdstupanjaOdKancelarijskihTroškova[[#Headers],[avg]]),1),INDEX(PlaniraniKancelarijskiTroškovi[],,1),0),MATCH(OdstupanjaOdKancelarijskihTroškova[[#Headers],[avg]],StvarniKancelarijskiTroškovi[#Headers],0))</f>
        <v>600</v>
      </c>
      <c r="K18" s="109">
        <f>INDEX(PlaniraniKancelarijskiTroškovi[],MATCH(INDEX(OdstupanjaOdKancelarijskihTroškova[],ROW()-ROW(OdstupanjaOdKancelarijskihTroškova[[#Headers],[sep]]),1),INDEX(PlaniraniKancelarijskiTroškovi[],,1),0),MATCH(OdstupanjaOdKancelarijskihTroškova[[#Headers],[sep]],PlaniraniKancelarijskiTroškovi[#Headers],0))-INDEX(StvarniKancelarijskiTroškovi[],MATCH(INDEX(OdstupanjaOdKancelarijskihTroškova[],ROW()-ROW(OdstupanjaOdKancelarijskihTroškova[[#Headers],[sep]]),1),INDEX(PlaniraniKancelarijskiTroškovi[],,1),0),MATCH(OdstupanjaOdKancelarijskihTroškova[[#Headers],[sep]],StvarniKancelarijskiTroškovi[#Headers],0))</f>
        <v>600</v>
      </c>
      <c r="L18" s="109">
        <f>INDEX(PlaniraniKancelarijskiTroškovi[],MATCH(INDEX(OdstupanjaOdKancelarijskihTroškova[],ROW()-ROW(OdstupanjaOdKancelarijskihTroškova[[#Headers],[Okt]]),1),INDEX(PlaniraniKancelarijskiTroškovi[],,1),0),MATCH(OdstupanjaOdKancelarijskihTroškova[[#Headers],[Okt]],PlaniraniKancelarijskiTroškovi[#Headers],0))-INDEX(StvarniKancelarijskiTroškovi[],MATCH(INDEX(OdstupanjaOdKancelarijskihTroškova[],ROW()-ROW(OdstupanjaOdKancelarijskihTroškova[[#Headers],[Okt]]),1),INDEX(PlaniraniKancelarijskiTroškovi[],,1),0),MATCH(OdstupanjaOdKancelarijskihTroškova[[#Headers],[Okt]],StvarniKancelarijskiTroškovi[#Headers],0))</f>
        <v>600</v>
      </c>
      <c r="M18" s="109">
        <f>INDEX(PlaniraniKancelarijskiTroškovi[],MATCH(INDEX(OdstupanjaOdKancelarijskihTroškova[],ROW()-ROW(OdstupanjaOdKancelarijskihTroškova[[#Headers],[Nov]]),1),INDEX(PlaniraniKancelarijskiTroškovi[],,1),0),MATCH(OdstupanjaOdKancelarijskihTroškova[[#Headers],[Nov]],PlaniraniKancelarijskiTroškovi[#Headers],0))-INDEX(StvarniKancelarijskiTroškovi[],MATCH(INDEX(OdstupanjaOdKancelarijskihTroškova[],ROW()-ROW(OdstupanjaOdKancelarijskihTroškova[[#Headers],[Nov]]),1),INDEX(PlaniraniKancelarijskiTroškovi[],,1),0),MATCH(OdstupanjaOdKancelarijskihTroškova[[#Headers],[Nov]],StvarniKancelarijskiTroškovi[#Headers],0))</f>
        <v>600</v>
      </c>
      <c r="N18" s="109">
        <f>INDEX(PlaniraniKancelarijskiTroškovi[],MATCH(INDEX(OdstupanjaOdKancelarijskihTroškova[],ROW()-ROW(OdstupanjaOdKancelarijskihTroškova[[#Headers],[Dec]]),1),INDEX(PlaniraniKancelarijskiTroškovi[],,1),0),MATCH(OdstupanjaOdKancelarijskihTroškova[[#Headers],[Dec]],PlaniraniKancelarijskiTroškovi[#Headers],0))-INDEX(StvarniKancelarijskiTroškovi[],MATCH(INDEX(OdstupanjaOdKancelarijskihTroškova[],ROW()-ROW(OdstupanjaOdKancelarijskihTroškova[[#Headers],[Dec]]),1),INDEX(PlaniraniKancelarijskiTroškovi[],,1),0),MATCH(OdstupanjaOdKancelarijskihTroškova[[#Headers],[Dec]],StvarniKancelarijskiTroškovi[#Headers],0))</f>
        <v>600</v>
      </c>
      <c r="O18" s="110">
        <f>SUM(OdstupanjaOdKancelarijskihTroškova[[#This Row],[Jan]:[Dec]])</f>
        <v>3600</v>
      </c>
    </row>
    <row r="19" spans="1:15" ht="24.95" customHeight="1" x14ac:dyDescent="0.3">
      <c r="A19" s="32"/>
      <c r="B19" s="77" t="s">
        <v>17</v>
      </c>
      <c r="C19" s="126">
        <f>SUBTOTAL(109,OdstupanjaOdKancelarijskihTroškova[Jan])</f>
        <v>-17</v>
      </c>
      <c r="D19" s="118">
        <f>SUBTOTAL(109,OdstupanjaOdKancelarijskihTroškova[Feb])</f>
        <v>72</v>
      </c>
      <c r="E19" s="118">
        <f>SUBTOTAL(109,OdstupanjaOdKancelarijskihTroškova[Mar])</f>
        <v>78</v>
      </c>
      <c r="F19" s="118">
        <f>SUBTOTAL(109,OdstupanjaOdKancelarijskihTroškova[Apr])</f>
        <v>-141</v>
      </c>
      <c r="G19" s="118">
        <f>SUBTOTAL(109,OdstupanjaOdKancelarijskihTroškova[maj])</f>
        <v>-38</v>
      </c>
      <c r="H19" s="118">
        <f>SUBTOTAL(109,OdstupanjaOdKancelarijskihTroškova[jun])</f>
        <v>16</v>
      </c>
      <c r="I19" s="118">
        <f>SUBTOTAL(109,OdstupanjaOdKancelarijskihTroškova[jul])</f>
        <v>11470</v>
      </c>
      <c r="J19" s="118">
        <f>SUBTOTAL(109,OdstupanjaOdKancelarijskihTroškova[avg])</f>
        <v>11470</v>
      </c>
      <c r="K19" s="118">
        <f>SUBTOTAL(109,OdstupanjaOdKancelarijskihTroškova[sep])</f>
        <v>11470</v>
      </c>
      <c r="L19" s="118">
        <f>SUBTOTAL(109,OdstupanjaOdKancelarijskihTroškova[Okt])</f>
        <v>11470</v>
      </c>
      <c r="M19" s="118">
        <f>SUBTOTAL(109,OdstupanjaOdKancelarijskihTroškova[Nov])</f>
        <v>11770</v>
      </c>
      <c r="N19" s="118">
        <f>SUBTOTAL(109,OdstupanjaOdKancelarijskihTroškova[Dec])</f>
        <v>11770</v>
      </c>
      <c r="O19" s="119">
        <f>SUBTOTAL(109,OdstupanjaOdKancelarijskihTroškova[GODINA])</f>
        <v>69390</v>
      </c>
    </row>
    <row r="20" spans="1:15" ht="21" customHeight="1" x14ac:dyDescent="0.3">
      <c r="A20" s="32"/>
      <c r="B20" s="141"/>
      <c r="C20" s="141"/>
      <c r="D20" s="96"/>
      <c r="E20" s="96"/>
      <c r="F20" s="98"/>
      <c r="G20" s="98"/>
      <c r="H20" s="98"/>
      <c r="I20" s="98"/>
      <c r="J20" s="98"/>
      <c r="K20" s="98"/>
      <c r="L20" s="98"/>
      <c r="M20" s="98"/>
      <c r="N20" s="98"/>
      <c r="O20" s="97"/>
    </row>
    <row r="21" spans="1:15" ht="24.95" customHeight="1" thickBot="1" x14ac:dyDescent="0.35">
      <c r="A21" s="32" t="s">
        <v>112</v>
      </c>
      <c r="B21" s="55" t="s">
        <v>27</v>
      </c>
      <c r="C21" s="63" t="s">
        <v>42</v>
      </c>
      <c r="D21" s="63" t="s">
        <v>45</v>
      </c>
      <c r="E21" s="63" t="s">
        <v>47</v>
      </c>
      <c r="F21" s="63" t="s">
        <v>51</v>
      </c>
      <c r="G21" s="63" t="s">
        <v>53</v>
      </c>
      <c r="H21" s="63" t="s">
        <v>55</v>
      </c>
      <c r="I21" s="63" t="s">
        <v>57</v>
      </c>
      <c r="J21" s="63" t="s">
        <v>59</v>
      </c>
      <c r="K21" s="63" t="s">
        <v>63</v>
      </c>
      <c r="L21" s="63" t="s">
        <v>66</v>
      </c>
      <c r="M21" s="63" t="s">
        <v>69</v>
      </c>
      <c r="N21" s="63" t="s">
        <v>73</v>
      </c>
      <c r="O21" s="64" t="s">
        <v>74</v>
      </c>
    </row>
    <row r="22" spans="1:15" ht="24.95" customHeight="1" thickBot="1" x14ac:dyDescent="0.35">
      <c r="A22" s="32"/>
      <c r="B22" s="65" t="s">
        <v>28</v>
      </c>
      <c r="C22" s="109">
        <f>INDEX(PlaniraniTroškoviMarketinga[],MATCH(INDEX(OdstupanjaOdTroškovaMarketinga[],ROW()-ROW(OdstupanjaOdTroškovaMarketinga[[#Headers],[Jan]]),1),INDEX(PlaniraniTroškoviMarketinga[],,1),0),MATCH(OdstupanjaOdTroškovaMarketinga[[#Headers],[Jan]],PlaniraniTroškoviMarketinga[#Headers],0))-INDEX(StvarniTroškoviMarketinga[],MATCH(INDEX(OdstupanjaOdTroškovaMarketinga[],ROW()-ROW(OdstupanjaOdTroškovaMarketinga[[#Headers],[Jan]]),1),INDEX(PlaniraniTroškoviMarketinga[],,1),0),MATCH(OdstupanjaOdTroškovaMarketinga[[#Headers],[Jan]],StvarniTroškoviMarketinga[#Headers],0))</f>
        <v>0</v>
      </c>
      <c r="D22" s="109">
        <f>INDEX(PlaniraniTroškoviMarketinga[],MATCH(INDEX(OdstupanjaOdTroškovaMarketinga[],ROW()-ROW(OdstupanjaOdTroškovaMarketinga[[#Headers],[Feb]]),1),INDEX(PlaniraniTroškoviMarketinga[],,1),0),MATCH(OdstupanjaOdTroškovaMarketinga[[#Headers],[Feb]],PlaniraniTroškoviMarketinga[#Headers],0))-INDEX(StvarniTroškoviMarketinga[],MATCH(INDEX(OdstupanjaOdTroškovaMarketinga[],ROW()-ROW(OdstupanjaOdTroškovaMarketinga[[#Headers],[Feb]]),1),INDEX(PlaniraniTroškoviMarketinga[],,1),0),MATCH(OdstupanjaOdTroškovaMarketinga[[#Headers],[Feb]],StvarniTroškoviMarketinga[#Headers],0))</f>
        <v>0</v>
      </c>
      <c r="E22" s="109">
        <f>INDEX(PlaniraniTroškoviMarketinga[],MATCH(INDEX(OdstupanjaOdTroškovaMarketinga[],ROW()-ROW(OdstupanjaOdTroškovaMarketinga[[#Headers],[Mar]]),1),INDEX(PlaniraniTroškoviMarketinga[],,1),0),MATCH(OdstupanjaOdTroškovaMarketinga[[#Headers],[Mar]],PlaniraniTroškoviMarketinga[#Headers],0))-INDEX(StvarniTroškoviMarketinga[],MATCH(INDEX(OdstupanjaOdTroškovaMarketinga[],ROW()-ROW(OdstupanjaOdTroškovaMarketinga[[#Headers],[Mar]]),1),INDEX(PlaniraniTroškoviMarketinga[],,1),0),MATCH(OdstupanjaOdTroškovaMarketinga[[#Headers],[Mar]],StvarniTroškoviMarketinga[#Headers],0))</f>
        <v>0</v>
      </c>
      <c r="F22" s="109">
        <f>INDEX(PlaniraniTroškoviMarketinga[],MATCH(INDEX(OdstupanjaOdTroškovaMarketinga[],ROW()-ROW(OdstupanjaOdTroškovaMarketinga[[#Headers],[Apr]]),1),INDEX(PlaniraniTroškoviMarketinga[],,1),0),MATCH(OdstupanjaOdTroškovaMarketinga[[#Headers],[Apr]],PlaniraniTroškoviMarketinga[#Headers],0))-INDEX(StvarniTroškoviMarketinga[],MATCH(INDEX(OdstupanjaOdTroškovaMarketinga[],ROW()-ROW(OdstupanjaOdTroškovaMarketinga[[#Headers],[Apr]]),1),INDEX(PlaniraniTroškoviMarketinga[],,1),0),MATCH(OdstupanjaOdTroškovaMarketinga[[#Headers],[Apr]],StvarniTroškoviMarketinga[#Headers],0))</f>
        <v>0</v>
      </c>
      <c r="G22" s="109">
        <f>INDEX(PlaniraniTroškoviMarketinga[],MATCH(INDEX(OdstupanjaOdTroškovaMarketinga[],ROW()-ROW(OdstupanjaOdTroškovaMarketinga[[#Headers],[maj]]),1),INDEX(PlaniraniTroškoviMarketinga[],,1),0),MATCH(OdstupanjaOdTroškovaMarketinga[[#Headers],[maj]],PlaniraniTroškoviMarketinga[#Headers],0))-INDEX(StvarniTroškoviMarketinga[],MATCH(INDEX(OdstupanjaOdTroškovaMarketinga[],ROW()-ROW(OdstupanjaOdTroškovaMarketinga[[#Headers],[maj]]),1),INDEX(PlaniraniTroškoviMarketinga[],,1),0),MATCH(OdstupanjaOdTroškovaMarketinga[[#Headers],[maj]],StvarniTroškoviMarketinga[#Headers],0))</f>
        <v>0</v>
      </c>
      <c r="H22" s="109">
        <f>INDEX(PlaniraniTroškoviMarketinga[],MATCH(INDEX(OdstupanjaOdTroškovaMarketinga[],ROW()-ROW(OdstupanjaOdTroškovaMarketinga[[#Headers],[jun]]),1),INDEX(PlaniraniTroškoviMarketinga[],,1),0),MATCH(OdstupanjaOdTroškovaMarketinga[[#Headers],[jun]],PlaniraniTroškoviMarketinga[#Headers],0))-INDEX(StvarniTroškoviMarketinga[],MATCH(INDEX(OdstupanjaOdTroškovaMarketinga[],ROW()-ROW(OdstupanjaOdTroškovaMarketinga[[#Headers],[jun]]),1),INDEX(PlaniraniTroškoviMarketinga[],,1),0),MATCH(OdstupanjaOdTroškovaMarketinga[[#Headers],[jun]],StvarniTroškoviMarketinga[#Headers],0))</f>
        <v>0</v>
      </c>
      <c r="I22" s="109">
        <f>INDEX(PlaniraniTroškoviMarketinga[],MATCH(INDEX(OdstupanjaOdTroškovaMarketinga[],ROW()-ROW(OdstupanjaOdTroškovaMarketinga[[#Headers],[jul]]),1),INDEX(PlaniraniTroškoviMarketinga[],,1),0),MATCH(OdstupanjaOdTroškovaMarketinga[[#Headers],[jul]],PlaniraniTroškoviMarketinga[#Headers],0))-INDEX(StvarniTroškoviMarketinga[],MATCH(INDEX(OdstupanjaOdTroškovaMarketinga[],ROW()-ROW(OdstupanjaOdTroškovaMarketinga[[#Headers],[jul]]),1),INDEX(PlaniraniTroškoviMarketinga[],,1),0),MATCH(OdstupanjaOdTroškovaMarketinga[[#Headers],[jul]],StvarniTroškoviMarketinga[#Headers],0))</f>
        <v>500</v>
      </c>
      <c r="J22" s="109">
        <f>INDEX(PlaniraniTroškoviMarketinga[],MATCH(INDEX(OdstupanjaOdTroškovaMarketinga[],ROW()-ROW(OdstupanjaOdTroškovaMarketinga[[#Headers],[avg]]),1),INDEX(PlaniraniTroškoviMarketinga[],,1),0),MATCH(OdstupanjaOdTroškovaMarketinga[[#Headers],[avg]],PlaniraniTroškoviMarketinga[#Headers],0))-INDEX(StvarniTroškoviMarketinga[],MATCH(INDEX(OdstupanjaOdTroškovaMarketinga[],ROW()-ROW(OdstupanjaOdTroškovaMarketinga[[#Headers],[avg]]),1),INDEX(PlaniraniTroškoviMarketinga[],,1),0),MATCH(OdstupanjaOdTroškovaMarketinga[[#Headers],[avg]],StvarniTroškoviMarketinga[#Headers],0))</f>
        <v>500</v>
      </c>
      <c r="K22" s="109">
        <f>INDEX(PlaniraniTroškoviMarketinga[],MATCH(INDEX(OdstupanjaOdTroškovaMarketinga[],ROW()-ROW(OdstupanjaOdTroškovaMarketinga[[#Headers],[sep]]),1),INDEX(PlaniraniTroškoviMarketinga[],,1),0),MATCH(OdstupanjaOdTroškovaMarketinga[[#Headers],[sep]],PlaniraniTroškoviMarketinga[#Headers],0))-INDEX(StvarniTroškoviMarketinga[],MATCH(INDEX(OdstupanjaOdTroškovaMarketinga[],ROW()-ROW(OdstupanjaOdTroškovaMarketinga[[#Headers],[sep]]),1),INDEX(PlaniraniTroškoviMarketinga[],,1),0),MATCH(OdstupanjaOdTroškovaMarketinga[[#Headers],[sep]],StvarniTroškoviMarketinga[#Headers],0))</f>
        <v>500</v>
      </c>
      <c r="L22" s="109">
        <f>INDEX(PlaniraniTroškoviMarketinga[],MATCH(INDEX(OdstupanjaOdTroškovaMarketinga[],ROW()-ROW(OdstupanjaOdTroškovaMarketinga[[#Headers],[Okt]]),1),INDEX(PlaniraniTroškoviMarketinga[],,1),0),MATCH(OdstupanjaOdTroškovaMarketinga[[#Headers],[Okt]],PlaniraniTroškoviMarketinga[#Headers],0))-INDEX(StvarniTroškoviMarketinga[],MATCH(INDEX(OdstupanjaOdTroškovaMarketinga[],ROW()-ROW(OdstupanjaOdTroškovaMarketinga[[#Headers],[Okt]]),1),INDEX(PlaniraniTroškoviMarketinga[],,1),0),MATCH(OdstupanjaOdTroškovaMarketinga[[#Headers],[Okt]],StvarniTroškoviMarketinga[#Headers],0))</f>
        <v>500</v>
      </c>
      <c r="M22" s="109">
        <f>INDEX(PlaniraniTroškoviMarketinga[],MATCH(INDEX(OdstupanjaOdTroškovaMarketinga[],ROW()-ROW(OdstupanjaOdTroškovaMarketinga[[#Headers],[Nov]]),1),INDEX(PlaniraniTroškoviMarketinga[],,1),0),MATCH(OdstupanjaOdTroškovaMarketinga[[#Headers],[Nov]],PlaniraniTroškoviMarketinga[#Headers],0))-INDEX(StvarniTroškoviMarketinga[],MATCH(INDEX(OdstupanjaOdTroškovaMarketinga[],ROW()-ROW(OdstupanjaOdTroškovaMarketinga[[#Headers],[Nov]]),1),INDEX(PlaniraniTroškoviMarketinga[],,1),0),MATCH(OdstupanjaOdTroškovaMarketinga[[#Headers],[Nov]],StvarniTroškoviMarketinga[#Headers],0))</f>
        <v>500</v>
      </c>
      <c r="N22" s="109">
        <f>INDEX(PlaniraniTroškoviMarketinga[],MATCH(INDEX(OdstupanjaOdTroškovaMarketinga[],ROW()-ROW(OdstupanjaOdTroškovaMarketinga[[#Headers],[Dec]]),1),INDEX(PlaniraniTroškoviMarketinga[],,1),0),MATCH(OdstupanjaOdTroškovaMarketinga[[#Headers],[Dec]],PlaniraniTroškoviMarketinga[#Headers],0))-INDEX(StvarniTroškoviMarketinga[],MATCH(INDEX(OdstupanjaOdTroškovaMarketinga[],ROW()-ROW(OdstupanjaOdTroškovaMarketinga[[#Headers],[Dec]]),1),INDEX(PlaniraniTroškoviMarketinga[],,1),0),MATCH(OdstupanjaOdTroškovaMarketinga[[#Headers],[Dec]],StvarniTroškoviMarketinga[#Headers],0))</f>
        <v>500</v>
      </c>
      <c r="O22" s="110">
        <f>SUM(OdstupanjaOdTroškovaMarketinga[[#This Row],[Jan]:[Dec]])</f>
        <v>3000</v>
      </c>
    </row>
    <row r="23" spans="1:15" ht="24.95" customHeight="1" thickBot="1" x14ac:dyDescent="0.35">
      <c r="A23" s="32"/>
      <c r="B23" s="65" t="s">
        <v>29</v>
      </c>
      <c r="C23" s="109">
        <f>INDEX(PlaniraniTroškoviMarketinga[],MATCH(INDEX(OdstupanjaOdTroškovaMarketinga[],ROW()-ROW(OdstupanjaOdTroškovaMarketinga[[#Headers],[Jan]]),1),INDEX(PlaniraniTroškoviMarketinga[],,1),0),MATCH(OdstupanjaOdTroškovaMarketinga[[#Headers],[Jan]],PlaniraniTroškoviMarketinga[#Headers],0))-INDEX(StvarniTroškoviMarketinga[],MATCH(INDEX(OdstupanjaOdTroškovaMarketinga[],ROW()-ROW(OdstupanjaOdTroškovaMarketinga[[#Headers],[Jan]]),1),INDEX(PlaniraniTroškoviMarketinga[],,1),0),MATCH(OdstupanjaOdTroškovaMarketinga[[#Headers],[Jan]],StvarniTroškoviMarketinga[#Headers],0))</f>
        <v>0</v>
      </c>
      <c r="D23" s="109">
        <f>INDEX(PlaniraniTroškoviMarketinga[],MATCH(INDEX(OdstupanjaOdTroškovaMarketinga[],ROW()-ROW(OdstupanjaOdTroškovaMarketinga[[#Headers],[Feb]]),1),INDEX(PlaniraniTroškoviMarketinga[],,1),0),MATCH(OdstupanjaOdTroškovaMarketinga[[#Headers],[Feb]],PlaniraniTroškoviMarketinga[#Headers],0))-INDEX(StvarniTroškoviMarketinga[],MATCH(INDEX(OdstupanjaOdTroškovaMarketinga[],ROW()-ROW(OdstupanjaOdTroškovaMarketinga[[#Headers],[Feb]]),1),INDEX(PlaniraniTroškoviMarketinga[],,1),0),MATCH(OdstupanjaOdTroškovaMarketinga[[#Headers],[Feb]],StvarniTroškoviMarketinga[#Headers],0))</f>
        <v>0</v>
      </c>
      <c r="E23" s="109">
        <f>INDEX(PlaniraniTroškoviMarketinga[],MATCH(INDEX(OdstupanjaOdTroškovaMarketinga[],ROW()-ROW(OdstupanjaOdTroškovaMarketinga[[#Headers],[Mar]]),1),INDEX(PlaniraniTroškoviMarketinga[],,1),0),MATCH(OdstupanjaOdTroškovaMarketinga[[#Headers],[Mar]],PlaniraniTroškoviMarketinga[#Headers],0))-INDEX(StvarniTroškoviMarketinga[],MATCH(INDEX(OdstupanjaOdTroškovaMarketinga[],ROW()-ROW(OdstupanjaOdTroškovaMarketinga[[#Headers],[Mar]]),1),INDEX(PlaniraniTroškoviMarketinga[],,1),0),MATCH(OdstupanjaOdTroškovaMarketinga[[#Headers],[Mar]],StvarniTroškoviMarketinga[#Headers],0))</f>
        <v>0</v>
      </c>
      <c r="F23" s="109">
        <f>INDEX(PlaniraniTroškoviMarketinga[],MATCH(INDEX(OdstupanjaOdTroškovaMarketinga[],ROW()-ROW(OdstupanjaOdTroškovaMarketinga[[#Headers],[Apr]]),1),INDEX(PlaniraniTroškoviMarketinga[],,1),0),MATCH(OdstupanjaOdTroškovaMarketinga[[#Headers],[Apr]],PlaniraniTroškoviMarketinga[#Headers],0))-INDEX(StvarniTroškoviMarketinga[],MATCH(INDEX(OdstupanjaOdTroškovaMarketinga[],ROW()-ROW(OdstupanjaOdTroškovaMarketinga[[#Headers],[Apr]]),1),INDEX(PlaniraniTroškoviMarketinga[],,1),0),MATCH(OdstupanjaOdTroškovaMarketinga[[#Headers],[Apr]],StvarniTroškoviMarketinga[#Headers],0))</f>
        <v>0</v>
      </c>
      <c r="G23" s="109">
        <f>INDEX(PlaniraniTroškoviMarketinga[],MATCH(INDEX(OdstupanjaOdTroškovaMarketinga[],ROW()-ROW(OdstupanjaOdTroškovaMarketinga[[#Headers],[maj]]),1),INDEX(PlaniraniTroškoviMarketinga[],,1),0),MATCH(OdstupanjaOdTroškovaMarketinga[[#Headers],[maj]],PlaniraniTroškoviMarketinga[#Headers],0))-INDEX(StvarniTroškoviMarketinga[],MATCH(INDEX(OdstupanjaOdTroškovaMarketinga[],ROW()-ROW(OdstupanjaOdTroškovaMarketinga[[#Headers],[maj]]),1),INDEX(PlaniraniTroškoviMarketinga[],,1),0),MATCH(OdstupanjaOdTroškovaMarketinga[[#Headers],[maj]],StvarniTroškoviMarketinga[#Headers],0))</f>
        <v>0</v>
      </c>
      <c r="H23" s="109">
        <f>INDEX(PlaniraniTroškoviMarketinga[],MATCH(INDEX(OdstupanjaOdTroškovaMarketinga[],ROW()-ROW(OdstupanjaOdTroškovaMarketinga[[#Headers],[jun]]),1),INDEX(PlaniraniTroškoviMarketinga[],,1),0),MATCH(OdstupanjaOdTroškovaMarketinga[[#Headers],[jun]],PlaniraniTroškoviMarketinga[#Headers],0))-INDEX(StvarniTroškoviMarketinga[],MATCH(INDEX(OdstupanjaOdTroškovaMarketinga[],ROW()-ROW(OdstupanjaOdTroškovaMarketinga[[#Headers],[jun]]),1),INDEX(PlaniraniTroškoviMarketinga[],,1),0),MATCH(OdstupanjaOdTroškovaMarketinga[[#Headers],[jun]],StvarniTroškoviMarketinga[#Headers],0))</f>
        <v>-500</v>
      </c>
      <c r="I23" s="109">
        <f>INDEX(PlaniraniTroškoviMarketinga[],MATCH(INDEX(OdstupanjaOdTroškovaMarketinga[],ROW()-ROW(OdstupanjaOdTroškovaMarketinga[[#Headers],[jul]]),1),INDEX(PlaniraniTroškoviMarketinga[],,1),0),MATCH(OdstupanjaOdTroškovaMarketinga[[#Headers],[jul]],PlaniraniTroškoviMarketinga[#Headers],0))-INDEX(StvarniTroškoviMarketinga[],MATCH(INDEX(OdstupanjaOdTroškovaMarketinga[],ROW()-ROW(OdstupanjaOdTroškovaMarketinga[[#Headers],[jul]]),1),INDEX(PlaniraniTroškoviMarketinga[],,1),0),MATCH(OdstupanjaOdTroškovaMarketinga[[#Headers],[jul]],StvarniTroškoviMarketinga[#Headers],0))</f>
        <v>200</v>
      </c>
      <c r="J23" s="109">
        <f>INDEX(PlaniraniTroškoviMarketinga[],MATCH(INDEX(OdstupanjaOdTroškovaMarketinga[],ROW()-ROW(OdstupanjaOdTroškovaMarketinga[[#Headers],[avg]]),1),INDEX(PlaniraniTroškoviMarketinga[],,1),0),MATCH(OdstupanjaOdTroškovaMarketinga[[#Headers],[avg]],PlaniraniTroškoviMarketinga[#Headers],0))-INDEX(StvarniTroškoviMarketinga[],MATCH(INDEX(OdstupanjaOdTroškovaMarketinga[],ROW()-ROW(OdstupanjaOdTroškovaMarketinga[[#Headers],[avg]]),1),INDEX(PlaniraniTroškoviMarketinga[],,1),0),MATCH(OdstupanjaOdTroškovaMarketinga[[#Headers],[avg]],StvarniTroškoviMarketinga[#Headers],0))</f>
        <v>200</v>
      </c>
      <c r="K23" s="109">
        <f>INDEX(PlaniraniTroškoviMarketinga[],MATCH(INDEX(OdstupanjaOdTroškovaMarketinga[],ROW()-ROW(OdstupanjaOdTroškovaMarketinga[[#Headers],[sep]]),1),INDEX(PlaniraniTroškoviMarketinga[],,1),0),MATCH(OdstupanjaOdTroškovaMarketinga[[#Headers],[sep]],PlaniraniTroškoviMarketinga[#Headers],0))-INDEX(StvarniTroškoviMarketinga[],MATCH(INDEX(OdstupanjaOdTroškovaMarketinga[],ROW()-ROW(OdstupanjaOdTroškovaMarketinga[[#Headers],[sep]]),1),INDEX(PlaniraniTroškoviMarketinga[],,1),0),MATCH(OdstupanjaOdTroškovaMarketinga[[#Headers],[sep]],StvarniTroškoviMarketinga[#Headers],0))</f>
        <v>200</v>
      </c>
      <c r="L23" s="109">
        <f>INDEX(PlaniraniTroškoviMarketinga[],MATCH(INDEX(OdstupanjaOdTroškovaMarketinga[],ROW()-ROW(OdstupanjaOdTroškovaMarketinga[[#Headers],[Okt]]),1),INDEX(PlaniraniTroškoviMarketinga[],,1),0),MATCH(OdstupanjaOdTroškovaMarketinga[[#Headers],[Okt]],PlaniraniTroškoviMarketinga[#Headers],0))-INDEX(StvarniTroškoviMarketinga[],MATCH(INDEX(OdstupanjaOdTroškovaMarketinga[],ROW()-ROW(OdstupanjaOdTroškovaMarketinga[[#Headers],[Okt]]),1),INDEX(PlaniraniTroškoviMarketinga[],,1),0),MATCH(OdstupanjaOdTroškovaMarketinga[[#Headers],[Okt]],StvarniTroškoviMarketinga[#Headers],0))</f>
        <v>200</v>
      </c>
      <c r="M23" s="109">
        <f>INDEX(PlaniraniTroškoviMarketinga[],MATCH(INDEX(OdstupanjaOdTroškovaMarketinga[],ROW()-ROW(OdstupanjaOdTroškovaMarketinga[[#Headers],[Nov]]),1),INDEX(PlaniraniTroškoviMarketinga[],,1),0),MATCH(OdstupanjaOdTroškovaMarketinga[[#Headers],[Nov]],PlaniraniTroškoviMarketinga[#Headers],0))-INDEX(StvarniTroškoviMarketinga[],MATCH(INDEX(OdstupanjaOdTroškovaMarketinga[],ROW()-ROW(OdstupanjaOdTroškovaMarketinga[[#Headers],[Nov]]),1),INDEX(PlaniraniTroškoviMarketinga[],,1),0),MATCH(OdstupanjaOdTroškovaMarketinga[[#Headers],[Nov]],StvarniTroškoviMarketinga[#Headers],0))</f>
        <v>200</v>
      </c>
      <c r="N23" s="109">
        <f>INDEX(PlaniraniTroškoviMarketinga[],MATCH(INDEX(OdstupanjaOdTroškovaMarketinga[],ROW()-ROW(OdstupanjaOdTroškovaMarketinga[[#Headers],[Dec]]),1),INDEX(PlaniraniTroškoviMarketinga[],,1),0),MATCH(OdstupanjaOdTroškovaMarketinga[[#Headers],[Dec]],PlaniraniTroškoviMarketinga[#Headers],0))-INDEX(StvarniTroškoviMarketinga[],MATCH(INDEX(OdstupanjaOdTroškovaMarketinga[],ROW()-ROW(OdstupanjaOdTroškovaMarketinga[[#Headers],[Dec]]),1),INDEX(PlaniraniTroškoviMarketinga[],,1),0),MATCH(OdstupanjaOdTroškovaMarketinga[[#Headers],[Dec]],StvarniTroškoviMarketinga[#Headers],0))</f>
        <v>1000</v>
      </c>
      <c r="O23" s="110">
        <f>SUM(OdstupanjaOdTroškovaMarketinga[[#This Row],[Jan]:[Dec]])</f>
        <v>1500</v>
      </c>
    </row>
    <row r="24" spans="1:15" ht="24.95" customHeight="1" thickBot="1" x14ac:dyDescent="0.35">
      <c r="A24" s="32"/>
      <c r="B24" s="65" t="s">
        <v>30</v>
      </c>
      <c r="C24" s="109">
        <f>INDEX(PlaniraniTroškoviMarketinga[],MATCH(INDEX(OdstupanjaOdTroškovaMarketinga[],ROW()-ROW(OdstupanjaOdTroškovaMarketinga[[#Headers],[Jan]]),1),INDEX(PlaniraniTroškoviMarketinga[],,1),0),MATCH(OdstupanjaOdTroškovaMarketinga[[#Headers],[Jan]],PlaniraniTroškoviMarketinga[#Headers],0))-INDEX(StvarniTroškoviMarketinga[],MATCH(INDEX(OdstupanjaOdTroškovaMarketinga[],ROW()-ROW(OdstupanjaOdTroškovaMarketinga[[#Headers],[Jan]]),1),INDEX(PlaniraniTroškoviMarketinga[],,1),0),MATCH(OdstupanjaOdTroškovaMarketinga[[#Headers],[Jan]],StvarniTroškoviMarketinga[#Headers],0))</f>
        <v>200</v>
      </c>
      <c r="D24" s="109">
        <f>INDEX(PlaniraniTroškoviMarketinga[],MATCH(INDEX(OdstupanjaOdTroškovaMarketinga[],ROW()-ROW(OdstupanjaOdTroškovaMarketinga[[#Headers],[Feb]]),1),INDEX(PlaniraniTroškoviMarketinga[],,1),0),MATCH(OdstupanjaOdTroškovaMarketinga[[#Headers],[Feb]],PlaniraniTroškoviMarketinga[#Headers],0))-INDEX(StvarniTroškoviMarketinga[],MATCH(INDEX(OdstupanjaOdTroškovaMarketinga[],ROW()-ROW(OdstupanjaOdTroškovaMarketinga[[#Headers],[Feb]]),1),INDEX(PlaniraniTroškoviMarketinga[],,1),0),MATCH(OdstupanjaOdTroškovaMarketinga[[#Headers],[Feb]],StvarniTroškoviMarketinga[#Headers],0))</f>
        <v>0</v>
      </c>
      <c r="E24" s="109">
        <f>INDEX(PlaniraniTroškoviMarketinga[],MATCH(INDEX(OdstupanjaOdTroškovaMarketinga[],ROW()-ROW(OdstupanjaOdTroškovaMarketinga[[#Headers],[Mar]]),1),INDEX(PlaniraniTroškoviMarketinga[],,1),0),MATCH(OdstupanjaOdTroškovaMarketinga[[#Headers],[Mar]],PlaniraniTroškoviMarketinga[#Headers],0))-INDEX(StvarniTroškoviMarketinga[],MATCH(INDEX(OdstupanjaOdTroškovaMarketinga[],ROW()-ROW(OdstupanjaOdTroškovaMarketinga[[#Headers],[Mar]]),1),INDEX(PlaniraniTroškoviMarketinga[],,1),0),MATCH(OdstupanjaOdTroškovaMarketinga[[#Headers],[Mar]],StvarniTroškoviMarketinga[#Headers],0))</f>
        <v>0</v>
      </c>
      <c r="F24" s="109">
        <f>INDEX(PlaniraniTroškoviMarketinga[],MATCH(INDEX(OdstupanjaOdTroškovaMarketinga[],ROW()-ROW(OdstupanjaOdTroškovaMarketinga[[#Headers],[Apr]]),1),INDEX(PlaniraniTroškoviMarketinga[],,1),0),MATCH(OdstupanjaOdTroškovaMarketinga[[#Headers],[Apr]],PlaniraniTroškoviMarketinga[#Headers],0))-INDEX(StvarniTroškoviMarketinga[],MATCH(INDEX(OdstupanjaOdTroškovaMarketinga[],ROW()-ROW(OdstupanjaOdTroškovaMarketinga[[#Headers],[Apr]]),1),INDEX(PlaniraniTroškoviMarketinga[],,1),0),MATCH(OdstupanjaOdTroškovaMarketinga[[#Headers],[Apr]],StvarniTroškoviMarketinga[#Headers],0))</f>
        <v>-500</v>
      </c>
      <c r="G24" s="109">
        <f>INDEX(PlaniraniTroškoviMarketinga[],MATCH(INDEX(OdstupanjaOdTroškovaMarketinga[],ROW()-ROW(OdstupanjaOdTroškovaMarketinga[[#Headers],[maj]]),1),INDEX(PlaniraniTroškoviMarketinga[],,1),0),MATCH(OdstupanjaOdTroškovaMarketinga[[#Headers],[maj]],PlaniraniTroškoviMarketinga[#Headers],0))-INDEX(StvarniTroškoviMarketinga[],MATCH(INDEX(OdstupanjaOdTroškovaMarketinga[],ROW()-ROW(OdstupanjaOdTroškovaMarketinga[[#Headers],[maj]]),1),INDEX(PlaniraniTroškoviMarketinga[],,1),0),MATCH(OdstupanjaOdTroškovaMarketinga[[#Headers],[maj]],StvarniTroškoviMarketinga[#Headers],0))</f>
        <v>0</v>
      </c>
      <c r="H24" s="109">
        <f>INDEX(PlaniraniTroškoviMarketinga[],MATCH(INDEX(OdstupanjaOdTroškovaMarketinga[],ROW()-ROW(OdstupanjaOdTroškovaMarketinga[[#Headers],[jun]]),1),INDEX(PlaniraniTroškoviMarketinga[],,1),0),MATCH(OdstupanjaOdTroškovaMarketinga[[#Headers],[jun]],PlaniraniTroškoviMarketinga[#Headers],0))-INDEX(StvarniTroškoviMarketinga[],MATCH(INDEX(OdstupanjaOdTroškovaMarketinga[],ROW()-ROW(OdstupanjaOdTroškovaMarketinga[[#Headers],[jun]]),1),INDEX(PlaniraniTroškoviMarketinga[],,1),0),MATCH(OdstupanjaOdTroškovaMarketinga[[#Headers],[jun]],StvarniTroškoviMarketinga[#Headers],0))</f>
        <v>0</v>
      </c>
      <c r="I24" s="109">
        <f>INDEX(PlaniraniTroškoviMarketinga[],MATCH(INDEX(OdstupanjaOdTroškovaMarketinga[],ROW()-ROW(OdstupanjaOdTroškovaMarketinga[[#Headers],[jul]]),1),INDEX(PlaniraniTroškoviMarketinga[],,1),0),MATCH(OdstupanjaOdTroškovaMarketinga[[#Headers],[jul]],PlaniraniTroškoviMarketinga[#Headers],0))-INDEX(StvarniTroškoviMarketinga[],MATCH(INDEX(OdstupanjaOdTroškovaMarketinga[],ROW()-ROW(OdstupanjaOdTroškovaMarketinga[[#Headers],[jul]]),1),INDEX(PlaniraniTroškoviMarketinga[],,1),0),MATCH(OdstupanjaOdTroškovaMarketinga[[#Headers],[jul]],StvarniTroškoviMarketinga[#Headers],0))</f>
        <v>5000</v>
      </c>
      <c r="J24" s="109">
        <f>INDEX(PlaniraniTroškoviMarketinga[],MATCH(INDEX(OdstupanjaOdTroškovaMarketinga[],ROW()-ROW(OdstupanjaOdTroškovaMarketinga[[#Headers],[avg]]),1),INDEX(PlaniraniTroškoviMarketinga[],,1),0),MATCH(OdstupanjaOdTroškovaMarketinga[[#Headers],[avg]],PlaniraniTroškoviMarketinga[#Headers],0))-INDEX(StvarniTroškoviMarketinga[],MATCH(INDEX(OdstupanjaOdTroškovaMarketinga[],ROW()-ROW(OdstupanjaOdTroškovaMarketinga[[#Headers],[avg]]),1),INDEX(PlaniraniTroškoviMarketinga[],,1),0),MATCH(OdstupanjaOdTroškovaMarketinga[[#Headers],[avg]],StvarniTroškoviMarketinga[#Headers],0))</f>
        <v>0</v>
      </c>
      <c r="K24" s="109">
        <f>INDEX(PlaniraniTroškoviMarketinga[],MATCH(INDEX(OdstupanjaOdTroškovaMarketinga[],ROW()-ROW(OdstupanjaOdTroškovaMarketinga[[#Headers],[sep]]),1),INDEX(PlaniraniTroškoviMarketinga[],,1),0),MATCH(OdstupanjaOdTroškovaMarketinga[[#Headers],[sep]],PlaniraniTroškoviMarketinga[#Headers],0))-INDEX(StvarniTroškoviMarketinga[],MATCH(INDEX(OdstupanjaOdTroškovaMarketinga[],ROW()-ROW(OdstupanjaOdTroškovaMarketinga[[#Headers],[sep]]),1),INDEX(PlaniraniTroškoviMarketinga[],,1),0),MATCH(OdstupanjaOdTroškovaMarketinga[[#Headers],[sep]],StvarniTroškoviMarketinga[#Headers],0))</f>
        <v>0</v>
      </c>
      <c r="L24" s="109">
        <f>INDEX(PlaniraniTroškoviMarketinga[],MATCH(INDEX(OdstupanjaOdTroškovaMarketinga[],ROW()-ROW(OdstupanjaOdTroškovaMarketinga[[#Headers],[Okt]]),1),INDEX(PlaniraniTroškoviMarketinga[],,1),0),MATCH(OdstupanjaOdTroškovaMarketinga[[#Headers],[Okt]],PlaniraniTroškoviMarketinga[#Headers],0))-INDEX(StvarniTroškoviMarketinga[],MATCH(INDEX(OdstupanjaOdTroškovaMarketinga[],ROW()-ROW(OdstupanjaOdTroškovaMarketinga[[#Headers],[Okt]]),1),INDEX(PlaniraniTroškoviMarketinga[],,1),0),MATCH(OdstupanjaOdTroškovaMarketinga[[#Headers],[Okt]],StvarniTroškoviMarketinga[#Headers],0))</f>
        <v>5000</v>
      </c>
      <c r="M24" s="109">
        <f>INDEX(PlaniraniTroškoviMarketinga[],MATCH(INDEX(OdstupanjaOdTroškovaMarketinga[],ROW()-ROW(OdstupanjaOdTroškovaMarketinga[[#Headers],[Nov]]),1),INDEX(PlaniraniTroškoviMarketinga[],,1),0),MATCH(OdstupanjaOdTroškovaMarketinga[[#Headers],[Nov]],PlaniraniTroškoviMarketinga[#Headers],0))-INDEX(StvarniTroškoviMarketinga[],MATCH(INDEX(OdstupanjaOdTroškovaMarketinga[],ROW()-ROW(OdstupanjaOdTroškovaMarketinga[[#Headers],[Nov]]),1),INDEX(PlaniraniTroškoviMarketinga[],,1),0),MATCH(OdstupanjaOdTroškovaMarketinga[[#Headers],[Nov]],StvarniTroškoviMarketinga[#Headers],0))</f>
        <v>0</v>
      </c>
      <c r="N24" s="109">
        <f>INDEX(PlaniraniTroškoviMarketinga[],MATCH(INDEX(OdstupanjaOdTroškovaMarketinga[],ROW()-ROW(OdstupanjaOdTroškovaMarketinga[[#Headers],[Dec]]),1),INDEX(PlaniraniTroškoviMarketinga[],,1),0),MATCH(OdstupanjaOdTroškovaMarketinga[[#Headers],[Dec]],PlaniraniTroškoviMarketinga[#Headers],0))-INDEX(StvarniTroškoviMarketinga[],MATCH(INDEX(OdstupanjaOdTroškovaMarketinga[],ROW()-ROW(OdstupanjaOdTroškovaMarketinga[[#Headers],[Dec]]),1),INDEX(PlaniraniTroškoviMarketinga[],,1),0),MATCH(OdstupanjaOdTroškovaMarketinga[[#Headers],[Dec]],StvarniTroškoviMarketinga[#Headers],0))</f>
        <v>0</v>
      </c>
      <c r="O24" s="110">
        <f>SUM(OdstupanjaOdTroškovaMarketinga[[#This Row],[Jan]:[Dec]])</f>
        <v>9700</v>
      </c>
    </row>
    <row r="25" spans="1:15" ht="24.95" customHeight="1" thickBot="1" x14ac:dyDescent="0.35">
      <c r="A25" s="32"/>
      <c r="B25" s="65" t="s">
        <v>31</v>
      </c>
      <c r="C25" s="109">
        <f>INDEX(PlaniraniTroškoviMarketinga[],MATCH(INDEX(OdstupanjaOdTroškovaMarketinga[],ROW()-ROW(OdstupanjaOdTroškovaMarketinga[[#Headers],[Jan]]),1),INDEX(PlaniraniTroškoviMarketinga[],,1),0),MATCH(OdstupanjaOdTroškovaMarketinga[[#Headers],[Jan]],PlaniraniTroškoviMarketinga[#Headers],0))-INDEX(StvarniTroškoviMarketinga[],MATCH(INDEX(OdstupanjaOdTroškovaMarketinga[],ROW()-ROW(OdstupanjaOdTroškovaMarketinga[[#Headers],[Jan]]),1),INDEX(PlaniraniTroškoviMarketinga[],,1),0),MATCH(OdstupanjaOdTroškovaMarketinga[[#Headers],[Jan]],StvarniTroškoviMarketinga[#Headers],0))</f>
        <v>100</v>
      </c>
      <c r="D25" s="109">
        <f>INDEX(PlaniraniTroškoviMarketinga[],MATCH(INDEX(OdstupanjaOdTroškovaMarketinga[],ROW()-ROW(OdstupanjaOdTroškovaMarketinga[[#Headers],[Feb]]),1),INDEX(PlaniraniTroškoviMarketinga[],,1),0),MATCH(OdstupanjaOdTroškovaMarketinga[[#Headers],[Feb]],PlaniraniTroškoviMarketinga[#Headers],0))-INDEX(StvarniTroškoviMarketinga[],MATCH(INDEX(OdstupanjaOdTroškovaMarketinga[],ROW()-ROW(OdstupanjaOdTroškovaMarketinga[[#Headers],[Feb]]),1),INDEX(PlaniraniTroškoviMarketinga[],,1),0),MATCH(OdstupanjaOdTroškovaMarketinga[[#Headers],[Feb]],StvarniTroškoviMarketinga[#Headers],0))</f>
        <v>-300</v>
      </c>
      <c r="E25" s="109">
        <f>INDEX(PlaniraniTroškoviMarketinga[],MATCH(INDEX(OdstupanjaOdTroškovaMarketinga[],ROW()-ROW(OdstupanjaOdTroškovaMarketinga[[#Headers],[Mar]]),1),INDEX(PlaniraniTroškoviMarketinga[],,1),0),MATCH(OdstupanjaOdTroškovaMarketinga[[#Headers],[Mar]],PlaniraniTroškoviMarketinga[#Headers],0))-INDEX(StvarniTroškoviMarketinga[],MATCH(INDEX(OdstupanjaOdTroškovaMarketinga[],ROW()-ROW(OdstupanjaOdTroškovaMarketinga[[#Headers],[Mar]]),1),INDEX(PlaniraniTroškoviMarketinga[],,1),0),MATCH(OdstupanjaOdTroškovaMarketinga[[#Headers],[Mar]],StvarniTroškoviMarketinga[#Headers],0))</f>
        <v>100</v>
      </c>
      <c r="F25" s="109">
        <f>INDEX(PlaniraniTroškoviMarketinga[],MATCH(INDEX(OdstupanjaOdTroškovaMarketinga[],ROW()-ROW(OdstupanjaOdTroškovaMarketinga[[#Headers],[Apr]]),1),INDEX(PlaniraniTroškoviMarketinga[],,1),0),MATCH(OdstupanjaOdTroškovaMarketinga[[#Headers],[Apr]],PlaniraniTroškoviMarketinga[#Headers],0))-INDEX(StvarniTroškoviMarketinga[],MATCH(INDEX(OdstupanjaOdTroškovaMarketinga[],ROW()-ROW(OdstupanjaOdTroškovaMarketinga[[#Headers],[Apr]]),1),INDEX(PlaniraniTroškoviMarketinga[],,1),0),MATCH(OdstupanjaOdTroškovaMarketinga[[#Headers],[Apr]],StvarniTroškoviMarketinga[#Headers],0))</f>
        <v>100</v>
      </c>
      <c r="G25" s="109">
        <f>INDEX(PlaniraniTroškoviMarketinga[],MATCH(INDEX(OdstupanjaOdTroškovaMarketinga[],ROW()-ROW(OdstupanjaOdTroškovaMarketinga[[#Headers],[maj]]),1),INDEX(PlaniraniTroškoviMarketinga[],,1),0),MATCH(OdstupanjaOdTroškovaMarketinga[[#Headers],[maj]],PlaniraniTroškoviMarketinga[#Headers],0))-INDEX(StvarniTroškoviMarketinga[],MATCH(INDEX(OdstupanjaOdTroškovaMarketinga[],ROW()-ROW(OdstupanjaOdTroškovaMarketinga[[#Headers],[maj]]),1),INDEX(PlaniraniTroškoviMarketinga[],,1),0),MATCH(OdstupanjaOdTroškovaMarketinga[[#Headers],[maj]],StvarniTroškoviMarketinga[#Headers],0))</f>
        <v>-400</v>
      </c>
      <c r="H25" s="109">
        <f>INDEX(PlaniraniTroškoviMarketinga[],MATCH(INDEX(OdstupanjaOdTroškovaMarketinga[],ROW()-ROW(OdstupanjaOdTroškovaMarketinga[[#Headers],[jun]]),1),INDEX(PlaniraniTroškoviMarketinga[],,1),0),MATCH(OdstupanjaOdTroškovaMarketinga[[#Headers],[jun]],PlaniraniTroškoviMarketinga[#Headers],0))-INDEX(StvarniTroškoviMarketinga[],MATCH(INDEX(OdstupanjaOdTroškovaMarketinga[],ROW()-ROW(OdstupanjaOdTroškovaMarketinga[[#Headers],[jun]]),1),INDEX(PlaniraniTroškoviMarketinga[],,1),0),MATCH(OdstupanjaOdTroškovaMarketinga[[#Headers],[jun]],StvarniTroškoviMarketinga[#Headers],0))</f>
        <v>20</v>
      </c>
      <c r="I25" s="109">
        <f>INDEX(PlaniraniTroškoviMarketinga[],MATCH(INDEX(OdstupanjaOdTroškovaMarketinga[],ROW()-ROW(OdstupanjaOdTroškovaMarketinga[[#Headers],[jul]]),1),INDEX(PlaniraniTroškoviMarketinga[],,1),0),MATCH(OdstupanjaOdTroškovaMarketinga[[#Headers],[jul]],PlaniraniTroškoviMarketinga[#Headers],0))-INDEX(StvarniTroškoviMarketinga[],MATCH(INDEX(OdstupanjaOdTroškovaMarketinga[],ROW()-ROW(OdstupanjaOdTroškovaMarketinga[[#Headers],[jul]]),1),INDEX(PlaniraniTroškoviMarketinga[],,1),0),MATCH(OdstupanjaOdTroškovaMarketinga[[#Headers],[jul]],StvarniTroškoviMarketinga[#Headers],0))</f>
        <v>200</v>
      </c>
      <c r="J25" s="109">
        <f>INDEX(PlaniraniTroškoviMarketinga[],MATCH(INDEX(OdstupanjaOdTroškovaMarketinga[],ROW()-ROW(OdstupanjaOdTroškovaMarketinga[[#Headers],[avg]]),1),INDEX(PlaniraniTroškoviMarketinga[],,1),0),MATCH(OdstupanjaOdTroškovaMarketinga[[#Headers],[avg]],PlaniraniTroškoviMarketinga[#Headers],0))-INDEX(StvarniTroškoviMarketinga[],MATCH(INDEX(OdstupanjaOdTroškovaMarketinga[],ROW()-ROW(OdstupanjaOdTroškovaMarketinga[[#Headers],[avg]]),1),INDEX(PlaniraniTroškoviMarketinga[],,1),0),MATCH(OdstupanjaOdTroškovaMarketinga[[#Headers],[avg]],StvarniTroškoviMarketinga[#Headers],0))</f>
        <v>200</v>
      </c>
      <c r="K25" s="109">
        <f>INDEX(PlaniraniTroškoviMarketinga[],MATCH(INDEX(OdstupanjaOdTroškovaMarketinga[],ROW()-ROW(OdstupanjaOdTroškovaMarketinga[[#Headers],[sep]]),1),INDEX(PlaniraniTroškoviMarketinga[],,1),0),MATCH(OdstupanjaOdTroškovaMarketinga[[#Headers],[sep]],PlaniraniTroškoviMarketinga[#Headers],0))-INDEX(StvarniTroškoviMarketinga[],MATCH(INDEX(OdstupanjaOdTroškovaMarketinga[],ROW()-ROW(OdstupanjaOdTroškovaMarketinga[[#Headers],[sep]]),1),INDEX(PlaniraniTroškoviMarketinga[],,1),0),MATCH(OdstupanjaOdTroškovaMarketinga[[#Headers],[sep]],StvarniTroškoviMarketinga[#Headers],0))</f>
        <v>200</v>
      </c>
      <c r="L25" s="109">
        <f>INDEX(PlaniraniTroškoviMarketinga[],MATCH(INDEX(OdstupanjaOdTroškovaMarketinga[],ROW()-ROW(OdstupanjaOdTroškovaMarketinga[[#Headers],[Okt]]),1),INDEX(PlaniraniTroškoviMarketinga[],,1),0),MATCH(OdstupanjaOdTroškovaMarketinga[[#Headers],[Okt]],PlaniraniTroškoviMarketinga[#Headers],0))-INDEX(StvarniTroškoviMarketinga[],MATCH(INDEX(OdstupanjaOdTroškovaMarketinga[],ROW()-ROW(OdstupanjaOdTroškovaMarketinga[[#Headers],[Okt]]),1),INDEX(PlaniraniTroškoviMarketinga[],,1),0),MATCH(OdstupanjaOdTroškovaMarketinga[[#Headers],[Okt]],StvarniTroškoviMarketinga[#Headers],0))</f>
        <v>200</v>
      </c>
      <c r="M25" s="109">
        <f>INDEX(PlaniraniTroškoviMarketinga[],MATCH(INDEX(OdstupanjaOdTroškovaMarketinga[],ROW()-ROW(OdstupanjaOdTroškovaMarketinga[[#Headers],[Nov]]),1),INDEX(PlaniraniTroškoviMarketinga[],,1),0),MATCH(OdstupanjaOdTroškovaMarketinga[[#Headers],[Nov]],PlaniraniTroškoviMarketinga[#Headers],0))-INDEX(StvarniTroškoviMarketinga[],MATCH(INDEX(OdstupanjaOdTroškovaMarketinga[],ROW()-ROW(OdstupanjaOdTroškovaMarketinga[[#Headers],[Nov]]),1),INDEX(PlaniraniTroškoviMarketinga[],,1),0),MATCH(OdstupanjaOdTroškovaMarketinga[[#Headers],[Nov]],StvarniTroškoviMarketinga[#Headers],0))</f>
        <v>200</v>
      </c>
      <c r="N25" s="109">
        <f>INDEX(PlaniraniTroškoviMarketinga[],MATCH(INDEX(OdstupanjaOdTroškovaMarketinga[],ROW()-ROW(OdstupanjaOdTroškovaMarketinga[[#Headers],[Dec]]),1),INDEX(PlaniraniTroškoviMarketinga[],,1),0),MATCH(OdstupanjaOdTroškovaMarketinga[[#Headers],[Dec]],PlaniraniTroškoviMarketinga[#Headers],0))-INDEX(StvarniTroškoviMarketinga[],MATCH(INDEX(OdstupanjaOdTroškovaMarketinga[],ROW()-ROW(OdstupanjaOdTroškovaMarketinga[[#Headers],[Dec]]),1),INDEX(PlaniraniTroškoviMarketinga[],,1),0),MATCH(OdstupanjaOdTroškovaMarketinga[[#Headers],[Dec]],StvarniTroškoviMarketinga[#Headers],0))</f>
        <v>200</v>
      </c>
      <c r="O25" s="110">
        <f>SUM(OdstupanjaOdTroškovaMarketinga[[#This Row],[Jan]:[Dec]])</f>
        <v>820</v>
      </c>
    </row>
    <row r="26" spans="1:15" ht="24.95" customHeight="1" thickBot="1" x14ac:dyDescent="0.35">
      <c r="A26" s="32"/>
      <c r="B26" s="65" t="s">
        <v>32</v>
      </c>
      <c r="C26" s="109">
        <f>INDEX(PlaniraniTroškoviMarketinga[],MATCH(INDEX(OdstupanjaOdTroškovaMarketinga[],ROW()-ROW(OdstupanjaOdTroškovaMarketinga[[#Headers],[Jan]]),1),INDEX(PlaniraniTroškoviMarketinga[],,1),0),MATCH(OdstupanjaOdTroškovaMarketinga[[#Headers],[Jan]],PlaniraniTroškoviMarketinga[#Headers],0))-INDEX(StvarniTroškoviMarketinga[],MATCH(INDEX(OdstupanjaOdTroškovaMarketinga[],ROW()-ROW(OdstupanjaOdTroškovaMarketinga[[#Headers],[Jan]]),1),INDEX(PlaniraniTroškoviMarketinga[],,1),0),MATCH(OdstupanjaOdTroškovaMarketinga[[#Headers],[Jan]],StvarniTroškoviMarketinga[#Headers],0))</f>
        <v>200</v>
      </c>
      <c r="D26" s="109">
        <f>INDEX(PlaniraniTroškoviMarketinga[],MATCH(INDEX(OdstupanjaOdTroškovaMarketinga[],ROW()-ROW(OdstupanjaOdTroškovaMarketinga[[#Headers],[Feb]]),1),INDEX(PlaniraniTroškoviMarketinga[],,1),0),MATCH(OdstupanjaOdTroškovaMarketinga[[#Headers],[Feb]],PlaniraniTroškoviMarketinga[#Headers],0))-INDEX(StvarniTroškoviMarketinga[],MATCH(INDEX(OdstupanjaOdTroškovaMarketinga[],ROW()-ROW(OdstupanjaOdTroškovaMarketinga[[#Headers],[Feb]]),1),INDEX(PlaniraniTroškoviMarketinga[],,1),0),MATCH(OdstupanjaOdTroškovaMarketinga[[#Headers],[Feb]],StvarniTroškoviMarketinga[#Headers],0))</f>
        <v>-200</v>
      </c>
      <c r="E26" s="109">
        <f>INDEX(PlaniraniTroškoviMarketinga[],MATCH(INDEX(OdstupanjaOdTroškovaMarketinga[],ROW()-ROW(OdstupanjaOdTroškovaMarketinga[[#Headers],[Mar]]),1),INDEX(PlaniraniTroškoviMarketinga[],,1),0),MATCH(OdstupanjaOdTroškovaMarketinga[[#Headers],[Mar]],PlaniraniTroškoviMarketinga[#Headers],0))-INDEX(StvarniTroškoviMarketinga[],MATCH(INDEX(OdstupanjaOdTroškovaMarketinga[],ROW()-ROW(OdstupanjaOdTroškovaMarketinga[[#Headers],[Mar]]),1),INDEX(PlaniraniTroškoviMarketinga[],,1),0),MATCH(OdstupanjaOdTroškovaMarketinga[[#Headers],[Mar]],StvarniTroškoviMarketinga[#Headers],0))</f>
        <v>-200</v>
      </c>
      <c r="F26" s="109">
        <f>INDEX(PlaniraniTroškoviMarketinga[],MATCH(INDEX(OdstupanjaOdTroškovaMarketinga[],ROW()-ROW(OdstupanjaOdTroškovaMarketinga[[#Headers],[Apr]]),1),INDEX(PlaniraniTroškoviMarketinga[],,1),0),MATCH(OdstupanjaOdTroškovaMarketinga[[#Headers],[Apr]],PlaniraniTroškoviMarketinga[#Headers],0))-INDEX(StvarniTroškoviMarketinga[],MATCH(INDEX(OdstupanjaOdTroškovaMarketinga[],ROW()-ROW(OdstupanjaOdTroškovaMarketinga[[#Headers],[Apr]]),1),INDEX(PlaniraniTroškoviMarketinga[],,1),0),MATCH(OdstupanjaOdTroškovaMarketinga[[#Headers],[Apr]],StvarniTroškoviMarketinga[#Headers],0))</f>
        <v>300</v>
      </c>
      <c r="G26" s="109">
        <f>INDEX(PlaniraniTroškoviMarketinga[],MATCH(INDEX(OdstupanjaOdTroškovaMarketinga[],ROW()-ROW(OdstupanjaOdTroškovaMarketinga[[#Headers],[maj]]),1),INDEX(PlaniraniTroškoviMarketinga[],,1),0),MATCH(OdstupanjaOdTroškovaMarketinga[[#Headers],[maj]],PlaniraniTroškoviMarketinga[#Headers],0))-INDEX(StvarniTroškoviMarketinga[],MATCH(INDEX(OdstupanjaOdTroškovaMarketinga[],ROW()-ROW(OdstupanjaOdTroškovaMarketinga[[#Headers],[maj]]),1),INDEX(PlaniraniTroškoviMarketinga[],,1),0),MATCH(OdstupanjaOdTroškovaMarketinga[[#Headers],[maj]],StvarniTroškoviMarketinga[#Headers],0))</f>
        <v>500</v>
      </c>
      <c r="H26" s="109">
        <f>INDEX(PlaniraniTroškoviMarketinga[],MATCH(INDEX(OdstupanjaOdTroškovaMarketinga[],ROW()-ROW(OdstupanjaOdTroškovaMarketinga[[#Headers],[jun]]),1),INDEX(PlaniraniTroškoviMarketinga[],,1),0),MATCH(OdstupanjaOdTroškovaMarketinga[[#Headers],[jun]],PlaniraniTroškoviMarketinga[#Headers],0))-INDEX(StvarniTroškoviMarketinga[],MATCH(INDEX(OdstupanjaOdTroškovaMarketinga[],ROW()-ROW(OdstupanjaOdTroškovaMarketinga[[#Headers],[jun]]),1),INDEX(PlaniraniTroškoviMarketinga[],,1),0),MATCH(OdstupanjaOdTroškovaMarketinga[[#Headers],[jun]],StvarniTroškoviMarketinga[#Headers],0))</f>
        <v>-300</v>
      </c>
      <c r="I26" s="109">
        <f>INDEX(PlaniraniTroškoviMarketinga[],MATCH(INDEX(OdstupanjaOdTroškovaMarketinga[],ROW()-ROW(OdstupanjaOdTroškovaMarketinga[[#Headers],[jul]]),1),INDEX(PlaniraniTroškoviMarketinga[],,1),0),MATCH(OdstupanjaOdTroškovaMarketinga[[#Headers],[jul]],PlaniraniTroškoviMarketinga[#Headers],0))-INDEX(StvarniTroškoviMarketinga[],MATCH(INDEX(OdstupanjaOdTroškovaMarketinga[],ROW()-ROW(OdstupanjaOdTroškovaMarketinga[[#Headers],[jul]]),1),INDEX(PlaniraniTroškoviMarketinga[],,1),0),MATCH(OdstupanjaOdTroškovaMarketinga[[#Headers],[jul]],StvarniTroškoviMarketinga[#Headers],0))</f>
        <v>2000</v>
      </c>
      <c r="J26" s="109">
        <f>INDEX(PlaniraniTroškoviMarketinga[],MATCH(INDEX(OdstupanjaOdTroškovaMarketinga[],ROW()-ROW(OdstupanjaOdTroškovaMarketinga[[#Headers],[avg]]),1),INDEX(PlaniraniTroškoviMarketinga[],,1),0),MATCH(OdstupanjaOdTroškovaMarketinga[[#Headers],[avg]],PlaniraniTroškoviMarketinga[#Headers],0))-INDEX(StvarniTroškoviMarketinga[],MATCH(INDEX(OdstupanjaOdTroškovaMarketinga[],ROW()-ROW(OdstupanjaOdTroškovaMarketinga[[#Headers],[avg]]),1),INDEX(PlaniraniTroškoviMarketinga[],,1),0),MATCH(OdstupanjaOdTroškovaMarketinga[[#Headers],[avg]],StvarniTroškoviMarketinga[#Headers],0))</f>
        <v>5000</v>
      </c>
      <c r="K26" s="109">
        <f>INDEX(PlaniraniTroškoviMarketinga[],MATCH(INDEX(OdstupanjaOdTroškovaMarketinga[],ROW()-ROW(OdstupanjaOdTroškovaMarketinga[[#Headers],[sep]]),1),INDEX(PlaniraniTroškoviMarketinga[],,1),0),MATCH(OdstupanjaOdTroškovaMarketinga[[#Headers],[sep]],PlaniraniTroškoviMarketinga[#Headers],0))-INDEX(StvarniTroškoviMarketinga[],MATCH(INDEX(OdstupanjaOdTroškovaMarketinga[],ROW()-ROW(OdstupanjaOdTroškovaMarketinga[[#Headers],[sep]]),1),INDEX(PlaniraniTroškoviMarketinga[],,1),0),MATCH(OdstupanjaOdTroškovaMarketinga[[#Headers],[sep]],StvarniTroškoviMarketinga[#Headers],0))</f>
        <v>2000</v>
      </c>
      <c r="L26" s="109">
        <f>INDEX(PlaniraniTroškoviMarketinga[],MATCH(INDEX(OdstupanjaOdTroškovaMarketinga[],ROW()-ROW(OdstupanjaOdTroškovaMarketinga[[#Headers],[Okt]]),1),INDEX(PlaniraniTroškoviMarketinga[],,1),0),MATCH(OdstupanjaOdTroškovaMarketinga[[#Headers],[Okt]],PlaniraniTroškoviMarketinga[#Headers],0))-INDEX(StvarniTroškoviMarketinga[],MATCH(INDEX(OdstupanjaOdTroškovaMarketinga[],ROW()-ROW(OdstupanjaOdTroškovaMarketinga[[#Headers],[Okt]]),1),INDEX(PlaniraniTroškoviMarketinga[],,1),0),MATCH(OdstupanjaOdTroškovaMarketinga[[#Headers],[Okt]],StvarniTroškoviMarketinga[#Headers],0))</f>
        <v>2000</v>
      </c>
      <c r="M26" s="109">
        <f>INDEX(PlaniraniTroškoviMarketinga[],MATCH(INDEX(OdstupanjaOdTroškovaMarketinga[],ROW()-ROW(OdstupanjaOdTroškovaMarketinga[[#Headers],[Nov]]),1),INDEX(PlaniraniTroškoviMarketinga[],,1),0),MATCH(OdstupanjaOdTroškovaMarketinga[[#Headers],[Nov]],PlaniraniTroškoviMarketinga[#Headers],0))-INDEX(StvarniTroškoviMarketinga[],MATCH(INDEX(OdstupanjaOdTroškovaMarketinga[],ROW()-ROW(OdstupanjaOdTroškovaMarketinga[[#Headers],[Nov]]),1),INDEX(PlaniraniTroškoviMarketinga[],,1),0),MATCH(OdstupanjaOdTroškovaMarketinga[[#Headers],[Nov]],StvarniTroškoviMarketinga[#Headers],0))</f>
        <v>2000</v>
      </c>
      <c r="N26" s="109">
        <f>INDEX(PlaniraniTroškoviMarketinga[],MATCH(INDEX(OdstupanjaOdTroškovaMarketinga[],ROW()-ROW(OdstupanjaOdTroškovaMarketinga[[#Headers],[Dec]]),1),INDEX(PlaniraniTroškoviMarketinga[],,1),0),MATCH(OdstupanjaOdTroškovaMarketinga[[#Headers],[Dec]],PlaniraniTroškoviMarketinga[#Headers],0))-INDEX(StvarniTroškoviMarketinga[],MATCH(INDEX(OdstupanjaOdTroškovaMarketinga[],ROW()-ROW(OdstupanjaOdTroškovaMarketinga[[#Headers],[Dec]]),1),INDEX(PlaniraniTroškoviMarketinga[],,1),0),MATCH(OdstupanjaOdTroškovaMarketinga[[#Headers],[Dec]],StvarniTroškoviMarketinga[#Headers],0))</f>
        <v>5000</v>
      </c>
      <c r="O26" s="110">
        <f>SUM(OdstupanjaOdTroškovaMarketinga[[#This Row],[Jan]:[Dec]])</f>
        <v>18300</v>
      </c>
    </row>
    <row r="27" spans="1:15" ht="24.95" customHeight="1" thickBot="1" x14ac:dyDescent="0.35">
      <c r="A27" s="32"/>
      <c r="B27" s="65" t="s">
        <v>33</v>
      </c>
      <c r="C27" s="109">
        <f>INDEX(PlaniraniTroškoviMarketinga[],MATCH(INDEX(OdstupanjaOdTroškovaMarketinga[],ROW()-ROW(OdstupanjaOdTroškovaMarketinga[[#Headers],[Jan]]),1),INDEX(PlaniraniTroškoviMarketinga[],,1),0),MATCH(OdstupanjaOdTroškovaMarketinga[[#Headers],[Jan]],PlaniraniTroškoviMarketinga[#Headers],0))-INDEX(StvarniTroškoviMarketinga[],MATCH(INDEX(OdstupanjaOdTroškovaMarketinga[],ROW()-ROW(OdstupanjaOdTroškovaMarketinga[[#Headers],[Jan]]),1),INDEX(PlaniraniTroškoviMarketinga[],,1),0),MATCH(OdstupanjaOdTroškovaMarketinga[[#Headers],[Jan]],StvarniTroškoviMarketinga[#Headers],0))</f>
        <v>55</v>
      </c>
      <c r="D27" s="109">
        <f>INDEX(PlaniraniTroškoviMarketinga[],MATCH(INDEX(OdstupanjaOdTroškovaMarketinga[],ROW()-ROW(OdstupanjaOdTroškovaMarketinga[[#Headers],[Feb]]),1),INDEX(PlaniraniTroškoviMarketinga[],,1),0),MATCH(OdstupanjaOdTroškovaMarketinga[[#Headers],[Feb]],PlaniraniTroškoviMarketinga[#Headers],0))-INDEX(StvarniTroškoviMarketinga[],MATCH(INDEX(OdstupanjaOdTroškovaMarketinga[],ROW()-ROW(OdstupanjaOdTroškovaMarketinga[[#Headers],[Feb]]),1),INDEX(PlaniraniTroškoviMarketinga[],,1),0),MATCH(OdstupanjaOdTroškovaMarketinga[[#Headers],[Feb]],StvarniTroškoviMarketinga[#Headers],0))</f>
        <v>44</v>
      </c>
      <c r="E27" s="109">
        <f>INDEX(PlaniraniTroškoviMarketinga[],MATCH(INDEX(OdstupanjaOdTroškovaMarketinga[],ROW()-ROW(OdstupanjaOdTroškovaMarketinga[[#Headers],[Mar]]),1),INDEX(PlaniraniTroškoviMarketinga[],,1),0),MATCH(OdstupanjaOdTroškovaMarketinga[[#Headers],[Mar]],PlaniraniTroškoviMarketinga[#Headers],0))-INDEX(StvarniTroškoviMarketinga[],MATCH(INDEX(OdstupanjaOdTroškovaMarketinga[],ROW()-ROW(OdstupanjaOdTroškovaMarketinga[[#Headers],[Mar]]),1),INDEX(PlaniraniTroškoviMarketinga[],,1),0),MATCH(OdstupanjaOdTroškovaMarketinga[[#Headers],[Mar]],StvarniTroškoviMarketinga[#Headers],0))</f>
        <v>77</v>
      </c>
      <c r="F27" s="109">
        <f>INDEX(PlaniraniTroškoviMarketinga[],MATCH(INDEX(OdstupanjaOdTroškovaMarketinga[],ROW()-ROW(OdstupanjaOdTroškovaMarketinga[[#Headers],[Apr]]),1),INDEX(PlaniraniTroškoviMarketinga[],,1),0),MATCH(OdstupanjaOdTroškovaMarketinga[[#Headers],[Apr]],PlaniraniTroškoviMarketinga[#Headers],0))-INDEX(StvarniTroškoviMarketinga[],MATCH(INDEX(OdstupanjaOdTroškovaMarketinga[],ROW()-ROW(OdstupanjaOdTroškovaMarketinga[[#Headers],[Apr]]),1),INDEX(PlaniraniTroškoviMarketinga[],,1),0),MATCH(OdstupanjaOdTroškovaMarketinga[[#Headers],[Apr]],StvarniTroškoviMarketinga[#Headers],0))</f>
        <v>-23</v>
      </c>
      <c r="G27" s="109">
        <f>INDEX(PlaniraniTroškoviMarketinga[],MATCH(INDEX(OdstupanjaOdTroškovaMarketinga[],ROW()-ROW(OdstupanjaOdTroškovaMarketinga[[#Headers],[maj]]),1),INDEX(PlaniraniTroškoviMarketinga[],,1),0),MATCH(OdstupanjaOdTroškovaMarketinga[[#Headers],[maj]],PlaniraniTroškoviMarketinga[#Headers],0))-INDEX(StvarniTroškoviMarketinga[],MATCH(INDEX(OdstupanjaOdTroškovaMarketinga[],ROW()-ROW(OdstupanjaOdTroškovaMarketinga[[#Headers],[maj]]),1),INDEX(PlaniraniTroškoviMarketinga[],,1),0),MATCH(OdstupanjaOdTroškovaMarketinga[[#Headers],[maj]],StvarniTroškoviMarketinga[#Headers],0))</f>
        <v>13</v>
      </c>
      <c r="H27" s="109">
        <f>INDEX(PlaniraniTroškoviMarketinga[],MATCH(INDEX(OdstupanjaOdTroškovaMarketinga[],ROW()-ROW(OdstupanjaOdTroškovaMarketinga[[#Headers],[jun]]),1),INDEX(PlaniraniTroškoviMarketinga[],,1),0),MATCH(OdstupanjaOdTroškovaMarketinga[[#Headers],[jun]],PlaniraniTroškoviMarketinga[#Headers],0))-INDEX(StvarniTroškoviMarketinga[],MATCH(INDEX(OdstupanjaOdTroškovaMarketinga[],ROW()-ROW(OdstupanjaOdTroškovaMarketinga[[#Headers],[jun]]),1),INDEX(PlaniraniTroškoviMarketinga[],,1),0),MATCH(OdstupanjaOdTroškovaMarketinga[[#Headers],[jun]],StvarniTroškoviMarketinga[#Headers],0))</f>
        <v>-45</v>
      </c>
      <c r="I27" s="109">
        <f>INDEX(PlaniraniTroškoviMarketinga[],MATCH(INDEX(OdstupanjaOdTroškovaMarketinga[],ROW()-ROW(OdstupanjaOdTroškovaMarketinga[[#Headers],[jul]]),1),INDEX(PlaniraniTroškoviMarketinga[],,1),0),MATCH(OdstupanjaOdTroškovaMarketinga[[#Headers],[jul]],PlaniraniTroškoviMarketinga[#Headers],0))-INDEX(StvarniTroškoviMarketinga[],MATCH(INDEX(OdstupanjaOdTroškovaMarketinga[],ROW()-ROW(OdstupanjaOdTroškovaMarketinga[[#Headers],[jul]]),1),INDEX(PlaniraniTroškoviMarketinga[],,1),0),MATCH(OdstupanjaOdTroškovaMarketinga[[#Headers],[jul]],StvarniTroškoviMarketinga[#Headers],0))</f>
        <v>200</v>
      </c>
      <c r="J27" s="109">
        <f>INDEX(PlaniraniTroškoviMarketinga[],MATCH(INDEX(OdstupanjaOdTroškovaMarketinga[],ROW()-ROW(OdstupanjaOdTroškovaMarketinga[[#Headers],[avg]]),1),INDEX(PlaniraniTroškoviMarketinga[],,1),0),MATCH(OdstupanjaOdTroškovaMarketinga[[#Headers],[avg]],PlaniraniTroškoviMarketinga[#Headers],0))-INDEX(StvarniTroškoviMarketinga[],MATCH(INDEX(OdstupanjaOdTroškovaMarketinga[],ROW()-ROW(OdstupanjaOdTroškovaMarketinga[[#Headers],[avg]]),1),INDEX(PlaniraniTroškoviMarketinga[],,1),0),MATCH(OdstupanjaOdTroškovaMarketinga[[#Headers],[avg]],StvarniTroškoviMarketinga[#Headers],0))</f>
        <v>200</v>
      </c>
      <c r="K27" s="109">
        <f>INDEX(PlaniraniTroškoviMarketinga[],MATCH(INDEX(OdstupanjaOdTroškovaMarketinga[],ROW()-ROW(OdstupanjaOdTroškovaMarketinga[[#Headers],[sep]]),1),INDEX(PlaniraniTroškoviMarketinga[],,1),0),MATCH(OdstupanjaOdTroškovaMarketinga[[#Headers],[sep]],PlaniraniTroškoviMarketinga[#Headers],0))-INDEX(StvarniTroškoviMarketinga[],MATCH(INDEX(OdstupanjaOdTroškovaMarketinga[],ROW()-ROW(OdstupanjaOdTroškovaMarketinga[[#Headers],[sep]]),1),INDEX(PlaniraniTroškoviMarketinga[],,1),0),MATCH(OdstupanjaOdTroškovaMarketinga[[#Headers],[sep]],StvarniTroškoviMarketinga[#Headers],0))</f>
        <v>200</v>
      </c>
      <c r="L27" s="109">
        <f>INDEX(PlaniraniTroškoviMarketinga[],MATCH(INDEX(OdstupanjaOdTroškovaMarketinga[],ROW()-ROW(OdstupanjaOdTroškovaMarketinga[[#Headers],[Okt]]),1),INDEX(PlaniraniTroškoviMarketinga[],,1),0),MATCH(OdstupanjaOdTroškovaMarketinga[[#Headers],[Okt]],PlaniraniTroškoviMarketinga[#Headers],0))-INDEX(StvarniTroškoviMarketinga[],MATCH(INDEX(OdstupanjaOdTroškovaMarketinga[],ROW()-ROW(OdstupanjaOdTroškovaMarketinga[[#Headers],[Okt]]),1),INDEX(PlaniraniTroškoviMarketinga[],,1),0),MATCH(OdstupanjaOdTroškovaMarketinga[[#Headers],[Okt]],StvarniTroškoviMarketinga[#Headers],0))</f>
        <v>200</v>
      </c>
      <c r="M27" s="109">
        <f>INDEX(PlaniraniTroškoviMarketinga[],MATCH(INDEX(OdstupanjaOdTroškovaMarketinga[],ROW()-ROW(OdstupanjaOdTroškovaMarketinga[[#Headers],[Nov]]),1),INDEX(PlaniraniTroškoviMarketinga[],,1),0),MATCH(OdstupanjaOdTroškovaMarketinga[[#Headers],[Nov]],PlaniraniTroškoviMarketinga[#Headers],0))-INDEX(StvarniTroškoviMarketinga[],MATCH(INDEX(OdstupanjaOdTroškovaMarketinga[],ROW()-ROW(OdstupanjaOdTroškovaMarketinga[[#Headers],[Nov]]),1),INDEX(PlaniraniTroškoviMarketinga[],,1),0),MATCH(OdstupanjaOdTroškovaMarketinga[[#Headers],[Nov]],StvarniTroškoviMarketinga[#Headers],0))</f>
        <v>200</v>
      </c>
      <c r="N27" s="109">
        <f>INDEX(PlaniraniTroškoviMarketinga[],MATCH(INDEX(OdstupanjaOdTroškovaMarketinga[],ROW()-ROW(OdstupanjaOdTroškovaMarketinga[[#Headers],[Dec]]),1),INDEX(PlaniraniTroškoviMarketinga[],,1),0),MATCH(OdstupanjaOdTroškovaMarketinga[[#Headers],[Dec]],PlaniraniTroškoviMarketinga[#Headers],0))-INDEX(StvarniTroškoviMarketinga[],MATCH(INDEX(OdstupanjaOdTroškovaMarketinga[],ROW()-ROW(OdstupanjaOdTroškovaMarketinga[[#Headers],[Dec]]),1),INDEX(PlaniraniTroškoviMarketinga[],,1),0),MATCH(OdstupanjaOdTroškovaMarketinga[[#Headers],[Dec]],StvarniTroškoviMarketinga[#Headers],0))</f>
        <v>200</v>
      </c>
      <c r="O27" s="110">
        <f>SUM(OdstupanjaOdTroškovaMarketinga[[#This Row],[Jan]:[Dec]])</f>
        <v>1321</v>
      </c>
    </row>
    <row r="28" spans="1:15" ht="24.95" customHeight="1" x14ac:dyDescent="0.3">
      <c r="A28" s="32"/>
      <c r="B28" s="76" t="s">
        <v>17</v>
      </c>
      <c r="C28" s="118">
        <f>SUBTOTAL(109,OdstupanjaOdTroškovaMarketinga[Jan])</f>
        <v>555</v>
      </c>
      <c r="D28" s="118">
        <f>SUBTOTAL(109,OdstupanjaOdTroškovaMarketinga[Feb])</f>
        <v>-456</v>
      </c>
      <c r="E28" s="118">
        <f>SUBTOTAL(109,OdstupanjaOdTroškovaMarketinga[Mar])</f>
        <v>-23</v>
      </c>
      <c r="F28" s="118">
        <f>SUBTOTAL(109,OdstupanjaOdTroškovaMarketinga[Apr])</f>
        <v>-123</v>
      </c>
      <c r="G28" s="118">
        <f>SUBTOTAL(109,OdstupanjaOdTroškovaMarketinga[maj])</f>
        <v>113</v>
      </c>
      <c r="H28" s="118">
        <f>SUBTOTAL(109,OdstupanjaOdTroškovaMarketinga[jun])</f>
        <v>-825</v>
      </c>
      <c r="I28" s="118">
        <f>SUBTOTAL(109,OdstupanjaOdTroškovaMarketinga[jul])</f>
        <v>8100</v>
      </c>
      <c r="J28" s="118">
        <f>SUBTOTAL(109,OdstupanjaOdTroškovaMarketinga[avg])</f>
        <v>6100</v>
      </c>
      <c r="K28" s="118">
        <f>SUBTOTAL(109,OdstupanjaOdTroškovaMarketinga[sep])</f>
        <v>3100</v>
      </c>
      <c r="L28" s="118">
        <f>SUBTOTAL(109,OdstupanjaOdTroškovaMarketinga[Okt])</f>
        <v>8100</v>
      </c>
      <c r="M28" s="118">
        <f>SUBTOTAL(109,OdstupanjaOdTroškovaMarketinga[Nov])</f>
        <v>3100</v>
      </c>
      <c r="N28" s="118">
        <f>SUBTOTAL(109,OdstupanjaOdTroškovaMarketinga[Dec])</f>
        <v>6900</v>
      </c>
      <c r="O28" s="119">
        <f>SUBTOTAL(109,OdstupanjaOdTroškovaMarketinga[GODINA])</f>
        <v>34641</v>
      </c>
    </row>
    <row r="29" spans="1:15" ht="21" customHeight="1" x14ac:dyDescent="0.3">
      <c r="A29" s="32"/>
      <c r="B29" s="140"/>
      <c r="C29" s="140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7"/>
    </row>
    <row r="30" spans="1:15" ht="24.95" customHeight="1" thickBot="1" x14ac:dyDescent="0.35">
      <c r="A30" s="32" t="s">
        <v>85</v>
      </c>
      <c r="B30" s="56" t="s">
        <v>34</v>
      </c>
      <c r="C30" s="63" t="s">
        <v>42</v>
      </c>
      <c r="D30" s="63" t="s">
        <v>45</v>
      </c>
      <c r="E30" s="63" t="s">
        <v>47</v>
      </c>
      <c r="F30" s="63" t="s">
        <v>51</v>
      </c>
      <c r="G30" s="63" t="s">
        <v>53</v>
      </c>
      <c r="H30" s="63" t="s">
        <v>55</v>
      </c>
      <c r="I30" s="63" t="s">
        <v>57</v>
      </c>
      <c r="J30" s="63" t="s">
        <v>59</v>
      </c>
      <c r="K30" s="63" t="s">
        <v>63</v>
      </c>
      <c r="L30" s="63" t="s">
        <v>66</v>
      </c>
      <c r="M30" s="63" t="s">
        <v>69</v>
      </c>
      <c r="N30" s="63" t="s">
        <v>73</v>
      </c>
      <c r="O30" s="64" t="s">
        <v>74</v>
      </c>
    </row>
    <row r="31" spans="1:15" ht="24.95" customHeight="1" thickBot="1" x14ac:dyDescent="0.35">
      <c r="A31" s="32"/>
      <c r="B31" s="65" t="s">
        <v>35</v>
      </c>
      <c r="C31" s="109">
        <f>INDEX(PlaniraniTroškoviObukeIPutniTroškovi[],MATCH(INDEX(OdstupanjaOdTroškovaObukeIPutnihTroškova[],ROW()-ROW(OdstupanjaOdTroškovaObukeIPutnihTroškova[[#Headers],[Jan]]),1),INDEX(PlaniraniTroškoviObukeIPutniTroškovi[],,1),0),MATCH(OdstupanjaOdTroškovaObukeIPutnihTroškova[[#Headers],[Jan]],PlaniraniTroškoviObukeIPutniTroškovi[#Headers],0))-INDEX(StvarniTroškoviObukeIPutniTroškovi[],MATCH(INDEX(OdstupanjaOdTroškovaObukeIPutnihTroškova[],ROW()-ROW(OdstupanjaOdTroškovaObukeIPutnihTroškova[[#Headers],[Jan]]),1),INDEX(PlaniraniTroškoviObukeIPutniTroškovi[],,1),0),MATCH(OdstupanjaOdTroškovaObukeIPutnihTroškova[[#Headers],[Jan]],StvarniTroškoviObukeIPutniTroškovi[#Headers],0))</f>
        <v>400</v>
      </c>
      <c r="D31" s="109">
        <f>INDEX(PlaniraniTroškoviObukeIPutniTroškovi[],MATCH(INDEX(OdstupanjaOdTroškovaObukeIPutnihTroškova[],ROW()-ROW(OdstupanjaOdTroškovaObukeIPutnihTroškova[[#Headers],[Feb]]),1),INDEX(PlaniraniTroškoviObukeIPutniTroškovi[],,1),0),MATCH(OdstupanjaOdTroškovaObukeIPutnihTroškova[[#Headers],[Feb]],PlaniraniTroškoviObukeIPutniTroškovi[#Headers],0))-INDEX(StvarniTroškoviObukeIPutniTroškovi[],MATCH(INDEX(OdstupanjaOdTroškovaObukeIPutnihTroškova[],ROW()-ROW(OdstupanjaOdTroškovaObukeIPutnihTroškova[[#Headers],[Feb]]),1),INDEX(PlaniraniTroškoviObukeIPutniTroškovi[],,1),0),MATCH(OdstupanjaOdTroškovaObukeIPutnihTroškova[[#Headers],[Feb]],StvarniTroškoviObukeIPutniTroškovi[#Headers],0))</f>
        <v>-400</v>
      </c>
      <c r="E31" s="109">
        <f>INDEX(PlaniraniTroškoviObukeIPutniTroškovi[],MATCH(INDEX(OdstupanjaOdTroškovaObukeIPutnihTroškova[],ROW()-ROW(OdstupanjaOdTroškovaObukeIPutnihTroškova[[#Headers],[Mar]]),1),INDEX(PlaniraniTroškoviObukeIPutniTroškovi[],,1),0),MATCH(OdstupanjaOdTroškovaObukeIPutnihTroškova[[#Headers],[Mar]],PlaniraniTroškoviObukeIPutniTroškovi[#Headers],0))-INDEX(StvarniTroškoviObukeIPutniTroškovi[],MATCH(INDEX(OdstupanjaOdTroškovaObukeIPutnihTroškova[],ROW()-ROW(OdstupanjaOdTroškovaObukeIPutnihTroškova[[#Headers],[Mar]]),1),INDEX(PlaniraniTroškoviObukeIPutniTroškovi[],,1),0),MATCH(OdstupanjaOdTroškovaObukeIPutnihTroškova[[#Headers],[Mar]],StvarniTroškoviObukeIPutniTroškovi[#Headers],0))</f>
        <v>600</v>
      </c>
      <c r="F31" s="109">
        <f>INDEX(PlaniraniTroškoviObukeIPutniTroškovi[],MATCH(INDEX(OdstupanjaOdTroškovaObukeIPutnihTroškova[],ROW()-ROW(OdstupanjaOdTroškovaObukeIPutnihTroškova[[#Headers],[Apr]]),1),INDEX(PlaniraniTroškoviObukeIPutniTroškovi[],,1),0),MATCH(OdstupanjaOdTroškovaObukeIPutnihTroškova[[#Headers],[Apr]],PlaniraniTroškoviObukeIPutniTroškovi[#Headers],0))-INDEX(StvarniTroškoviObukeIPutniTroškovi[],MATCH(INDEX(OdstupanjaOdTroškovaObukeIPutnihTroškova[],ROW()-ROW(OdstupanjaOdTroškovaObukeIPutnihTroškova[[#Headers],[Apr]]),1),INDEX(PlaniraniTroškoviObukeIPutniTroškovi[],,1),0),MATCH(OdstupanjaOdTroškovaObukeIPutnihTroškova[[#Headers],[Apr]],StvarniTroškoviObukeIPutniTroškovi[#Headers],0))</f>
        <v>400</v>
      </c>
      <c r="G31" s="109">
        <f>INDEX(PlaniraniTroškoviObukeIPutniTroškovi[],MATCH(INDEX(OdstupanjaOdTroškovaObukeIPutnihTroškova[],ROW()-ROW(OdstupanjaOdTroškovaObukeIPutnihTroškova[[#Headers],[maj]]),1),INDEX(PlaniraniTroškoviObukeIPutniTroškovi[],,1),0),MATCH(OdstupanjaOdTroškovaObukeIPutnihTroškova[[#Headers],[maj]],PlaniraniTroškoviObukeIPutniTroškovi[#Headers],0))-INDEX(StvarniTroškoviObukeIPutniTroškovi[],MATCH(INDEX(OdstupanjaOdTroškovaObukeIPutnihTroškova[],ROW()-ROW(OdstupanjaOdTroškovaObukeIPutnihTroškova[[#Headers],[maj]]),1),INDEX(PlaniraniTroškoviObukeIPutniTroškovi[],,1),0),MATCH(OdstupanjaOdTroškovaObukeIPutnihTroškova[[#Headers],[maj]],StvarniTroškoviObukeIPutniTroškovi[#Headers],0))</f>
        <v>800</v>
      </c>
      <c r="H31" s="109">
        <f>INDEX(PlaniraniTroškoviObukeIPutniTroškovi[],MATCH(INDEX(OdstupanjaOdTroškovaObukeIPutnihTroškova[],ROW()-ROW(OdstupanjaOdTroškovaObukeIPutnihTroškova[[#Headers],[jun]]),1),INDEX(PlaniraniTroškoviObukeIPutniTroškovi[],,1),0),MATCH(OdstupanjaOdTroškovaObukeIPutnihTroškova[[#Headers],[jun]],PlaniraniTroškoviObukeIPutniTroškovi[#Headers],0))-INDEX(StvarniTroškoviObukeIPutniTroškovi[],MATCH(INDEX(OdstupanjaOdTroškovaObukeIPutnihTroškova[],ROW()-ROW(OdstupanjaOdTroškovaObukeIPutnihTroškova[[#Headers],[jun]]),1),INDEX(PlaniraniTroškoviObukeIPutniTroškovi[],,1),0),MATCH(OdstupanjaOdTroškovaObukeIPutnihTroškova[[#Headers],[jun]],StvarniTroškoviObukeIPutniTroškovi[#Headers],0))</f>
        <v>-800</v>
      </c>
      <c r="I31" s="109">
        <f>INDEX(PlaniraniTroškoviObukeIPutniTroškovi[],MATCH(INDEX(OdstupanjaOdTroškovaObukeIPutnihTroškova[],ROW()-ROW(OdstupanjaOdTroškovaObukeIPutnihTroškova[[#Headers],[jul]]),1),INDEX(PlaniraniTroškoviObukeIPutniTroškovi[],,1),0),MATCH(OdstupanjaOdTroškovaObukeIPutnihTroškova[[#Headers],[jul]],PlaniraniTroškoviObukeIPutniTroškovi[#Headers],0))-INDEX(StvarniTroškoviObukeIPutniTroškovi[],MATCH(INDEX(OdstupanjaOdTroškovaObukeIPutnihTroškova[],ROW()-ROW(OdstupanjaOdTroškovaObukeIPutnihTroškova[[#Headers],[jul]]),1),INDEX(PlaniraniTroškoviObukeIPutniTroškovi[],,1),0),MATCH(OdstupanjaOdTroškovaObukeIPutnihTroškova[[#Headers],[jul]],StvarniTroškoviObukeIPutniTroškovi[#Headers],0))</f>
        <v>2000</v>
      </c>
      <c r="J31" s="109">
        <f>INDEX(PlaniraniTroškoviObukeIPutniTroškovi[],MATCH(INDEX(OdstupanjaOdTroškovaObukeIPutnihTroškova[],ROW()-ROW(OdstupanjaOdTroškovaObukeIPutnihTroškova[[#Headers],[avg]]),1),INDEX(PlaniraniTroškoviObukeIPutniTroškovi[],,1),0),MATCH(OdstupanjaOdTroškovaObukeIPutnihTroškova[[#Headers],[avg]],PlaniraniTroškoviObukeIPutniTroškovi[#Headers],0))-INDEX(StvarniTroškoviObukeIPutniTroškovi[],MATCH(INDEX(OdstupanjaOdTroškovaObukeIPutnihTroškova[],ROW()-ROW(OdstupanjaOdTroškovaObukeIPutnihTroškova[[#Headers],[avg]]),1),INDEX(PlaniraniTroškoviObukeIPutniTroškovi[],,1),0),MATCH(OdstupanjaOdTroškovaObukeIPutnihTroškova[[#Headers],[avg]],StvarniTroškoviObukeIPutniTroškovi[#Headers],0))</f>
        <v>2000</v>
      </c>
      <c r="K31" s="109">
        <f>INDEX(PlaniraniTroškoviObukeIPutniTroškovi[],MATCH(INDEX(OdstupanjaOdTroškovaObukeIPutnihTroškova[],ROW()-ROW(OdstupanjaOdTroškovaObukeIPutnihTroškova[[#Headers],[sep]]),1),INDEX(PlaniraniTroškoviObukeIPutniTroškovi[],,1),0),MATCH(OdstupanjaOdTroškovaObukeIPutnihTroškova[[#Headers],[sep]],PlaniraniTroškoviObukeIPutniTroškovi[#Headers],0))-INDEX(StvarniTroškoviObukeIPutniTroškovi[],MATCH(INDEX(OdstupanjaOdTroškovaObukeIPutnihTroškova[],ROW()-ROW(OdstupanjaOdTroškovaObukeIPutnihTroškova[[#Headers],[sep]]),1),INDEX(PlaniraniTroškoviObukeIPutniTroškovi[],,1),0),MATCH(OdstupanjaOdTroškovaObukeIPutnihTroškova[[#Headers],[sep]],StvarniTroškoviObukeIPutniTroškovi[#Headers],0))</f>
        <v>2000</v>
      </c>
      <c r="L31" s="109">
        <f>INDEX(PlaniraniTroškoviObukeIPutniTroškovi[],MATCH(INDEX(OdstupanjaOdTroškovaObukeIPutnihTroškova[],ROW()-ROW(OdstupanjaOdTroškovaObukeIPutnihTroškova[[#Headers],[Okt]]),1),INDEX(PlaniraniTroškoviObukeIPutniTroškovi[],,1),0),MATCH(OdstupanjaOdTroškovaObukeIPutnihTroškova[[#Headers],[Okt]],PlaniraniTroškoviObukeIPutniTroškovi[#Headers],0))-INDEX(StvarniTroškoviObukeIPutniTroškovi[],MATCH(INDEX(OdstupanjaOdTroškovaObukeIPutnihTroškova[],ROW()-ROW(OdstupanjaOdTroškovaObukeIPutnihTroškova[[#Headers],[Okt]]),1),INDEX(PlaniraniTroškoviObukeIPutniTroškovi[],,1),0),MATCH(OdstupanjaOdTroškovaObukeIPutnihTroškova[[#Headers],[Okt]],StvarniTroškoviObukeIPutniTroškovi[#Headers],0))</f>
        <v>2000</v>
      </c>
      <c r="M31" s="109">
        <f>INDEX(PlaniraniTroškoviObukeIPutniTroškovi[],MATCH(INDEX(OdstupanjaOdTroškovaObukeIPutnihTroškova[],ROW()-ROW(OdstupanjaOdTroškovaObukeIPutnihTroškova[[#Headers],[Nov]]),1),INDEX(PlaniraniTroškoviObukeIPutniTroškovi[],,1),0),MATCH(OdstupanjaOdTroškovaObukeIPutnihTroškova[[#Headers],[Nov]],PlaniraniTroškoviObukeIPutniTroškovi[#Headers],0))-INDEX(StvarniTroškoviObukeIPutniTroškovi[],MATCH(INDEX(OdstupanjaOdTroškovaObukeIPutnihTroškova[],ROW()-ROW(OdstupanjaOdTroškovaObukeIPutnihTroškova[[#Headers],[Nov]]),1),INDEX(PlaniraniTroškoviObukeIPutniTroškovi[],,1),0),MATCH(OdstupanjaOdTroškovaObukeIPutnihTroškova[[#Headers],[Nov]],StvarniTroškoviObukeIPutniTroškovi[#Headers],0))</f>
        <v>2000</v>
      </c>
      <c r="N31" s="109">
        <f>INDEX(PlaniraniTroškoviObukeIPutniTroškovi[],MATCH(INDEX(OdstupanjaOdTroškovaObukeIPutnihTroškova[],ROW()-ROW(OdstupanjaOdTroškovaObukeIPutnihTroškova[[#Headers],[Dec]]),1),INDEX(PlaniraniTroškoviObukeIPutniTroškovi[],,1),0),MATCH(OdstupanjaOdTroškovaObukeIPutnihTroškova[[#Headers],[Dec]],PlaniraniTroškoviObukeIPutniTroškovi[#Headers],0))-INDEX(StvarniTroškoviObukeIPutniTroškovi[],MATCH(INDEX(OdstupanjaOdTroškovaObukeIPutnihTroškova[],ROW()-ROW(OdstupanjaOdTroškovaObukeIPutnihTroškova[[#Headers],[Dec]]),1),INDEX(PlaniraniTroškoviObukeIPutniTroškovi[],,1),0),MATCH(OdstupanjaOdTroškovaObukeIPutnihTroškova[[#Headers],[Dec]],StvarniTroškoviObukeIPutniTroškovi[#Headers],0))</f>
        <v>2000</v>
      </c>
      <c r="O31" s="110">
        <f>SUM(OdstupanjaOdTroškovaObukeIPutnihTroškova[[#This Row],[Jan]:[Dec]])</f>
        <v>13000</v>
      </c>
    </row>
    <row r="32" spans="1:15" ht="24.95" customHeight="1" thickBot="1" x14ac:dyDescent="0.35">
      <c r="A32" s="32"/>
      <c r="B32" s="65" t="s">
        <v>36</v>
      </c>
      <c r="C32" s="109">
        <f>INDEX(PlaniraniTroškoviObukeIPutniTroškovi[],MATCH(INDEX(OdstupanjaOdTroškovaObukeIPutnihTroškova[],ROW()-ROW(OdstupanjaOdTroškovaObukeIPutnihTroškova[[#Headers],[Jan]]),1),INDEX(PlaniraniTroškoviObukeIPutniTroškovi[],,1),0),MATCH(OdstupanjaOdTroškovaObukeIPutnihTroškova[[#Headers],[Jan]],PlaniraniTroškoviObukeIPutniTroškovi[#Headers],0))-INDEX(StvarniTroškoviObukeIPutniTroškovi[],MATCH(INDEX(OdstupanjaOdTroškovaObukeIPutnihTroškova[],ROW()-ROW(OdstupanjaOdTroškovaObukeIPutnihTroškova[[#Headers],[Jan]]),1),INDEX(PlaniraniTroškoviObukeIPutniTroškovi[],,1),0),MATCH(OdstupanjaOdTroškovaObukeIPutnihTroškova[[#Headers],[Jan]],StvarniTroškoviObukeIPutniTroškovi[#Headers],0))</f>
        <v>800</v>
      </c>
      <c r="D32" s="109">
        <f>INDEX(PlaniraniTroškoviObukeIPutniTroškovi[],MATCH(INDEX(OdstupanjaOdTroškovaObukeIPutnihTroškova[],ROW()-ROW(OdstupanjaOdTroškovaObukeIPutnihTroškova[[#Headers],[Feb]]),1),INDEX(PlaniraniTroškoviObukeIPutniTroškovi[],,1),0),MATCH(OdstupanjaOdTroškovaObukeIPutnihTroškova[[#Headers],[Feb]],PlaniraniTroškoviObukeIPutniTroškovi[#Headers],0))-INDEX(StvarniTroškoviObukeIPutniTroškovi[],MATCH(INDEX(OdstupanjaOdTroškovaObukeIPutnihTroškova[],ROW()-ROW(OdstupanjaOdTroškovaObukeIPutnihTroškova[[#Headers],[Feb]]),1),INDEX(PlaniraniTroškoviObukeIPutniTroškovi[],,1),0),MATCH(OdstupanjaOdTroškovaObukeIPutnihTroškova[[#Headers],[Feb]],StvarniTroškoviObukeIPutniTroškovi[#Headers],0))</f>
        <v>-200</v>
      </c>
      <c r="E32" s="109">
        <f>INDEX(PlaniraniTroškoviObukeIPutniTroškovi[],MATCH(INDEX(OdstupanjaOdTroškovaObukeIPutnihTroškova[],ROW()-ROW(OdstupanjaOdTroškovaObukeIPutnihTroškova[[#Headers],[Mar]]),1),INDEX(PlaniraniTroškoviObukeIPutniTroškovi[],,1),0),MATCH(OdstupanjaOdTroškovaObukeIPutnihTroškova[[#Headers],[Mar]],PlaniraniTroškoviObukeIPutniTroškovi[#Headers],0))-INDEX(StvarniTroškoviObukeIPutniTroškovi[],MATCH(INDEX(OdstupanjaOdTroškovaObukeIPutnihTroškova[],ROW()-ROW(OdstupanjaOdTroškovaObukeIPutnihTroškova[[#Headers],[Mar]]),1),INDEX(PlaniraniTroškoviObukeIPutniTroškovi[],,1),0),MATCH(OdstupanjaOdTroškovaObukeIPutnihTroškova[[#Headers],[Mar]],StvarniTroškoviObukeIPutniTroškovi[#Headers],0))</f>
        <v>600</v>
      </c>
      <c r="F32" s="109">
        <f>INDEX(PlaniraniTroškoviObukeIPutniTroškovi[],MATCH(INDEX(OdstupanjaOdTroškovaObukeIPutnihTroškova[],ROW()-ROW(OdstupanjaOdTroškovaObukeIPutnihTroškova[[#Headers],[Apr]]),1),INDEX(PlaniraniTroškoviObukeIPutniTroškovi[],,1),0),MATCH(OdstupanjaOdTroškovaObukeIPutnihTroškova[[#Headers],[Apr]],PlaniraniTroškoviObukeIPutniTroškovi[#Headers],0))-INDEX(StvarniTroškoviObukeIPutniTroškovi[],MATCH(INDEX(OdstupanjaOdTroškovaObukeIPutnihTroškova[],ROW()-ROW(OdstupanjaOdTroškovaObukeIPutnihTroškova[[#Headers],[Apr]]),1),INDEX(PlaniraniTroškoviObukeIPutniTroškovi[],,1),0),MATCH(OdstupanjaOdTroškovaObukeIPutnihTroškova[[#Headers],[Apr]],StvarniTroškoviObukeIPutniTroškovi[#Headers],0))</f>
        <v>800</v>
      </c>
      <c r="G32" s="109">
        <f>INDEX(PlaniraniTroškoviObukeIPutniTroškovi[],MATCH(INDEX(OdstupanjaOdTroškovaObukeIPutnihTroškova[],ROW()-ROW(OdstupanjaOdTroškovaObukeIPutnihTroškova[[#Headers],[maj]]),1),INDEX(PlaniraniTroškoviObukeIPutniTroškovi[],,1),0),MATCH(OdstupanjaOdTroškovaObukeIPutnihTroškova[[#Headers],[maj]],PlaniraniTroškoviObukeIPutniTroškovi[#Headers],0))-INDEX(StvarniTroškoviObukeIPutniTroškovi[],MATCH(INDEX(OdstupanjaOdTroškovaObukeIPutnihTroškova[],ROW()-ROW(OdstupanjaOdTroškovaObukeIPutnihTroškova[[#Headers],[maj]]),1),INDEX(PlaniraniTroškoviObukeIPutniTroškovi[],,1),0),MATCH(OdstupanjaOdTroškovaObukeIPutnihTroškova[[#Headers],[maj]],StvarniTroškoviObukeIPutniTroškovi[#Headers],0))</f>
        <v>1200</v>
      </c>
      <c r="H32" s="109">
        <f>INDEX(PlaniraniTroškoviObukeIPutniTroškovi[],MATCH(INDEX(OdstupanjaOdTroškovaObukeIPutnihTroškova[],ROW()-ROW(OdstupanjaOdTroškovaObukeIPutnihTroškova[[#Headers],[jun]]),1),INDEX(PlaniraniTroškoviObukeIPutniTroškovi[],,1),0),MATCH(OdstupanjaOdTroškovaObukeIPutnihTroškova[[#Headers],[jun]],PlaniraniTroškoviObukeIPutniTroškovi[#Headers],0))-INDEX(StvarniTroškoviObukeIPutniTroškovi[],MATCH(INDEX(OdstupanjaOdTroškovaObukeIPutnihTroškova[],ROW()-ROW(OdstupanjaOdTroškovaObukeIPutnihTroškova[[#Headers],[jun]]),1),INDEX(PlaniraniTroškoviObukeIPutniTroškovi[],,1),0),MATCH(OdstupanjaOdTroškovaObukeIPutnihTroškova[[#Headers],[jun]],StvarniTroškoviObukeIPutniTroškovi[#Headers],0))</f>
        <v>-1500</v>
      </c>
      <c r="I32" s="109">
        <f>INDEX(PlaniraniTroškoviObukeIPutniTroškovi[],MATCH(INDEX(OdstupanjaOdTroškovaObukeIPutnihTroškova[],ROW()-ROW(OdstupanjaOdTroškovaObukeIPutnihTroškova[[#Headers],[jul]]),1),INDEX(PlaniraniTroškoviObukeIPutniTroškovi[],,1),0),MATCH(OdstupanjaOdTroškovaObukeIPutnihTroškova[[#Headers],[jul]],PlaniraniTroškoviObukeIPutniTroškovi[#Headers],0))-INDEX(StvarniTroškoviObukeIPutniTroškovi[],MATCH(INDEX(OdstupanjaOdTroškovaObukeIPutnihTroškova[],ROW()-ROW(OdstupanjaOdTroškovaObukeIPutnihTroškova[[#Headers],[jul]]),1),INDEX(PlaniraniTroškoviObukeIPutniTroškovi[],,1),0),MATCH(OdstupanjaOdTroškovaObukeIPutnihTroškova[[#Headers],[jul]],StvarniTroškoviObukeIPutniTroškovi[#Headers],0))</f>
        <v>2000</v>
      </c>
      <c r="J32" s="109">
        <f>INDEX(PlaniraniTroškoviObukeIPutniTroškovi[],MATCH(INDEX(OdstupanjaOdTroškovaObukeIPutnihTroškova[],ROW()-ROW(OdstupanjaOdTroškovaObukeIPutnihTroškova[[#Headers],[avg]]),1),INDEX(PlaniraniTroškoviObukeIPutniTroškovi[],,1),0),MATCH(OdstupanjaOdTroškovaObukeIPutnihTroškova[[#Headers],[avg]],PlaniraniTroškoviObukeIPutniTroškovi[#Headers],0))-INDEX(StvarniTroškoviObukeIPutniTroškovi[],MATCH(INDEX(OdstupanjaOdTroškovaObukeIPutnihTroškova[],ROW()-ROW(OdstupanjaOdTroškovaObukeIPutnihTroškova[[#Headers],[avg]]),1),INDEX(PlaniraniTroškoviObukeIPutniTroškovi[],,1),0),MATCH(OdstupanjaOdTroškovaObukeIPutnihTroškova[[#Headers],[avg]],StvarniTroškoviObukeIPutniTroškovi[#Headers],0))</f>
        <v>2000</v>
      </c>
      <c r="K32" s="109">
        <f>INDEX(PlaniraniTroškoviObukeIPutniTroškovi[],MATCH(INDEX(OdstupanjaOdTroškovaObukeIPutnihTroškova[],ROW()-ROW(OdstupanjaOdTroškovaObukeIPutnihTroškova[[#Headers],[sep]]),1),INDEX(PlaniraniTroškoviObukeIPutniTroškovi[],,1),0),MATCH(OdstupanjaOdTroškovaObukeIPutnihTroškova[[#Headers],[sep]],PlaniraniTroškoviObukeIPutniTroškovi[#Headers],0))-INDEX(StvarniTroškoviObukeIPutniTroškovi[],MATCH(INDEX(OdstupanjaOdTroškovaObukeIPutnihTroškova[],ROW()-ROW(OdstupanjaOdTroškovaObukeIPutnihTroškova[[#Headers],[sep]]),1),INDEX(PlaniraniTroškoviObukeIPutniTroškovi[],,1),0),MATCH(OdstupanjaOdTroškovaObukeIPutnihTroškova[[#Headers],[sep]],StvarniTroškoviObukeIPutniTroškovi[#Headers],0))</f>
        <v>2000</v>
      </c>
      <c r="L32" s="109">
        <f>INDEX(PlaniraniTroškoviObukeIPutniTroškovi[],MATCH(INDEX(OdstupanjaOdTroškovaObukeIPutnihTroškova[],ROW()-ROW(OdstupanjaOdTroškovaObukeIPutnihTroškova[[#Headers],[Okt]]),1),INDEX(PlaniraniTroškoviObukeIPutniTroškovi[],,1),0),MATCH(OdstupanjaOdTroškovaObukeIPutnihTroškova[[#Headers],[Okt]],PlaniraniTroškoviObukeIPutniTroškovi[#Headers],0))-INDEX(StvarniTroškoviObukeIPutniTroškovi[],MATCH(INDEX(OdstupanjaOdTroškovaObukeIPutnihTroškova[],ROW()-ROW(OdstupanjaOdTroškovaObukeIPutnihTroškova[[#Headers],[Okt]]),1),INDEX(PlaniraniTroškoviObukeIPutniTroškovi[],,1),0),MATCH(OdstupanjaOdTroškovaObukeIPutnihTroškova[[#Headers],[Okt]],StvarniTroškoviObukeIPutniTroškovi[#Headers],0))</f>
        <v>2000</v>
      </c>
      <c r="M32" s="109">
        <f>INDEX(PlaniraniTroškoviObukeIPutniTroškovi[],MATCH(INDEX(OdstupanjaOdTroškovaObukeIPutnihTroškova[],ROW()-ROW(OdstupanjaOdTroškovaObukeIPutnihTroškova[[#Headers],[Nov]]),1),INDEX(PlaniraniTroškoviObukeIPutniTroškovi[],,1),0),MATCH(OdstupanjaOdTroškovaObukeIPutnihTroškova[[#Headers],[Nov]],PlaniraniTroškoviObukeIPutniTroškovi[#Headers],0))-INDEX(StvarniTroškoviObukeIPutniTroškovi[],MATCH(INDEX(OdstupanjaOdTroškovaObukeIPutnihTroškova[],ROW()-ROW(OdstupanjaOdTroškovaObukeIPutnihTroškova[[#Headers],[Nov]]),1),INDEX(PlaniraniTroškoviObukeIPutniTroškovi[],,1),0),MATCH(OdstupanjaOdTroškovaObukeIPutnihTroškova[[#Headers],[Nov]],StvarniTroškoviObukeIPutniTroškovi[#Headers],0))</f>
        <v>2000</v>
      </c>
      <c r="N32" s="109">
        <f>INDEX(PlaniraniTroškoviObukeIPutniTroškovi[],MATCH(INDEX(OdstupanjaOdTroškovaObukeIPutnihTroškova[],ROW()-ROW(OdstupanjaOdTroškovaObukeIPutnihTroškova[[#Headers],[Dec]]),1),INDEX(PlaniraniTroškoviObukeIPutniTroškovi[],,1),0),MATCH(OdstupanjaOdTroškovaObukeIPutnihTroškova[[#Headers],[Dec]],PlaniraniTroškoviObukeIPutniTroškovi[#Headers],0))-INDEX(StvarniTroškoviObukeIPutniTroškovi[],MATCH(INDEX(OdstupanjaOdTroškovaObukeIPutnihTroškova[],ROW()-ROW(OdstupanjaOdTroškovaObukeIPutnihTroškova[[#Headers],[Dec]]),1),INDEX(PlaniraniTroškoviObukeIPutniTroškovi[],,1),0),MATCH(OdstupanjaOdTroškovaObukeIPutnihTroškova[[#Headers],[Dec]],StvarniTroškoviObukeIPutniTroškovi[#Headers],0))</f>
        <v>2000</v>
      </c>
      <c r="O32" s="110">
        <f>SUM(OdstupanjaOdTroškovaObukeIPutnihTroškova[[#This Row],[Jan]:[Dec]])</f>
        <v>13700</v>
      </c>
    </row>
    <row r="33" spans="1:15" ht="24.95" customHeight="1" x14ac:dyDescent="0.3">
      <c r="A33" s="32"/>
      <c r="B33" s="78" t="s">
        <v>17</v>
      </c>
      <c r="C33" s="118">
        <f>SUBTOTAL(109,OdstupanjaOdTroškovaObukeIPutnihTroškova[Jan])</f>
        <v>1200</v>
      </c>
      <c r="D33" s="118">
        <f>SUBTOTAL(109,OdstupanjaOdTroškovaObukeIPutnihTroškova[Feb])</f>
        <v>-600</v>
      </c>
      <c r="E33" s="118">
        <f>SUBTOTAL(109,OdstupanjaOdTroškovaObukeIPutnihTroškova[Mar])</f>
        <v>1200</v>
      </c>
      <c r="F33" s="118">
        <f>SUBTOTAL(109,OdstupanjaOdTroškovaObukeIPutnihTroškova[Apr])</f>
        <v>1200</v>
      </c>
      <c r="G33" s="118">
        <f>SUBTOTAL(109,OdstupanjaOdTroškovaObukeIPutnihTroškova[maj])</f>
        <v>2000</v>
      </c>
      <c r="H33" s="118">
        <f>SUBTOTAL(109,OdstupanjaOdTroškovaObukeIPutnihTroškova[jun])</f>
        <v>-2300</v>
      </c>
      <c r="I33" s="118">
        <f>SUBTOTAL(109,OdstupanjaOdTroškovaObukeIPutnihTroškova[jul])</f>
        <v>4000</v>
      </c>
      <c r="J33" s="118">
        <f>SUBTOTAL(109,OdstupanjaOdTroškovaObukeIPutnihTroškova[avg])</f>
        <v>4000</v>
      </c>
      <c r="K33" s="118">
        <f>SUBTOTAL(109,OdstupanjaOdTroškovaObukeIPutnihTroškova[sep])</f>
        <v>4000</v>
      </c>
      <c r="L33" s="118">
        <f>SUBTOTAL(109,OdstupanjaOdTroškovaObukeIPutnihTroškova[Okt])</f>
        <v>4000</v>
      </c>
      <c r="M33" s="118">
        <f>SUBTOTAL(109,OdstupanjaOdTroškovaObukeIPutnihTroškova[Nov])</f>
        <v>4000</v>
      </c>
      <c r="N33" s="118">
        <f>SUBTOTAL(109,OdstupanjaOdTroškovaObukeIPutnihTroškova[Dec])</f>
        <v>4000</v>
      </c>
      <c r="O33" s="119">
        <f>SUBTOTAL(109,OdstupanjaOdTroškovaObukeIPutnihTroškova[GODINA])</f>
        <v>26700</v>
      </c>
    </row>
    <row r="34" spans="1:15" ht="21" customHeight="1" x14ac:dyDescent="0.3">
      <c r="A34" s="32"/>
      <c r="B34" s="140"/>
      <c r="C34" s="140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24.95" customHeight="1" thickBot="1" x14ac:dyDescent="0.35">
      <c r="A35" s="39" t="s">
        <v>86</v>
      </c>
      <c r="B35" s="12" t="s">
        <v>37</v>
      </c>
      <c r="C35" s="29" t="s">
        <v>41</v>
      </c>
      <c r="D35" s="29" t="s">
        <v>44</v>
      </c>
      <c r="E35" s="29" t="s">
        <v>48</v>
      </c>
      <c r="F35" s="29" t="s">
        <v>50</v>
      </c>
      <c r="G35" s="29" t="s">
        <v>53</v>
      </c>
      <c r="H35" s="29" t="s">
        <v>55</v>
      </c>
      <c r="I35" s="29" t="s">
        <v>57</v>
      </c>
      <c r="J35" s="29" t="s">
        <v>59</v>
      </c>
      <c r="K35" s="29" t="s">
        <v>63</v>
      </c>
      <c r="L35" s="29" t="s">
        <v>65</v>
      </c>
      <c r="M35" s="29" t="s">
        <v>68</v>
      </c>
      <c r="N35" s="29" t="s">
        <v>72</v>
      </c>
      <c r="O35" s="29" t="s">
        <v>75</v>
      </c>
    </row>
    <row r="36" spans="1:15" ht="24.95" customHeight="1" thickBot="1" x14ac:dyDescent="0.35">
      <c r="A36" s="32"/>
      <c r="B36" s="13" t="s">
        <v>82</v>
      </c>
      <c r="C36" s="127">
        <f>OdstupanjaOdTroškovaObukeIPutnihTroškova[[#Totals],[Jan]]+OdstupanjaOdTroškovaMarketinga[[#Totals],[Jan]]+OdstupanjaOdKancelarijskihTroškova[[#Totals],[Jan]]+OdstupanjaOdTroškovaZaposlenih[[#Totals],[jan]]</f>
        <v>1738</v>
      </c>
      <c r="D36" s="127">
        <f>OdstupanjaOdTroškovaObukeIPutnihTroškova[[#Totals],[Feb]]+OdstupanjaOdTroškovaMarketinga[[#Totals],[Feb]]+OdstupanjaOdKancelarijskihTroškova[[#Totals],[Feb]]+OdstupanjaOdTroškovaZaposlenih[[#Totals],[feb]]</f>
        <v>-984</v>
      </c>
      <c r="E36" s="127">
        <f>OdstupanjaOdTroškovaObukeIPutnihTroškova[[#Totals],[Mar]]+OdstupanjaOdTroškovaMarketinga[[#Totals],[Mar]]+OdstupanjaOdKancelarijskihTroškova[[#Totals],[Mar]]+OdstupanjaOdTroškovaZaposlenih[[#Totals],[mar]]</f>
        <v>1255</v>
      </c>
      <c r="F36" s="127">
        <f>OdstupanjaOdTroškovaObukeIPutnihTroškova[[#Totals],[Apr]]+OdstupanjaOdTroškovaMarketinga[[#Totals],[Apr]]+OdstupanjaOdKancelarijskihTroškova[[#Totals],[Apr]]+OdstupanjaOdTroškovaZaposlenih[[#Totals],[apr]]</f>
        <v>301</v>
      </c>
      <c r="G36" s="127">
        <f>OdstupanjaOdTroškovaObukeIPutnihTroškova[[#Totals],[maj]]+OdstupanjaOdTroškovaMarketinga[[#Totals],[maj]]+OdstupanjaOdKancelarijskihTroškova[[#Totals],[maj]]+OdstupanjaOdTroškovaZaposlenih[[#Totals],[maj]]</f>
        <v>1440</v>
      </c>
      <c r="H36" s="127">
        <f>OdstupanjaOdTroškovaObukeIPutnihTroškova[[#Totals],[jun]]+OdstupanjaOdTroškovaMarketinga[[#Totals],[jun]]+OdstupanjaOdKancelarijskihTroškova[[#Totals],[jun]]+OdstupanjaOdTroškovaZaposlenih[[#Totals],[jun]]</f>
        <v>-3744</v>
      </c>
      <c r="I36" s="127">
        <f>OdstupanjaOdTroškovaObukeIPutnihTroškova[[#Totals],[jul]]+OdstupanjaOdTroškovaMarketinga[[#Totals],[jul]]+OdstupanjaOdKancelarijskihTroškova[[#Totals],[jul]]+OdstupanjaOdTroškovaZaposlenih[[#Totals],[jul]]</f>
        <v>134695</v>
      </c>
      <c r="J36" s="127">
        <f>OdstupanjaOdTroškovaObukeIPutnihTroškova[[#Totals],[avg]]+OdstupanjaOdTroškovaMarketinga[[#Totals],[avg]]+OdstupanjaOdKancelarijskihTroškova[[#Totals],[avg]]+OdstupanjaOdTroškovaZaposlenih[[#Totals],[avg]]</f>
        <v>138918</v>
      </c>
      <c r="K36" s="127">
        <f>OdstupanjaOdTroškovaObukeIPutnihTroškova[[#Totals],[sep]]+OdstupanjaOdTroškovaMarketinga[[#Totals],[sep]]+OdstupanjaOdKancelarijskihTroškova[[#Totals],[sep]]+OdstupanjaOdTroškovaZaposlenih[[#Totals],[sep]]</f>
        <v>135918</v>
      </c>
      <c r="L36" s="127">
        <f>OdstupanjaOdTroškovaObukeIPutnihTroškova[[#Totals],[Okt]]+OdstupanjaOdTroškovaMarketinga[[#Totals],[Okt]]+OdstupanjaOdKancelarijskihTroškova[[#Totals],[Okt]]+OdstupanjaOdTroškovaZaposlenih[[#Totals],[okt]]</f>
        <v>140918</v>
      </c>
      <c r="M36" s="127">
        <f>OdstupanjaOdTroškovaObukeIPutnihTroškova[[#Totals],[Nov]]+OdstupanjaOdTroškovaMarketinga[[#Totals],[Nov]]+OdstupanjaOdKancelarijskihTroškova[[#Totals],[Nov]]+OdstupanjaOdTroškovaZaposlenih[[#Totals],[nov]]</f>
        <v>136218</v>
      </c>
      <c r="N36" s="127">
        <f>OdstupanjaOdTroškovaObukeIPutnihTroškova[[#Totals],[Dec]]+OdstupanjaOdTroškovaMarketinga[[#Totals],[Dec]]+OdstupanjaOdKancelarijskihTroškova[[#Totals],[Dec]]+OdstupanjaOdTroškovaZaposlenih[[#Totals],[dec]]</f>
        <v>140018</v>
      </c>
      <c r="O36" s="127">
        <f>OdstupanjaOdTroškovaObukeIPutnihTroškova[[#Totals],[GODINA]]+OdstupanjaOdTroškovaMarketinga[[#Totals],[GODINA]]+OdstupanjaOdKancelarijskihTroškova[[#Totals],[GODINA]]+OdstupanjaOdTroškovaZaposlenih[[#Totals],[GODINA]]</f>
        <v>826691</v>
      </c>
    </row>
    <row r="37" spans="1:15" ht="24.95" customHeight="1" thickBot="1" x14ac:dyDescent="0.35">
      <c r="A37" s="32"/>
      <c r="B37" s="13" t="s">
        <v>83</v>
      </c>
      <c r="C37" s="128">
        <f>SUM($C$36:C36)</f>
        <v>1738</v>
      </c>
      <c r="D37" s="128">
        <f>SUM($C$36:D36)</f>
        <v>754</v>
      </c>
      <c r="E37" s="128">
        <f>SUM($C$36:E36)</f>
        <v>2009</v>
      </c>
      <c r="F37" s="128">
        <f>SUM($C$36:F36)</f>
        <v>2310</v>
      </c>
      <c r="G37" s="128">
        <f>SUM($C$36:G36)</f>
        <v>3750</v>
      </c>
      <c r="H37" s="128">
        <f>SUM($C$36:H36)</f>
        <v>6</v>
      </c>
      <c r="I37" s="128">
        <f>SUM($C$36:I36)</f>
        <v>134701</v>
      </c>
      <c r="J37" s="128">
        <f>SUM($C$36:J36)</f>
        <v>273619</v>
      </c>
      <c r="K37" s="128">
        <f>SUM($C$36:K36)</f>
        <v>409537</v>
      </c>
      <c r="L37" s="128">
        <f>SUM($C$36:L36)</f>
        <v>550455</v>
      </c>
      <c r="M37" s="128">
        <f>SUM($C$36:M36)</f>
        <v>686673</v>
      </c>
      <c r="N37" s="128">
        <f>SUM($C$36:N36)</f>
        <v>826691</v>
      </c>
      <c r="O37" s="128"/>
    </row>
    <row r="38" spans="1:15" ht="21" customHeight="1" x14ac:dyDescent="0.3">
      <c r="A38" s="32"/>
      <c r="B38" s="2"/>
      <c r="C38" s="2"/>
      <c r="D38" s="1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mergeCells count="8">
    <mergeCell ref="N2:O3"/>
    <mergeCell ref="K2:M2"/>
    <mergeCell ref="K3:M3"/>
    <mergeCell ref="B34:C34"/>
    <mergeCell ref="B29:C29"/>
    <mergeCell ref="B20:C20"/>
    <mergeCell ref="B9:C9"/>
    <mergeCell ref="B2:D3"/>
  </mergeCell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2" emptyCellReference="1"/>
    <ignoredError sqref="C36:O37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/>
    <pageSetUpPr autoPageBreaks="0" fitToPage="1"/>
  </sheetPr>
  <dimension ref="A1:P39"/>
  <sheetViews>
    <sheetView showGridLines="0" workbookViewId="0"/>
  </sheetViews>
  <sheetFormatPr defaultColWidth="9.140625" defaultRowHeight="18.75" x14ac:dyDescent="0.3"/>
  <cols>
    <col min="1" max="1" width="4.7109375" style="36" customWidth="1"/>
    <col min="2" max="2" width="26.28515625" style="4" customWidth="1"/>
    <col min="3" max="3" width="23.28515625" style="4" customWidth="1"/>
    <col min="4" max="4" width="24.28515625" style="4" customWidth="1"/>
    <col min="5" max="5" width="26.28515625" style="4" bestFit="1" customWidth="1"/>
    <col min="6" max="6" width="24.5703125" style="4" customWidth="1"/>
    <col min="7" max="7" width="4.7109375" style="1" customWidth="1"/>
    <col min="8" max="8" width="8.85546875" customWidth="1"/>
    <col min="9" max="16384" width="9.140625" style="4"/>
  </cols>
  <sheetData>
    <row r="1" spans="1:16" s="1" customFormat="1" ht="24" customHeight="1" x14ac:dyDescent="0.3">
      <c r="A1" s="33" t="s">
        <v>88</v>
      </c>
      <c r="B1" s="10"/>
      <c r="C1" s="10"/>
      <c r="D1" s="10"/>
      <c r="E1" s="7"/>
      <c r="F1" s="7"/>
      <c r="G1" s="62" t="s">
        <v>76</v>
      </c>
      <c r="I1"/>
      <c r="J1"/>
      <c r="K1"/>
      <c r="L1"/>
      <c r="M1"/>
      <c r="N1"/>
      <c r="O1"/>
      <c r="P1" t="s">
        <v>76</v>
      </c>
    </row>
    <row r="2" spans="1:16" s="1" customFormat="1" ht="45" customHeight="1" x14ac:dyDescent="0.35">
      <c r="A2" s="33" t="s">
        <v>89</v>
      </c>
      <c r="B2" s="137" t="str">
        <f>'PLANIRANI TROŠKOVI'!B2:D3</f>
        <v>Ime preduzeća</v>
      </c>
      <c r="C2" s="137"/>
      <c r="D2" s="137"/>
      <c r="E2" s="15"/>
      <c r="F2" s="148" t="s">
        <v>70</v>
      </c>
      <c r="G2" s="148"/>
      <c r="I2"/>
      <c r="J2"/>
      <c r="K2"/>
      <c r="L2"/>
      <c r="M2"/>
      <c r="N2"/>
      <c r="O2"/>
      <c r="P2"/>
    </row>
    <row r="3" spans="1:16" s="1" customFormat="1" ht="30" customHeight="1" x14ac:dyDescent="0.3">
      <c r="A3" s="33" t="s">
        <v>90</v>
      </c>
      <c r="B3" s="137"/>
      <c r="C3" s="137"/>
      <c r="D3" s="137"/>
      <c r="E3" s="147" t="str">
        <f>naslov_radnog_lista</f>
        <v>Detaljne procene troškova</v>
      </c>
      <c r="F3" s="147"/>
      <c r="G3" s="147"/>
      <c r="I3"/>
      <c r="J3"/>
      <c r="K3"/>
      <c r="L3"/>
      <c r="M3"/>
      <c r="N3"/>
      <c r="O3"/>
      <c r="P3"/>
    </row>
    <row r="4" spans="1:16" customFormat="1" ht="18.75" customHeight="1" x14ac:dyDescent="0.2">
      <c r="A4" s="27"/>
    </row>
    <row r="5" spans="1:16" ht="24.95" customHeight="1" thickBot="1" x14ac:dyDescent="0.35">
      <c r="A5" s="34" t="s">
        <v>113</v>
      </c>
      <c r="B5" s="16" t="s">
        <v>92</v>
      </c>
      <c r="C5" s="17" t="s">
        <v>94</v>
      </c>
      <c r="D5" s="18" t="s">
        <v>95</v>
      </c>
      <c r="E5" s="16" t="s">
        <v>97</v>
      </c>
      <c r="F5" s="19" t="s">
        <v>98</v>
      </c>
      <c r="G5" s="11"/>
      <c r="I5"/>
      <c r="J5"/>
      <c r="K5"/>
      <c r="L5"/>
      <c r="M5"/>
      <c r="N5"/>
      <c r="O5"/>
      <c r="P5"/>
    </row>
    <row r="6" spans="1:16" ht="24.95" customHeight="1" thickBot="1" x14ac:dyDescent="0.35">
      <c r="A6" s="35"/>
      <c r="B6" s="79" t="s">
        <v>14</v>
      </c>
      <c r="C6" s="129">
        <f>PlaniraniTroškoviZaposlenih[[#Totals],[GODINA]]</f>
        <v>1355090</v>
      </c>
      <c r="D6" s="129">
        <f>StvarniTroškoviZaposlenih[[#Totals],[GODINA]]</f>
        <v>659130</v>
      </c>
      <c r="E6" s="129">
        <f>C6-D6</f>
        <v>695960</v>
      </c>
      <c r="F6" s="21">
        <f>E6/C6</f>
        <v>0.5135895032802249</v>
      </c>
      <c r="G6" s="3"/>
    </row>
    <row r="7" spans="1:16" ht="24.95" customHeight="1" thickBot="1" x14ac:dyDescent="0.35">
      <c r="A7" s="34"/>
      <c r="B7" s="79" t="str">
        <f>'PLANIRANI TROŠKOVI'!B10</f>
        <v>Kancelarijski troškovi</v>
      </c>
      <c r="C7" s="129">
        <f>PlaniraniKancelarijskiTroškovi[[#Totals],[GODINA]]</f>
        <v>138740</v>
      </c>
      <c r="D7" s="129">
        <f>StvarniKancelarijskiTroškovi[[#Totals],[GODINA]]</f>
        <v>69350</v>
      </c>
      <c r="E7" s="129">
        <f>C7-D7</f>
        <v>69390</v>
      </c>
      <c r="F7" s="21">
        <f>E7/C7</f>
        <v>0.50014415453366012</v>
      </c>
    </row>
    <row r="8" spans="1:16" ht="24.95" customHeight="1" thickBot="1" x14ac:dyDescent="0.35">
      <c r="A8" s="34"/>
      <c r="B8" s="20" t="str">
        <f>'PLANIRANI TROŠKOVI'!B21</f>
        <v>Troškovi marketinga</v>
      </c>
      <c r="C8" s="129">
        <f>PlaniraniTroškoviMarketinga[[#Totals],[GODINA]]</f>
        <v>67800</v>
      </c>
      <c r="D8" s="129">
        <f>StvarniTroškoviMarketinga[[#Totals],[GODINA]]</f>
        <v>33159</v>
      </c>
      <c r="E8" s="129">
        <f>C8-D8</f>
        <v>34641</v>
      </c>
      <c r="F8" s="21">
        <f>E8/C8</f>
        <v>0.51092920353982296</v>
      </c>
    </row>
    <row r="9" spans="1:16" ht="24.95" customHeight="1" thickBot="1" x14ac:dyDescent="0.35">
      <c r="A9" s="34"/>
      <c r="B9" s="20" t="str">
        <f>'PLANIRANI TROŠKOVI'!B30</f>
        <v>Obuka/putovanje</v>
      </c>
      <c r="C9" s="129">
        <f>PlaniraniTroškoviObukeIPutniTroškovi[[#Totals],[GODINA]]</f>
        <v>48000</v>
      </c>
      <c r="D9" s="129">
        <f>StvarniTroškoviObukeIPutniTroškovi[[#Totals],[GODINA]]</f>
        <v>21300</v>
      </c>
      <c r="E9" s="129">
        <f>C9-D9</f>
        <v>26700</v>
      </c>
      <c r="F9" s="21">
        <f>E9/C9</f>
        <v>0.55625000000000002</v>
      </c>
    </row>
    <row r="10" spans="1:16" ht="24.95" customHeight="1" x14ac:dyDescent="0.3">
      <c r="A10" s="34"/>
      <c r="B10" s="37" t="str">
        <f>'PLANIRANI TROŠKOVI'!B35</f>
        <v>UKUPNE VREDNOSTI</v>
      </c>
      <c r="C10" s="130">
        <f>'PLANIRANI TROŠKOVI'!O36</f>
        <v>1609630</v>
      </c>
      <c r="D10" s="130">
        <f>'STVARNI TROŠKOVI'!O36</f>
        <v>782939</v>
      </c>
      <c r="E10" s="130">
        <f>C10-D10</f>
        <v>826691</v>
      </c>
      <c r="F10" s="38">
        <f>E10/C10</f>
        <v>0.51359070096854553</v>
      </c>
    </row>
    <row r="11" spans="1:16" x14ac:dyDescent="0.3">
      <c r="A11" s="34"/>
      <c r="B11" s="81"/>
      <c r="C11" s="83"/>
      <c r="D11" s="83"/>
      <c r="E11" s="83"/>
      <c r="F11" s="6"/>
    </row>
    <row r="12" spans="1:16" ht="300" customHeight="1" x14ac:dyDescent="0.3">
      <c r="A12" s="34" t="s">
        <v>91</v>
      </c>
      <c r="B12" s="143" t="s">
        <v>93</v>
      </c>
      <c r="C12" s="142"/>
      <c r="D12" s="142" t="s">
        <v>96</v>
      </c>
      <c r="E12" s="142"/>
      <c r="F12" s="142"/>
      <c r="G12"/>
    </row>
    <row r="13" spans="1:16" ht="18.75" customHeight="1" x14ac:dyDescent="0.3">
      <c r="A13" s="34"/>
      <c r="B13" s="82"/>
    </row>
    <row r="14" spans="1:16" ht="409.5" x14ac:dyDescent="0.3">
      <c r="A14" s="34" t="s">
        <v>114</v>
      </c>
      <c r="B14" s="144"/>
      <c r="C14" s="145"/>
      <c r="D14" s="145"/>
      <c r="E14" s="145"/>
      <c r="F14" s="145"/>
    </row>
    <row r="15" spans="1:16" x14ac:dyDescent="0.3">
      <c r="A15" s="34"/>
      <c r="B15" s="144"/>
      <c r="C15" s="145"/>
      <c r="D15" s="145"/>
      <c r="E15" s="145"/>
      <c r="F15" s="145"/>
    </row>
    <row r="16" spans="1:16" x14ac:dyDescent="0.3">
      <c r="A16" s="34"/>
      <c r="B16" s="144"/>
      <c r="C16" s="145"/>
      <c r="D16" s="145"/>
      <c r="E16" s="145"/>
      <c r="F16" s="145"/>
    </row>
    <row r="17" spans="1:6" x14ac:dyDescent="0.3">
      <c r="A17" s="34"/>
      <c r="B17" s="144"/>
      <c r="C17" s="145"/>
      <c r="D17" s="145"/>
      <c r="E17" s="145"/>
      <c r="F17" s="145"/>
    </row>
    <row r="18" spans="1:6" x14ac:dyDescent="0.3">
      <c r="A18" s="34"/>
      <c r="B18" s="144"/>
      <c r="C18" s="145"/>
      <c r="D18" s="145"/>
      <c r="E18" s="145"/>
      <c r="F18" s="145"/>
    </row>
    <row r="19" spans="1:6" x14ac:dyDescent="0.3">
      <c r="A19" s="34"/>
      <c r="B19" s="145"/>
      <c r="C19" s="145"/>
      <c r="D19" s="145"/>
      <c r="E19" s="145"/>
      <c r="F19" s="145"/>
    </row>
    <row r="20" spans="1:6" x14ac:dyDescent="0.3">
      <c r="A20" s="34"/>
      <c r="B20" s="145"/>
      <c r="C20" s="145"/>
      <c r="D20" s="145"/>
      <c r="E20" s="145"/>
      <c r="F20" s="145"/>
    </row>
    <row r="21" spans="1:6" x14ac:dyDescent="0.3">
      <c r="A21" s="34"/>
      <c r="B21" s="145"/>
      <c r="C21" s="145"/>
      <c r="D21" s="145"/>
      <c r="E21" s="145"/>
      <c r="F21" s="145"/>
    </row>
    <row r="22" spans="1:6" x14ac:dyDescent="0.3">
      <c r="A22" s="34"/>
      <c r="B22" s="144"/>
      <c r="C22" s="145"/>
      <c r="D22" s="145"/>
      <c r="E22" s="145"/>
      <c r="F22" s="145"/>
    </row>
    <row r="23" spans="1:6" x14ac:dyDescent="0.3">
      <c r="A23" s="34"/>
      <c r="B23" s="144"/>
      <c r="C23" s="145"/>
      <c r="D23" s="145"/>
      <c r="E23" s="145"/>
      <c r="F23" s="145"/>
    </row>
    <row r="24" spans="1:6" x14ac:dyDescent="0.3">
      <c r="A24" s="34"/>
      <c r="B24" s="144"/>
      <c r="C24" s="145"/>
      <c r="D24" s="145"/>
      <c r="E24" s="145"/>
      <c r="F24" s="145"/>
    </row>
    <row r="25" spans="1:6" x14ac:dyDescent="0.3">
      <c r="A25" s="34"/>
      <c r="B25" s="144"/>
      <c r="C25" s="145"/>
      <c r="D25" s="145"/>
      <c r="E25" s="145"/>
      <c r="F25" s="145"/>
    </row>
    <row r="26" spans="1:6" x14ac:dyDescent="0.3">
      <c r="A26" s="34"/>
      <c r="B26" s="144"/>
      <c r="C26" s="145"/>
      <c r="D26" s="145"/>
      <c r="E26" s="145"/>
      <c r="F26" s="145"/>
    </row>
    <row r="27" spans="1:6" x14ac:dyDescent="0.3">
      <c r="A27" s="34"/>
      <c r="B27" s="144"/>
      <c r="C27" s="145"/>
      <c r="D27" s="145"/>
      <c r="E27" s="145"/>
      <c r="F27" s="145"/>
    </row>
    <row r="28" spans="1:6" x14ac:dyDescent="0.3">
      <c r="A28" s="34"/>
      <c r="B28" s="145"/>
      <c r="C28" s="145"/>
      <c r="D28" s="145"/>
      <c r="E28" s="145"/>
      <c r="F28" s="145"/>
    </row>
    <row r="29" spans="1:6" x14ac:dyDescent="0.3">
      <c r="A29" s="34"/>
      <c r="B29" s="145"/>
      <c r="C29" s="145"/>
      <c r="D29" s="145"/>
      <c r="E29" s="145"/>
      <c r="F29" s="145"/>
    </row>
    <row r="30" spans="1:6" x14ac:dyDescent="0.3">
      <c r="A30" s="34"/>
      <c r="B30" s="145"/>
      <c r="C30" s="145"/>
      <c r="D30" s="145"/>
      <c r="E30" s="145"/>
      <c r="F30" s="145"/>
    </row>
    <row r="31" spans="1:6" x14ac:dyDescent="0.3">
      <c r="A31" s="34"/>
      <c r="B31" s="144"/>
      <c r="C31" s="145"/>
      <c r="D31" s="145"/>
      <c r="E31" s="145"/>
      <c r="F31" s="145"/>
    </row>
    <row r="32" spans="1:6" x14ac:dyDescent="0.3">
      <c r="A32" s="34"/>
      <c r="B32" s="144"/>
      <c r="C32" s="145"/>
      <c r="D32" s="145"/>
      <c r="E32" s="145"/>
      <c r="F32" s="145"/>
    </row>
    <row r="33" spans="1:6" x14ac:dyDescent="0.3">
      <c r="A33" s="34"/>
      <c r="B33" s="145"/>
      <c r="C33" s="145"/>
      <c r="D33" s="145"/>
      <c r="E33" s="145"/>
      <c r="F33" s="145"/>
    </row>
    <row r="34" spans="1:6" x14ac:dyDescent="0.3">
      <c r="A34" s="34"/>
      <c r="B34" s="145"/>
      <c r="C34" s="145"/>
      <c r="D34" s="145"/>
      <c r="E34" s="145"/>
      <c r="F34" s="145"/>
    </row>
    <row r="35" spans="1:6" x14ac:dyDescent="0.3">
      <c r="A35" s="34"/>
      <c r="B35" s="145"/>
      <c r="C35" s="145"/>
      <c r="D35" s="145"/>
      <c r="E35" s="145"/>
      <c r="F35" s="145"/>
    </row>
    <row r="36" spans="1:6" x14ac:dyDescent="0.3">
      <c r="A36" s="34"/>
      <c r="B36" s="146"/>
      <c r="C36" s="145"/>
      <c r="D36" s="145"/>
      <c r="E36" s="145"/>
      <c r="F36" s="145"/>
    </row>
    <row r="37" spans="1:6" x14ac:dyDescent="0.3">
      <c r="A37" s="34"/>
      <c r="B37" s="146"/>
      <c r="C37" s="145"/>
      <c r="D37" s="145"/>
      <c r="E37" s="145"/>
      <c r="F37" s="145"/>
    </row>
    <row r="38" spans="1:6" x14ac:dyDescent="0.3">
      <c r="A38" s="34"/>
    </row>
    <row r="39" spans="1:6" x14ac:dyDescent="0.3">
      <c r="A39" s="34"/>
    </row>
  </sheetData>
  <mergeCells count="6">
    <mergeCell ref="D12:F12"/>
    <mergeCell ref="B12:C12"/>
    <mergeCell ref="B14:F37"/>
    <mergeCell ref="B2:D3"/>
    <mergeCell ref="E3:G3"/>
    <mergeCell ref="F2:G2"/>
  </mergeCells>
  <printOptions horizontalCentered="1"/>
  <pageMargins left="0.4" right="0.4" top="0.4" bottom="0.4" header="0.3" footer="0.3"/>
  <pageSetup paperSize="9" orientation="portrait" r:id="rId1"/>
  <ignoredErrors>
    <ignoredError sqref="B2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opsezi</vt:lpstr>
      </vt:variant>
      <vt:variant>
        <vt:i4>1</vt:i4>
      </vt:variant>
    </vt:vector>
  </HeadingPairs>
  <TitlesOfParts>
    <vt:vector size="6" baseType="lpstr">
      <vt:lpstr>POČETAK</vt:lpstr>
      <vt:lpstr>PLANIRANI TROŠKOVI</vt:lpstr>
      <vt:lpstr>STVARNI TROŠKOVI</vt:lpstr>
      <vt:lpstr>ODSTUPANJA OD TROŠKOVA</vt:lpstr>
      <vt:lpstr>ANALIZA TROŠKOVA</vt:lpstr>
      <vt:lpstr>naslov_radnog_lista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2018-05-30T05:56:59Z</dcterms:created>
  <dcterms:modified xsi:type="dcterms:W3CDTF">2018-09-20T10:09:38Z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