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303"/>
  <workbookPr codeName="ThisWorkbook" refreshAllConnections="1"/>
  <mc:AlternateContent xmlns:mc="http://schemas.openxmlformats.org/markup-compatibility/2006">
    <mc:Choice Requires="x15">
      <x15ac:absPath xmlns:x15ac="http://schemas.microsoft.com/office/spreadsheetml/2010/11/ac" url="C:\Users\SRL\Desktop\12\"/>
    </mc:Choice>
  </mc:AlternateContent>
  <bookViews>
    <workbookView xWindow="0" yWindow="0" windowWidth="19440" windowHeight="14235"/>
  </bookViews>
  <sheets>
    <sheet name="Unos podataka" sheetId="1" r:id="rId1"/>
    <sheet name="Izveštaj o prodaji" sheetId="2" r:id="rId2"/>
    <sheet name="Prognoza prodaje" sheetId="5" r:id="rId3"/>
  </sheets>
  <definedNames>
    <definedName name="Datum_prognoze">'Prognoza prodaje'!$D$3</definedName>
    <definedName name="fDate">'Prognoza prodaje'!$D$3</definedName>
    <definedName name="fDay">'Prognoza prodaje'!$H$2</definedName>
    <definedName name="fMonth">'Prognoza prodaje'!$G$2</definedName>
    <definedName name="fYear">'Prognoza prodaje'!$I$2</definedName>
    <definedName name="_xlnm.Print_Titles" localSheetId="1">'Izveštaj o prodaji'!$B:$E,'Izveštaj o prodaji'!$5:$5</definedName>
    <definedName name="Odštampaj_naslove" localSheetId="1">'Izveštaj o prodaji'!$B:$E,'Izveštaj o prodaji'!$5:$5</definedName>
    <definedName name="Odštampaj_oblast" localSheetId="2">'Prognoza prodaje'!$B$2:$J$43</definedName>
  </definedNames>
  <calcPr calcId="152511"/>
  <pivotCaches>
    <pivotCache cacheId="6" r:id="rId4"/>
  </pivotCaches>
</workbook>
</file>

<file path=xl/calcChain.xml><?xml version="1.0" encoding="utf-8"?>
<calcChain xmlns="http://schemas.openxmlformats.org/spreadsheetml/2006/main">
  <c r="B3" i="5" l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6" i="1"/>
  <c r="B24" i="1" l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J1" i="1"/>
  <c r="N8" i="1" l="1"/>
  <c r="J8" i="1"/>
  <c r="H8" i="1"/>
  <c r="I8" i="1" s="1"/>
  <c r="L8" i="1"/>
  <c r="K8" i="1"/>
  <c r="N12" i="1"/>
  <c r="L12" i="1"/>
  <c r="H12" i="1"/>
  <c r="I12" i="1" s="1"/>
  <c r="K12" i="1"/>
  <c r="J12" i="1"/>
  <c r="N16" i="1"/>
  <c r="J16" i="1"/>
  <c r="H16" i="1"/>
  <c r="I16" i="1" s="1"/>
  <c r="L16" i="1"/>
  <c r="K16" i="1"/>
  <c r="N20" i="1"/>
  <c r="L20" i="1"/>
  <c r="H20" i="1"/>
  <c r="I20" i="1" s="1"/>
  <c r="K20" i="1"/>
  <c r="J20" i="1"/>
  <c r="N24" i="1"/>
  <c r="J24" i="1"/>
  <c r="H24" i="1"/>
  <c r="I24" i="1" s="1"/>
  <c r="L24" i="1"/>
  <c r="K24" i="1"/>
  <c r="L13" i="1"/>
  <c r="H13" i="1"/>
  <c r="I13" i="1" s="1"/>
  <c r="M13" i="1" s="1"/>
  <c r="K13" i="1"/>
  <c r="N13" i="1"/>
  <c r="J13" i="1"/>
  <c r="L21" i="1"/>
  <c r="H21" i="1"/>
  <c r="I21" i="1" s="1"/>
  <c r="J21" i="1"/>
  <c r="N21" i="1"/>
  <c r="K21" i="1"/>
  <c r="L6" i="1"/>
  <c r="J6" i="1"/>
  <c r="K6" i="1"/>
  <c r="N6" i="1"/>
  <c r="H6" i="1"/>
  <c r="I6" i="1" s="1"/>
  <c r="M8" i="1" s="1"/>
  <c r="K10" i="1"/>
  <c r="H10" i="1"/>
  <c r="I10" i="1" s="1"/>
  <c r="J10" i="1"/>
  <c r="L10" i="1"/>
  <c r="N10" i="1"/>
  <c r="K14" i="1"/>
  <c r="L14" i="1"/>
  <c r="J14" i="1"/>
  <c r="N14" i="1"/>
  <c r="H14" i="1"/>
  <c r="I14" i="1" s="1"/>
  <c r="K18" i="1"/>
  <c r="H18" i="1"/>
  <c r="I18" i="1" s="1"/>
  <c r="L18" i="1"/>
  <c r="J18" i="1"/>
  <c r="N18" i="1"/>
  <c r="K22" i="1"/>
  <c r="L22" i="1"/>
  <c r="J22" i="1"/>
  <c r="N22" i="1"/>
  <c r="H22" i="1"/>
  <c r="I22" i="1" s="1"/>
  <c r="L9" i="1"/>
  <c r="J9" i="1"/>
  <c r="K9" i="1"/>
  <c r="O21" i="1" s="1"/>
  <c r="N9" i="1"/>
  <c r="H9" i="1"/>
  <c r="I9" i="1" s="1"/>
  <c r="L17" i="1"/>
  <c r="J17" i="1"/>
  <c r="K17" i="1"/>
  <c r="H17" i="1"/>
  <c r="I17" i="1" s="1"/>
  <c r="N17" i="1"/>
  <c r="H7" i="1"/>
  <c r="I7" i="1" s="1"/>
  <c r="M21" i="1" s="1"/>
  <c r="K7" i="1"/>
  <c r="N7" i="1"/>
  <c r="L7" i="1"/>
  <c r="J7" i="1"/>
  <c r="J11" i="1"/>
  <c r="K11" i="1"/>
  <c r="O18" i="1" s="1"/>
  <c r="N11" i="1"/>
  <c r="L11" i="1"/>
  <c r="H11" i="1"/>
  <c r="I11" i="1" s="1"/>
  <c r="H15" i="1"/>
  <c r="I15" i="1" s="1"/>
  <c r="K15" i="1"/>
  <c r="N15" i="1"/>
  <c r="M15" i="1"/>
  <c r="L15" i="1"/>
  <c r="J15" i="1"/>
  <c r="J19" i="1"/>
  <c r="K19" i="1"/>
  <c r="N19" i="1"/>
  <c r="L19" i="1"/>
  <c r="H19" i="1"/>
  <c r="I19" i="1" s="1"/>
  <c r="H23" i="1"/>
  <c r="I23" i="1" s="1"/>
  <c r="K23" i="1"/>
  <c r="N23" i="1"/>
  <c r="M23" i="1"/>
  <c r="L23" i="1"/>
  <c r="J23" i="1"/>
  <c r="O17" i="1"/>
  <c r="D3" i="5"/>
  <c r="P11" i="1" l="1"/>
  <c r="Q17" i="1"/>
  <c r="Q22" i="1"/>
  <c r="Q14" i="1"/>
  <c r="O12" i="1"/>
  <c r="O16" i="1"/>
  <c r="O24" i="1"/>
  <c r="O20" i="1"/>
  <c r="O6" i="1"/>
  <c r="M11" i="1"/>
  <c r="M17" i="1"/>
  <c r="M22" i="1"/>
  <c r="M14" i="1"/>
  <c r="P10" i="1"/>
  <c r="Q7" i="1"/>
  <c r="M6" i="1"/>
  <c r="M24" i="1"/>
  <c r="M16" i="1"/>
  <c r="P20" i="1" s="1"/>
  <c r="Q8" i="1"/>
  <c r="O14" i="1"/>
  <c r="P13" i="1"/>
  <c r="Q20" i="1"/>
  <c r="O15" i="1"/>
  <c r="Q19" i="1"/>
  <c r="Q11" i="1"/>
  <c r="M9" i="1"/>
  <c r="O10" i="1"/>
  <c r="Q18" i="1"/>
  <c r="M18" i="1"/>
  <c r="M10" i="1"/>
  <c r="Q6" i="1"/>
  <c r="O13" i="1"/>
  <c r="O23" i="1"/>
  <c r="O11" i="1"/>
  <c r="M7" i="1"/>
  <c r="P8" i="1" s="1"/>
  <c r="Q21" i="1"/>
  <c r="Q13" i="1"/>
  <c r="Q12" i="1"/>
  <c r="O19" i="1"/>
  <c r="O9" i="1"/>
  <c r="Q23" i="1"/>
  <c r="M19" i="1"/>
  <c r="P22" i="1" s="1"/>
  <c r="Q15" i="1"/>
  <c r="Q9" i="1"/>
  <c r="Q10" i="1"/>
  <c r="P6" i="1"/>
  <c r="O8" i="1"/>
  <c r="Q24" i="1"/>
  <c r="M20" i="1"/>
  <c r="Q16" i="1"/>
  <c r="M12" i="1"/>
  <c r="P14" i="1" s="1"/>
  <c r="O22" i="1"/>
  <c r="O7" i="1"/>
  <c r="D14" i="5"/>
  <c r="C10" i="5"/>
  <c r="G10" i="5"/>
  <c r="C8" i="5"/>
  <c r="H8" i="5"/>
  <c r="G7" i="5"/>
  <c r="H7" i="5"/>
  <c r="C7" i="5"/>
  <c r="G6" i="5"/>
  <c r="D8" i="5"/>
  <c r="C6" i="5"/>
  <c r="G8" i="5"/>
  <c r="D7" i="5"/>
  <c r="I14" i="5" l="1"/>
  <c r="P21" i="1"/>
  <c r="P24" i="1"/>
  <c r="P17" i="1"/>
  <c r="P12" i="1"/>
  <c r="P7" i="1"/>
  <c r="P18" i="1"/>
  <c r="P15" i="1"/>
  <c r="P23" i="1"/>
  <c r="P9" i="1"/>
  <c r="P16" i="1"/>
  <c r="P19" i="1"/>
  <c r="J7" i="5"/>
  <c r="G9" i="5"/>
  <c r="H9" i="5"/>
  <c r="J8" i="5"/>
  <c r="G11" i="5"/>
  <c r="I8" i="5"/>
  <c r="I7" i="5"/>
  <c r="F14" i="5" l="1"/>
  <c r="J9" i="5"/>
  <c r="F7" i="5"/>
  <c r="C11" i="5"/>
  <c r="F8" i="5"/>
  <c r="D9" i="5"/>
  <c r="C9" i="5"/>
  <c r="E8" i="5"/>
  <c r="E7" i="5"/>
  <c r="F9" i="5" l="1"/>
</calcChain>
</file>

<file path=xl/sharedStrings.xml><?xml version="1.0" encoding="utf-8"?>
<sst xmlns="http://schemas.openxmlformats.org/spreadsheetml/2006/main" count="94" uniqueCount="57">
  <si>
    <t>A. Korporacija „Datum“</t>
  </si>
  <si>
    <t>Apoteka „Kolo“</t>
  </si>
  <si>
    <t>Servis „Express“</t>
  </si>
  <si>
    <t>Proseware, Inc.</t>
  </si>
  <si>
    <t>Škola likovnih umetnosti</t>
  </si>
  <si>
    <t>Top Consulting</t>
  </si>
  <si>
    <t>%</t>
  </si>
  <si>
    <t>Količina</t>
  </si>
  <si>
    <t>Prihodi</t>
  </si>
  <si>
    <t>Marža</t>
  </si>
  <si>
    <t>Broj porudžbina</t>
  </si>
  <si>
    <t>Prosečna vrednost porudžbine</t>
  </si>
  <si>
    <t>Prodaja</t>
  </si>
  <si>
    <t>DO OVOG DATUMA UKUPNO %</t>
  </si>
  <si>
    <r>
      <rPr>
        <sz val="22"/>
        <color theme="3"/>
        <rFont val="Arial Black"/>
        <family val="2"/>
        <scheme val="major"/>
      </rPr>
      <t xml:space="preserve">MESEČNO </t>
    </r>
    <r>
      <rPr>
        <sz val="22"/>
        <color theme="4"/>
        <rFont val="Arial"/>
        <family val="2"/>
        <scheme val="minor"/>
      </rPr>
      <t>UNOS PODATAKA</t>
    </r>
  </si>
  <si>
    <t>MESEC:</t>
  </si>
  <si>
    <t>KVARTAL</t>
  </si>
  <si>
    <t>GODIŠNJE</t>
  </si>
  <si>
    <t>GODINA</t>
  </si>
  <si>
    <t>MESEC</t>
  </si>
  <si>
    <t xml:space="preserve">GODINA </t>
  </si>
  <si>
    <t>DATUM</t>
  </si>
  <si>
    <t>PREDUZEĆE</t>
  </si>
  <si>
    <t>IZNOS</t>
  </si>
  <si>
    <t>PLANIRANO</t>
  </si>
  <si>
    <t>TROŠKOVI</t>
  </si>
  <si>
    <t>PRIHOD</t>
  </si>
  <si>
    <t>PROGNOZA</t>
  </si>
  <si>
    <t>UKUPNE VREDNOSTI</t>
  </si>
  <si>
    <r>
      <rPr>
        <sz val="22"/>
        <color theme="3"/>
        <rFont val="Arial Black"/>
        <family val="2"/>
        <scheme val="major"/>
      </rPr>
      <t xml:space="preserve">MESEČNO </t>
    </r>
    <r>
      <rPr>
        <sz val="22"/>
        <color theme="4"/>
        <rFont val="Arial"/>
        <family val="2"/>
        <scheme val="minor"/>
      </rPr>
      <t>PROGNOZA PRODAJE</t>
    </r>
  </si>
  <si>
    <t>OVOG MESECA</t>
  </si>
  <si>
    <t>STVARNO</t>
  </si>
  <si>
    <t>PLAN</t>
  </si>
  <si>
    <t>ODSTUPANJE</t>
  </si>
  <si>
    <t>STVARNO DO OVOG DATUMA</t>
  </si>
  <si>
    <t>PLAN DO OVOG DATUMA</t>
  </si>
  <si>
    <t>ODSTUPANJA DO OVOG DATUMA</t>
  </si>
  <si>
    <t>SLEDEĆI MESEC</t>
  </si>
  <si>
    <t>SLEDEĆI KVARTAL</t>
  </si>
  <si>
    <t>SLEDEĆA GODINA</t>
  </si>
  <si>
    <t>ISTORIJA PRODAJE</t>
  </si>
  <si>
    <t>GODIŠNJA PROGNOZA</t>
  </si>
  <si>
    <t>TOK PRIHODA</t>
  </si>
  <si>
    <t>MESEČNA PROGNOZA</t>
  </si>
  <si>
    <t>KVARTALNA PROGNOZA</t>
  </si>
  <si>
    <r>
      <rPr>
        <sz val="22"/>
        <color theme="3"/>
        <rFont val="Arial Black"/>
        <family val="2"/>
        <scheme val="major"/>
      </rPr>
      <t xml:space="preserve">MESEČNO </t>
    </r>
    <r>
      <rPr>
        <sz val="22"/>
        <color theme="4"/>
        <rFont val="Arial"/>
        <family val="2"/>
        <scheme val="minor"/>
      </rPr>
      <t>IZVEŠTAJ O PRODAJI</t>
    </r>
  </si>
  <si>
    <t xml:space="preserve"> </t>
  </si>
  <si>
    <t>MESEC:2</t>
  </si>
  <si>
    <t>KVARTAL3</t>
  </si>
  <si>
    <t>KVARTAL4</t>
  </si>
  <si>
    <t>GODINA 5</t>
  </si>
  <si>
    <t>Konačni zbir</t>
  </si>
  <si>
    <t>2013 Zbir</t>
  </si>
  <si>
    <t>Kvartal 2 Zbir</t>
  </si>
  <si>
    <t>Kvartal 3 Zbir</t>
  </si>
  <si>
    <t>Kvartal 4 Zbir</t>
  </si>
  <si>
    <t>UKUPAN PRIHOD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</si>
</sst>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D_i_n_._-;\-* #,##0.00\ _D_i_n_._-;_-* &quot;-&quot;??\ _D_i_n_._-;_-@_-"/>
    <numFmt numFmtId="165" formatCode="&quot;$&quot;#,##0.00"/>
    <numFmt numFmtId="166" formatCode="mmmm"/>
    <numFmt numFmtId="167" formatCode="#,##0.00\ &quot;Din.&quot;"/>
    <numFmt numFmtId="168" formatCode="&quot;Kvartal &quot;0"/>
  </numFmts>
  <fonts count="15" x14ac:knownFonts="1">
    <font>
      <sz val="8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22"/>
      <name val="Arial Black"/>
      <family val="1"/>
      <scheme val="major"/>
    </font>
    <font>
      <sz val="22"/>
      <color theme="4"/>
      <name val="Arial"/>
      <family val="2"/>
      <scheme val="minor"/>
    </font>
    <font>
      <sz val="22"/>
      <color theme="3"/>
      <name val="Arial Black"/>
      <family val="2"/>
      <scheme val="major"/>
    </font>
    <font>
      <sz val="10"/>
      <color theme="5"/>
      <name val="Arial"/>
      <family val="2"/>
      <scheme val="minor"/>
    </font>
    <font>
      <b/>
      <sz val="10"/>
      <color theme="5"/>
      <name val="Arial"/>
      <family val="2"/>
      <scheme val="minor"/>
    </font>
    <font>
      <sz val="8"/>
      <color theme="3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8"/>
      <color theme="3"/>
      <name val="Arial"/>
      <family val="2"/>
      <scheme val="minor"/>
    </font>
    <font>
      <sz val="6"/>
      <color theme="3"/>
      <name val="Arial"/>
      <family val="2"/>
      <scheme val="minor"/>
    </font>
    <font>
      <sz val="10"/>
      <color theme="0"/>
      <name val="Arial"/>
      <family val="2"/>
      <scheme val="minor"/>
    </font>
    <font>
      <sz val="12"/>
      <color theme="1" tint="0.249977111117893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59996337778862885"/>
      </top>
      <bottom style="thin">
        <color theme="3" tint="0.79998168889431442"/>
      </bottom>
      <diagonal/>
    </border>
    <border>
      <left/>
      <right/>
      <top style="thin">
        <color theme="3" tint="0.59996337778862885"/>
      </top>
      <bottom/>
      <diagonal/>
    </border>
    <border>
      <left/>
      <right/>
      <top/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</borders>
  <cellStyleXfs count="5">
    <xf numFmtId="0" fontId="0" fillId="0" borderId="0">
      <alignment vertical="center"/>
    </xf>
    <xf numFmtId="164" fontId="1" fillId="0" borderId="0" applyFont="0" applyFill="0" applyBorder="0" applyAlignment="0" applyProtection="0"/>
    <xf numFmtId="0" fontId="6" fillId="0" borderId="0" applyNumberFormat="0" applyFill="0" applyProtection="0">
      <alignment vertical="center"/>
    </xf>
    <xf numFmtId="0" fontId="5" fillId="0" borderId="0" applyNumberFormat="0" applyFill="0" applyProtection="0">
      <alignment vertical="center"/>
    </xf>
    <xf numFmtId="0" fontId="7" fillId="0" borderId="0" applyNumberFormat="0" applyFill="0" applyBorder="0" applyAlignment="0" applyProtection="0"/>
  </cellStyleXfs>
  <cellXfs count="60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166" fontId="3" fillId="5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Continuous"/>
    </xf>
    <xf numFmtId="0" fontId="3" fillId="5" borderId="0" xfId="0" applyFont="1" applyFill="1" applyBorder="1" applyAlignment="1">
      <alignment horizontal="left" vertical="center"/>
    </xf>
    <xf numFmtId="0" fontId="3" fillId="2" borderId="0" xfId="1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9" fillId="0" borderId="2" xfId="1" applyNumberFormat="1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left" vertical="center"/>
    </xf>
    <xf numFmtId="10" fontId="9" fillId="0" borderId="2" xfId="0" applyNumberFormat="1" applyFont="1" applyFill="1" applyBorder="1" applyAlignment="1">
      <alignment horizontal="left" vertical="center"/>
    </xf>
    <xf numFmtId="10" fontId="9" fillId="0" borderId="2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left"/>
    </xf>
    <xf numFmtId="165" fontId="9" fillId="0" borderId="3" xfId="0" applyNumberFormat="1" applyFont="1" applyBorder="1" applyAlignment="1">
      <alignment horizontal="left"/>
    </xf>
    <xf numFmtId="0" fontId="14" fillId="0" borderId="0" xfId="0" applyFont="1" applyAlignment="1">
      <alignment horizontal="left"/>
    </xf>
    <xf numFmtId="165" fontId="14" fillId="0" borderId="0" xfId="0" applyNumberFormat="1" applyFont="1" applyFill="1" applyBorder="1" applyAlignment="1">
      <alignment horizontal="left" vertical="center"/>
    </xf>
    <xf numFmtId="14" fontId="13" fillId="0" borderId="0" xfId="0" applyNumberFormat="1" applyFont="1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>
      <alignment vertical="center"/>
    </xf>
    <xf numFmtId="165" fontId="7" fillId="0" borderId="4" xfId="4" applyNumberFormat="1" applyFill="1" applyBorder="1" applyAlignment="1">
      <alignment horizontal="left" vertical="center"/>
    </xf>
    <xf numFmtId="165" fontId="7" fillId="0" borderId="4" xfId="4" applyNumberFormat="1" applyFill="1" applyBorder="1" applyAlignment="1">
      <alignment horizontal="right" vertical="center"/>
    </xf>
    <xf numFmtId="0" fontId="7" fillId="0" borderId="0" xfId="4" applyFill="1" applyBorder="1" applyAlignment="1">
      <alignment vertical="center"/>
    </xf>
    <xf numFmtId="0" fontId="11" fillId="0" borderId="3" xfId="0" applyFont="1" applyFill="1" applyBorder="1" applyAlignment="1">
      <alignment horizontal="left"/>
    </xf>
    <xf numFmtId="0" fontId="7" fillId="0" borderId="4" xfId="4" applyBorder="1" applyAlignment="1">
      <alignment horizontal="left" vertical="center"/>
    </xf>
    <xf numFmtId="0" fontId="9" fillId="5" borderId="2" xfId="1" applyNumberFormat="1" applyFont="1" applyFill="1" applyBorder="1" applyAlignment="1">
      <alignment horizontal="left" vertical="center" indent="1"/>
    </xf>
    <xf numFmtId="0" fontId="9" fillId="5" borderId="1" xfId="0" applyFont="1" applyFill="1" applyBorder="1" applyAlignment="1">
      <alignment horizontal="left" vertical="center" indent="1"/>
    </xf>
    <xf numFmtId="0" fontId="9" fillId="0" borderId="2" xfId="1" applyNumberFormat="1" applyFont="1" applyFill="1" applyBorder="1" applyAlignment="1">
      <alignment horizontal="left" vertical="center" indent="1"/>
    </xf>
    <xf numFmtId="165" fontId="7" fillId="0" borderId="4" xfId="4" applyNumberFormat="1" applyFill="1" applyBorder="1" applyAlignment="1">
      <alignment horizontal="left" vertical="center" indent="1"/>
    </xf>
    <xf numFmtId="0" fontId="8" fillId="0" borderId="4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vertical="center"/>
    </xf>
    <xf numFmtId="14" fontId="10" fillId="0" borderId="0" xfId="0" applyNumberFormat="1" applyFont="1" applyAlignment="1">
      <alignment horizontal="left" vertical="center"/>
    </xf>
    <xf numFmtId="0" fontId="0" fillId="0" borderId="0" xfId="0" pivotButton="1">
      <alignment vertical="center"/>
    </xf>
    <xf numFmtId="167" fontId="3" fillId="4" borderId="0" xfId="0" applyNumberFormat="1" applyFont="1" applyFill="1" applyBorder="1" applyAlignment="1">
      <alignment horizontal="left" vertical="center"/>
    </xf>
    <xf numFmtId="167" fontId="3" fillId="3" borderId="0" xfId="0" applyNumberFormat="1" applyFont="1" applyFill="1" applyBorder="1" applyAlignment="1">
      <alignment horizontal="left" vertical="center"/>
    </xf>
    <xf numFmtId="167" fontId="10" fillId="0" borderId="0" xfId="0" applyNumberFormat="1" applyFont="1" applyFill="1" applyBorder="1" applyAlignment="1">
      <alignment horizontal="left" vertical="center"/>
    </xf>
    <xf numFmtId="167" fontId="3" fillId="5" borderId="0" xfId="0" applyNumberFormat="1" applyFont="1" applyFill="1" applyBorder="1" applyAlignment="1">
      <alignment horizontal="left" vertical="center"/>
    </xf>
    <xf numFmtId="167" fontId="0" fillId="0" borderId="0" xfId="0" applyNumberFormat="1">
      <alignment vertical="center"/>
    </xf>
    <xf numFmtId="167" fontId="9" fillId="5" borderId="1" xfId="0" applyNumberFormat="1" applyFont="1" applyFill="1" applyBorder="1" applyAlignment="1">
      <alignment horizontal="left" vertical="center" indent="1"/>
    </xf>
    <xf numFmtId="11" fontId="9" fillId="5" borderId="1" xfId="0" applyNumberFormat="1" applyFont="1" applyFill="1" applyBorder="1" applyAlignment="1">
      <alignment horizontal="left" vertical="center" indent="1"/>
    </xf>
    <xf numFmtId="11" fontId="9" fillId="5" borderId="1" xfId="0" applyNumberFormat="1" applyFont="1" applyFill="1" applyBorder="1" applyAlignment="1">
      <alignment horizontal="right" vertical="center"/>
    </xf>
    <xf numFmtId="167" fontId="11" fillId="0" borderId="3" xfId="0" applyNumberFormat="1" applyFont="1" applyBorder="1" applyAlignment="1">
      <alignment horizontal="left"/>
    </xf>
    <xf numFmtId="166" fontId="0" fillId="0" borderId="0" xfId="0" applyNumberFormat="1">
      <alignment vertical="center"/>
    </xf>
    <xf numFmtId="168" fontId="0" fillId="0" borderId="0" xfId="0" applyNumberFormat="1">
      <alignment vertical="center"/>
    </xf>
    <xf numFmtId="0" fontId="0" fillId="0" borderId="0" xfId="0" applyNumberFormat="1">
      <alignment vertical="center"/>
    </xf>
    <xf numFmtId="168" fontId="3" fillId="5" borderId="0" xfId="0" applyNumberFormat="1" applyFont="1" applyFill="1" applyBorder="1" applyAlignment="1">
      <alignment horizontal="left" vertical="center"/>
    </xf>
    <xf numFmtId="0" fontId="10" fillId="0" borderId="0" xfId="0" applyFont="1">
      <alignment vertical="center"/>
    </xf>
    <xf numFmtId="167" fontId="10" fillId="0" borderId="0" xfId="0" applyNumberFormat="1" applyFont="1">
      <alignment vertical="center"/>
    </xf>
  </cellXfs>
  <cellStyles count="5">
    <cellStyle name="Naslov 1" xfId="2" builtinId="16" customBuiltin="1"/>
    <cellStyle name="Naslov 2" xfId="3" builtinId="17" customBuiltin="1"/>
    <cellStyle name="Naslov 4" xfId="4" builtinId="19" customBuiltin="1"/>
    <cellStyle name="Normalan" xfId="0" builtinId="0" customBuiltin="1"/>
    <cellStyle name="Zarez" xfId="1" builtinId="3"/>
  </cellStyles>
  <dxfs count="39">
    <dxf>
      <numFmt numFmtId="167" formatCode="#,##0.00\ &quot;Din.&quot;"/>
    </dxf>
    <dxf>
      <font>
        <b/>
      </font>
    </dxf>
    <dxf>
      <border>
        <left/>
        <right/>
        <top style="thin">
          <color theme="3" tint="0.79998168889431442"/>
        </top>
        <bottom/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font>
        <b/>
        <i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font>
        <b/>
      </font>
    </dxf>
    <dxf>
      <numFmt numFmtId="167" formatCode="#,##0.00\ &quot;Din.&quot;"/>
    </dxf>
    <dxf>
      <font>
        <b/>
        <i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font>
        <b/>
        <i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8" formatCode="&quot;Kvartal &quot;0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8" formatCode="&quot;Kvartal &quot;0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8" formatCode="&quot;Kvartal &quot;0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8" formatCode="&quot;Kvartal &quot;0"/>
      <fill>
        <patternFill patternType="solid">
          <fgColor indexed="64"/>
          <bgColor theme="4" tint="0.59999389629810485"/>
        </patternFill>
      </fill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8" formatCode="&quot;Kvartal &quot;0"/>
      <fill>
        <patternFill patternType="solid">
          <fgColor indexed="64"/>
          <bgColor theme="4" tint="0.59999389629810485"/>
        </patternFill>
      </fill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8" formatCode="&quot;Kvartal &quot;0"/>
      <fill>
        <patternFill patternType="solid">
          <fgColor indexed="64"/>
          <bgColor theme="4" tint="0.59999389629810485"/>
        </patternFill>
      </fill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8" formatCode="&quot;Kvartal &quot;0"/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8" formatCode="&quot;Kvartal &quot;0"/>
      <fill>
        <patternFill patternType="solid">
          <fgColor indexed="64"/>
          <bgColor theme="4" tint="0.39997558519241921"/>
        </patternFill>
      </fill>
      <alignment horizontal="left" vertical="center" textRotation="0" wrapText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numFmt numFmtId="168" formatCode="&quot;Kvartal &quot;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numFmt numFmtId="168" formatCode="&quot;Kvartal &quot;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numFmt numFmtId="168" formatCode="&quot;Kvartal &quot;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alignment horizontal="left" vertical="center" textRotation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numFmt numFmtId="169" formatCode="&quot; Kvartal &quot;0"/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alignment horizontal="left"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/>
        <i val="0"/>
        <color theme="5"/>
      </font>
      <border diagonalUp="0" diagonalDown="0">
        <left/>
        <right/>
        <top/>
        <bottom style="thin">
          <color theme="3" tint="0.79998168889431442"/>
        </bottom>
        <vertical/>
        <horizontal/>
      </border>
    </dxf>
    <dxf>
      <font>
        <b val="0"/>
        <i val="0"/>
        <color theme="3"/>
      </font>
      <border diagonalUp="0" diagonalDown="0">
        <left/>
        <right/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/>
        <i val="0"/>
        <color theme="5" tint="-0.24994659260841701"/>
      </font>
      <fill>
        <patternFill>
          <bgColor theme="5" tint="0.39994506668294322"/>
        </patternFill>
      </fill>
      <border>
        <left style="thick">
          <color theme="0"/>
        </left>
      </border>
    </dxf>
    <dxf>
      <font>
        <b/>
        <i val="0"/>
        <color theme="0"/>
      </font>
      <fill>
        <patternFill>
          <bgColor theme="5"/>
        </patternFill>
      </fill>
      <border>
        <bottom style="thick">
          <color theme="0"/>
        </bottom>
      </border>
    </dxf>
    <dxf>
      <font>
        <b/>
        <i val="0"/>
      </font>
      <border>
        <bottom style="thin">
          <color theme="3" tint="0.79998168889431442"/>
        </bottom>
      </border>
    </dxf>
    <dxf>
      <font>
        <b/>
        <i val="0"/>
        <color theme="0"/>
      </font>
      <fill>
        <patternFill>
          <bgColor theme="4"/>
        </patternFill>
      </fill>
      <border>
        <left style="thick">
          <color theme="0"/>
        </left>
        <top style="thick">
          <color theme="0"/>
        </top>
        <bottom style="thick">
          <color theme="0"/>
        </bottom>
      </border>
    </dxf>
    <dxf>
      <font>
        <b/>
        <i val="0"/>
      </font>
      <border>
        <top style="thin">
          <color theme="3" tint="0.79995117038483843"/>
        </top>
        <bottom style="thin">
          <color theme="3" tint="0.79998168889431442"/>
        </bottom>
      </border>
    </dxf>
    <dxf>
      <font>
        <b/>
        <i val="0"/>
        <color theme="5"/>
      </font>
      <border>
        <bottom style="thin">
          <color theme="0" tint="-0.14996795556505021"/>
        </bottom>
      </border>
    </dxf>
    <dxf>
      <border>
        <bottom style="thin">
          <color theme="0" tint="-0.14996795556505021"/>
        </bottom>
      </border>
    </dxf>
  </dxfs>
  <tableStyles count="2" defaultTableStyle="Monthly Sales Report Table Style" defaultPivotStyle="Monthly Sales Report PivotTable Style">
    <tableStyle name="Monthly Sales Report PivotTable Style" table="0" count="8">
      <tableStyleElement type="wholeTable" dxfId="38"/>
      <tableStyleElement type="headerRow" dxfId="37"/>
      <tableStyleElement type="totalRow" dxfId="36"/>
      <tableStyleElement type="secondSubtotalRow" dxfId="35"/>
      <tableStyleElement type="thirdSubtotalRow" dxfId="34"/>
      <tableStyleElement type="firstRowSubheading" dxfId="33"/>
      <tableStyleElement type="secondRowSubheading" dxfId="32"/>
      <tableStyleElement type="thirdRowSubheading" dxfId="31"/>
    </tableStyle>
    <tableStyle name="Monthly Sales Report Table Style" pivot="0" count="2">
      <tableStyleElement type="wholeTable" dxfId="30"/>
      <tableStyleElement type="headerRow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C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'Unos podataka'!$D$5</c:f>
              <c:strCache>
                <c:ptCount val="1"/>
                <c:pt idx="0">
                  <c:v>IZNOS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'Unos podataka'!$B$6:$B$24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'Unos podataka'!$D$6:$D$24</c:f>
              <c:numCache>
                <c:formatCode>#,##0.00\ "Din."</c:formatCode>
                <c:ptCount val="19"/>
                <c:pt idx="0">
                  <c:v>6400</c:v>
                </c:pt>
                <c:pt idx="1">
                  <c:v>8200</c:v>
                </c:pt>
                <c:pt idx="2">
                  <c:v>4400</c:v>
                </c:pt>
                <c:pt idx="3">
                  <c:v>5400</c:v>
                </c:pt>
                <c:pt idx="4">
                  <c:v>5800</c:v>
                </c:pt>
                <c:pt idx="5">
                  <c:v>6200</c:v>
                </c:pt>
                <c:pt idx="6">
                  <c:v>6900</c:v>
                </c:pt>
                <c:pt idx="7">
                  <c:v>7500</c:v>
                </c:pt>
                <c:pt idx="8">
                  <c:v>8700</c:v>
                </c:pt>
                <c:pt idx="9">
                  <c:v>8500</c:v>
                </c:pt>
                <c:pt idx="10">
                  <c:v>7900</c:v>
                </c:pt>
                <c:pt idx="11">
                  <c:v>9100</c:v>
                </c:pt>
                <c:pt idx="12">
                  <c:v>5600</c:v>
                </c:pt>
                <c:pt idx="13">
                  <c:v>9300</c:v>
                </c:pt>
                <c:pt idx="14">
                  <c:v>8800</c:v>
                </c:pt>
                <c:pt idx="15">
                  <c:v>9100</c:v>
                </c:pt>
                <c:pt idx="16">
                  <c:v>9000</c:v>
                </c:pt>
                <c:pt idx="17">
                  <c:v>7500</c:v>
                </c:pt>
                <c:pt idx="18">
                  <c:v>9500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'Unos podataka'!$E$5</c:f>
              <c:strCache>
                <c:ptCount val="1"/>
                <c:pt idx="0">
                  <c:v>PLANIRANO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'Unos podataka'!$B$6:$B$24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'Unos podataka'!$E$6:$E$24</c:f>
              <c:numCache>
                <c:formatCode>#,##0.00\ "Din."</c:formatCode>
                <c:ptCount val="19"/>
                <c:pt idx="0">
                  <c:v>6200</c:v>
                </c:pt>
                <c:pt idx="1">
                  <c:v>8000</c:v>
                </c:pt>
                <c:pt idx="2">
                  <c:v>4200</c:v>
                </c:pt>
                <c:pt idx="3">
                  <c:v>5500</c:v>
                </c:pt>
                <c:pt idx="4">
                  <c:v>6000</c:v>
                </c:pt>
                <c:pt idx="5">
                  <c:v>6000</c:v>
                </c:pt>
                <c:pt idx="6">
                  <c:v>7500</c:v>
                </c:pt>
                <c:pt idx="7">
                  <c:v>7200</c:v>
                </c:pt>
                <c:pt idx="8">
                  <c:v>8500</c:v>
                </c:pt>
                <c:pt idx="9">
                  <c:v>8300</c:v>
                </c:pt>
                <c:pt idx="10">
                  <c:v>7700</c:v>
                </c:pt>
                <c:pt idx="11">
                  <c:v>8900</c:v>
                </c:pt>
                <c:pt idx="12">
                  <c:v>5800</c:v>
                </c:pt>
                <c:pt idx="13">
                  <c:v>9100</c:v>
                </c:pt>
                <c:pt idx="14">
                  <c:v>9350</c:v>
                </c:pt>
                <c:pt idx="15">
                  <c:v>9200</c:v>
                </c:pt>
                <c:pt idx="16">
                  <c:v>10000</c:v>
                </c:pt>
                <c:pt idx="17">
                  <c:v>8000</c:v>
                </c:pt>
                <c:pt idx="18">
                  <c:v>9200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'Unos podataka'!$F$5</c:f>
              <c:strCache>
                <c:ptCount val="1"/>
                <c:pt idx="0">
                  <c:v>TROŠKOVI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'Unos podataka'!$B$6:$B$24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'Unos podataka'!$F$6:$F$24</c:f>
              <c:numCache>
                <c:formatCode>#,##0.00\ "Din."</c:formatCode>
                <c:ptCount val="19"/>
                <c:pt idx="0">
                  <c:v>4450</c:v>
                </c:pt>
                <c:pt idx="1">
                  <c:v>6400</c:v>
                </c:pt>
                <c:pt idx="2">
                  <c:v>2600</c:v>
                </c:pt>
                <c:pt idx="3">
                  <c:v>4500</c:v>
                </c:pt>
                <c:pt idx="4">
                  <c:v>4500</c:v>
                </c:pt>
                <c:pt idx="5">
                  <c:v>4500</c:v>
                </c:pt>
                <c:pt idx="6">
                  <c:v>5400</c:v>
                </c:pt>
                <c:pt idx="7">
                  <c:v>6500</c:v>
                </c:pt>
                <c:pt idx="8">
                  <c:v>7250</c:v>
                </c:pt>
                <c:pt idx="9">
                  <c:v>7100</c:v>
                </c:pt>
                <c:pt idx="10">
                  <c:v>6600</c:v>
                </c:pt>
                <c:pt idx="11">
                  <c:v>7900</c:v>
                </c:pt>
                <c:pt idx="12">
                  <c:v>4500</c:v>
                </c:pt>
                <c:pt idx="13">
                  <c:v>7500</c:v>
                </c:pt>
                <c:pt idx="14">
                  <c:v>7100</c:v>
                </c:pt>
                <c:pt idx="15">
                  <c:v>7850</c:v>
                </c:pt>
                <c:pt idx="16">
                  <c:v>7575</c:v>
                </c:pt>
                <c:pt idx="17">
                  <c:v>5850</c:v>
                </c:pt>
                <c:pt idx="18">
                  <c:v>8500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'Unos podataka'!$G$5</c:f>
              <c:strCache>
                <c:ptCount val="1"/>
                <c:pt idx="0">
                  <c:v>PRIHOD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'Unos podataka'!$B$6:$B$24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'Unos podataka'!$G$6:$G$24</c:f>
              <c:numCache>
                <c:formatCode>#,##0.00\ "Din."</c:formatCode>
                <c:ptCount val="19"/>
                <c:pt idx="0">
                  <c:v>1950</c:v>
                </c:pt>
                <c:pt idx="1">
                  <c:v>1800</c:v>
                </c:pt>
                <c:pt idx="2">
                  <c:v>1800</c:v>
                </c:pt>
                <c:pt idx="3">
                  <c:v>900</c:v>
                </c:pt>
                <c:pt idx="4">
                  <c:v>1300</c:v>
                </c:pt>
                <c:pt idx="5">
                  <c:v>1700</c:v>
                </c:pt>
                <c:pt idx="6">
                  <c:v>1500</c:v>
                </c:pt>
                <c:pt idx="7">
                  <c:v>1000</c:v>
                </c:pt>
                <c:pt idx="8">
                  <c:v>1450</c:v>
                </c:pt>
                <c:pt idx="9">
                  <c:v>1400</c:v>
                </c:pt>
                <c:pt idx="10">
                  <c:v>1300</c:v>
                </c:pt>
                <c:pt idx="11">
                  <c:v>1200</c:v>
                </c:pt>
                <c:pt idx="12">
                  <c:v>1100</c:v>
                </c:pt>
                <c:pt idx="13">
                  <c:v>1800</c:v>
                </c:pt>
                <c:pt idx="14">
                  <c:v>1700</c:v>
                </c:pt>
                <c:pt idx="15">
                  <c:v>1250</c:v>
                </c:pt>
                <c:pt idx="16">
                  <c:v>1425</c:v>
                </c:pt>
                <c:pt idx="17">
                  <c:v>1650</c:v>
                </c:pt>
                <c:pt idx="18">
                  <c:v>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161032"/>
        <c:axId val="157177456"/>
      </c:lineChart>
      <c:dateAx>
        <c:axId val="157161032"/>
        <c:scaling>
          <c:orientation val="minMax"/>
        </c:scaling>
        <c:delete val="0"/>
        <c:axPos val="b"/>
        <c:numFmt formatCode="mmm\ yy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r-Latn-RS"/>
          </a:p>
        </c:txPr>
        <c:crossAx val="157177456"/>
        <c:crosses val="autoZero"/>
        <c:auto val="1"/>
        <c:lblOffset val="100"/>
        <c:baseTimeUnit val="days"/>
        <c:majorUnit val="1"/>
        <c:majorTimeUnit val="months"/>
      </c:dateAx>
      <c:valAx>
        <c:axId val="157177456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,##0.00\ &quot;Din.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sr-Latn-RS"/>
          </a:p>
        </c:txPr>
        <c:crossAx val="1571610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57669607428103742"/>
          <c:y val="4.8780519032404476E-2"/>
          <c:w val="0.3945391019670928"/>
          <c:h val="8.758460502171741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C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'Unos podataka'!$O$5</c:f>
              <c:strCache>
                <c:ptCount val="1"/>
                <c:pt idx="0">
                  <c:v>KVARTAL4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'Unos podataka'!$B$6:$B$24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'Unos podataka'!$O$6:$O$24</c:f>
              <c:numCache>
                <c:formatCode>#,##0.00\ "Din."</c:formatCode>
                <c:ptCount val="19"/>
                <c:pt idx="0">
                  <c:v>14600</c:v>
                </c:pt>
                <c:pt idx="1">
                  <c:v>14600</c:v>
                </c:pt>
                <c:pt idx="2">
                  <c:v>28999.999999999996</c:v>
                </c:pt>
                <c:pt idx="3">
                  <c:v>29000</c:v>
                </c:pt>
                <c:pt idx="4">
                  <c:v>29000</c:v>
                </c:pt>
                <c:pt idx="5">
                  <c:v>29000</c:v>
                </c:pt>
                <c:pt idx="6">
                  <c:v>21600.000000000004</c:v>
                </c:pt>
                <c:pt idx="7">
                  <c:v>17950</c:v>
                </c:pt>
                <c:pt idx="8">
                  <c:v>10776.470588235294</c:v>
                </c:pt>
                <c:pt idx="9">
                  <c:v>12455.862068965516</c:v>
                </c:pt>
                <c:pt idx="10">
                  <c:v>13667.567567567567</c:v>
                </c:pt>
                <c:pt idx="11">
                  <c:v>17651.666666666668</c:v>
                </c:pt>
                <c:pt idx="12">
                  <c:v>19877.911646586344</c:v>
                </c:pt>
                <c:pt idx="13">
                  <c:v>21138.050314465407</c:v>
                </c:pt>
                <c:pt idx="14">
                  <c:v>17951.744186046511</c:v>
                </c:pt>
                <c:pt idx="15">
                  <c:v>20556.130108423687</c:v>
                </c:pt>
                <c:pt idx="16">
                  <c:v>21997.139141742522</c:v>
                </c:pt>
                <c:pt idx="17">
                  <c:v>22917.634523175278</c:v>
                </c:pt>
                <c:pt idx="18">
                  <c:v>20504.314720812181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224312"/>
        <c:axId val="157228792"/>
      </c:lineChart>
      <c:dateAx>
        <c:axId val="157224312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157228792"/>
        <c:crosses val="autoZero"/>
        <c:auto val="1"/>
        <c:lblOffset val="100"/>
        <c:baseTimeUnit val="days"/>
        <c:majorUnit val="1"/>
      </c:dateAx>
      <c:valAx>
        <c:axId val="157228792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,##0.00\ &quot;Din.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sr-Latn-RS"/>
          </a:p>
        </c:txPr>
        <c:crossAx val="15722431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C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'Unos podataka'!$P$5</c:f>
              <c:strCache>
                <c:ptCount val="1"/>
                <c:pt idx="0">
                  <c:v>GODINA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'Unos podataka'!$B$6:$B$24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'Unos podataka'!$P$6:$P$24</c:f>
              <c:numCache>
                <c:formatCode>#,##0.00\ "Din."</c:formatCode>
                <c:ptCount val="19"/>
                <c:pt idx="0">
                  <c:v>50800</c:v>
                </c:pt>
                <c:pt idx="1">
                  <c:v>50800</c:v>
                </c:pt>
                <c:pt idx="2">
                  <c:v>50800</c:v>
                </c:pt>
                <c:pt idx="3">
                  <c:v>50800</c:v>
                </c:pt>
                <c:pt idx="4">
                  <c:v>50800</c:v>
                </c:pt>
                <c:pt idx="5">
                  <c:v>50800</c:v>
                </c:pt>
                <c:pt idx="6">
                  <c:v>50800</c:v>
                </c:pt>
                <c:pt idx="7">
                  <c:v>50800</c:v>
                </c:pt>
                <c:pt idx="8">
                  <c:v>47400</c:v>
                </c:pt>
                <c:pt idx="9">
                  <c:v>47400</c:v>
                </c:pt>
                <c:pt idx="10">
                  <c:v>47400.000000000007</c:v>
                </c:pt>
                <c:pt idx="11">
                  <c:v>47400</c:v>
                </c:pt>
                <c:pt idx="12">
                  <c:v>47400</c:v>
                </c:pt>
                <c:pt idx="13">
                  <c:v>47400</c:v>
                </c:pt>
                <c:pt idx="14">
                  <c:v>43258.139534883725</c:v>
                </c:pt>
                <c:pt idx="15">
                  <c:v>42312.903225806447</c:v>
                </c:pt>
                <c:pt idx="16">
                  <c:v>41811.111111111109</c:v>
                </c:pt>
                <c:pt idx="17">
                  <c:v>41500</c:v>
                </c:pt>
                <c:pt idx="18">
                  <c:v>41288.23529411765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487296"/>
        <c:axId val="160504064"/>
      </c:lineChart>
      <c:dateAx>
        <c:axId val="160487296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160504064"/>
        <c:crosses val="autoZero"/>
        <c:auto val="1"/>
        <c:lblOffset val="100"/>
        <c:baseTimeUnit val="days"/>
        <c:majorUnit val="1"/>
      </c:dateAx>
      <c:valAx>
        <c:axId val="160504064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,##0.00\ &quot;Din.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sr-Latn-RS"/>
          </a:p>
        </c:txPr>
        <c:crossAx val="16048729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spc="50" baseline="0">
          <a:solidFill>
            <a:schemeClr val="tx2"/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C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'Unos podataka'!$Q$5</c:f>
              <c:strCache>
                <c:ptCount val="1"/>
                <c:pt idx="0">
                  <c:v>GODINA 5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'Unos podataka'!$B$6:$B$24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'Unos podataka'!$Q$6:$Q$24</c:f>
              <c:numCache>
                <c:formatCode>#,##0.00\ "Din."</c:formatCode>
                <c:ptCount val="19"/>
                <c:pt idx="0">
                  <c:v>143800</c:v>
                </c:pt>
                <c:pt idx="1">
                  <c:v>143800</c:v>
                </c:pt>
                <c:pt idx="2">
                  <c:v>143800</c:v>
                </c:pt>
                <c:pt idx="3">
                  <c:v>143800</c:v>
                </c:pt>
                <c:pt idx="4">
                  <c:v>143800</c:v>
                </c:pt>
                <c:pt idx="5">
                  <c:v>143800</c:v>
                </c:pt>
                <c:pt idx="6">
                  <c:v>143800</c:v>
                </c:pt>
                <c:pt idx="7">
                  <c:v>143800</c:v>
                </c:pt>
                <c:pt idx="8">
                  <c:v>143800</c:v>
                </c:pt>
                <c:pt idx="9">
                  <c:v>143800</c:v>
                </c:pt>
                <c:pt idx="10">
                  <c:v>143800</c:v>
                </c:pt>
                <c:pt idx="11">
                  <c:v>143800</c:v>
                </c:pt>
                <c:pt idx="12">
                  <c:v>143800</c:v>
                </c:pt>
                <c:pt idx="13">
                  <c:v>143800</c:v>
                </c:pt>
                <c:pt idx="14">
                  <c:v>143800</c:v>
                </c:pt>
                <c:pt idx="15">
                  <c:v>143800</c:v>
                </c:pt>
                <c:pt idx="16">
                  <c:v>143800</c:v>
                </c:pt>
                <c:pt idx="17">
                  <c:v>143800</c:v>
                </c:pt>
                <c:pt idx="18">
                  <c:v>143800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17736"/>
        <c:axId val="160518120"/>
      </c:lineChart>
      <c:dateAx>
        <c:axId val="160517736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160518120"/>
        <c:crosses val="autoZero"/>
        <c:auto val="1"/>
        <c:lblOffset val="100"/>
        <c:baseTimeUnit val="days"/>
        <c:majorUnit val="1"/>
      </c:dateAx>
      <c:valAx>
        <c:axId val="160518120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,##0.00\ &quot;Din.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sr-Latn-RS"/>
          </a:p>
        </c:txPr>
        <c:crossAx val="16051773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60" baseline="0">
          <a:solidFill>
            <a:schemeClr val="tx2"/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C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'Unos podataka'!$G$5</c:f>
              <c:strCache>
                <c:ptCount val="1"/>
                <c:pt idx="0">
                  <c:v>PRIHOD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'Unos podataka'!$B$6:$B$24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'Unos podataka'!$G$6:$G$24</c:f>
              <c:numCache>
                <c:formatCode>#,##0.00\ "Din."</c:formatCode>
                <c:ptCount val="19"/>
                <c:pt idx="0">
                  <c:v>1950</c:v>
                </c:pt>
                <c:pt idx="1">
                  <c:v>1800</c:v>
                </c:pt>
                <c:pt idx="2">
                  <c:v>1800</c:v>
                </c:pt>
                <c:pt idx="3">
                  <c:v>900</c:v>
                </c:pt>
                <c:pt idx="4">
                  <c:v>1300</c:v>
                </c:pt>
                <c:pt idx="5">
                  <c:v>1700</c:v>
                </c:pt>
                <c:pt idx="6">
                  <c:v>1500</c:v>
                </c:pt>
                <c:pt idx="7">
                  <c:v>1000</c:v>
                </c:pt>
                <c:pt idx="8">
                  <c:v>1450</c:v>
                </c:pt>
                <c:pt idx="9">
                  <c:v>1400</c:v>
                </c:pt>
                <c:pt idx="10">
                  <c:v>1300</c:v>
                </c:pt>
                <c:pt idx="11">
                  <c:v>1200</c:v>
                </c:pt>
                <c:pt idx="12">
                  <c:v>1100</c:v>
                </c:pt>
                <c:pt idx="13">
                  <c:v>1800</c:v>
                </c:pt>
                <c:pt idx="14">
                  <c:v>1700</c:v>
                </c:pt>
                <c:pt idx="15">
                  <c:v>1250</c:v>
                </c:pt>
                <c:pt idx="16">
                  <c:v>1425</c:v>
                </c:pt>
                <c:pt idx="17">
                  <c:v>1650</c:v>
                </c:pt>
                <c:pt idx="18">
                  <c:v>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07352"/>
        <c:axId val="160538184"/>
      </c:lineChart>
      <c:dateAx>
        <c:axId val="160507352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160538184"/>
        <c:crosses val="autoZero"/>
        <c:auto val="1"/>
        <c:lblOffset val="100"/>
        <c:baseTimeUnit val="days"/>
        <c:majorUnit val="1"/>
      </c:dateAx>
      <c:valAx>
        <c:axId val="160538184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,##0.00\ &quot;Din.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sr-Latn-RS"/>
          </a:p>
        </c:txPr>
        <c:crossAx val="16050735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Prognoza prodaje'!A1"/><Relationship Id="rId1" Type="http://schemas.openxmlformats.org/officeDocument/2006/relationships/hyperlink" Target="#'Izve&#353;taj o prodaji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Prognoza prodaje'!A1"/><Relationship Id="rId1" Type="http://schemas.openxmlformats.org/officeDocument/2006/relationships/hyperlink" Target="#'Unos podataka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hyperlink" Target="#'Izve&#353;taj o prodaji'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'Unos podataka'!A1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85725</xdr:rowOff>
    </xdr:from>
    <xdr:to>
      <xdr:col>6</xdr:col>
      <xdr:colOff>849250</xdr:colOff>
      <xdr:row>1</xdr:row>
      <xdr:rowOff>314325</xdr:rowOff>
    </xdr:to>
    <xdr:sp macro="" textlink="">
      <xdr:nvSpPr>
        <xdr:cNvPr id="2" name="Izveštaj o prodaji" descr="Click to view Sales Report sheet." title="Sales Report navigation button">
          <a:hlinkClick xmlns:r="http://schemas.openxmlformats.org/officeDocument/2006/relationships" r:id="rId1" tooltip="Kliknite da biste videli list izveštaja o prodaji"/>
        </xdr:cNvPr>
        <xdr:cNvSpPr/>
      </xdr:nvSpPr>
      <xdr:spPr>
        <a:xfrm>
          <a:off x="4591050" y="228600"/>
          <a:ext cx="1201675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  <a:latin typeface="+mn-lt"/>
            </a:rPr>
            <a:t>Izveštaj o prodaji</a:t>
          </a:r>
        </a:p>
      </xdr:txBody>
    </xdr:sp>
    <xdr:clientData fPrintsWithSheet="0"/>
  </xdr:twoCellAnchor>
  <xdr:twoCellAnchor>
    <xdr:from>
      <xdr:col>6</xdr:col>
      <xdr:colOff>904875</xdr:colOff>
      <xdr:row>1</xdr:row>
      <xdr:rowOff>85726</xdr:rowOff>
    </xdr:from>
    <xdr:to>
      <xdr:col>8</xdr:col>
      <xdr:colOff>514350</xdr:colOff>
      <xdr:row>1</xdr:row>
      <xdr:rowOff>323850</xdr:rowOff>
    </xdr:to>
    <xdr:sp macro="" textlink="">
      <xdr:nvSpPr>
        <xdr:cNvPr id="3" name="Predviđanje prodaje" descr="Click to view Sales Forecast sheet." title="Sales Forecast navigation button">
          <a:hlinkClick xmlns:r="http://schemas.openxmlformats.org/officeDocument/2006/relationships" r:id="rId2" tooltip="Kliknite da biste prikazali list Predviđanje prodaje"/>
        </xdr:cNvPr>
        <xdr:cNvSpPr/>
      </xdr:nvSpPr>
      <xdr:spPr>
        <a:xfrm>
          <a:off x="5848350" y="228601"/>
          <a:ext cx="1390650" cy="238124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vi-VN" sz="1000">
              <a:solidFill>
                <a:schemeClr val="bg1"/>
              </a:solidFill>
            </a:rPr>
            <a:t>Predviđanje prodaje</a:t>
          </a:r>
          <a:endParaRPr lang="en-US" sz="1000">
            <a:solidFill>
              <a:schemeClr val="bg1"/>
            </a:solidFill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1</xdr:row>
      <xdr:rowOff>85724</xdr:rowOff>
    </xdr:from>
    <xdr:to>
      <xdr:col>6</xdr:col>
      <xdr:colOff>314325</xdr:colOff>
      <xdr:row>1</xdr:row>
      <xdr:rowOff>323849</xdr:rowOff>
    </xdr:to>
    <xdr:sp macro="" textlink="">
      <xdr:nvSpPr>
        <xdr:cNvPr id="7" name="Izveštaj o prodaji" descr="Click to view Data Entry sheet." title="Data Entry navigation button">
          <a:hlinkClick xmlns:r="http://schemas.openxmlformats.org/officeDocument/2006/relationships" r:id="rId1" tooltip="Kliknite da biste prikazali list Unos podataka"/>
        </xdr:cNvPr>
        <xdr:cNvSpPr/>
      </xdr:nvSpPr>
      <xdr:spPr>
        <a:xfrm>
          <a:off x="5095874" y="228599"/>
          <a:ext cx="1104901" cy="238125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  <a:latin typeface="+mn-lt"/>
            </a:rPr>
            <a:t>Unos podataka</a:t>
          </a:r>
        </a:p>
      </xdr:txBody>
    </xdr:sp>
    <xdr:clientData fPrintsWithSheet="0"/>
  </xdr:twoCellAnchor>
  <xdr:twoCellAnchor>
    <xdr:from>
      <xdr:col>6</xdr:col>
      <xdr:colOff>371474</xdr:colOff>
      <xdr:row>1</xdr:row>
      <xdr:rowOff>85726</xdr:rowOff>
    </xdr:from>
    <xdr:to>
      <xdr:col>9</xdr:col>
      <xdr:colOff>139274</xdr:colOff>
      <xdr:row>1</xdr:row>
      <xdr:rowOff>323850</xdr:rowOff>
    </xdr:to>
    <xdr:sp macro="" textlink="">
      <xdr:nvSpPr>
        <xdr:cNvPr id="8" name="Predviđanje prodaje" descr="Click to view Sales Forecast sheet." title="Sales Forecast navigation button">
          <a:hlinkClick xmlns:r="http://schemas.openxmlformats.org/officeDocument/2006/relationships" r:id="rId2" tooltip="Kliknite da biste prikazali list Predviđanje prodaje"/>
        </xdr:cNvPr>
        <xdr:cNvSpPr/>
      </xdr:nvSpPr>
      <xdr:spPr>
        <a:xfrm>
          <a:off x="6257924" y="228601"/>
          <a:ext cx="1368000" cy="238124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vi-VN" sz="1000">
              <a:solidFill>
                <a:schemeClr val="bg1"/>
              </a:solidFill>
            </a:rPr>
            <a:t>Predviđanje prodaje</a:t>
          </a:r>
          <a:endParaRPr lang="en-US" sz="1000">
            <a:solidFill>
              <a:schemeClr val="bg1"/>
            </a:solidFill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15</xdr:row>
      <xdr:rowOff>114300</xdr:rowOff>
    </xdr:from>
    <xdr:to>
      <xdr:col>9</xdr:col>
      <xdr:colOff>876299</xdr:colOff>
      <xdr:row>27</xdr:row>
      <xdr:rowOff>142875</xdr:rowOff>
    </xdr:to>
    <xdr:graphicFrame macro="">
      <xdr:nvGraphicFramePr>
        <xdr:cNvPr id="4" name="Istorija prodaje" descr="Sales history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30</xdr:row>
      <xdr:rowOff>9525</xdr:rowOff>
    </xdr:from>
    <xdr:to>
      <xdr:col>5</xdr:col>
      <xdr:colOff>141131</xdr:colOff>
      <xdr:row>35</xdr:row>
      <xdr:rowOff>92919</xdr:rowOff>
    </xdr:to>
    <xdr:graphicFrame macro="">
      <xdr:nvGraphicFramePr>
        <xdr:cNvPr id="5" name="Mesečna prognoza" descr="Month forecast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195263</xdr:colOff>
      <xdr:row>30</xdr:row>
      <xdr:rowOff>9525</xdr:rowOff>
    </xdr:from>
    <xdr:to>
      <xdr:col>9</xdr:col>
      <xdr:colOff>871537</xdr:colOff>
      <xdr:row>35</xdr:row>
      <xdr:rowOff>92919</xdr:rowOff>
    </xdr:to>
    <xdr:graphicFrame macro="">
      <xdr:nvGraphicFramePr>
        <xdr:cNvPr id="6" name="Prognoza za kvartal" descr="Quarter forecast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38</xdr:row>
      <xdr:rowOff>9526</xdr:rowOff>
    </xdr:from>
    <xdr:to>
      <xdr:col>5</xdr:col>
      <xdr:colOff>141131</xdr:colOff>
      <xdr:row>43</xdr:row>
      <xdr:rowOff>57151</xdr:rowOff>
    </xdr:to>
    <xdr:graphicFrame macro="">
      <xdr:nvGraphicFramePr>
        <xdr:cNvPr id="7" name="Godišnja prognoza" descr="Year forecast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198491</xdr:colOff>
      <xdr:row>38</xdr:row>
      <xdr:rowOff>9526</xdr:rowOff>
    </xdr:from>
    <xdr:to>
      <xdr:col>9</xdr:col>
      <xdr:colOff>874765</xdr:colOff>
      <xdr:row>43</xdr:row>
      <xdr:rowOff>64345</xdr:rowOff>
    </xdr:to>
    <xdr:graphicFrame macro="">
      <xdr:nvGraphicFramePr>
        <xdr:cNvPr id="8" name="Protok prihoda" descr="Revenue stream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514349</xdr:colOff>
      <xdr:row>1</xdr:row>
      <xdr:rowOff>85726</xdr:rowOff>
    </xdr:from>
    <xdr:to>
      <xdr:col>6</xdr:col>
      <xdr:colOff>696848</xdr:colOff>
      <xdr:row>1</xdr:row>
      <xdr:rowOff>295276</xdr:rowOff>
    </xdr:to>
    <xdr:sp macro="" textlink="">
      <xdr:nvSpPr>
        <xdr:cNvPr id="10" name="Izveštaj o prodaji" descr="Click to view Data Entry sheet." title="Data Entry navigation button">
          <a:hlinkClick xmlns:r="http://schemas.openxmlformats.org/officeDocument/2006/relationships" r:id="rId6" tooltip="Kliknite da biste prikazali list Unos podataka"/>
        </xdr:cNvPr>
        <xdr:cNvSpPr/>
      </xdr:nvSpPr>
      <xdr:spPr>
        <a:xfrm>
          <a:off x="5172074" y="228601"/>
          <a:ext cx="1096899" cy="20955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  <a:latin typeface="+mn-lt"/>
            </a:rPr>
            <a:t>Unos podataka</a:t>
          </a:r>
        </a:p>
      </xdr:txBody>
    </xdr:sp>
    <xdr:clientData fPrintsWithSheet="0"/>
  </xdr:twoCellAnchor>
  <xdr:twoCellAnchor>
    <xdr:from>
      <xdr:col>6</xdr:col>
      <xdr:colOff>752475</xdr:colOff>
      <xdr:row>1</xdr:row>
      <xdr:rowOff>85726</xdr:rowOff>
    </xdr:from>
    <xdr:to>
      <xdr:col>8</xdr:col>
      <xdr:colOff>212979</xdr:colOff>
      <xdr:row>1</xdr:row>
      <xdr:rowOff>314326</xdr:rowOff>
    </xdr:to>
    <xdr:sp macro="" textlink="">
      <xdr:nvSpPr>
        <xdr:cNvPr id="11" name="Predviđanje prodaje" descr="Click to view Sales Report sheet." title="Sales Report navigation button">
          <a:hlinkClick xmlns:r="http://schemas.openxmlformats.org/officeDocument/2006/relationships" r:id="rId7" tooltip="Kliknite da biste videli list izveštaja o prodaji"/>
        </xdr:cNvPr>
        <xdr:cNvSpPr/>
      </xdr:nvSpPr>
      <xdr:spPr>
        <a:xfrm>
          <a:off x="5838825" y="228601"/>
          <a:ext cx="1289304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Izveštaj o prodaji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korisnik" refreshedDate="41211.568682638892" createdVersion="5" refreshedVersion="5" minRefreshableVersion="3" recordCount="19">
  <cacheSource type="worksheet">
    <worksheetSource name="tblData"/>
  </cacheSource>
  <cacheFields count="16">
    <cacheField name="DATUM" numFmtId="14">
      <sharedItems containsSemiMixedTypes="0" containsNonDate="0" containsDate="1" containsString="0" minDate="2013-04-23T00:00:00" maxDate="2013-12-12T00:00:00"/>
    </cacheField>
    <cacheField name="PREDUZEĆE" numFmtId="0">
      <sharedItems count="6">
        <s v="A. Korporacija „Datum“"/>
        <s v="Apoteka „Kolo“"/>
        <s v="Servis „Express“"/>
        <s v="Proseware, Inc."/>
        <s v="Škola likovnih umetnosti"/>
        <s v="Top Consulting"/>
      </sharedItems>
    </cacheField>
    <cacheField name="IZNOS" numFmtId="167">
      <sharedItems containsSemiMixedTypes="0" containsString="0" containsNumber="1" containsInteger="1" minValue="4400" maxValue="9500"/>
    </cacheField>
    <cacheField name="PLANIRANO" numFmtId="167">
      <sharedItems containsSemiMixedTypes="0" containsString="0" containsNumber="1" containsInteger="1" minValue="4200" maxValue="10000"/>
    </cacheField>
    <cacheField name="TROŠKOVI" numFmtId="167">
      <sharedItems containsSemiMixedTypes="0" containsString="0" containsNumber="1" containsInteger="1" minValue="2600" maxValue="8500"/>
    </cacheField>
    <cacheField name="PRIHOD" numFmtId="167">
      <sharedItems containsSemiMixedTypes="0" containsString="0" containsNumber="1" containsInteger="1" minValue="900" maxValue="1950"/>
    </cacheField>
    <cacheField name="MESEC:" numFmtId="166">
      <sharedItems containsSemiMixedTypes="0" containsNonDate="0" containsDate="1" containsString="0" minDate="2013-04-01T00:00:00" maxDate="2013-12-02T00:00:00" count="9"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</sharedItems>
    </cacheField>
    <cacheField name="KVARTAL" numFmtId="168">
      <sharedItems containsSemiMixedTypes="0" containsString="0" containsNumber="1" containsInteger="1" minValue="2" maxValue="4" count="3">
        <n v="2"/>
        <n v="3"/>
        <n v="4"/>
      </sharedItems>
    </cacheField>
    <cacheField name="GODINA" numFmtId="0">
      <sharedItems containsSemiMixedTypes="0" containsString="0" containsNumber="1" containsInteger="1" minValue="2013" maxValue="2013" count="1">
        <n v="2013"/>
      </sharedItems>
    </cacheField>
    <cacheField name="MESEC:2" numFmtId="0">
      <sharedItems containsSemiMixedTypes="0" containsString="0" containsNumber="1" containsInteger="1" minValue="4" maxValue="12"/>
    </cacheField>
    <cacheField name="KVARTAL3" numFmtId="167">
      <sharedItems containsSemiMixedTypes="0" containsString="0" containsNumber="1" containsInteger="1" minValue="8700" maxValue="25600"/>
    </cacheField>
    <cacheField name="GODIŠNJE" numFmtId="167">
      <sharedItems containsSemiMixedTypes="0" containsString="0" containsNumber="1" containsInteger="1" minValue="43900" maxValue="50800"/>
    </cacheField>
    <cacheField name="MESEC" numFmtId="167">
      <sharedItems containsSemiMixedTypes="0" containsString="0" containsNumber="1" containsInteger="1" minValue="143800" maxValue="143800"/>
    </cacheField>
    <cacheField name="KVARTAL4" numFmtId="167">
      <sharedItems containsSemiMixedTypes="0" containsString="0" containsNumber="1" minValue="10776.470588235294" maxValue="29000"/>
    </cacheField>
    <cacheField name="GODINA " numFmtId="167">
      <sharedItems containsSemiMixedTypes="0" containsString="0" containsNumber="1" minValue="41288.23529411765" maxValue="50800"/>
    </cacheField>
    <cacheField name="GODINA 5" numFmtId="167">
      <sharedItems containsSemiMixedTypes="0" containsString="0" containsNumber="1" containsInteger="1" minValue="143800" maxValue="143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d v="2013-04-23T00:00:00"/>
    <x v="0"/>
    <n v="6400"/>
    <n v="6200"/>
    <n v="4450"/>
    <n v="1950"/>
    <x v="0"/>
    <x v="0"/>
    <x v="0"/>
    <n v="4"/>
    <n v="14600"/>
    <n v="50800"/>
    <n v="143800"/>
    <n v="14600"/>
    <n v="50800"/>
    <n v="143800"/>
  </r>
  <r>
    <d v="2013-04-25T00:00:00"/>
    <x v="1"/>
    <n v="8200"/>
    <n v="8000"/>
    <n v="6400"/>
    <n v="1800"/>
    <x v="0"/>
    <x v="0"/>
    <x v="0"/>
    <n v="4"/>
    <n v="14600"/>
    <n v="50800"/>
    <n v="143800"/>
    <n v="14600"/>
    <n v="50800"/>
    <n v="143800"/>
  </r>
  <r>
    <d v="2013-05-07T00:00:00"/>
    <x v="2"/>
    <n v="4400"/>
    <n v="4200"/>
    <n v="2600"/>
    <n v="1800"/>
    <x v="1"/>
    <x v="0"/>
    <x v="0"/>
    <n v="5"/>
    <n v="21800"/>
    <n v="50800"/>
    <n v="143800"/>
    <n v="28999.999999999996"/>
    <n v="50800"/>
    <n v="143800"/>
  </r>
  <r>
    <d v="2013-05-14T00:00:00"/>
    <x v="3"/>
    <n v="5400"/>
    <n v="5500"/>
    <n v="4500"/>
    <n v="900"/>
    <x v="1"/>
    <x v="0"/>
    <x v="0"/>
    <n v="5"/>
    <n v="21800"/>
    <n v="50800"/>
    <n v="143800"/>
    <n v="29000"/>
    <n v="50800"/>
    <n v="143800"/>
  </r>
  <r>
    <d v="2013-05-14T00:00:00"/>
    <x v="4"/>
    <n v="5800"/>
    <n v="6000"/>
    <n v="4500"/>
    <n v="1300"/>
    <x v="1"/>
    <x v="0"/>
    <x v="0"/>
    <n v="5"/>
    <n v="21800"/>
    <n v="50800"/>
    <n v="143800"/>
    <n v="29000"/>
    <n v="50800"/>
    <n v="143800"/>
  </r>
  <r>
    <d v="2013-05-29T00:00:00"/>
    <x v="5"/>
    <n v="6200"/>
    <n v="6000"/>
    <n v="4500"/>
    <n v="1700"/>
    <x v="1"/>
    <x v="0"/>
    <x v="0"/>
    <n v="5"/>
    <n v="21800"/>
    <n v="50800"/>
    <n v="143800"/>
    <n v="29000"/>
    <n v="50800"/>
    <n v="143800"/>
  </r>
  <r>
    <d v="2013-06-10T00:00:00"/>
    <x v="0"/>
    <n v="6900"/>
    <n v="7500"/>
    <n v="5400"/>
    <n v="1500"/>
    <x v="2"/>
    <x v="0"/>
    <x v="0"/>
    <n v="6"/>
    <n v="14400"/>
    <n v="50800"/>
    <n v="143800"/>
    <n v="21600.000000000004"/>
    <n v="50800"/>
    <n v="143800"/>
  </r>
  <r>
    <d v="2013-06-21T00:00:00"/>
    <x v="1"/>
    <n v="7500"/>
    <n v="7200"/>
    <n v="6500"/>
    <n v="1000"/>
    <x v="2"/>
    <x v="0"/>
    <x v="0"/>
    <n v="6"/>
    <n v="14400"/>
    <n v="50800"/>
    <n v="143800"/>
    <n v="17950"/>
    <n v="50800"/>
    <n v="143800"/>
  </r>
  <r>
    <d v="2013-07-06T00:00:00"/>
    <x v="2"/>
    <n v="8700"/>
    <n v="8500"/>
    <n v="7250"/>
    <n v="1450"/>
    <x v="3"/>
    <x v="1"/>
    <x v="0"/>
    <n v="7"/>
    <n v="8700"/>
    <n v="49100"/>
    <n v="143800"/>
    <n v="10776.470588235294"/>
    <n v="47400"/>
    <n v="143800"/>
  </r>
  <r>
    <d v="2013-08-05T00:00:00"/>
    <x v="3"/>
    <n v="8500"/>
    <n v="8300"/>
    <n v="7100"/>
    <n v="1400"/>
    <x v="4"/>
    <x v="1"/>
    <x v="0"/>
    <n v="8"/>
    <n v="16400"/>
    <n v="49100"/>
    <n v="143800"/>
    <n v="12455.862068965516"/>
    <n v="47400"/>
    <n v="143800"/>
  </r>
  <r>
    <d v="2013-08-19T00:00:00"/>
    <x v="4"/>
    <n v="7900"/>
    <n v="7700"/>
    <n v="6600"/>
    <n v="1300"/>
    <x v="4"/>
    <x v="1"/>
    <x v="0"/>
    <n v="8"/>
    <n v="16400"/>
    <n v="49100"/>
    <n v="143800"/>
    <n v="13667.567567567567"/>
    <n v="47400.000000000007"/>
    <n v="143800"/>
  </r>
  <r>
    <d v="2013-09-04T00:00:00"/>
    <x v="5"/>
    <n v="9100"/>
    <n v="8900"/>
    <n v="7900"/>
    <n v="1200"/>
    <x v="5"/>
    <x v="1"/>
    <x v="0"/>
    <n v="9"/>
    <n v="24000"/>
    <n v="49100"/>
    <n v="143800"/>
    <n v="17651.666666666668"/>
    <n v="47400"/>
    <n v="143800"/>
  </r>
  <r>
    <d v="2013-09-20T00:00:00"/>
    <x v="1"/>
    <n v="5600"/>
    <n v="5800"/>
    <n v="4500"/>
    <n v="1100"/>
    <x v="5"/>
    <x v="1"/>
    <x v="0"/>
    <n v="9"/>
    <n v="24000"/>
    <n v="49100"/>
    <n v="143800"/>
    <n v="19877.911646586344"/>
    <n v="47400"/>
    <n v="143800"/>
  </r>
  <r>
    <d v="2013-09-25T00:00:00"/>
    <x v="2"/>
    <n v="9300"/>
    <n v="9100"/>
    <n v="7500"/>
    <n v="1800"/>
    <x v="5"/>
    <x v="1"/>
    <x v="0"/>
    <n v="9"/>
    <n v="24000"/>
    <n v="49100"/>
    <n v="143800"/>
    <n v="21138.050314465407"/>
    <n v="47400"/>
    <n v="143800"/>
  </r>
  <r>
    <d v="2013-10-15T00:00:00"/>
    <x v="3"/>
    <n v="8800"/>
    <n v="9350"/>
    <n v="7100"/>
    <n v="1700"/>
    <x v="6"/>
    <x v="2"/>
    <x v="0"/>
    <n v="10"/>
    <n v="8800"/>
    <n v="43900"/>
    <n v="143800"/>
    <n v="17951.744186046511"/>
    <n v="43258.139534883725"/>
    <n v="143800"/>
  </r>
  <r>
    <d v="2013-11-05T00:00:00"/>
    <x v="4"/>
    <n v="9100"/>
    <n v="9200"/>
    <n v="7850"/>
    <n v="1250"/>
    <x v="7"/>
    <x v="2"/>
    <x v="0"/>
    <n v="11"/>
    <n v="25600"/>
    <n v="43900"/>
    <n v="143800"/>
    <n v="20556.130108423687"/>
    <n v="42312.903225806447"/>
    <n v="143800"/>
  </r>
  <r>
    <d v="2013-11-26T00:00:00"/>
    <x v="5"/>
    <n v="9000"/>
    <n v="10000"/>
    <n v="7575"/>
    <n v="1425"/>
    <x v="7"/>
    <x v="2"/>
    <x v="0"/>
    <n v="11"/>
    <n v="25600"/>
    <n v="43900"/>
    <n v="143800"/>
    <n v="21997.139141742522"/>
    <n v="41811.111111111109"/>
    <n v="143800"/>
  </r>
  <r>
    <d v="2013-11-30T00:00:00"/>
    <x v="5"/>
    <n v="7500"/>
    <n v="8000"/>
    <n v="5850"/>
    <n v="1650"/>
    <x v="7"/>
    <x v="2"/>
    <x v="0"/>
    <n v="11"/>
    <n v="25600"/>
    <n v="43900"/>
    <n v="143800"/>
    <n v="22917.634523175278"/>
    <n v="41500"/>
    <n v="143800"/>
  </r>
  <r>
    <d v="2013-12-11T00:00:00"/>
    <x v="1"/>
    <n v="9500"/>
    <n v="9200"/>
    <n v="8500"/>
    <n v="1000"/>
    <x v="8"/>
    <x v="2"/>
    <x v="0"/>
    <n v="12"/>
    <n v="9500"/>
    <n v="43900"/>
    <n v="143800"/>
    <n v="20504.314720812181"/>
    <n v="41288.23529411765"/>
    <n v="1438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Izvedena tabela1" cacheId="6" applyNumberFormats="0" applyBorderFormats="0" applyFontFormats="0" applyPatternFormats="0" applyAlignmentFormats="0" applyWidthHeightFormats="1" dataCaption="Vrednosti" updatedVersion="5" minRefreshableVersion="3" showDrill="0" useAutoFormatting="1" itemPrintTitles="1" createdVersion="5" indent="0" compact="0" compactData="0" multipleFieldFilters="0">
  <location ref="B5:F28" firstHeaderRow="1" firstDataRow="1" firstDataCol="4"/>
  <pivotFields count="16">
    <pivotField compact="0" numFmtId="14" outline="0" showAll="0"/>
    <pivotField axis="axisRow" compact="0" outline="0" showAll="0">
      <items count="7">
        <item x="0"/>
        <item x="1"/>
        <item x="3"/>
        <item x="2"/>
        <item x="4"/>
        <item x="5"/>
        <item t="default"/>
      </items>
    </pivotField>
    <pivotField dataField="1" compact="0" numFmtId="167" outline="0" showAll="0"/>
    <pivotField compact="0" numFmtId="167" outline="0" showAll="0"/>
    <pivotField compact="0" numFmtId="167" outline="0" showAll="0"/>
    <pivotField compact="0" numFmtId="167" outline="0" showAll="0"/>
    <pivotField axis="axisRow" compact="0" numFmtId="166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Row" compact="0" numFmtId="168" outline="0" showAll="0">
      <items count="4">
        <item x="0"/>
        <item x="1"/>
        <item x="2"/>
        <item t="default"/>
      </items>
    </pivotField>
    <pivotField axis="axisRow" compact="0" outline="0" showAll="0">
      <items count="2">
        <item x="0"/>
        <item t="default"/>
      </items>
    </pivotField>
    <pivotField compact="0" outline="0" showAll="0"/>
    <pivotField compact="0" numFmtId="167" outline="0" showAll="0"/>
    <pivotField compact="0" numFmtId="167" outline="0" showAll="0"/>
    <pivotField compact="0" numFmtId="167" outline="0" showAll="0"/>
    <pivotField compact="0" numFmtId="167" outline="0" showAll="0"/>
    <pivotField compact="0" numFmtId="167" outline="0" showAll="0"/>
    <pivotField compact="0" numFmtId="167" outline="0" showAll="0"/>
  </pivotFields>
  <rowFields count="4">
    <field x="8"/>
    <field x="7"/>
    <field x="6"/>
    <field x="1"/>
  </rowFields>
  <rowItems count="23">
    <i>
      <x/>
      <x/>
      <x/>
      <x/>
    </i>
    <i r="3">
      <x v="1"/>
    </i>
    <i r="2">
      <x v="1"/>
      <x v="2"/>
    </i>
    <i r="3">
      <x v="3"/>
    </i>
    <i r="3">
      <x v="4"/>
    </i>
    <i r="3">
      <x v="5"/>
    </i>
    <i r="2">
      <x v="2"/>
      <x/>
    </i>
    <i r="3">
      <x v="1"/>
    </i>
    <i t="default" r="1">
      <x/>
    </i>
    <i r="1">
      <x v="1"/>
      <x v="3"/>
      <x v="3"/>
    </i>
    <i r="2">
      <x v="4"/>
      <x v="2"/>
    </i>
    <i r="3">
      <x v="4"/>
    </i>
    <i r="2">
      <x v="5"/>
      <x v="1"/>
    </i>
    <i r="3">
      <x v="3"/>
    </i>
    <i r="3">
      <x v="5"/>
    </i>
    <i t="default" r="1">
      <x v="1"/>
    </i>
    <i r="1">
      <x v="2"/>
      <x v="6"/>
      <x v="2"/>
    </i>
    <i r="2">
      <x v="7"/>
      <x v="4"/>
    </i>
    <i r="3">
      <x v="5"/>
    </i>
    <i r="2">
      <x v="8"/>
      <x v="1"/>
    </i>
    <i t="default" r="1">
      <x v="2"/>
    </i>
    <i t="default">
      <x/>
    </i>
    <i t="grand">
      <x/>
    </i>
  </rowItems>
  <colItems count="1">
    <i/>
  </colItems>
  <dataFields count="1">
    <dataField name="UKUPAN PRIHOD" fld="2" baseField="8" baseItem="0" numFmtId="167"/>
  </dataFields>
  <formats count="2">
    <format dxfId="6">
      <pivotArea outline="0" collapsedLevelsAreSubtotals="1" fieldPosition="0"/>
    </format>
    <format dxfId="5">
      <pivotArea dataOnly="0" outline="0" fieldPosition="0">
        <references count="1">
          <reference field="8" count="0" defaultSubtotal="1"/>
        </references>
      </pivotArea>
    </format>
  </formats>
  <pivotTableStyleInfo name="Monthly Sales Report PivotTable Style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blData" displayName="tblData" ref="B5:Q24" totalsRowShown="0" headerRowDxfId="28" dataDxfId="27">
  <autoFilter ref="B5:Q24"/>
  <tableColumns count="16">
    <tableColumn id="1" name="DATUM" dataDxfId="26"/>
    <tableColumn id="2" name="PREDUZEĆE" dataDxfId="25"/>
    <tableColumn id="3" name="IZNOS" dataDxfId="24"/>
    <tableColumn id="4" name="PLANIRANO" dataDxfId="23"/>
    <tableColumn id="5" name="TROŠKOVI" dataDxfId="22"/>
    <tableColumn id="16" name="PRIHOD" dataDxfId="21">
      <calculatedColumnFormula>tblData[[#This Row],[IZNOS]]-tblData[[#This Row],[TROŠKOVI]]</calculatedColumnFormula>
    </tableColumn>
    <tableColumn id="6" name="MESEC:" dataDxfId="20">
      <calculatedColumnFormula>DATE(YEAR('Unos podataka'!$B6),MONTH('Unos podataka'!$B6),1)</calculatedColumnFormula>
    </tableColumn>
    <tableColumn id="7" name="KVARTAL" dataDxfId="19">
      <calculatedColumnFormula>LOOKUP(MONTH('Unos podataka'!$H6),{1,1;2,1;3,1;4,2;5,2;6,2;7,3;8,3;9,3;10,4;11,4;12,4})</calculatedColumnFormula>
    </tableColumn>
    <tableColumn id="8" name="GODINA" dataDxfId="18">
      <calculatedColumnFormula>YEAR('Unos podataka'!$B6)</calculatedColumnFormula>
    </tableColumn>
    <tableColumn id="12" name="MESEC:2" dataDxfId="17">
      <calculatedColumnFormula>MONTH(tblData[[#This Row],[DATUM]])</calculatedColumnFormula>
    </tableColumn>
    <tableColumn id="9" name="KVARTAL3" dataDxfId="16">
      <calculatedColumnFormula>SUMIFS(tblData[IZNOS],tblData[DATUM],"&gt;="&amp;EOMONTH(tblData[[#This Row],[DATUM]],-1)+1,tblData[DATUM],"&lt;="&amp;EOMONTH(tblData[[#This Row],[DATUM]],0))</calculatedColumnFormula>
    </tableColumn>
    <tableColumn id="10" name="GODIŠNJE" dataDxfId="15">
      <calculatedColumnFormula>SUMIFS(tblData[IZNOS],tblData[DATUM],"&gt;="&amp;DATE(YEAR(tblData[[#This Row],[DATUM]]),1,1),tblData[DATUM],"&lt;="&amp;DATE(YEAR(tblData[[#This Row],[DATUM]]),12,31),tblData[KVARTAL],tblData[[#This Row],[KVARTAL]])</calculatedColumnFormula>
    </tableColumn>
    <tableColumn id="11" name="MESEC" dataDxfId="14">
      <calculatedColumnFormula>SUMIFS(tblData[IZNOS],tblData[DATUM],"&gt;="&amp;DATE(YEAR(tblData[[#This Row],[DATUM]]),1,1),tblData[DATUM],"&lt;="&amp;DATE(YEAR(tblData[[#This Row],[DATUM]]),12,31))</calculatedColumnFormula>
    </tableColumn>
    <tableColumn id="13" name="KVARTAL4" dataDxfId="13">
      <calculatedColumnFormula>IFERROR(TREND($L$6:INDEX($L:$L,ROW(),1),$K$6:INDEX($K:$K,ROW(),1),IF(MONTH(tblData[[#This Row],[DATUM]])=12,13,MONTH(tblData[[#This Row],[DATUM]])+1)),"")</calculatedColumnFormula>
    </tableColumn>
    <tableColumn id="14" name="GODINA " dataDxfId="12">
      <calculatedColumnFormula>IFERROR(TREND($M$6:INDEX($M:$M,ROW(),1),$I$6:INDEX($I:$I,ROW(),1),IF(tblData[[#This Row],[KVARTAL]]=4,5,tblData[[#This Row],[KVARTAL]]+1)),"")</calculatedColumnFormula>
    </tableColumn>
    <tableColumn id="15" name="GODINA 5" dataDxfId="11">
      <calculatedColumnFormula>IFERROR(TREND($N$6:INDEX($N:$N,ROW(),1),$J$6:INDEX($J:$J,ROW(),1),tblData[[#This Row],[GODINA]]+1),"")</calculatedColumnFormula>
    </tableColumn>
  </tableColumns>
  <tableStyleInfo name="Monthly Sales Report Table Style" showFirstColumn="0" showLastColumn="0" showRowStripes="0" showColumnStripes="0"/>
  <extLst>
    <ext xmlns:x14="http://schemas.microsoft.com/office/spreadsheetml/2009/9/main" uri="{504A1905-F514-4f6f-8877-14C23A59335A}">
      <x14:table altText="Tabela za unos mesečnih podataka" altTextSummary="Unesite mesečne podatke u ovu tabelu, na primer datum, preduzeće, iznos, planirano, troškove, prihod, mesec, kvartal i godinu. Biće izračunati trenutni i predviđeni podaci."/>
    </ext>
  </extLst>
</table>
</file>

<file path=xl/theme/theme1.xml><?xml version="1.0" encoding="utf-8"?>
<a:theme xmlns:a="http://schemas.openxmlformats.org/drawingml/2006/main" name="Office Theme">
  <a:themeElements>
    <a:clrScheme name="Monthly Sales Report">
      <a:dk1>
        <a:srgbClr val="000000"/>
      </a:dk1>
      <a:lt1>
        <a:srgbClr val="FFFFFF"/>
      </a:lt1>
      <a:dk2>
        <a:srgbClr val="4E4F4B"/>
      </a:dk2>
      <a:lt2>
        <a:srgbClr val="EAEBEA"/>
      </a:lt2>
      <a:accent1>
        <a:srgbClr val="83BA96"/>
      </a:accent1>
      <a:accent2>
        <a:srgbClr val="D18A4E"/>
      </a:accent2>
      <a:accent3>
        <a:srgbClr val="977974"/>
      </a:accent3>
      <a:accent4>
        <a:srgbClr val="CFA94E"/>
      </a:accent4>
      <a:accent5>
        <a:srgbClr val="7596A9"/>
      </a:accent5>
      <a:accent6>
        <a:srgbClr val="A46675"/>
      </a:accent6>
      <a:hlink>
        <a:srgbClr val="7596A9"/>
      </a:hlink>
      <a:folHlink>
        <a:srgbClr val="A46675"/>
      </a:folHlink>
    </a:clrScheme>
    <a:fontScheme name="Monthly Sales Report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Q24"/>
  <sheetViews>
    <sheetView showGridLines="0" tabSelected="1" zoomScaleNormal="100" workbookViewId="0"/>
  </sheetViews>
  <sheetFormatPr defaultRowHeight="17.25" customHeight="1" x14ac:dyDescent="0.2"/>
  <cols>
    <col min="1" max="1" width="2" style="3" customWidth="1"/>
    <col min="2" max="2" width="12.1640625" style="3" customWidth="1"/>
    <col min="3" max="3" width="27.1640625" style="3" customWidth="1"/>
    <col min="4" max="4" width="15.6640625" style="3" customWidth="1"/>
    <col min="5" max="5" width="16.6640625" style="3" customWidth="1"/>
    <col min="6" max="6" width="12.83203125" style="3" customWidth="1"/>
    <col min="7" max="7" width="16.83203125" style="3" customWidth="1"/>
    <col min="8" max="8" width="14.33203125" style="3" customWidth="1"/>
    <col min="9" max="9" width="17.5" style="3" customWidth="1"/>
    <col min="10" max="10" width="13.6640625" style="3" customWidth="1"/>
    <col min="11" max="11" width="0.1640625" style="3" customWidth="1"/>
    <col min="12" max="12" width="15.6640625" style="3" customWidth="1"/>
    <col min="13" max="13" width="16.33203125" style="3" customWidth="1"/>
    <col min="14" max="14" width="16.83203125" style="3" customWidth="1"/>
    <col min="15" max="15" width="14" style="3" customWidth="1"/>
    <col min="16" max="16" width="16.6640625" style="3" customWidth="1"/>
    <col min="17" max="17" width="17.1640625" style="3" customWidth="1"/>
    <col min="18" max="16384" width="9.33203125" style="3"/>
  </cols>
  <sheetData>
    <row r="1" spans="2:17" customFormat="1" ht="11.25" customHeight="1" x14ac:dyDescent="0.2">
      <c r="J1">
        <f>365*2</f>
        <v>730</v>
      </c>
    </row>
    <row r="2" spans="2:17" customFormat="1" ht="33.75" customHeight="1" x14ac:dyDescent="0.2">
      <c r="B2" s="2" t="s">
        <v>14</v>
      </c>
    </row>
    <row r="3" spans="2:17" customFormat="1" ht="17.25" customHeight="1" x14ac:dyDescent="0.2">
      <c r="I3" s="56"/>
      <c r="L3" s="22" t="s">
        <v>28</v>
      </c>
      <c r="M3" s="6"/>
      <c r="N3" s="6"/>
      <c r="O3" s="22" t="s">
        <v>27</v>
      </c>
      <c r="P3" s="6"/>
      <c r="Q3" s="6"/>
    </row>
    <row r="4" spans="2:17" customFormat="1" ht="11.25" customHeight="1" x14ac:dyDescent="0.2">
      <c r="L4" s="23"/>
      <c r="M4" s="24"/>
      <c r="N4" s="25"/>
      <c r="O4" s="23"/>
      <c r="P4" s="24"/>
      <c r="Q4" s="25"/>
    </row>
    <row r="5" spans="2:17" ht="17.25" customHeight="1" x14ac:dyDescent="0.2">
      <c r="B5" s="42" t="s">
        <v>21</v>
      </c>
      <c r="C5" s="42" t="s">
        <v>22</v>
      </c>
      <c r="D5" s="34" t="s">
        <v>23</v>
      </c>
      <c r="E5" s="34" t="s">
        <v>24</v>
      </c>
      <c r="F5" s="34" t="s">
        <v>25</v>
      </c>
      <c r="G5" s="34" t="s">
        <v>26</v>
      </c>
      <c r="H5" s="34" t="s">
        <v>15</v>
      </c>
      <c r="I5" s="34" t="s">
        <v>16</v>
      </c>
      <c r="J5" s="34" t="s">
        <v>18</v>
      </c>
      <c r="K5" s="34" t="s">
        <v>47</v>
      </c>
      <c r="L5" s="34" t="s">
        <v>48</v>
      </c>
      <c r="M5" s="34" t="s">
        <v>17</v>
      </c>
      <c r="N5" s="34" t="s">
        <v>19</v>
      </c>
      <c r="O5" s="34" t="s">
        <v>49</v>
      </c>
      <c r="P5" s="34" t="s">
        <v>20</v>
      </c>
      <c r="Q5" s="34" t="s">
        <v>50</v>
      </c>
    </row>
    <row r="6" spans="2:17" ht="17.25" customHeight="1" x14ac:dyDescent="0.2">
      <c r="B6" s="43">
        <f>40657+(365*2)</f>
        <v>41387</v>
      </c>
      <c r="C6" s="4" t="s">
        <v>0</v>
      </c>
      <c r="D6" s="47">
        <v>6400</v>
      </c>
      <c r="E6" s="47">
        <v>6200</v>
      </c>
      <c r="F6" s="47">
        <v>4450</v>
      </c>
      <c r="G6" s="48">
        <f>tblData[[#This Row],[IZNOS]]-tblData[[#This Row],[TROŠKOVI]]</f>
        <v>1950</v>
      </c>
      <c r="H6" s="5">
        <f>DATE(YEAR('Unos podataka'!$B6),MONTH('Unos podataka'!$B6),1)</f>
        <v>41365</v>
      </c>
      <c r="I6" s="57">
        <f>LOOKUP(MONTH('Unos podataka'!$H6),{1,1;2,1;3,1;4,2;5,2;6,2;7,3;8,3;9,3;10,4;11,4;12,4})</f>
        <v>2</v>
      </c>
      <c r="J6" s="7">
        <f>YEAR('Unos podataka'!$B6)</f>
        <v>2013</v>
      </c>
      <c r="K6" s="8">
        <f>MONTH(tblData[[#This Row],[DATUM]])</f>
        <v>4</v>
      </c>
      <c r="L6" s="45">
        <f>SUMIFS(tblData[IZNOS],tblData[DATUM],"&gt;="&amp;EOMONTH(tblData[[#This Row],[DATUM]],-1)+1,tblData[DATUM],"&lt;="&amp;EOMONTH(tblData[[#This Row],[DATUM]],0))</f>
        <v>14600</v>
      </c>
      <c r="M6" s="45">
        <f>SUMIFS(tblData[IZNOS],tblData[DATUM],"&gt;="&amp;DATE(YEAR(tblData[[#This Row],[DATUM]]),1,1),tblData[DATUM],"&lt;="&amp;DATE(YEAR(tblData[[#This Row],[DATUM]]),12,31),tblData[KVARTAL],tblData[[#This Row],[KVARTAL]])</f>
        <v>50800</v>
      </c>
      <c r="N6" s="45">
        <f>SUMIFS(tblData[IZNOS],tblData[DATUM],"&gt;="&amp;DATE(YEAR(tblData[[#This Row],[DATUM]]),1,1),tblData[DATUM],"&lt;="&amp;DATE(YEAR(tblData[[#This Row],[DATUM]]),12,31))</f>
        <v>143800</v>
      </c>
      <c r="O6" s="46">
        <f>IFERROR(TREND($L$6:INDEX($L:$L,ROW(),1),$K$6:INDEX($K:$K,ROW(),1),IF(MONTH(tblData[[#This Row],[DATUM]])=12,13,MONTH(tblData[[#This Row],[DATUM]])+1)),"")</f>
        <v>14600</v>
      </c>
      <c r="P6" s="46">
        <f>IFERROR(TREND($M$6:INDEX($M:$M,ROW(),1),$I$6:INDEX($I:$I,ROW(),1),IF(tblData[[#This Row],[KVARTAL]]=4,5,tblData[[#This Row],[KVARTAL]]+1)),"")</f>
        <v>50800</v>
      </c>
      <c r="Q6" s="46">
        <f>IFERROR(TREND($N$6:INDEX($N:$N,ROW(),1),$J$6:INDEX($J:$J,ROW(),1),tblData[[#This Row],[GODINA]]+1),"")</f>
        <v>143800</v>
      </c>
    </row>
    <row r="7" spans="2:17" ht="17.25" customHeight="1" x14ac:dyDescent="0.2">
      <c r="B7" s="43">
        <f>40659+(365*2)</f>
        <v>41389</v>
      </c>
      <c r="C7" s="4" t="s">
        <v>1</v>
      </c>
      <c r="D7" s="47">
        <v>8200</v>
      </c>
      <c r="E7" s="47">
        <v>8000</v>
      </c>
      <c r="F7" s="47">
        <v>6400</v>
      </c>
      <c r="G7" s="48">
        <f>tblData[[#This Row],[IZNOS]]-tblData[[#This Row],[TROŠKOVI]]</f>
        <v>1800</v>
      </c>
      <c r="H7" s="5">
        <f>DATE(YEAR('Unos podataka'!$B7),MONTH('Unos podataka'!$B7),1)</f>
        <v>41365</v>
      </c>
      <c r="I7" s="57">
        <f>LOOKUP(MONTH('Unos podataka'!$H7),{1,1;2,1;3,1;4,2;5,2;6,2;7,3;8,3;9,3;10,4;11,4;12,4})</f>
        <v>2</v>
      </c>
      <c r="J7" s="7">
        <f>YEAR('Unos podataka'!$B7)</f>
        <v>2013</v>
      </c>
      <c r="K7" s="8">
        <f>MONTH(tblData[[#This Row],[DATUM]])</f>
        <v>4</v>
      </c>
      <c r="L7" s="45">
        <f>SUMIFS(tblData[IZNOS],tblData[DATUM],"&gt;="&amp;EOMONTH(tblData[[#This Row],[DATUM]],-1)+1,tblData[DATUM],"&lt;="&amp;EOMONTH(tblData[[#This Row],[DATUM]],0))</f>
        <v>14600</v>
      </c>
      <c r="M7" s="45">
        <f>SUMIFS(tblData[IZNOS],tblData[DATUM],"&gt;="&amp;DATE(YEAR(tblData[[#This Row],[DATUM]]),1,1),tblData[DATUM],"&lt;="&amp;DATE(YEAR(tblData[[#This Row],[DATUM]]),12,31),tblData[KVARTAL],tblData[[#This Row],[KVARTAL]])</f>
        <v>50800</v>
      </c>
      <c r="N7" s="45">
        <f>SUMIFS(tblData[IZNOS],tblData[DATUM],"&gt;="&amp;DATE(YEAR(tblData[[#This Row],[DATUM]]),1,1),tblData[DATUM],"&lt;="&amp;DATE(YEAR(tblData[[#This Row],[DATUM]]),12,31))</f>
        <v>143800</v>
      </c>
      <c r="O7" s="46">
        <f>IFERROR(TREND($L$6:INDEX($L:$L,ROW(),1),$K$6:INDEX($K:$K,ROW(),1),IF(MONTH(tblData[[#This Row],[DATUM]])=12,13,MONTH(tblData[[#This Row],[DATUM]])+1)),"")</f>
        <v>14600</v>
      </c>
      <c r="P7" s="46">
        <f>IFERROR(TREND($M$6:INDEX($M:$M,ROW(),1),$I$6:INDEX($I:$I,ROW(),1),IF(tblData[[#This Row],[KVARTAL]]=4,5,tblData[[#This Row],[KVARTAL]]+1)),"")</f>
        <v>50800</v>
      </c>
      <c r="Q7" s="46">
        <f>IFERROR(TREND($N$6:INDEX($N:$N,ROW(),1),$J$6:INDEX($J:$J,ROW(),1),tblData[[#This Row],[GODINA]]+1),"")</f>
        <v>143800</v>
      </c>
    </row>
    <row r="8" spans="2:17" ht="17.25" customHeight="1" x14ac:dyDescent="0.2">
      <c r="B8" s="43">
        <f>40671+(365*2)</f>
        <v>41401</v>
      </c>
      <c r="C8" s="4" t="s">
        <v>2</v>
      </c>
      <c r="D8" s="47">
        <v>4400</v>
      </c>
      <c r="E8" s="47">
        <v>4200</v>
      </c>
      <c r="F8" s="47">
        <v>2600</v>
      </c>
      <c r="G8" s="48">
        <f>tblData[[#This Row],[IZNOS]]-tblData[[#This Row],[TROŠKOVI]]</f>
        <v>1800</v>
      </c>
      <c r="H8" s="5">
        <f>DATE(YEAR('Unos podataka'!$B8),MONTH('Unos podataka'!$B8),1)</f>
        <v>41395</v>
      </c>
      <c r="I8" s="57">
        <f>LOOKUP(MONTH('Unos podataka'!$H8),{1,1;2,1;3,1;4,2;5,2;6,2;7,3;8,3;9,3;10,4;11,4;12,4})</f>
        <v>2</v>
      </c>
      <c r="J8" s="7">
        <f>YEAR('Unos podataka'!$B8)</f>
        <v>2013</v>
      </c>
      <c r="K8" s="8">
        <f>MONTH(tblData[[#This Row],[DATUM]])</f>
        <v>5</v>
      </c>
      <c r="L8" s="45">
        <f>SUMIFS(tblData[IZNOS],tblData[DATUM],"&gt;="&amp;EOMONTH(tblData[[#This Row],[DATUM]],-1)+1,tblData[DATUM],"&lt;="&amp;EOMONTH(tblData[[#This Row],[DATUM]],0))</f>
        <v>21800</v>
      </c>
      <c r="M8" s="45">
        <f>SUMIFS(tblData[IZNOS],tblData[DATUM],"&gt;="&amp;DATE(YEAR(tblData[[#This Row],[DATUM]]),1,1),tblData[DATUM],"&lt;="&amp;DATE(YEAR(tblData[[#This Row],[DATUM]]),12,31),tblData[KVARTAL],tblData[[#This Row],[KVARTAL]])</f>
        <v>50800</v>
      </c>
      <c r="N8" s="45">
        <f>SUMIFS(tblData[IZNOS],tblData[DATUM],"&gt;="&amp;DATE(YEAR(tblData[[#This Row],[DATUM]]),1,1),tblData[DATUM],"&lt;="&amp;DATE(YEAR(tblData[[#This Row],[DATUM]]),12,31))</f>
        <v>143800</v>
      </c>
      <c r="O8" s="46">
        <f>IFERROR(TREND($L$6:INDEX($L:$L,ROW(),1),$K$6:INDEX($K:$K,ROW(),1),IF(MONTH(tblData[[#This Row],[DATUM]])=12,13,MONTH(tblData[[#This Row],[DATUM]])+1)),"")</f>
        <v>28999.999999999996</v>
      </c>
      <c r="P8" s="46">
        <f>IFERROR(TREND($M$6:INDEX($M:$M,ROW(),1),$I$6:INDEX($I:$I,ROW(),1),IF(tblData[[#This Row],[KVARTAL]]=4,5,tblData[[#This Row],[KVARTAL]]+1)),"")</f>
        <v>50800</v>
      </c>
      <c r="Q8" s="46">
        <f>IFERROR(TREND($N$6:INDEX($N:$N,ROW(),1),$J$6:INDEX($J:$J,ROW(),1),tblData[[#This Row],[GODINA]]+1),"")</f>
        <v>143800</v>
      </c>
    </row>
    <row r="9" spans="2:17" ht="17.25" customHeight="1" x14ac:dyDescent="0.2">
      <c r="B9" s="43">
        <f>40678+(365*2)</f>
        <v>41408</v>
      </c>
      <c r="C9" s="4" t="s">
        <v>3</v>
      </c>
      <c r="D9" s="47">
        <v>5400</v>
      </c>
      <c r="E9" s="47">
        <v>5500</v>
      </c>
      <c r="F9" s="47">
        <v>4500</v>
      </c>
      <c r="G9" s="48">
        <f>tblData[[#This Row],[IZNOS]]-tblData[[#This Row],[TROŠKOVI]]</f>
        <v>900</v>
      </c>
      <c r="H9" s="5">
        <f>DATE(YEAR('Unos podataka'!$B9),MONTH('Unos podataka'!$B9),1)</f>
        <v>41395</v>
      </c>
      <c r="I9" s="57">
        <f>LOOKUP(MONTH('Unos podataka'!$H9),{1,1;2,1;3,1;4,2;5,2;6,2;7,3;8,3;9,3;10,4;11,4;12,4})</f>
        <v>2</v>
      </c>
      <c r="J9" s="7">
        <f>YEAR('Unos podataka'!$B9)</f>
        <v>2013</v>
      </c>
      <c r="K9" s="8">
        <f>MONTH(tblData[[#This Row],[DATUM]])</f>
        <v>5</v>
      </c>
      <c r="L9" s="45">
        <f>SUMIFS(tblData[IZNOS],tblData[DATUM],"&gt;="&amp;EOMONTH(tblData[[#This Row],[DATUM]],-1)+1,tblData[DATUM],"&lt;="&amp;EOMONTH(tblData[[#This Row],[DATUM]],0))</f>
        <v>21800</v>
      </c>
      <c r="M9" s="45">
        <f>SUMIFS(tblData[IZNOS],tblData[DATUM],"&gt;="&amp;DATE(YEAR(tblData[[#This Row],[DATUM]]),1,1),tblData[DATUM],"&lt;="&amp;DATE(YEAR(tblData[[#This Row],[DATUM]]),12,31),tblData[KVARTAL],tblData[[#This Row],[KVARTAL]])</f>
        <v>50800</v>
      </c>
      <c r="N9" s="45">
        <f>SUMIFS(tblData[IZNOS],tblData[DATUM],"&gt;="&amp;DATE(YEAR(tblData[[#This Row],[DATUM]]),1,1),tblData[DATUM],"&lt;="&amp;DATE(YEAR(tblData[[#This Row],[DATUM]]),12,31))</f>
        <v>143800</v>
      </c>
      <c r="O9" s="46">
        <f>IFERROR(TREND($L$6:INDEX($L:$L,ROW(),1),$K$6:INDEX($K:$K,ROW(),1),IF(MONTH(tblData[[#This Row],[DATUM]])=12,13,MONTH(tblData[[#This Row],[DATUM]])+1)),"")</f>
        <v>29000</v>
      </c>
      <c r="P9" s="46">
        <f>IFERROR(TREND($M$6:INDEX($M:$M,ROW(),1),$I$6:INDEX($I:$I,ROW(),1),IF(tblData[[#This Row],[KVARTAL]]=4,5,tblData[[#This Row],[KVARTAL]]+1)),"")</f>
        <v>50800</v>
      </c>
      <c r="Q9" s="46">
        <f>IFERROR(TREND($N$6:INDEX($N:$N,ROW(),1),$J$6:INDEX($J:$J,ROW(),1),tblData[[#This Row],[GODINA]]+1),"")</f>
        <v>143800</v>
      </c>
    </row>
    <row r="10" spans="2:17" ht="17.25" customHeight="1" x14ac:dyDescent="0.2">
      <c r="B10" s="43">
        <f>40678+(365*2)</f>
        <v>41408</v>
      </c>
      <c r="C10" s="4" t="s">
        <v>4</v>
      </c>
      <c r="D10" s="47">
        <v>5800</v>
      </c>
      <c r="E10" s="47">
        <v>6000</v>
      </c>
      <c r="F10" s="47">
        <v>4500</v>
      </c>
      <c r="G10" s="48">
        <f>tblData[[#This Row],[IZNOS]]-tblData[[#This Row],[TROŠKOVI]]</f>
        <v>1300</v>
      </c>
      <c r="H10" s="5">
        <f>DATE(YEAR('Unos podataka'!$B10),MONTH('Unos podataka'!$B10),1)</f>
        <v>41395</v>
      </c>
      <c r="I10" s="57">
        <f>LOOKUP(MONTH('Unos podataka'!$H10),{1,1;2,1;3,1;4,2;5,2;6,2;7,3;8,3;9,3;10,4;11,4;12,4})</f>
        <v>2</v>
      </c>
      <c r="J10" s="7">
        <f>YEAR('Unos podataka'!$B10)</f>
        <v>2013</v>
      </c>
      <c r="K10" s="8">
        <f>MONTH(tblData[[#This Row],[DATUM]])</f>
        <v>5</v>
      </c>
      <c r="L10" s="45">
        <f>SUMIFS(tblData[IZNOS],tblData[DATUM],"&gt;="&amp;EOMONTH(tblData[[#This Row],[DATUM]],-1)+1,tblData[DATUM],"&lt;="&amp;EOMONTH(tblData[[#This Row],[DATUM]],0))</f>
        <v>21800</v>
      </c>
      <c r="M10" s="45">
        <f>SUMIFS(tblData[IZNOS],tblData[DATUM],"&gt;="&amp;DATE(YEAR(tblData[[#This Row],[DATUM]]),1,1),tblData[DATUM],"&lt;="&amp;DATE(YEAR(tblData[[#This Row],[DATUM]]),12,31),tblData[KVARTAL],tblData[[#This Row],[KVARTAL]])</f>
        <v>50800</v>
      </c>
      <c r="N10" s="45">
        <f>SUMIFS(tblData[IZNOS],tblData[DATUM],"&gt;="&amp;DATE(YEAR(tblData[[#This Row],[DATUM]]),1,1),tblData[DATUM],"&lt;="&amp;DATE(YEAR(tblData[[#This Row],[DATUM]]),12,31))</f>
        <v>143800</v>
      </c>
      <c r="O10" s="46">
        <f>IFERROR(TREND($L$6:INDEX($L:$L,ROW(),1),$K$6:INDEX($K:$K,ROW(),1),IF(MONTH(tblData[[#This Row],[DATUM]])=12,13,MONTH(tblData[[#This Row],[DATUM]])+1)),"")</f>
        <v>29000</v>
      </c>
      <c r="P10" s="46">
        <f>IFERROR(TREND($M$6:INDEX($M:$M,ROW(),1),$I$6:INDEX($I:$I,ROW(),1),IF(tblData[[#This Row],[KVARTAL]]=4,5,tblData[[#This Row],[KVARTAL]]+1)),"")</f>
        <v>50800</v>
      </c>
      <c r="Q10" s="46">
        <f>IFERROR(TREND($N$6:INDEX($N:$N,ROW(),1),$J$6:INDEX($J:$J,ROW(),1),tblData[[#This Row],[GODINA]]+1),"")</f>
        <v>143800</v>
      </c>
    </row>
    <row r="11" spans="2:17" ht="17.25" customHeight="1" x14ac:dyDescent="0.2">
      <c r="B11" s="43">
        <f>40693+(365*2)</f>
        <v>41423</v>
      </c>
      <c r="C11" s="4" t="s">
        <v>5</v>
      </c>
      <c r="D11" s="47">
        <v>6200</v>
      </c>
      <c r="E11" s="47">
        <v>6000</v>
      </c>
      <c r="F11" s="47">
        <v>4500</v>
      </c>
      <c r="G11" s="48">
        <f>tblData[[#This Row],[IZNOS]]-tblData[[#This Row],[TROŠKOVI]]</f>
        <v>1700</v>
      </c>
      <c r="H11" s="5">
        <f>DATE(YEAR('Unos podataka'!$B11),MONTH('Unos podataka'!$B11),1)</f>
        <v>41395</v>
      </c>
      <c r="I11" s="57">
        <f>LOOKUP(MONTH('Unos podataka'!$H11),{1,1;2,1;3,1;4,2;5,2;6,2;7,3;8,3;9,3;10,4;11,4;12,4})</f>
        <v>2</v>
      </c>
      <c r="J11" s="7">
        <f>YEAR('Unos podataka'!$B11)</f>
        <v>2013</v>
      </c>
      <c r="K11" s="8">
        <f>MONTH(tblData[[#This Row],[DATUM]])</f>
        <v>5</v>
      </c>
      <c r="L11" s="45">
        <f>SUMIFS(tblData[IZNOS],tblData[DATUM],"&gt;="&amp;EOMONTH(tblData[[#This Row],[DATUM]],-1)+1,tblData[DATUM],"&lt;="&amp;EOMONTH(tblData[[#This Row],[DATUM]],0))</f>
        <v>21800</v>
      </c>
      <c r="M11" s="45">
        <f>SUMIFS(tblData[IZNOS],tblData[DATUM],"&gt;="&amp;DATE(YEAR(tblData[[#This Row],[DATUM]]),1,1),tblData[DATUM],"&lt;="&amp;DATE(YEAR(tblData[[#This Row],[DATUM]]),12,31),tblData[KVARTAL],tblData[[#This Row],[KVARTAL]])</f>
        <v>50800</v>
      </c>
      <c r="N11" s="45">
        <f>SUMIFS(tblData[IZNOS],tblData[DATUM],"&gt;="&amp;DATE(YEAR(tblData[[#This Row],[DATUM]]),1,1),tblData[DATUM],"&lt;="&amp;DATE(YEAR(tblData[[#This Row],[DATUM]]),12,31))</f>
        <v>143800</v>
      </c>
      <c r="O11" s="46">
        <f>IFERROR(TREND($L$6:INDEX($L:$L,ROW(),1),$K$6:INDEX($K:$K,ROW(),1),IF(MONTH(tblData[[#This Row],[DATUM]])=12,13,MONTH(tblData[[#This Row],[DATUM]])+1)),"")</f>
        <v>29000</v>
      </c>
      <c r="P11" s="46">
        <f>IFERROR(TREND($M$6:INDEX($M:$M,ROW(),1),$I$6:INDEX($I:$I,ROW(),1),IF(tblData[[#This Row],[KVARTAL]]=4,5,tblData[[#This Row],[KVARTAL]]+1)),"")</f>
        <v>50800</v>
      </c>
      <c r="Q11" s="46">
        <f>IFERROR(TREND($N$6:INDEX($N:$N,ROW(),1),$J$6:INDEX($J:$J,ROW(),1),tblData[[#This Row],[GODINA]]+1),"")</f>
        <v>143800</v>
      </c>
    </row>
    <row r="12" spans="2:17" ht="17.25" customHeight="1" x14ac:dyDescent="0.2">
      <c r="B12" s="43">
        <f>40705+(365*2)</f>
        <v>41435</v>
      </c>
      <c r="C12" s="4" t="s">
        <v>0</v>
      </c>
      <c r="D12" s="47">
        <v>6900</v>
      </c>
      <c r="E12" s="47">
        <v>7500</v>
      </c>
      <c r="F12" s="47">
        <v>5400</v>
      </c>
      <c r="G12" s="48">
        <f>tblData[[#This Row],[IZNOS]]-tblData[[#This Row],[TROŠKOVI]]</f>
        <v>1500</v>
      </c>
      <c r="H12" s="5">
        <f>DATE(YEAR('Unos podataka'!$B12),MONTH('Unos podataka'!$B12),1)</f>
        <v>41426</v>
      </c>
      <c r="I12" s="57">
        <f>LOOKUP(MONTH('Unos podataka'!$H12),{1,1;2,1;3,1;4,2;5,2;6,2;7,3;8,3;9,3;10,4;11,4;12,4})</f>
        <v>2</v>
      </c>
      <c r="J12" s="7">
        <f>YEAR('Unos podataka'!$B12)</f>
        <v>2013</v>
      </c>
      <c r="K12" s="8">
        <f>MONTH(tblData[[#This Row],[DATUM]])</f>
        <v>6</v>
      </c>
      <c r="L12" s="45">
        <f>SUMIFS(tblData[IZNOS],tblData[DATUM],"&gt;="&amp;EOMONTH(tblData[[#This Row],[DATUM]],-1)+1,tblData[DATUM],"&lt;="&amp;EOMONTH(tblData[[#This Row],[DATUM]],0))</f>
        <v>14400</v>
      </c>
      <c r="M12" s="45">
        <f>SUMIFS(tblData[IZNOS],tblData[DATUM],"&gt;="&amp;DATE(YEAR(tblData[[#This Row],[DATUM]]),1,1),tblData[DATUM],"&lt;="&amp;DATE(YEAR(tblData[[#This Row],[DATUM]]),12,31),tblData[KVARTAL],tblData[[#This Row],[KVARTAL]])</f>
        <v>50800</v>
      </c>
      <c r="N12" s="45">
        <f>SUMIFS(tblData[IZNOS],tblData[DATUM],"&gt;="&amp;DATE(YEAR(tblData[[#This Row],[DATUM]]),1,1),tblData[DATUM],"&lt;="&amp;DATE(YEAR(tblData[[#This Row],[DATUM]]),12,31))</f>
        <v>143800</v>
      </c>
      <c r="O12" s="46">
        <f>IFERROR(TREND($L$6:INDEX($L:$L,ROW(),1),$K$6:INDEX($K:$K,ROW(),1),IF(MONTH(tblData[[#This Row],[DATUM]])=12,13,MONTH(tblData[[#This Row],[DATUM]])+1)),"")</f>
        <v>21600.000000000004</v>
      </c>
      <c r="P12" s="46">
        <f>IFERROR(TREND($M$6:INDEX($M:$M,ROW(),1),$I$6:INDEX($I:$I,ROW(),1),IF(tblData[[#This Row],[KVARTAL]]=4,5,tblData[[#This Row],[KVARTAL]]+1)),"")</f>
        <v>50800</v>
      </c>
      <c r="Q12" s="46">
        <f>IFERROR(TREND($N$6:INDEX($N:$N,ROW(),1),$J$6:INDEX($J:$J,ROW(),1),tblData[[#This Row],[GODINA]]+1),"")</f>
        <v>143800</v>
      </c>
    </row>
    <row r="13" spans="2:17" ht="17.25" customHeight="1" x14ac:dyDescent="0.2">
      <c r="B13" s="43">
        <f>40716+(365*2)</f>
        <v>41446</v>
      </c>
      <c r="C13" s="4" t="s">
        <v>1</v>
      </c>
      <c r="D13" s="47">
        <v>7500</v>
      </c>
      <c r="E13" s="47">
        <v>7200</v>
      </c>
      <c r="F13" s="47">
        <v>6500</v>
      </c>
      <c r="G13" s="48">
        <f>tblData[[#This Row],[IZNOS]]-tblData[[#This Row],[TROŠKOVI]]</f>
        <v>1000</v>
      </c>
      <c r="H13" s="5">
        <f>DATE(YEAR('Unos podataka'!$B13),MONTH('Unos podataka'!$B13),1)</f>
        <v>41426</v>
      </c>
      <c r="I13" s="57">
        <f>LOOKUP(MONTH('Unos podataka'!$H13),{1,1;2,1;3,1;4,2;5,2;6,2;7,3;8,3;9,3;10,4;11,4;12,4})</f>
        <v>2</v>
      </c>
      <c r="J13" s="7">
        <f>YEAR('Unos podataka'!$B13)</f>
        <v>2013</v>
      </c>
      <c r="K13" s="8">
        <f>MONTH(tblData[[#This Row],[DATUM]])</f>
        <v>6</v>
      </c>
      <c r="L13" s="45">
        <f>SUMIFS(tblData[IZNOS],tblData[DATUM],"&gt;="&amp;EOMONTH(tblData[[#This Row],[DATUM]],-1)+1,tblData[DATUM],"&lt;="&amp;EOMONTH(tblData[[#This Row],[DATUM]],0))</f>
        <v>14400</v>
      </c>
      <c r="M13" s="45">
        <f>SUMIFS(tblData[IZNOS],tblData[DATUM],"&gt;="&amp;DATE(YEAR(tblData[[#This Row],[DATUM]]),1,1),tblData[DATUM],"&lt;="&amp;DATE(YEAR(tblData[[#This Row],[DATUM]]),12,31),tblData[KVARTAL],tblData[[#This Row],[KVARTAL]])</f>
        <v>50800</v>
      </c>
      <c r="N13" s="45">
        <f>SUMIFS(tblData[IZNOS],tblData[DATUM],"&gt;="&amp;DATE(YEAR(tblData[[#This Row],[DATUM]]),1,1),tblData[DATUM],"&lt;="&amp;DATE(YEAR(tblData[[#This Row],[DATUM]]),12,31))</f>
        <v>143800</v>
      </c>
      <c r="O13" s="46">
        <f>IFERROR(TREND($L$6:INDEX($L:$L,ROW(),1),$K$6:INDEX($K:$K,ROW(),1),IF(MONTH(tblData[[#This Row],[DATUM]])=12,13,MONTH(tblData[[#This Row],[DATUM]])+1)),"")</f>
        <v>17950</v>
      </c>
      <c r="P13" s="46">
        <f>IFERROR(TREND($M$6:INDEX($M:$M,ROW(),1),$I$6:INDEX($I:$I,ROW(),1),IF(tblData[[#This Row],[KVARTAL]]=4,5,tblData[[#This Row],[KVARTAL]]+1)),"")</f>
        <v>50800</v>
      </c>
      <c r="Q13" s="46">
        <f>IFERROR(TREND($N$6:INDEX($N:$N,ROW(),1),$J$6:INDEX($J:$J,ROW(),1),tblData[[#This Row],[GODINA]]+1),"")</f>
        <v>143800</v>
      </c>
    </row>
    <row r="14" spans="2:17" ht="17.25" customHeight="1" x14ac:dyDescent="0.2">
      <c r="B14" s="43">
        <f>40731+(365*2)</f>
        <v>41461</v>
      </c>
      <c r="C14" s="4" t="s">
        <v>2</v>
      </c>
      <c r="D14" s="47">
        <v>8700</v>
      </c>
      <c r="E14" s="47">
        <v>8500</v>
      </c>
      <c r="F14" s="47">
        <v>7250</v>
      </c>
      <c r="G14" s="48">
        <f>tblData[[#This Row],[IZNOS]]-tblData[[#This Row],[TROŠKOVI]]</f>
        <v>1450</v>
      </c>
      <c r="H14" s="5">
        <f>DATE(YEAR('Unos podataka'!$B14),MONTH('Unos podataka'!$B14),1)</f>
        <v>41456</v>
      </c>
      <c r="I14" s="57">
        <f>LOOKUP(MONTH('Unos podataka'!$H14),{1,1;2,1;3,1;4,2;5,2;6,2;7,3;8,3;9,3;10,4;11,4;12,4})</f>
        <v>3</v>
      </c>
      <c r="J14" s="7">
        <f>YEAR('Unos podataka'!$B14)</f>
        <v>2013</v>
      </c>
      <c r="K14" s="8">
        <f>MONTH(tblData[[#This Row],[DATUM]])</f>
        <v>7</v>
      </c>
      <c r="L14" s="45">
        <f>SUMIFS(tblData[IZNOS],tblData[DATUM],"&gt;="&amp;EOMONTH(tblData[[#This Row],[DATUM]],-1)+1,tblData[DATUM],"&lt;="&amp;EOMONTH(tblData[[#This Row],[DATUM]],0))</f>
        <v>8700</v>
      </c>
      <c r="M14" s="45">
        <f>SUMIFS(tblData[IZNOS],tblData[DATUM],"&gt;="&amp;DATE(YEAR(tblData[[#This Row],[DATUM]]),1,1),tblData[DATUM],"&lt;="&amp;DATE(YEAR(tblData[[#This Row],[DATUM]]),12,31),tblData[KVARTAL],tblData[[#This Row],[KVARTAL]])</f>
        <v>49100</v>
      </c>
      <c r="N14" s="45">
        <f>SUMIFS(tblData[IZNOS],tblData[DATUM],"&gt;="&amp;DATE(YEAR(tblData[[#This Row],[DATUM]]),1,1),tblData[DATUM],"&lt;="&amp;DATE(YEAR(tblData[[#This Row],[DATUM]]),12,31))</f>
        <v>143800</v>
      </c>
      <c r="O14" s="46">
        <f>IFERROR(TREND($L$6:INDEX($L:$L,ROW(),1),$K$6:INDEX($K:$K,ROW(),1),IF(MONTH(tblData[[#This Row],[DATUM]])=12,13,MONTH(tblData[[#This Row],[DATUM]])+1)),"")</f>
        <v>10776.470588235294</v>
      </c>
      <c r="P14" s="46">
        <f>IFERROR(TREND($M$6:INDEX($M:$M,ROW(),1),$I$6:INDEX($I:$I,ROW(),1),IF(tblData[[#This Row],[KVARTAL]]=4,5,tblData[[#This Row],[KVARTAL]]+1)),"")</f>
        <v>47400</v>
      </c>
      <c r="Q14" s="46">
        <f>IFERROR(TREND($N$6:INDEX($N:$N,ROW(),1),$J$6:INDEX($J:$J,ROW(),1),tblData[[#This Row],[GODINA]]+1),"")</f>
        <v>143800</v>
      </c>
    </row>
    <row r="15" spans="2:17" ht="17.25" customHeight="1" x14ac:dyDescent="0.2">
      <c r="B15" s="43">
        <f>40761+(365*2)</f>
        <v>41491</v>
      </c>
      <c r="C15" s="4" t="s">
        <v>3</v>
      </c>
      <c r="D15" s="47">
        <v>8500</v>
      </c>
      <c r="E15" s="47">
        <v>8300</v>
      </c>
      <c r="F15" s="47">
        <v>7100</v>
      </c>
      <c r="G15" s="48">
        <f>tblData[[#This Row],[IZNOS]]-tblData[[#This Row],[TROŠKOVI]]</f>
        <v>1400</v>
      </c>
      <c r="H15" s="5">
        <f>DATE(YEAR('Unos podataka'!$B15),MONTH('Unos podataka'!$B15),1)</f>
        <v>41487</v>
      </c>
      <c r="I15" s="57">
        <f>LOOKUP(MONTH('Unos podataka'!$H15),{1,1;2,1;3,1;4,2;5,2;6,2;7,3;8,3;9,3;10,4;11,4;12,4})</f>
        <v>3</v>
      </c>
      <c r="J15" s="7">
        <f>YEAR('Unos podataka'!$B15)</f>
        <v>2013</v>
      </c>
      <c r="K15" s="8">
        <f>MONTH(tblData[[#This Row],[DATUM]])</f>
        <v>8</v>
      </c>
      <c r="L15" s="45">
        <f>SUMIFS(tblData[IZNOS],tblData[DATUM],"&gt;="&amp;EOMONTH(tblData[[#This Row],[DATUM]],-1)+1,tblData[DATUM],"&lt;="&amp;EOMONTH(tblData[[#This Row],[DATUM]],0))</f>
        <v>16400</v>
      </c>
      <c r="M15" s="45">
        <f>SUMIFS(tblData[IZNOS],tblData[DATUM],"&gt;="&amp;DATE(YEAR(tblData[[#This Row],[DATUM]]),1,1),tblData[DATUM],"&lt;="&amp;DATE(YEAR(tblData[[#This Row],[DATUM]]),12,31),tblData[KVARTAL],tblData[[#This Row],[KVARTAL]])</f>
        <v>49100</v>
      </c>
      <c r="N15" s="45">
        <f>SUMIFS(tblData[IZNOS],tblData[DATUM],"&gt;="&amp;DATE(YEAR(tblData[[#This Row],[DATUM]]),1,1),tblData[DATUM],"&lt;="&amp;DATE(YEAR(tblData[[#This Row],[DATUM]]),12,31))</f>
        <v>143800</v>
      </c>
      <c r="O15" s="46">
        <f>IFERROR(TREND($L$6:INDEX($L:$L,ROW(),1),$K$6:INDEX($K:$K,ROW(),1),IF(MONTH(tblData[[#This Row],[DATUM]])=12,13,MONTH(tblData[[#This Row],[DATUM]])+1)),"")</f>
        <v>12455.862068965516</v>
      </c>
      <c r="P15" s="46">
        <f>IFERROR(TREND($M$6:INDEX($M:$M,ROW(),1),$I$6:INDEX($I:$I,ROW(),1),IF(tblData[[#This Row],[KVARTAL]]=4,5,tblData[[#This Row],[KVARTAL]]+1)),"")</f>
        <v>47400</v>
      </c>
      <c r="Q15" s="46">
        <f>IFERROR(TREND($N$6:INDEX($N:$N,ROW(),1),$J$6:INDEX($J:$J,ROW(),1),tblData[[#This Row],[GODINA]]+1),"")</f>
        <v>143800</v>
      </c>
    </row>
    <row r="16" spans="2:17" ht="17.25" customHeight="1" x14ac:dyDescent="0.2">
      <c r="B16" s="43">
        <f>40775+(365*2)</f>
        <v>41505</v>
      </c>
      <c r="C16" s="4" t="s">
        <v>4</v>
      </c>
      <c r="D16" s="47">
        <v>7900</v>
      </c>
      <c r="E16" s="47">
        <v>7700</v>
      </c>
      <c r="F16" s="47">
        <v>6600</v>
      </c>
      <c r="G16" s="48">
        <f>tblData[[#This Row],[IZNOS]]-tblData[[#This Row],[TROŠKOVI]]</f>
        <v>1300</v>
      </c>
      <c r="H16" s="5">
        <f>DATE(YEAR('Unos podataka'!$B16),MONTH('Unos podataka'!$B16),1)</f>
        <v>41487</v>
      </c>
      <c r="I16" s="57">
        <f>LOOKUP(MONTH('Unos podataka'!$H16),{1,1;2,1;3,1;4,2;5,2;6,2;7,3;8,3;9,3;10,4;11,4;12,4})</f>
        <v>3</v>
      </c>
      <c r="J16" s="7">
        <f>YEAR('Unos podataka'!$B16)</f>
        <v>2013</v>
      </c>
      <c r="K16" s="8">
        <f>MONTH(tblData[[#This Row],[DATUM]])</f>
        <v>8</v>
      </c>
      <c r="L16" s="45">
        <f>SUMIFS(tblData[IZNOS],tblData[DATUM],"&gt;="&amp;EOMONTH(tblData[[#This Row],[DATUM]],-1)+1,tblData[DATUM],"&lt;="&amp;EOMONTH(tblData[[#This Row],[DATUM]],0))</f>
        <v>16400</v>
      </c>
      <c r="M16" s="45">
        <f>SUMIFS(tblData[IZNOS],tblData[DATUM],"&gt;="&amp;DATE(YEAR(tblData[[#This Row],[DATUM]]),1,1),tblData[DATUM],"&lt;="&amp;DATE(YEAR(tblData[[#This Row],[DATUM]]),12,31),tblData[KVARTAL],tblData[[#This Row],[KVARTAL]])</f>
        <v>49100</v>
      </c>
      <c r="N16" s="45">
        <f>SUMIFS(tblData[IZNOS],tblData[DATUM],"&gt;="&amp;DATE(YEAR(tblData[[#This Row],[DATUM]]),1,1),tblData[DATUM],"&lt;="&amp;DATE(YEAR(tblData[[#This Row],[DATUM]]),12,31))</f>
        <v>143800</v>
      </c>
      <c r="O16" s="46">
        <f>IFERROR(TREND($L$6:INDEX($L:$L,ROW(),1),$K$6:INDEX($K:$K,ROW(),1),IF(MONTH(tblData[[#This Row],[DATUM]])=12,13,MONTH(tblData[[#This Row],[DATUM]])+1)),"")</f>
        <v>13667.567567567567</v>
      </c>
      <c r="P16" s="46">
        <f>IFERROR(TREND($M$6:INDEX($M:$M,ROW(),1),$I$6:INDEX($I:$I,ROW(),1),IF(tblData[[#This Row],[KVARTAL]]=4,5,tblData[[#This Row],[KVARTAL]]+1)),"")</f>
        <v>47400.000000000007</v>
      </c>
      <c r="Q16" s="46">
        <f>IFERROR(TREND($N$6:INDEX($N:$N,ROW(),1),$J$6:INDEX($J:$J,ROW(),1),tblData[[#This Row],[GODINA]]+1),"")</f>
        <v>143800</v>
      </c>
    </row>
    <row r="17" spans="2:17" ht="17.25" customHeight="1" x14ac:dyDescent="0.2">
      <c r="B17" s="43">
        <f>40791+(365*2)</f>
        <v>41521</v>
      </c>
      <c r="C17" s="4" t="s">
        <v>5</v>
      </c>
      <c r="D17" s="47">
        <v>9100</v>
      </c>
      <c r="E17" s="47">
        <v>8900</v>
      </c>
      <c r="F17" s="47">
        <v>7900</v>
      </c>
      <c r="G17" s="48">
        <f>tblData[[#This Row],[IZNOS]]-tblData[[#This Row],[TROŠKOVI]]</f>
        <v>1200</v>
      </c>
      <c r="H17" s="5">
        <f>DATE(YEAR('Unos podataka'!$B17),MONTH('Unos podataka'!$B17),1)</f>
        <v>41518</v>
      </c>
      <c r="I17" s="57">
        <f>LOOKUP(MONTH('Unos podataka'!$H17),{1,1;2,1;3,1;4,2;5,2;6,2;7,3;8,3;9,3;10,4;11,4;12,4})</f>
        <v>3</v>
      </c>
      <c r="J17" s="7">
        <f>YEAR('Unos podataka'!$B17)</f>
        <v>2013</v>
      </c>
      <c r="K17" s="8">
        <f>MONTH(tblData[[#This Row],[DATUM]])</f>
        <v>9</v>
      </c>
      <c r="L17" s="45">
        <f>SUMIFS(tblData[IZNOS],tblData[DATUM],"&gt;="&amp;EOMONTH(tblData[[#This Row],[DATUM]],-1)+1,tblData[DATUM],"&lt;="&amp;EOMONTH(tblData[[#This Row],[DATUM]],0))</f>
        <v>24000</v>
      </c>
      <c r="M17" s="45">
        <f>SUMIFS(tblData[IZNOS],tblData[DATUM],"&gt;="&amp;DATE(YEAR(tblData[[#This Row],[DATUM]]),1,1),tblData[DATUM],"&lt;="&amp;DATE(YEAR(tblData[[#This Row],[DATUM]]),12,31),tblData[KVARTAL],tblData[[#This Row],[KVARTAL]])</f>
        <v>49100</v>
      </c>
      <c r="N17" s="45">
        <f>SUMIFS(tblData[IZNOS],tblData[DATUM],"&gt;="&amp;DATE(YEAR(tblData[[#This Row],[DATUM]]),1,1),tblData[DATUM],"&lt;="&amp;DATE(YEAR(tblData[[#This Row],[DATUM]]),12,31))</f>
        <v>143800</v>
      </c>
      <c r="O17" s="46">
        <f>IFERROR(TREND($L$6:INDEX($L:$L,ROW(),1),$K$6:INDEX($K:$K,ROW(),1),IF(MONTH(tblData[[#This Row],[DATUM]])=12,13,MONTH(tblData[[#This Row],[DATUM]])+1)),"")</f>
        <v>17651.666666666668</v>
      </c>
      <c r="P17" s="46">
        <f>IFERROR(TREND($M$6:INDEX($M:$M,ROW(),1),$I$6:INDEX($I:$I,ROW(),1),IF(tblData[[#This Row],[KVARTAL]]=4,5,tblData[[#This Row],[KVARTAL]]+1)),"")</f>
        <v>47400</v>
      </c>
      <c r="Q17" s="46">
        <f>IFERROR(TREND($N$6:INDEX($N:$N,ROW(),1),$J$6:INDEX($J:$J,ROW(),1),tblData[[#This Row],[GODINA]]+1),"")</f>
        <v>143800</v>
      </c>
    </row>
    <row r="18" spans="2:17" ht="17.25" customHeight="1" x14ac:dyDescent="0.2">
      <c r="B18" s="43">
        <f>40807+(365*2)</f>
        <v>41537</v>
      </c>
      <c r="C18" s="4" t="s">
        <v>1</v>
      </c>
      <c r="D18" s="47">
        <v>5600</v>
      </c>
      <c r="E18" s="47">
        <v>5800</v>
      </c>
      <c r="F18" s="47">
        <v>4500</v>
      </c>
      <c r="G18" s="48">
        <f>tblData[[#This Row],[IZNOS]]-tblData[[#This Row],[TROŠKOVI]]</f>
        <v>1100</v>
      </c>
      <c r="H18" s="5">
        <f>DATE(YEAR('Unos podataka'!$B18),MONTH('Unos podataka'!$B18),1)</f>
        <v>41518</v>
      </c>
      <c r="I18" s="57">
        <f>LOOKUP(MONTH('Unos podataka'!$H18),{1,1;2,1;3,1;4,2;5,2;6,2;7,3;8,3;9,3;10,4;11,4;12,4})</f>
        <v>3</v>
      </c>
      <c r="J18" s="7">
        <f>YEAR('Unos podataka'!$B18)</f>
        <v>2013</v>
      </c>
      <c r="K18" s="8">
        <f>MONTH(tblData[[#This Row],[DATUM]])</f>
        <v>9</v>
      </c>
      <c r="L18" s="45">
        <f>SUMIFS(tblData[IZNOS],tblData[DATUM],"&gt;="&amp;EOMONTH(tblData[[#This Row],[DATUM]],-1)+1,tblData[DATUM],"&lt;="&amp;EOMONTH(tblData[[#This Row],[DATUM]],0))</f>
        <v>24000</v>
      </c>
      <c r="M18" s="45">
        <f>SUMIFS(tblData[IZNOS],tblData[DATUM],"&gt;="&amp;DATE(YEAR(tblData[[#This Row],[DATUM]]),1,1),tblData[DATUM],"&lt;="&amp;DATE(YEAR(tblData[[#This Row],[DATUM]]),12,31),tblData[KVARTAL],tblData[[#This Row],[KVARTAL]])</f>
        <v>49100</v>
      </c>
      <c r="N18" s="45">
        <f>SUMIFS(tblData[IZNOS],tblData[DATUM],"&gt;="&amp;DATE(YEAR(tblData[[#This Row],[DATUM]]),1,1),tblData[DATUM],"&lt;="&amp;DATE(YEAR(tblData[[#This Row],[DATUM]]),12,31))</f>
        <v>143800</v>
      </c>
      <c r="O18" s="46">
        <f>IFERROR(TREND($L$6:INDEX($L:$L,ROW(),1),$K$6:INDEX($K:$K,ROW(),1),IF(MONTH(tblData[[#This Row],[DATUM]])=12,13,MONTH(tblData[[#This Row],[DATUM]])+1)),"")</f>
        <v>19877.911646586344</v>
      </c>
      <c r="P18" s="46">
        <f>IFERROR(TREND($M$6:INDEX($M:$M,ROW(),1),$I$6:INDEX($I:$I,ROW(),1),IF(tblData[[#This Row],[KVARTAL]]=4,5,tblData[[#This Row],[KVARTAL]]+1)),"")</f>
        <v>47400</v>
      </c>
      <c r="Q18" s="46">
        <f>IFERROR(TREND($N$6:INDEX($N:$N,ROW(),1),$J$6:INDEX($J:$J,ROW(),1),tblData[[#This Row],[GODINA]]+1),"")</f>
        <v>143800</v>
      </c>
    </row>
    <row r="19" spans="2:17" ht="17.25" customHeight="1" x14ac:dyDescent="0.2">
      <c r="B19" s="43">
        <f>40812+(365*2)</f>
        <v>41542</v>
      </c>
      <c r="C19" s="4" t="s">
        <v>2</v>
      </c>
      <c r="D19" s="47">
        <v>9300</v>
      </c>
      <c r="E19" s="47">
        <v>9100</v>
      </c>
      <c r="F19" s="47">
        <v>7500</v>
      </c>
      <c r="G19" s="48">
        <f>tblData[[#This Row],[IZNOS]]-tblData[[#This Row],[TROŠKOVI]]</f>
        <v>1800</v>
      </c>
      <c r="H19" s="5">
        <f>DATE(YEAR('Unos podataka'!$B19),MONTH('Unos podataka'!$B19),1)</f>
        <v>41518</v>
      </c>
      <c r="I19" s="57">
        <f>LOOKUP(MONTH('Unos podataka'!$H19),{1,1;2,1;3,1;4,2;5,2;6,2;7,3;8,3;9,3;10,4;11,4;12,4})</f>
        <v>3</v>
      </c>
      <c r="J19" s="7">
        <f>YEAR('Unos podataka'!$B19)</f>
        <v>2013</v>
      </c>
      <c r="K19" s="8">
        <f>MONTH(tblData[[#This Row],[DATUM]])</f>
        <v>9</v>
      </c>
      <c r="L19" s="45">
        <f>SUMIFS(tblData[IZNOS],tblData[DATUM],"&gt;="&amp;EOMONTH(tblData[[#This Row],[DATUM]],-1)+1,tblData[DATUM],"&lt;="&amp;EOMONTH(tblData[[#This Row],[DATUM]],0))</f>
        <v>24000</v>
      </c>
      <c r="M19" s="45">
        <f>SUMIFS(tblData[IZNOS],tblData[DATUM],"&gt;="&amp;DATE(YEAR(tblData[[#This Row],[DATUM]]),1,1),tblData[DATUM],"&lt;="&amp;DATE(YEAR(tblData[[#This Row],[DATUM]]),12,31),tblData[KVARTAL],tblData[[#This Row],[KVARTAL]])</f>
        <v>49100</v>
      </c>
      <c r="N19" s="45">
        <f>SUMIFS(tblData[IZNOS],tblData[DATUM],"&gt;="&amp;DATE(YEAR(tblData[[#This Row],[DATUM]]),1,1),tblData[DATUM],"&lt;="&amp;DATE(YEAR(tblData[[#This Row],[DATUM]]),12,31))</f>
        <v>143800</v>
      </c>
      <c r="O19" s="46">
        <f>IFERROR(TREND($L$6:INDEX($L:$L,ROW(),1),$K$6:INDEX($K:$K,ROW(),1),IF(MONTH(tblData[[#This Row],[DATUM]])=12,13,MONTH(tblData[[#This Row],[DATUM]])+1)),"")</f>
        <v>21138.050314465407</v>
      </c>
      <c r="P19" s="46">
        <f>IFERROR(TREND($M$6:INDEX($M:$M,ROW(),1),$I$6:INDEX($I:$I,ROW(),1),IF(tblData[[#This Row],[KVARTAL]]=4,5,tblData[[#This Row],[KVARTAL]]+1)),"")</f>
        <v>47400</v>
      </c>
      <c r="Q19" s="46">
        <f>IFERROR(TREND($N$6:INDEX($N:$N,ROW(),1),$J$6:INDEX($J:$J,ROW(),1),tblData[[#This Row],[GODINA]]+1),"")</f>
        <v>143800</v>
      </c>
    </row>
    <row r="20" spans="2:17" ht="17.25" customHeight="1" x14ac:dyDescent="0.2">
      <c r="B20" s="43">
        <f>40832+(365*2)</f>
        <v>41562</v>
      </c>
      <c r="C20" s="4" t="s">
        <v>3</v>
      </c>
      <c r="D20" s="47">
        <v>8800</v>
      </c>
      <c r="E20" s="47">
        <v>9350</v>
      </c>
      <c r="F20" s="47">
        <v>7100</v>
      </c>
      <c r="G20" s="48">
        <f>tblData[[#This Row],[IZNOS]]-tblData[[#This Row],[TROŠKOVI]]</f>
        <v>1700</v>
      </c>
      <c r="H20" s="5">
        <f>DATE(YEAR('Unos podataka'!$B20),MONTH('Unos podataka'!$B20),1)</f>
        <v>41548</v>
      </c>
      <c r="I20" s="57">
        <f>LOOKUP(MONTH('Unos podataka'!$H20),{1,1;2,1;3,1;4,2;5,2;6,2;7,3;8,3;9,3;10,4;11,4;12,4})</f>
        <v>4</v>
      </c>
      <c r="J20" s="7">
        <f>YEAR('Unos podataka'!$B20)</f>
        <v>2013</v>
      </c>
      <c r="K20" s="8">
        <f>MONTH(tblData[[#This Row],[DATUM]])</f>
        <v>10</v>
      </c>
      <c r="L20" s="45">
        <f>SUMIFS(tblData[IZNOS],tblData[DATUM],"&gt;="&amp;EOMONTH(tblData[[#This Row],[DATUM]],-1)+1,tblData[DATUM],"&lt;="&amp;EOMONTH(tblData[[#This Row],[DATUM]],0))</f>
        <v>8800</v>
      </c>
      <c r="M20" s="45">
        <f>SUMIFS(tblData[IZNOS],tblData[DATUM],"&gt;="&amp;DATE(YEAR(tblData[[#This Row],[DATUM]]),1,1),tblData[DATUM],"&lt;="&amp;DATE(YEAR(tblData[[#This Row],[DATUM]]),12,31),tblData[KVARTAL],tblData[[#This Row],[KVARTAL]])</f>
        <v>43900</v>
      </c>
      <c r="N20" s="45">
        <f>SUMIFS(tblData[IZNOS],tblData[DATUM],"&gt;="&amp;DATE(YEAR(tblData[[#This Row],[DATUM]]),1,1),tblData[DATUM],"&lt;="&amp;DATE(YEAR(tblData[[#This Row],[DATUM]]),12,31))</f>
        <v>143800</v>
      </c>
      <c r="O20" s="46">
        <f>IFERROR(TREND($L$6:INDEX($L:$L,ROW(),1),$K$6:INDEX($K:$K,ROW(),1),IF(MONTH(tblData[[#This Row],[DATUM]])=12,13,MONTH(tblData[[#This Row],[DATUM]])+1)),"")</f>
        <v>17951.744186046511</v>
      </c>
      <c r="P20" s="46">
        <f>IFERROR(TREND($M$6:INDEX($M:$M,ROW(),1),$I$6:INDEX($I:$I,ROW(),1),IF(tblData[[#This Row],[KVARTAL]]=4,5,tblData[[#This Row],[KVARTAL]]+1)),"")</f>
        <v>43258.139534883725</v>
      </c>
      <c r="Q20" s="46">
        <f>IFERROR(TREND($N$6:INDEX($N:$N,ROW(),1),$J$6:INDEX($J:$J,ROW(),1),tblData[[#This Row],[GODINA]]+1),"")</f>
        <v>143800</v>
      </c>
    </row>
    <row r="21" spans="2:17" ht="17.25" customHeight="1" x14ac:dyDescent="0.2">
      <c r="B21" s="43">
        <f>40853+(365*2)</f>
        <v>41583</v>
      </c>
      <c r="C21" s="4" t="s">
        <v>4</v>
      </c>
      <c r="D21" s="47">
        <v>9100</v>
      </c>
      <c r="E21" s="47">
        <v>9200</v>
      </c>
      <c r="F21" s="47">
        <v>7850</v>
      </c>
      <c r="G21" s="48">
        <f>tblData[[#This Row],[IZNOS]]-tblData[[#This Row],[TROŠKOVI]]</f>
        <v>1250</v>
      </c>
      <c r="H21" s="5">
        <f>DATE(YEAR('Unos podataka'!$B21),MONTH('Unos podataka'!$B21),1)</f>
        <v>41579</v>
      </c>
      <c r="I21" s="57">
        <f>LOOKUP(MONTH('Unos podataka'!$H21),{1,1;2,1;3,1;4,2;5,2;6,2;7,3;8,3;9,3;10,4;11,4;12,4})</f>
        <v>4</v>
      </c>
      <c r="J21" s="7">
        <f>YEAR('Unos podataka'!$B21)</f>
        <v>2013</v>
      </c>
      <c r="K21" s="8">
        <f>MONTH(tblData[[#This Row],[DATUM]])</f>
        <v>11</v>
      </c>
      <c r="L21" s="45">
        <f>SUMIFS(tblData[IZNOS],tblData[DATUM],"&gt;="&amp;EOMONTH(tblData[[#This Row],[DATUM]],-1)+1,tblData[DATUM],"&lt;="&amp;EOMONTH(tblData[[#This Row],[DATUM]],0))</f>
        <v>25600</v>
      </c>
      <c r="M21" s="45">
        <f>SUMIFS(tblData[IZNOS],tblData[DATUM],"&gt;="&amp;DATE(YEAR(tblData[[#This Row],[DATUM]]),1,1),tblData[DATUM],"&lt;="&amp;DATE(YEAR(tblData[[#This Row],[DATUM]]),12,31),tblData[KVARTAL],tblData[[#This Row],[KVARTAL]])</f>
        <v>43900</v>
      </c>
      <c r="N21" s="45">
        <f>SUMIFS(tblData[IZNOS],tblData[DATUM],"&gt;="&amp;DATE(YEAR(tblData[[#This Row],[DATUM]]),1,1),tblData[DATUM],"&lt;="&amp;DATE(YEAR(tblData[[#This Row],[DATUM]]),12,31))</f>
        <v>143800</v>
      </c>
      <c r="O21" s="46">
        <f>IFERROR(TREND($L$6:INDEX($L:$L,ROW(),1),$K$6:INDEX($K:$K,ROW(),1),IF(MONTH(tblData[[#This Row],[DATUM]])=12,13,MONTH(tblData[[#This Row],[DATUM]])+1)),"")</f>
        <v>20556.130108423687</v>
      </c>
      <c r="P21" s="46">
        <f>IFERROR(TREND($M$6:INDEX($M:$M,ROW(),1),$I$6:INDEX($I:$I,ROW(),1),IF(tblData[[#This Row],[KVARTAL]]=4,5,tblData[[#This Row],[KVARTAL]]+1)),"")</f>
        <v>42312.903225806447</v>
      </c>
      <c r="Q21" s="46">
        <f>IFERROR(TREND($N$6:INDEX($N:$N,ROW(),1),$J$6:INDEX($J:$J,ROW(),1),tblData[[#This Row],[GODINA]]+1),"")</f>
        <v>143800</v>
      </c>
    </row>
    <row r="22" spans="2:17" ht="17.25" customHeight="1" x14ac:dyDescent="0.2">
      <c r="B22" s="43">
        <f>40874+(365*2)</f>
        <v>41604</v>
      </c>
      <c r="C22" s="4" t="s">
        <v>5</v>
      </c>
      <c r="D22" s="47">
        <v>9000</v>
      </c>
      <c r="E22" s="47">
        <v>10000</v>
      </c>
      <c r="F22" s="47">
        <v>7575</v>
      </c>
      <c r="G22" s="48">
        <f>tblData[[#This Row],[IZNOS]]-tblData[[#This Row],[TROŠKOVI]]</f>
        <v>1425</v>
      </c>
      <c r="H22" s="5">
        <f>DATE(YEAR('Unos podataka'!$B22),MONTH('Unos podataka'!$B22),1)</f>
        <v>41579</v>
      </c>
      <c r="I22" s="57">
        <f>LOOKUP(MONTH('Unos podataka'!$H22),{1,1;2,1;3,1;4,2;5,2;6,2;7,3;8,3;9,3;10,4;11,4;12,4})</f>
        <v>4</v>
      </c>
      <c r="J22" s="7">
        <f>YEAR('Unos podataka'!$B22)</f>
        <v>2013</v>
      </c>
      <c r="K22" s="8">
        <f>MONTH(tblData[[#This Row],[DATUM]])</f>
        <v>11</v>
      </c>
      <c r="L22" s="45">
        <f>SUMIFS(tblData[IZNOS],tblData[DATUM],"&gt;="&amp;EOMONTH(tblData[[#This Row],[DATUM]],-1)+1,tblData[DATUM],"&lt;="&amp;EOMONTH(tblData[[#This Row],[DATUM]],0))</f>
        <v>25600</v>
      </c>
      <c r="M22" s="45">
        <f>SUMIFS(tblData[IZNOS],tblData[DATUM],"&gt;="&amp;DATE(YEAR(tblData[[#This Row],[DATUM]]),1,1),tblData[DATUM],"&lt;="&amp;DATE(YEAR(tblData[[#This Row],[DATUM]]),12,31),tblData[KVARTAL],tblData[[#This Row],[KVARTAL]])</f>
        <v>43900</v>
      </c>
      <c r="N22" s="45">
        <f>SUMIFS(tblData[IZNOS],tblData[DATUM],"&gt;="&amp;DATE(YEAR(tblData[[#This Row],[DATUM]]),1,1),tblData[DATUM],"&lt;="&amp;DATE(YEAR(tblData[[#This Row],[DATUM]]),12,31))</f>
        <v>143800</v>
      </c>
      <c r="O22" s="46">
        <f>IFERROR(TREND($L$6:INDEX($L:$L,ROW(),1),$K$6:INDEX($K:$K,ROW(),1),IF(MONTH(tblData[[#This Row],[DATUM]])=12,13,MONTH(tblData[[#This Row],[DATUM]])+1)),"")</f>
        <v>21997.139141742522</v>
      </c>
      <c r="P22" s="46">
        <f>IFERROR(TREND($M$6:INDEX($M:$M,ROW(),1),$I$6:INDEX($I:$I,ROW(),1),IF(tblData[[#This Row],[KVARTAL]]=4,5,tblData[[#This Row],[KVARTAL]]+1)),"")</f>
        <v>41811.111111111109</v>
      </c>
      <c r="Q22" s="46">
        <f>IFERROR(TREND($N$6:INDEX($N:$N,ROW(),1),$J$6:INDEX($J:$J,ROW(),1),tblData[[#This Row],[GODINA]]+1),"")</f>
        <v>143800</v>
      </c>
    </row>
    <row r="23" spans="2:17" ht="17.25" customHeight="1" x14ac:dyDescent="0.2">
      <c r="B23" s="43">
        <f>40878+(365*2)</f>
        <v>41608</v>
      </c>
      <c r="C23" s="4" t="s">
        <v>5</v>
      </c>
      <c r="D23" s="47">
        <v>7500</v>
      </c>
      <c r="E23" s="47">
        <v>8000</v>
      </c>
      <c r="F23" s="47">
        <v>5850</v>
      </c>
      <c r="G23" s="48">
        <f>tblData[[#This Row],[IZNOS]]-tblData[[#This Row],[TROŠKOVI]]</f>
        <v>1650</v>
      </c>
      <c r="H23" s="5">
        <f>DATE(YEAR('Unos podataka'!$B23),MONTH('Unos podataka'!$B23),1)</f>
        <v>41579</v>
      </c>
      <c r="I23" s="57">
        <f>LOOKUP(MONTH('Unos podataka'!$H23),{1,1;2,1;3,1;4,2;5,2;6,2;7,3;8,3;9,3;10,4;11,4;12,4})</f>
        <v>4</v>
      </c>
      <c r="J23" s="7">
        <f>YEAR('Unos podataka'!$B23)</f>
        <v>2013</v>
      </c>
      <c r="K23" s="8">
        <f>MONTH(tblData[[#This Row],[DATUM]])</f>
        <v>11</v>
      </c>
      <c r="L23" s="45">
        <f>SUMIFS(tblData[IZNOS],tblData[DATUM],"&gt;="&amp;EOMONTH(tblData[[#This Row],[DATUM]],-1)+1,tblData[DATUM],"&lt;="&amp;EOMONTH(tblData[[#This Row],[DATUM]],0))</f>
        <v>25600</v>
      </c>
      <c r="M23" s="45">
        <f>SUMIFS(tblData[IZNOS],tblData[DATUM],"&gt;="&amp;DATE(YEAR(tblData[[#This Row],[DATUM]]),1,1),tblData[DATUM],"&lt;="&amp;DATE(YEAR(tblData[[#This Row],[DATUM]]),12,31),tblData[KVARTAL],tblData[[#This Row],[KVARTAL]])</f>
        <v>43900</v>
      </c>
      <c r="N23" s="45">
        <f>SUMIFS(tblData[IZNOS],tblData[DATUM],"&gt;="&amp;DATE(YEAR(tblData[[#This Row],[DATUM]]),1,1),tblData[DATUM],"&lt;="&amp;DATE(YEAR(tblData[[#This Row],[DATUM]]),12,31))</f>
        <v>143800</v>
      </c>
      <c r="O23" s="46">
        <f>IFERROR(TREND($L$6:INDEX($L:$L,ROW(),1),$K$6:INDEX($K:$K,ROW(),1),IF(MONTH(tblData[[#This Row],[DATUM]])=12,13,MONTH(tblData[[#This Row],[DATUM]])+1)),"")</f>
        <v>22917.634523175278</v>
      </c>
      <c r="P23" s="46">
        <f>IFERROR(TREND($M$6:INDEX($M:$M,ROW(),1),$I$6:INDEX($I:$I,ROW(),1),IF(tblData[[#This Row],[KVARTAL]]=4,5,tblData[[#This Row],[KVARTAL]]+1)),"")</f>
        <v>41500</v>
      </c>
      <c r="Q23" s="46">
        <f>IFERROR(TREND($N$6:INDEX($N:$N,ROW(),1),$J$6:INDEX($J:$J,ROW(),1),tblData[[#This Row],[GODINA]]+1),"")</f>
        <v>143800</v>
      </c>
    </row>
    <row r="24" spans="2:17" ht="17.25" customHeight="1" x14ac:dyDescent="0.2">
      <c r="B24" s="43">
        <f>40889+(365*2)</f>
        <v>41619</v>
      </c>
      <c r="C24" s="4" t="s">
        <v>1</v>
      </c>
      <c r="D24" s="47">
        <v>9500</v>
      </c>
      <c r="E24" s="47">
        <v>9200</v>
      </c>
      <c r="F24" s="47">
        <v>8500</v>
      </c>
      <c r="G24" s="48">
        <f>tblData[[#This Row],[IZNOS]]-tblData[[#This Row],[TROŠKOVI]]</f>
        <v>1000</v>
      </c>
      <c r="H24" s="5">
        <f>DATE(YEAR('Unos podataka'!$B24),MONTH('Unos podataka'!$B24),1)</f>
        <v>41609</v>
      </c>
      <c r="I24" s="57">
        <f>LOOKUP(MONTH('Unos podataka'!$H24),{1,1;2,1;3,1;4,2;5,2;6,2;7,3;8,3;9,3;10,4;11,4;12,4})</f>
        <v>4</v>
      </c>
      <c r="J24" s="7">
        <f>YEAR('Unos podataka'!$B24)</f>
        <v>2013</v>
      </c>
      <c r="K24" s="8">
        <f>MONTH(tblData[[#This Row],[DATUM]])</f>
        <v>12</v>
      </c>
      <c r="L24" s="45">
        <f>SUMIFS(tblData[IZNOS],tblData[DATUM],"&gt;="&amp;EOMONTH(tblData[[#This Row],[DATUM]],-1)+1,tblData[DATUM],"&lt;="&amp;EOMONTH(tblData[[#This Row],[DATUM]],0))</f>
        <v>9500</v>
      </c>
      <c r="M24" s="45">
        <f>SUMIFS(tblData[IZNOS],tblData[DATUM],"&gt;="&amp;DATE(YEAR(tblData[[#This Row],[DATUM]]),1,1),tblData[DATUM],"&lt;="&amp;DATE(YEAR(tblData[[#This Row],[DATUM]]),12,31),tblData[KVARTAL],tblData[[#This Row],[KVARTAL]])</f>
        <v>43900</v>
      </c>
      <c r="N24" s="45">
        <f>SUMIFS(tblData[IZNOS],tblData[DATUM],"&gt;="&amp;DATE(YEAR(tblData[[#This Row],[DATUM]]),1,1),tblData[DATUM],"&lt;="&amp;DATE(YEAR(tblData[[#This Row],[DATUM]]),12,31))</f>
        <v>143800</v>
      </c>
      <c r="O24" s="46">
        <f>IFERROR(TREND($L$6:INDEX($L:$L,ROW(),1),$K$6:INDEX($K:$K,ROW(),1),IF(MONTH(tblData[[#This Row],[DATUM]])=12,13,MONTH(tblData[[#This Row],[DATUM]])+1)),"")</f>
        <v>20504.314720812181</v>
      </c>
      <c r="P24" s="46">
        <f>IFERROR(TREND($M$6:INDEX($M:$M,ROW(),1),$I$6:INDEX($I:$I,ROW(),1),IF(tblData[[#This Row],[KVARTAL]]=4,5,tblData[[#This Row],[KVARTAL]]+1)),"")</f>
        <v>41288.23529411765</v>
      </c>
      <c r="Q24" s="46">
        <f>IFERROR(TREND($N$6:INDEX($N:$N,ROW(),1),$J$6:INDEX($J:$J,ROW(),1),tblData[[#This Row],[GODINA]]+1),"")</f>
        <v>143800</v>
      </c>
    </row>
  </sheetData>
  <printOptions horizontalCentered="1"/>
  <pageMargins left="0.25" right="0.25" top="0.75" bottom="0.75" header="0.3" footer="0.3"/>
  <pageSetup scale="74" fitToHeight="0" orientation="landscape" horizont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N43"/>
  <sheetViews>
    <sheetView showGridLines="0" zoomScaleNormal="100" workbookViewId="0"/>
  </sheetViews>
  <sheetFormatPr defaultRowHeight="17.25" customHeight="1" x14ac:dyDescent="0.2"/>
  <cols>
    <col min="1" max="1" width="2" style="30" customWidth="1"/>
    <col min="2" max="2" width="17.6640625" style="27" customWidth="1"/>
    <col min="3" max="3" width="22" style="27" customWidth="1"/>
    <col min="4" max="4" width="21.83203125" style="28" customWidth="1"/>
    <col min="5" max="5" width="29.6640625" style="28" customWidth="1"/>
    <col min="6" max="6" width="14.1640625" style="29" customWidth="1"/>
    <col min="7" max="16384" width="9.33203125" style="30"/>
  </cols>
  <sheetData>
    <row r="1" spans="1:14" s="26" customFormat="1" ht="11.25" customHeight="1" x14ac:dyDescent="0.2">
      <c r="B1" s="27"/>
      <c r="C1" s="27"/>
      <c r="D1" s="28"/>
      <c r="E1" s="28"/>
      <c r="F1" s="29"/>
    </row>
    <row r="2" spans="1:14" customFormat="1" ht="33.75" x14ac:dyDescent="0.2">
      <c r="B2" s="2" t="s">
        <v>45</v>
      </c>
    </row>
    <row r="3" spans="1:14" ht="11.25" x14ac:dyDescent="0.2">
      <c r="A3" s="26"/>
      <c r="B3"/>
      <c r="C3"/>
    </row>
    <row r="4" spans="1:14" ht="17.25" customHeight="1" x14ac:dyDescent="0.2">
      <c r="A4" s="26"/>
    </row>
    <row r="5" spans="1:14" ht="11.25" x14ac:dyDescent="0.2">
      <c r="B5" s="44" t="s">
        <v>18</v>
      </c>
      <c r="C5" s="44" t="s">
        <v>16</v>
      </c>
      <c r="D5" s="44" t="s">
        <v>15</v>
      </c>
      <c r="E5" s="44" t="s">
        <v>22</v>
      </c>
      <c r="F5" t="s">
        <v>56</v>
      </c>
      <c r="G5"/>
      <c r="H5"/>
      <c r="I5"/>
      <c r="J5"/>
      <c r="K5"/>
      <c r="L5"/>
      <c r="M5"/>
      <c r="N5"/>
    </row>
    <row r="6" spans="1:14" ht="11.25" x14ac:dyDescent="0.2">
      <c r="B6" s="31">
        <v>2013</v>
      </c>
      <c r="C6" s="55">
        <v>2</v>
      </c>
      <c r="D6" s="54">
        <v>41365</v>
      </c>
      <c r="E6" s="31" t="s">
        <v>0</v>
      </c>
      <c r="F6" s="49">
        <v>6400</v>
      </c>
      <c r="G6"/>
      <c r="H6"/>
      <c r="I6"/>
      <c r="J6"/>
      <c r="K6"/>
      <c r="L6"/>
      <c r="M6"/>
      <c r="N6"/>
    </row>
    <row r="7" spans="1:14" ht="17.25" customHeight="1" x14ac:dyDescent="0.2">
      <c r="B7"/>
      <c r="C7"/>
      <c r="D7"/>
      <c r="E7" s="31" t="s">
        <v>1</v>
      </c>
      <c r="F7" s="49">
        <v>8200</v>
      </c>
      <c r="G7"/>
      <c r="H7"/>
      <c r="I7"/>
      <c r="J7"/>
      <c r="K7"/>
      <c r="L7"/>
      <c r="M7"/>
      <c r="N7"/>
    </row>
    <row r="8" spans="1:14" ht="17.25" customHeight="1" x14ac:dyDescent="0.2">
      <c r="B8"/>
      <c r="C8"/>
      <c r="D8" s="54">
        <v>41395</v>
      </c>
      <c r="E8" s="31" t="s">
        <v>3</v>
      </c>
      <c r="F8" s="49">
        <v>5400</v>
      </c>
      <c r="G8"/>
      <c r="H8"/>
      <c r="I8"/>
      <c r="J8"/>
      <c r="K8"/>
      <c r="L8"/>
      <c r="M8"/>
      <c r="N8"/>
    </row>
    <row r="9" spans="1:14" ht="17.25" customHeight="1" x14ac:dyDescent="0.2">
      <c r="B9"/>
      <c r="C9"/>
      <c r="D9"/>
      <c r="E9" s="31" t="s">
        <v>2</v>
      </c>
      <c r="F9" s="49">
        <v>4400</v>
      </c>
      <c r="G9"/>
      <c r="H9"/>
      <c r="I9"/>
      <c r="J9"/>
      <c r="K9"/>
      <c r="L9"/>
      <c r="M9"/>
      <c r="N9"/>
    </row>
    <row r="10" spans="1:14" ht="17.25" customHeight="1" x14ac:dyDescent="0.2">
      <c r="B10"/>
      <c r="C10"/>
      <c r="D10"/>
      <c r="E10" s="31" t="s">
        <v>4</v>
      </c>
      <c r="F10" s="49">
        <v>5800</v>
      </c>
      <c r="G10"/>
      <c r="H10"/>
      <c r="I10"/>
      <c r="J10"/>
      <c r="K10"/>
      <c r="L10"/>
      <c r="M10"/>
      <c r="N10"/>
    </row>
    <row r="11" spans="1:14" ht="17.25" customHeight="1" x14ac:dyDescent="0.2">
      <c r="B11"/>
      <c r="C11"/>
      <c r="D11"/>
      <c r="E11" s="31" t="s">
        <v>5</v>
      </c>
      <c r="F11" s="49">
        <v>6200</v>
      </c>
      <c r="G11"/>
      <c r="H11"/>
      <c r="I11"/>
      <c r="J11"/>
      <c r="K11"/>
      <c r="L11"/>
      <c r="M11"/>
      <c r="N11"/>
    </row>
    <row r="12" spans="1:14" ht="17.25" customHeight="1" x14ac:dyDescent="0.2">
      <c r="B12"/>
      <c r="C12"/>
      <c r="D12" s="54">
        <v>41426</v>
      </c>
      <c r="E12" s="31" t="s">
        <v>0</v>
      </c>
      <c r="F12" s="49">
        <v>6900</v>
      </c>
      <c r="G12"/>
      <c r="H12"/>
      <c r="I12"/>
      <c r="J12"/>
      <c r="K12"/>
      <c r="L12"/>
      <c r="M12"/>
      <c r="N12"/>
    </row>
    <row r="13" spans="1:14" ht="11.25" x14ac:dyDescent="0.2">
      <c r="B13"/>
      <c r="C13"/>
      <c r="D13"/>
      <c r="E13" s="31" t="s">
        <v>1</v>
      </c>
      <c r="F13" s="49">
        <v>7500</v>
      </c>
      <c r="G13"/>
      <c r="H13"/>
      <c r="I13"/>
      <c r="J13"/>
      <c r="K13"/>
      <c r="L13"/>
      <c r="M13"/>
      <c r="N13"/>
    </row>
    <row r="14" spans="1:14" ht="17.25" customHeight="1" x14ac:dyDescent="0.2">
      <c r="B14"/>
      <c r="C14" s="55" t="s">
        <v>53</v>
      </c>
      <c r="D14" s="31"/>
      <c r="E14" s="31"/>
      <c r="F14" s="49">
        <v>50800</v>
      </c>
      <c r="G14"/>
      <c r="H14"/>
      <c r="I14"/>
      <c r="J14"/>
      <c r="K14"/>
      <c r="L14"/>
      <c r="M14"/>
      <c r="N14"/>
    </row>
    <row r="15" spans="1:14" ht="17.25" customHeight="1" x14ac:dyDescent="0.2">
      <c r="B15"/>
      <c r="C15" s="55">
        <v>3</v>
      </c>
      <c r="D15" s="54">
        <v>41456</v>
      </c>
      <c r="E15" s="31" t="s">
        <v>2</v>
      </c>
      <c r="F15" s="49">
        <v>8700</v>
      </c>
      <c r="G15"/>
      <c r="H15"/>
      <c r="I15"/>
      <c r="J15"/>
      <c r="K15"/>
      <c r="L15"/>
      <c r="M15"/>
      <c r="N15"/>
    </row>
    <row r="16" spans="1:14" ht="17.25" customHeight="1" x14ac:dyDescent="0.2">
      <c r="B16"/>
      <c r="C16"/>
      <c r="D16" s="54">
        <v>41487</v>
      </c>
      <c r="E16" s="31" t="s">
        <v>3</v>
      </c>
      <c r="F16" s="49">
        <v>8500</v>
      </c>
      <c r="G16"/>
      <c r="H16"/>
      <c r="I16"/>
      <c r="J16"/>
      <c r="K16"/>
      <c r="L16"/>
      <c r="M16"/>
      <c r="N16"/>
    </row>
    <row r="17" spans="2:14" ht="17.25" customHeight="1" x14ac:dyDescent="0.2">
      <c r="B17"/>
      <c r="C17"/>
      <c r="D17"/>
      <c r="E17" s="31" t="s">
        <v>4</v>
      </c>
      <c r="F17" s="49">
        <v>7900</v>
      </c>
      <c r="G17"/>
      <c r="H17"/>
      <c r="I17"/>
      <c r="J17"/>
      <c r="K17"/>
      <c r="L17"/>
      <c r="M17"/>
      <c r="N17"/>
    </row>
    <row r="18" spans="2:14" ht="17.25" customHeight="1" x14ac:dyDescent="0.2">
      <c r="B18"/>
      <c r="C18"/>
      <c r="D18" s="54">
        <v>41518</v>
      </c>
      <c r="E18" s="31" t="s">
        <v>1</v>
      </c>
      <c r="F18" s="49">
        <v>5600</v>
      </c>
      <c r="G18"/>
      <c r="H18"/>
      <c r="I18"/>
      <c r="J18"/>
      <c r="K18"/>
      <c r="L18"/>
      <c r="M18"/>
      <c r="N18"/>
    </row>
    <row r="19" spans="2:14" ht="17.25" customHeight="1" x14ac:dyDescent="0.2">
      <c r="B19"/>
      <c r="C19"/>
      <c r="D19"/>
      <c r="E19" s="31" t="s">
        <v>2</v>
      </c>
      <c r="F19" s="49">
        <v>9300</v>
      </c>
      <c r="G19"/>
      <c r="H19"/>
      <c r="I19"/>
      <c r="J19"/>
      <c r="K19"/>
      <c r="L19"/>
      <c r="M19"/>
      <c r="N19"/>
    </row>
    <row r="20" spans="2:14" ht="17.25" customHeight="1" x14ac:dyDescent="0.2">
      <c r="B20"/>
      <c r="C20"/>
      <c r="D20"/>
      <c r="E20" s="31" t="s">
        <v>5</v>
      </c>
      <c r="F20" s="49">
        <v>9100</v>
      </c>
      <c r="G20"/>
      <c r="H20"/>
      <c r="I20"/>
      <c r="J20"/>
      <c r="K20"/>
      <c r="L20"/>
      <c r="M20"/>
      <c r="N20"/>
    </row>
    <row r="21" spans="2:14" ht="17.25" customHeight="1" x14ac:dyDescent="0.2">
      <c r="B21"/>
      <c r="C21" s="55" t="s">
        <v>54</v>
      </c>
      <c r="D21" s="31"/>
      <c r="E21" s="31"/>
      <c r="F21" s="49">
        <v>49100</v>
      </c>
      <c r="G21"/>
      <c r="H21"/>
      <c r="I21"/>
      <c r="J21"/>
      <c r="K21"/>
      <c r="L21"/>
      <c r="M21"/>
      <c r="N21"/>
    </row>
    <row r="22" spans="2:14" ht="17.25" customHeight="1" x14ac:dyDescent="0.2">
      <c r="B22"/>
      <c r="C22" s="55">
        <v>4</v>
      </c>
      <c r="D22" s="54">
        <v>41548</v>
      </c>
      <c r="E22" s="31" t="s">
        <v>3</v>
      </c>
      <c r="F22" s="49">
        <v>8800</v>
      </c>
      <c r="G22"/>
      <c r="H22"/>
      <c r="I22"/>
      <c r="J22"/>
      <c r="K22"/>
      <c r="L22"/>
      <c r="M22"/>
      <c r="N22"/>
    </row>
    <row r="23" spans="2:14" ht="17.25" customHeight="1" x14ac:dyDescent="0.2">
      <c r="B23"/>
      <c r="C23"/>
      <c r="D23" s="54">
        <v>41579</v>
      </c>
      <c r="E23" s="31" t="s">
        <v>4</v>
      </c>
      <c r="F23" s="49">
        <v>9100</v>
      </c>
      <c r="G23"/>
      <c r="H23"/>
      <c r="I23"/>
      <c r="J23"/>
      <c r="K23"/>
      <c r="L23"/>
      <c r="M23"/>
      <c r="N23"/>
    </row>
    <row r="24" spans="2:14" ht="17.25" customHeight="1" x14ac:dyDescent="0.2">
      <c r="B24"/>
      <c r="C24"/>
      <c r="D24"/>
      <c r="E24" s="31" t="s">
        <v>5</v>
      </c>
      <c r="F24" s="49">
        <v>16500</v>
      </c>
      <c r="G24"/>
      <c r="H24"/>
      <c r="I24"/>
      <c r="J24"/>
      <c r="K24"/>
      <c r="L24"/>
      <c r="M24"/>
      <c r="N24"/>
    </row>
    <row r="25" spans="2:14" ht="11.25" x14ac:dyDescent="0.2">
      <c r="B25"/>
      <c r="C25"/>
      <c r="D25" s="54">
        <v>41609</v>
      </c>
      <c r="E25" s="31" t="s">
        <v>1</v>
      </c>
      <c r="F25" s="49">
        <v>9500</v>
      </c>
      <c r="G25"/>
      <c r="H25"/>
      <c r="I25"/>
      <c r="J25"/>
      <c r="K25"/>
      <c r="L25"/>
      <c r="M25"/>
      <c r="N25"/>
    </row>
    <row r="26" spans="2:14" ht="11.25" x14ac:dyDescent="0.2">
      <c r="B26"/>
      <c r="C26" s="55" t="s">
        <v>55</v>
      </c>
      <c r="D26" s="31"/>
      <c r="E26" s="31"/>
      <c r="F26" s="49">
        <v>43900</v>
      </c>
      <c r="G26"/>
      <c r="H26"/>
      <c r="I26"/>
      <c r="J26"/>
      <c r="K26"/>
      <c r="L26"/>
      <c r="M26"/>
      <c r="N26"/>
    </row>
    <row r="27" spans="2:14" ht="11.25" x14ac:dyDescent="0.2">
      <c r="B27" s="58" t="s">
        <v>52</v>
      </c>
      <c r="C27" s="58"/>
      <c r="D27" s="58"/>
      <c r="E27" s="58"/>
      <c r="F27" s="59">
        <v>143800</v>
      </c>
      <c r="G27"/>
    </row>
    <row r="28" spans="2:14" ht="18" customHeight="1" x14ac:dyDescent="0.2">
      <c r="B28" s="31" t="s">
        <v>51</v>
      </c>
      <c r="C28"/>
      <c r="D28"/>
      <c r="E28"/>
      <c r="F28" s="49">
        <v>143800</v>
      </c>
      <c r="G28"/>
    </row>
    <row r="29" spans="2:14" ht="17.25" customHeight="1" x14ac:dyDescent="0.2">
      <c r="B29"/>
      <c r="C29"/>
      <c r="D29"/>
      <c r="E29"/>
      <c r="F29"/>
      <c r="G29"/>
    </row>
    <row r="30" spans="2:14" ht="11.25" x14ac:dyDescent="0.2">
      <c r="B30"/>
      <c r="C30"/>
      <c r="D30"/>
      <c r="E30"/>
      <c r="F30"/>
      <c r="G30"/>
    </row>
    <row r="31" spans="2:14" ht="11.25" x14ac:dyDescent="0.2">
      <c r="B31"/>
      <c r="C31"/>
      <c r="D31"/>
      <c r="E31"/>
      <c r="F31"/>
      <c r="G31"/>
    </row>
    <row r="32" spans="2:14" ht="11.25" x14ac:dyDescent="0.2">
      <c r="B32"/>
      <c r="C32"/>
      <c r="D32"/>
      <c r="E32"/>
      <c r="F32"/>
      <c r="G32"/>
    </row>
    <row r="33" spans="2:7" ht="11.25" x14ac:dyDescent="0.2">
      <c r="B33"/>
      <c r="C33"/>
      <c r="D33"/>
      <c r="E33"/>
      <c r="F33"/>
      <c r="G33"/>
    </row>
    <row r="34" spans="2:7" ht="11.25" x14ac:dyDescent="0.2">
      <c r="B34"/>
      <c r="C34"/>
      <c r="D34"/>
      <c r="E34"/>
      <c r="F34"/>
      <c r="G34"/>
    </row>
    <row r="35" spans="2:7" ht="11.25" x14ac:dyDescent="0.2">
      <c r="B35"/>
      <c r="C35"/>
      <c r="D35"/>
      <c r="E35"/>
      <c r="F35"/>
      <c r="G35"/>
    </row>
    <row r="36" spans="2:7" ht="11.25" x14ac:dyDescent="0.2">
      <c r="B36"/>
      <c r="C36"/>
      <c r="D36"/>
      <c r="E36"/>
      <c r="F36"/>
      <c r="G36"/>
    </row>
    <row r="37" spans="2:7" ht="11.25" x14ac:dyDescent="0.2">
      <c r="B37"/>
      <c r="C37"/>
      <c r="D37"/>
      <c r="E37"/>
      <c r="F37"/>
      <c r="G37"/>
    </row>
    <row r="38" spans="2:7" ht="11.25" x14ac:dyDescent="0.2">
      <c r="B38"/>
      <c r="C38"/>
      <c r="D38"/>
      <c r="E38"/>
      <c r="F38"/>
      <c r="G38"/>
    </row>
    <row r="39" spans="2:7" ht="11.25" x14ac:dyDescent="0.2">
      <c r="B39"/>
      <c r="C39"/>
      <c r="D39"/>
      <c r="E39"/>
      <c r="F39"/>
      <c r="G39"/>
    </row>
    <row r="40" spans="2:7" ht="11.25" x14ac:dyDescent="0.2">
      <c r="B40"/>
      <c r="C40"/>
      <c r="D40"/>
      <c r="E40"/>
      <c r="F40"/>
      <c r="G40"/>
    </row>
    <row r="41" spans="2:7" ht="11.25" x14ac:dyDescent="0.2">
      <c r="B41"/>
      <c r="C41"/>
      <c r="D41"/>
      <c r="E41"/>
      <c r="F41"/>
      <c r="G41"/>
    </row>
    <row r="42" spans="2:7" ht="11.25" x14ac:dyDescent="0.2">
      <c r="B42"/>
      <c r="C42"/>
      <c r="D42"/>
      <c r="E42"/>
      <c r="F42"/>
      <c r="G42"/>
    </row>
    <row r="43" spans="2:7" ht="11.25" x14ac:dyDescent="0.2">
      <c r="B43"/>
      <c r="C43"/>
      <c r="D43"/>
      <c r="E43"/>
      <c r="F43"/>
      <c r="G43"/>
    </row>
  </sheetData>
  <conditionalFormatting sqref="E1:E4 E44:E1048553">
    <cfRule type="expression" dxfId="10" priority="4">
      <formula>(LEN($E1)&gt;0)*(LEN($D2)&gt;0)</formula>
    </cfRule>
  </conditionalFormatting>
  <conditionalFormatting sqref="D1:D4 D44:D1048576 F44:F1048576">
    <cfRule type="expression" dxfId="9" priority="3">
      <formula>(LEN($D1)&gt;0)*(LEN($C1)=0)</formula>
    </cfRule>
  </conditionalFormatting>
  <conditionalFormatting sqref="F1:F4">
    <cfRule type="expression" dxfId="8" priority="1">
      <formula>(LEN($D1)&gt;0)*(LEN($C1)=0)</formula>
    </cfRule>
  </conditionalFormatting>
  <conditionalFormatting sqref="E1048554:E1048576">
    <cfRule type="expression" dxfId="7" priority="10">
      <formula>(LEN($E1048554)&gt;0)*(LEN($D1)&gt;0)</formula>
    </cfRule>
  </conditionalFormatting>
  <printOptions horizontalCentered="1"/>
  <pageMargins left="0.25" right="0.25" top="0.75" bottom="0.75" header="0.3" footer="0.3"/>
  <pageSetup fitToHeight="0" orientation="portrait" horizont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/>
    <pageSetUpPr autoPageBreaks="0" fitToPage="1"/>
  </sheetPr>
  <dimension ref="B2:J43"/>
  <sheetViews>
    <sheetView showGridLines="0" zoomScaleNormal="100" workbookViewId="0"/>
  </sheetViews>
  <sheetFormatPr defaultRowHeight="11.25" x14ac:dyDescent="0.2"/>
  <cols>
    <col min="1" max="1" width="2" customWidth="1"/>
    <col min="2" max="2" width="23" customWidth="1"/>
    <col min="3" max="4" width="16" customWidth="1"/>
    <col min="5" max="5" width="24.5" customWidth="1"/>
    <col min="6" max="8" width="16" customWidth="1"/>
    <col min="9" max="9" width="21.5" customWidth="1"/>
    <col min="10" max="10" width="16" customWidth="1"/>
  </cols>
  <sheetData>
    <row r="2" spans="2:10" ht="33.75" x14ac:dyDescent="0.2">
      <c r="B2" s="2" t="s">
        <v>29</v>
      </c>
    </row>
    <row r="3" spans="2:10" ht="27.75" customHeight="1" x14ac:dyDescent="0.2">
      <c r="B3" s="19" t="str">
        <f ca="1">"DANAŠNJI DATUM: "&amp;UPPER(TEXT(TODAY(),"d.mmm.yy"))</f>
        <v>DANAŠNJI DATUM: 29.OKT.12</v>
      </c>
      <c r="D3" s="21">
        <f ca="1">--TRIM(RIGHT(B3,LEN(B3)-FIND(":",B3)))</f>
        <v>41211</v>
      </c>
    </row>
    <row r="4" spans="2:10" ht="15" customHeight="1" x14ac:dyDescent="0.2"/>
    <row r="5" spans="2:10" ht="18.75" customHeight="1" x14ac:dyDescent="0.2">
      <c r="B5" s="41" t="s">
        <v>30</v>
      </c>
      <c r="C5" s="40" t="s">
        <v>31</v>
      </c>
      <c r="D5" s="40" t="s">
        <v>32</v>
      </c>
      <c r="E5" s="40" t="s">
        <v>33</v>
      </c>
      <c r="F5" s="40" t="s">
        <v>6</v>
      </c>
      <c r="G5" s="40" t="s">
        <v>34</v>
      </c>
      <c r="H5" s="40" t="s">
        <v>35</v>
      </c>
      <c r="I5" s="40" t="s">
        <v>36</v>
      </c>
      <c r="J5" s="33" t="s">
        <v>13</v>
      </c>
    </row>
    <row r="6" spans="2:10" s="3" customFormat="1" ht="15" customHeight="1" x14ac:dyDescent="0.2">
      <c r="B6" s="9" t="s">
        <v>7</v>
      </c>
      <c r="C6" s="37">
        <f ca="1">COUNTIF('Unos podataka'!$B$6:$B$24,"&gt;="&amp;DATE(fYear,MONTH(fDate),1))-COUNTIF('Unos podataka'!$B$6:$B$24,"&gt;"&amp;EOMONTH(fDate,0))</f>
        <v>0</v>
      </c>
      <c r="D6" s="39"/>
      <c r="E6" s="11"/>
      <c r="F6" s="12"/>
      <c r="G6" s="37">
        <f ca="1">COUNTIF(tblData[DATUM],"&lt;="&amp;EOMONTH(fDate,0))</f>
        <v>0</v>
      </c>
      <c r="H6" s="10"/>
      <c r="I6" s="10"/>
      <c r="J6" s="13"/>
    </row>
    <row r="7" spans="2:10" s="3" customFormat="1" ht="15" customHeight="1" x14ac:dyDescent="0.2">
      <c r="B7" s="14" t="s">
        <v>12</v>
      </c>
      <c r="C7" s="50">
        <f ca="1">SUMIF(tblData[DATUM],"&gt;="&amp;DATE(fYear,MONTH(fDate),1),tblData[IZNOS])-SUMIF(tblData[DATUM],"&gt;"&amp;EOMONTH(fDate,0),tblData[IZNOS])</f>
        <v>0</v>
      </c>
      <c r="D7" s="50">
        <f ca="1">SUMIF('Unos podataka'!$B$6:$B$24,"&gt;="&amp;DATE(fYear,MONTH(fDate),1),'Unos podataka'!$E$6:$E$24)-SUMIF('Unos podataka'!$B$6:$B$24,"&gt;"&amp;EOMONTH(fDate,0),'Unos podataka'!$E$6:$E$24)</f>
        <v>0</v>
      </c>
      <c r="E7" s="50">
        <f ca="1">D7-C7</f>
        <v>0</v>
      </c>
      <c r="F7" s="51" t="str">
        <f ca="1">IFERROR(D7/C7,"-")</f>
        <v>-</v>
      </c>
      <c r="G7" s="50">
        <f ca="1">SUMIF(tblData[DATUM],"&lt;="&amp;EOMONTH(fDate,0),tblData[IZNOS])</f>
        <v>0</v>
      </c>
      <c r="H7" s="50">
        <f ca="1">SUMIF(tblData[DATUM],"&lt;="&amp;EOMONTH(fDate,0),tblData[PLANIRANO])</f>
        <v>0</v>
      </c>
      <c r="I7" s="50">
        <f ca="1">H7-G7</f>
        <v>0</v>
      </c>
      <c r="J7" s="52" t="str">
        <f ca="1">IFERROR(H7/G7,"")</f>
        <v/>
      </c>
    </row>
    <row r="8" spans="2:10" s="3" customFormat="1" ht="15" customHeight="1" x14ac:dyDescent="0.2">
      <c r="B8" s="14" t="s">
        <v>8</v>
      </c>
      <c r="C8" s="50">
        <f ca="1">(SUMIF(tblData[DATUM],"&gt;="&amp;DATE(fYear,MONTH(fDate),1),tblData[IZNOS])-SUMIF(tblData[DATUM],"&gt;"&amp;EOMONTH(fDate,0),tblData[IZNOS]))-(SUMIF(tblData[DATUM],"&gt;="&amp;DATE(fYear,MONTH(fDate),1),tblData[TROŠKOVI])-SUMIF(tblData[DATUM],"&gt;"&amp;EOMONTH(fDate,0),tblData[TROŠKOVI]))</f>
        <v>0</v>
      </c>
      <c r="D8" s="50">
        <f ca="1">(SUMIF('Unos podataka'!$B$6:$B$24,"&gt;="&amp;DATE(fYear,MONTH(fDate),1),'Unos podataka'!$E$6:$E$24)-SUMIF('Unos podataka'!$B$6:$B$24,"&gt;"&amp;EOMONTH(fDate,0),'Unos podataka'!$E$6:$E$24))-(SUMIF('Unos podataka'!$B$6:$B$24,"&gt;="&amp;DATE(fYear,MONTH(fDate),1),'Unos podataka'!$F$6:$F$24)-SUMIF('Unos podataka'!$B$6:$B$24,"&gt;"&amp;EOMONTH(fDate,0),'Unos podataka'!$F$6:$F$24))</f>
        <v>0</v>
      </c>
      <c r="E8" s="50">
        <f ca="1">D8-C8</f>
        <v>0</v>
      </c>
      <c r="F8" s="51" t="str">
        <f ca="1">IFERROR(D8/C8,"-")</f>
        <v>-</v>
      </c>
      <c r="G8" s="50">
        <f ca="1">SUMIF('Unos podataka'!$B$6:$B$24,"&lt;="&amp;EOMONTH(fDate,0),'Unos podataka'!$F$6:$F$24)</f>
        <v>0</v>
      </c>
      <c r="H8" s="50">
        <f ca="1">SUMIF(tblData[DATUM],"&lt;="&amp;EOMONTH(fDate,0),tblData[TROŠKOVI])</f>
        <v>0</v>
      </c>
      <c r="I8" s="50">
        <f ca="1">H8-G8</f>
        <v>0</v>
      </c>
      <c r="J8" s="52" t="str">
        <f ca="1">IFERROR(H8/G8,"")</f>
        <v/>
      </c>
    </row>
    <row r="9" spans="2:10" s="3" customFormat="1" ht="15" customHeight="1" x14ac:dyDescent="0.2">
      <c r="B9" s="14" t="s">
        <v>9</v>
      </c>
      <c r="C9" s="51" t="str">
        <f ca="1">IFERROR(C8/C7,"-")</f>
        <v>-</v>
      </c>
      <c r="D9" s="51" t="str">
        <f ca="1">IFERROR(D8/D7,"-")</f>
        <v>-</v>
      </c>
      <c r="E9" s="51"/>
      <c r="F9" s="51" t="str">
        <f ca="1">IFERROR(F8/F7,"-")</f>
        <v>-</v>
      </c>
      <c r="G9" s="51" t="str">
        <f ca="1">IFERROR(G8/G7,"")</f>
        <v/>
      </c>
      <c r="H9" s="51" t="str">
        <f ca="1">IFERROR(H8/H7,"")</f>
        <v/>
      </c>
      <c r="I9" s="51"/>
      <c r="J9" s="52" t="str">
        <f ca="1">IFERROR(J8/J7,"")</f>
        <v/>
      </c>
    </row>
    <row r="10" spans="2:10" s="3" customFormat="1" ht="15" customHeight="1" x14ac:dyDescent="0.2">
      <c r="B10" s="14" t="s">
        <v>10</v>
      </c>
      <c r="C10" s="38">
        <f ca="1">COUNTIF(tblData[DATUM],"&gt;="&amp;DATE(fYear,MONTH(fDate),1))-COUNTIF(tblData[DATUM],"&gt;"&amp;EOMONTH(fDate,0))</f>
        <v>0</v>
      </c>
      <c r="D10" s="15"/>
      <c r="E10" s="15"/>
      <c r="F10" s="15"/>
      <c r="G10" s="38">
        <f ca="1">COUNTIF(tblData[DATUM],"&gt;"&amp;EOMONTH(fDate,0))</f>
        <v>19</v>
      </c>
      <c r="H10" s="15"/>
      <c r="I10" s="15"/>
      <c r="J10" s="16"/>
    </row>
    <row r="11" spans="2:10" s="3" customFormat="1" ht="15" customHeight="1" x14ac:dyDescent="0.2">
      <c r="B11" s="14" t="s">
        <v>11</v>
      </c>
      <c r="C11" s="51" t="str">
        <f ca="1">IFERROR(C7/C10,"-")</f>
        <v>-</v>
      </c>
      <c r="D11" s="15"/>
      <c r="E11" s="15"/>
      <c r="F11" s="15"/>
      <c r="G11" s="50">
        <f ca="1">IFERROR(G7/G10,"-")</f>
        <v>0</v>
      </c>
      <c r="H11" s="15"/>
      <c r="I11" s="15"/>
      <c r="J11" s="16"/>
    </row>
    <row r="12" spans="2:10" ht="27" customHeight="1" x14ac:dyDescent="0.2">
      <c r="B12" s="1"/>
      <c r="C12" s="1"/>
      <c r="D12" s="1"/>
      <c r="E12" s="1"/>
      <c r="F12" s="1"/>
      <c r="G12" s="1"/>
      <c r="H12" s="1"/>
      <c r="I12" s="1"/>
      <c r="J12" s="1"/>
    </row>
    <row r="13" spans="2:10" ht="15.75" customHeight="1" x14ac:dyDescent="0.2">
      <c r="B13" s="32" t="s">
        <v>27</v>
      </c>
      <c r="C13" s="32"/>
      <c r="D13" s="32" t="s">
        <v>37</v>
      </c>
      <c r="E13" s="36"/>
      <c r="F13" s="32" t="s">
        <v>38</v>
      </c>
      <c r="G13" s="36"/>
      <c r="H13" s="32"/>
      <c r="I13" s="32" t="s">
        <v>39</v>
      </c>
      <c r="J13" s="17"/>
    </row>
    <row r="14" spans="2:10" x14ac:dyDescent="0.2">
      <c r="B14" s="35" t="s">
        <v>12</v>
      </c>
      <c r="C14" s="35"/>
      <c r="D14" s="53">
        <f ca="1">TREND(tblData[KVARTAL3],tblData[MESEC:2],IF(MONTH(fDate)=12,13,MONTH(fDate)+1))</f>
        <v>19802.707275803721</v>
      </c>
      <c r="E14" s="53"/>
      <c r="F14" s="53">
        <f ca="1">TREND(tblData[[GODINA ]],tblData[MESEC:2],IF(MONTH(fDate)=12,13,MONTH(fDate)+1))</f>
        <v>42981.666008884691</v>
      </c>
      <c r="G14" s="53"/>
      <c r="H14" s="53"/>
      <c r="I14" s="53">
        <f ca="1">TREND(tblData[GODINA 5],tblData[MESEC:2],IF(MONTH(fDate)=12,13,MONTH(fDate)+1))</f>
        <v>143800</v>
      </c>
      <c r="J14" s="18"/>
    </row>
    <row r="15" spans="2:10" ht="27" customHeight="1" x14ac:dyDescent="0.2"/>
    <row r="16" spans="2:10" s="20" customFormat="1" ht="27" customHeight="1" x14ac:dyDescent="0.2">
      <c r="B16" s="20" t="s">
        <v>40</v>
      </c>
    </row>
    <row r="30" spans="2:6" s="20" customFormat="1" ht="27" customHeight="1" x14ac:dyDescent="0.2">
      <c r="B30" s="20" t="s">
        <v>43</v>
      </c>
      <c r="F30" s="20" t="s">
        <v>44</v>
      </c>
    </row>
    <row r="38" spans="2:10" s="20" customFormat="1" ht="27" customHeight="1" x14ac:dyDescent="0.2">
      <c r="B38" s="20" t="s">
        <v>41</v>
      </c>
      <c r="F38" s="20" t="s">
        <v>42</v>
      </c>
    </row>
    <row r="43" spans="2:10" x14ac:dyDescent="0.2">
      <c r="J43" t="s">
        <v>46</v>
      </c>
    </row>
  </sheetData>
  <conditionalFormatting sqref="E2">
    <cfRule type="expression" dxfId="4" priority="3">
      <formula>(LEN($E2)&gt;0)*(LEN($D3)&gt;0)</formula>
    </cfRule>
  </conditionalFormatting>
  <conditionalFormatting sqref="D2">
    <cfRule type="expression" dxfId="3" priority="2">
      <formula>(LEN($D2)&gt;0)*(LEN($C2)=0)</formula>
    </cfRule>
  </conditionalFormatting>
  <conditionalFormatting sqref="F2">
    <cfRule type="expression" dxfId="2" priority="1">
      <formula>(LEN($D2)&gt;0)*(LEN($C2)=0)</formula>
    </cfRule>
  </conditionalFormatting>
  <printOptions horizontalCentered="1" verticalCentered="1"/>
  <pageMargins left="0.25" right="0.25" top="0.75" bottom="0.75" header="0.3" footer="0.3"/>
  <pageSetup scale="88" orientation="landscape" horizont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D94015EC833884A9172D1FEF9686517040055434A063F21C84898617D820CDA8502" ma:contentTypeVersion="54" ma:contentTypeDescription="Create a new document." ma:contentTypeScope="" ma:versionID="f5987bb8dd3071348cc90c419789dfac">
  <xsd:schema xmlns:xsd="http://www.w3.org/2001/XMLSchema" xmlns:xs="http://www.w3.org/2001/XMLSchema" xmlns:p="http://schemas.microsoft.com/office/2006/metadata/properties" xmlns:ns2="b7eaa704-8282-4e7f-93d1-7f7bd3a7d29a" targetNamespace="http://schemas.microsoft.com/office/2006/metadata/properties" ma:root="true" ma:fieldsID="cce270480f2b42ec63949d7312d24dd7" ns2:_="">
    <xsd:import namespace="b7eaa704-8282-4e7f-93d1-7f7bd3a7d29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aa704-8282-4e7f-93d1-7f7bd3a7d29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1cfe16-98e1-4475-a589-4d8e0ceac69a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F036B2-B38B-4CC5-8784-3E3FB34E95F8}" ma:internalName="CSXSubmissionMarket" ma:readOnly="false" ma:showField="MarketName" ma:web="b7eaa704-8282-4e7f-93d1-7f7bd3a7d29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a5cb5a08-7e4a-4bea-80e9-898155f3abc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E7E2F91-3F28-4BB0-9FFA-B965F71718BE}" ma:internalName="InProjectListLookup" ma:readOnly="true" ma:showField="InProjectLis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df7c8c-b615-43fc-8a20-82fb3b80fd7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E7E2F91-3F28-4BB0-9FFA-B965F71718BE}" ma:internalName="LastCompleteVersionLookup" ma:readOnly="true" ma:showField="LastComplete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E7E2F91-3F28-4BB0-9FFA-B965F71718BE}" ma:internalName="LastPreviewErrorLookup" ma:readOnly="true" ma:showField="LastPreview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E7E2F91-3F28-4BB0-9FFA-B965F71718BE}" ma:internalName="LastPreviewResultLookup" ma:readOnly="true" ma:showField="LastPreview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E7E2F91-3F28-4BB0-9FFA-B965F71718BE}" ma:internalName="LastPreviewAttemptDateLookup" ma:readOnly="true" ma:showField="LastPreview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E7E2F91-3F28-4BB0-9FFA-B965F71718BE}" ma:internalName="LastPreviewedByLookup" ma:readOnly="true" ma:showField="LastPreview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E7E2F91-3F28-4BB0-9FFA-B965F71718BE}" ma:internalName="LastPreviewTimeLookup" ma:readOnly="true" ma:showField="LastPreview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E7E2F91-3F28-4BB0-9FFA-B965F71718BE}" ma:internalName="LastPreviewVersionLookup" ma:readOnly="true" ma:showField="LastPreview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E7E2F91-3F28-4BB0-9FFA-B965F71718BE}" ma:internalName="LastPublishErrorLookup" ma:readOnly="true" ma:showField="LastPublish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E7E2F91-3F28-4BB0-9FFA-B965F71718BE}" ma:internalName="LastPublishResultLookup" ma:readOnly="true" ma:showField="LastPublish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E7E2F91-3F28-4BB0-9FFA-B965F71718BE}" ma:internalName="LastPublishAttemptDateLookup" ma:readOnly="true" ma:showField="LastPublish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E7E2F91-3F28-4BB0-9FFA-B965F71718BE}" ma:internalName="LastPublishedByLookup" ma:readOnly="true" ma:showField="LastPublish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E7E2F91-3F28-4BB0-9FFA-B965F71718BE}" ma:internalName="LastPublishTimeLookup" ma:readOnly="true" ma:showField="LastPublish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E7E2F91-3F28-4BB0-9FFA-B965F71718BE}" ma:internalName="LastPublishVersionLookup" ma:readOnly="true" ma:showField="LastPublish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D714EB-28FB-4E97-95EA-F1584DAE02B3}" ma:internalName="LocLastLocAttemptVersionLookup" ma:readOnly="false" ma:showField="LastLocAttemptVersion" ma:web="b7eaa704-8282-4e7f-93d1-7f7bd3a7d29a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D714EB-28FB-4E97-95EA-F1584DAE02B3}" ma:internalName="LocLastLocAttemptVersionTypeLookup" ma:readOnly="true" ma:showField="LastLocAttemptVersionType" ma:web="b7eaa704-8282-4e7f-93d1-7f7bd3a7d29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D714EB-28FB-4E97-95EA-F1584DAE02B3}" ma:internalName="LocNewPublishedVersionLookup" ma:readOnly="true" ma:showField="NewPublishedVersion" ma:web="b7eaa704-8282-4e7f-93d1-7f7bd3a7d29a">
      <xsd:simpleType>
        <xsd:restriction base="dms:Lookup"/>
      </xsd:simpleType>
    </xsd:element>
    <xsd:element name="LocOverallHandbackStatusLookup" ma:index="75" nillable="true" ma:displayName="Loc Overall Handback Status" ma:default="" ma:list="{23D714EB-28FB-4E97-95EA-F1584DAE02B3}" ma:internalName="LocOverallHandbackStatusLookup" ma:readOnly="true" ma:showField="OverallHandbackStatus" ma:web="b7eaa704-8282-4e7f-93d1-7f7bd3a7d29a">
      <xsd:simpleType>
        <xsd:restriction base="dms:Lookup"/>
      </xsd:simpleType>
    </xsd:element>
    <xsd:element name="LocOverallLocStatusLookup" ma:index="76" nillable="true" ma:displayName="Loc Overall Localize Status" ma:default="" ma:list="{23D714EB-28FB-4E97-95EA-F1584DAE02B3}" ma:internalName="LocOverallLocStatusLookup" ma:readOnly="true" ma:showField="OverallLocStatus" ma:web="b7eaa704-8282-4e7f-93d1-7f7bd3a7d29a">
      <xsd:simpleType>
        <xsd:restriction base="dms:Lookup"/>
      </xsd:simpleType>
    </xsd:element>
    <xsd:element name="LocOverallPreviewStatusLookup" ma:index="77" nillable="true" ma:displayName="Loc Overall Preview Status" ma:default="" ma:list="{23D714EB-28FB-4E97-95EA-F1584DAE02B3}" ma:internalName="LocOverallPreviewStatusLookup" ma:readOnly="true" ma:showField="OverallPreviewStatus" ma:web="b7eaa704-8282-4e7f-93d1-7f7bd3a7d29a">
      <xsd:simpleType>
        <xsd:restriction base="dms:Lookup"/>
      </xsd:simpleType>
    </xsd:element>
    <xsd:element name="LocOverallPublishStatusLookup" ma:index="78" nillable="true" ma:displayName="Loc Overall Publish Status" ma:default="" ma:list="{23D714EB-28FB-4E97-95EA-F1584DAE02B3}" ma:internalName="LocOverallPublishStatusLookup" ma:readOnly="true" ma:showField="OverallPublishStatus" ma:web="b7eaa704-8282-4e7f-93d1-7f7bd3a7d29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D714EB-28FB-4E97-95EA-F1584DAE02B3}" ma:internalName="LocProcessedForHandoffsLookup" ma:readOnly="true" ma:showField="ProcessedForHandoffs" ma:web="b7eaa704-8282-4e7f-93d1-7f7bd3a7d29a">
      <xsd:simpleType>
        <xsd:restriction base="dms:Lookup"/>
      </xsd:simpleType>
    </xsd:element>
    <xsd:element name="LocProcessedForMarketsLookup" ma:index="81" nillable="true" ma:displayName="Loc Processed For Markets" ma:default="" ma:list="{23D714EB-28FB-4E97-95EA-F1584DAE02B3}" ma:internalName="LocProcessedForMarketsLookup" ma:readOnly="true" ma:showField="ProcessedForMarkets" ma:web="b7eaa704-8282-4e7f-93d1-7f7bd3a7d29a">
      <xsd:simpleType>
        <xsd:restriction base="dms:Lookup"/>
      </xsd:simpleType>
    </xsd:element>
    <xsd:element name="LocPublishedDependentAssetsLookup" ma:index="82" nillable="true" ma:displayName="Loc Published Dependent Assets" ma:default="" ma:list="{23D714EB-28FB-4E97-95EA-F1584DAE02B3}" ma:internalName="LocPublishedDependentAssetsLookup" ma:readOnly="true" ma:showField="PublishedDependentAssets" ma:web="b7eaa704-8282-4e7f-93d1-7f7bd3a7d29a">
      <xsd:simpleType>
        <xsd:restriction base="dms:Lookup"/>
      </xsd:simpleType>
    </xsd:element>
    <xsd:element name="LocPublishedLinkedAssetsLookup" ma:index="83" nillable="true" ma:displayName="Loc Published Linked Assets" ma:default="" ma:list="{23D714EB-28FB-4E97-95EA-F1584DAE02B3}" ma:internalName="LocPublishedLinkedAssetsLookup" ma:readOnly="true" ma:showField="PublishedLinkedAssets" ma:web="b7eaa704-8282-4e7f-93d1-7f7bd3a7d29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3c2c96-d70b-48aa-8861-75900da9754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F036B2-B38B-4CC5-8784-3E3FB34E95F8}" ma:internalName="Markets" ma:readOnly="false" ma:showField="MarketNa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E7E2F91-3F28-4BB0-9FFA-B965F71718BE}" ma:internalName="NumOfRatingsLookup" ma:readOnly="true" ma:showField="NumOfRating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E7E2F91-3F28-4BB0-9FFA-B965F71718BE}" ma:internalName="PublishStatusLookup" ma:readOnly="false" ma:showField="PublishStatu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8742065-e7c4-4048-8d3f-85bb424c7d9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9c56e3f-bac9-45b0-8e08-96186cbb8706}" ma:internalName="TaxCatchAll" ma:showField="CatchAllData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9c56e3f-bac9-45b0-8e08-96186cbb8706}" ma:internalName="TaxCatchAllLabel" ma:readOnly="true" ma:showField="CatchAllDataLabel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b7eaa704-8282-4e7f-93d1-7f7bd3a7d29a" xsi:nil="true"/>
    <AssetExpire xmlns="b7eaa704-8282-4e7f-93d1-7f7bd3a7d29a">2029-01-01T08:00:00+00:00</AssetExpire>
    <CampaignTagsTaxHTField0 xmlns="b7eaa704-8282-4e7f-93d1-7f7bd3a7d29a">
      <Terms xmlns="http://schemas.microsoft.com/office/infopath/2007/PartnerControls"/>
    </CampaignTagsTaxHTField0>
    <IntlLangReviewDate xmlns="b7eaa704-8282-4e7f-93d1-7f7bd3a7d29a" xsi:nil="true"/>
    <TPFriendlyName xmlns="b7eaa704-8282-4e7f-93d1-7f7bd3a7d29a" xsi:nil="true"/>
    <IntlLangReview xmlns="b7eaa704-8282-4e7f-93d1-7f7bd3a7d29a">false</IntlLangReview>
    <LocLastLocAttemptVersionLookup xmlns="b7eaa704-8282-4e7f-93d1-7f7bd3a7d29a">845880</LocLastLocAttemptVersionLookup>
    <PolicheckWords xmlns="b7eaa704-8282-4e7f-93d1-7f7bd3a7d29a" xsi:nil="true"/>
    <SubmitterId xmlns="b7eaa704-8282-4e7f-93d1-7f7bd3a7d29a" xsi:nil="true"/>
    <AcquiredFrom xmlns="b7eaa704-8282-4e7f-93d1-7f7bd3a7d29a">Internal MS</AcquiredFrom>
    <EditorialStatus xmlns="b7eaa704-8282-4e7f-93d1-7f7bd3a7d29a" xsi:nil="true"/>
    <Markets xmlns="b7eaa704-8282-4e7f-93d1-7f7bd3a7d29a"/>
    <OriginAsset xmlns="b7eaa704-8282-4e7f-93d1-7f7bd3a7d29a" xsi:nil="true"/>
    <AssetStart xmlns="b7eaa704-8282-4e7f-93d1-7f7bd3a7d29a">2012-06-28T22:27:47+00:00</AssetStart>
    <FriendlyTitle xmlns="b7eaa704-8282-4e7f-93d1-7f7bd3a7d29a" xsi:nil="true"/>
    <MarketSpecific xmlns="b7eaa704-8282-4e7f-93d1-7f7bd3a7d29a">false</MarketSpecific>
    <TPNamespace xmlns="b7eaa704-8282-4e7f-93d1-7f7bd3a7d29a" xsi:nil="true"/>
    <PublishStatusLookup xmlns="b7eaa704-8282-4e7f-93d1-7f7bd3a7d29a">
      <Value>225370</Value>
    </PublishStatusLookup>
    <APAuthor xmlns="b7eaa704-8282-4e7f-93d1-7f7bd3a7d29a">
      <UserInfo>
        <DisplayName/>
        <AccountId>2566</AccountId>
        <AccountType/>
      </UserInfo>
    </APAuthor>
    <TPCommandLine xmlns="b7eaa704-8282-4e7f-93d1-7f7bd3a7d29a" xsi:nil="true"/>
    <IntlLangReviewer xmlns="b7eaa704-8282-4e7f-93d1-7f7bd3a7d29a" xsi:nil="true"/>
    <OpenTemplate xmlns="b7eaa704-8282-4e7f-93d1-7f7bd3a7d29a">true</OpenTemplate>
    <CSXSubmissionDate xmlns="b7eaa704-8282-4e7f-93d1-7f7bd3a7d29a" xsi:nil="true"/>
    <TaxCatchAll xmlns="b7eaa704-8282-4e7f-93d1-7f7bd3a7d29a"/>
    <Manager xmlns="b7eaa704-8282-4e7f-93d1-7f7bd3a7d29a" xsi:nil="true"/>
    <NumericId xmlns="b7eaa704-8282-4e7f-93d1-7f7bd3a7d29a" xsi:nil="true"/>
    <ParentAssetId xmlns="b7eaa704-8282-4e7f-93d1-7f7bd3a7d29a" xsi:nil="true"/>
    <OriginalSourceMarket xmlns="b7eaa704-8282-4e7f-93d1-7f7bd3a7d29a">english</OriginalSourceMarket>
    <ApprovalStatus xmlns="b7eaa704-8282-4e7f-93d1-7f7bd3a7d29a">InProgress</ApprovalStatus>
    <TPComponent xmlns="b7eaa704-8282-4e7f-93d1-7f7bd3a7d29a" xsi:nil="true"/>
    <EditorialTags xmlns="b7eaa704-8282-4e7f-93d1-7f7bd3a7d29a" xsi:nil="true"/>
    <TPExecutable xmlns="b7eaa704-8282-4e7f-93d1-7f7bd3a7d29a" xsi:nil="true"/>
    <TPLaunchHelpLink xmlns="b7eaa704-8282-4e7f-93d1-7f7bd3a7d29a" xsi:nil="true"/>
    <LocComments xmlns="b7eaa704-8282-4e7f-93d1-7f7bd3a7d29a" xsi:nil="true"/>
    <LocRecommendedHandoff xmlns="b7eaa704-8282-4e7f-93d1-7f7bd3a7d29a" xsi:nil="true"/>
    <SourceTitle xmlns="b7eaa704-8282-4e7f-93d1-7f7bd3a7d29a" xsi:nil="true"/>
    <CSXUpdate xmlns="b7eaa704-8282-4e7f-93d1-7f7bd3a7d29a">false</CSXUpdate>
    <IntlLocPriority xmlns="b7eaa704-8282-4e7f-93d1-7f7bd3a7d29a" xsi:nil="true"/>
    <UAProjectedTotalWords xmlns="b7eaa704-8282-4e7f-93d1-7f7bd3a7d29a" xsi:nil="true"/>
    <AssetType xmlns="b7eaa704-8282-4e7f-93d1-7f7bd3a7d29a" xsi:nil="true"/>
    <MachineTranslated xmlns="b7eaa704-8282-4e7f-93d1-7f7bd3a7d29a">false</MachineTranslated>
    <OutputCachingOn xmlns="b7eaa704-8282-4e7f-93d1-7f7bd3a7d29a">false</OutputCachingOn>
    <TemplateStatus xmlns="b7eaa704-8282-4e7f-93d1-7f7bd3a7d29a">Complete</TemplateStatus>
    <IsSearchable xmlns="b7eaa704-8282-4e7f-93d1-7f7bd3a7d29a">false</IsSearchable>
    <ContentItem xmlns="b7eaa704-8282-4e7f-93d1-7f7bd3a7d29a" xsi:nil="true"/>
    <HandoffToMSDN xmlns="b7eaa704-8282-4e7f-93d1-7f7bd3a7d29a" xsi:nil="true"/>
    <ShowIn xmlns="b7eaa704-8282-4e7f-93d1-7f7bd3a7d29a">Show everywhere</ShowIn>
    <ThumbnailAssetId xmlns="b7eaa704-8282-4e7f-93d1-7f7bd3a7d29a" xsi:nil="true"/>
    <UALocComments xmlns="b7eaa704-8282-4e7f-93d1-7f7bd3a7d29a" xsi:nil="true"/>
    <UALocRecommendation xmlns="b7eaa704-8282-4e7f-93d1-7f7bd3a7d29a">Localize</UALocRecommendation>
    <LastModifiedDateTime xmlns="b7eaa704-8282-4e7f-93d1-7f7bd3a7d29a" xsi:nil="true"/>
    <LegacyData xmlns="b7eaa704-8282-4e7f-93d1-7f7bd3a7d29a" xsi:nil="true"/>
    <LocManualTestRequired xmlns="b7eaa704-8282-4e7f-93d1-7f7bd3a7d29a">false</LocManualTestRequired>
    <LocMarketGroupTiers2 xmlns="b7eaa704-8282-4e7f-93d1-7f7bd3a7d29a" xsi:nil="true"/>
    <ClipArtFilename xmlns="b7eaa704-8282-4e7f-93d1-7f7bd3a7d29a" xsi:nil="true"/>
    <TPApplication xmlns="b7eaa704-8282-4e7f-93d1-7f7bd3a7d29a" xsi:nil="true"/>
    <CSXHash xmlns="b7eaa704-8282-4e7f-93d1-7f7bd3a7d29a" xsi:nil="true"/>
    <DirectSourceMarket xmlns="b7eaa704-8282-4e7f-93d1-7f7bd3a7d29a">english</DirectSourceMarket>
    <PrimaryImageGen xmlns="b7eaa704-8282-4e7f-93d1-7f7bd3a7d29a">false</PrimaryImageGen>
    <PlannedPubDate xmlns="b7eaa704-8282-4e7f-93d1-7f7bd3a7d29a" xsi:nil="true"/>
    <CSXSubmissionMarket xmlns="b7eaa704-8282-4e7f-93d1-7f7bd3a7d29a" xsi:nil="true"/>
    <Downloads xmlns="b7eaa704-8282-4e7f-93d1-7f7bd3a7d29a">0</Downloads>
    <ArtSampleDocs xmlns="b7eaa704-8282-4e7f-93d1-7f7bd3a7d29a" xsi:nil="true"/>
    <TrustLevel xmlns="b7eaa704-8282-4e7f-93d1-7f7bd3a7d29a">1 Microsoft Managed Content</TrustLevel>
    <BlockPublish xmlns="b7eaa704-8282-4e7f-93d1-7f7bd3a7d29a">false</BlockPublish>
    <TPLaunchHelpLinkType xmlns="b7eaa704-8282-4e7f-93d1-7f7bd3a7d29a">Template</TPLaunchHelpLinkType>
    <LocalizationTagsTaxHTField0 xmlns="b7eaa704-8282-4e7f-93d1-7f7bd3a7d29a">
      <Terms xmlns="http://schemas.microsoft.com/office/infopath/2007/PartnerControls"/>
    </LocalizationTagsTaxHTField0>
    <BusinessGroup xmlns="b7eaa704-8282-4e7f-93d1-7f7bd3a7d29a" xsi:nil="true"/>
    <Providers xmlns="b7eaa704-8282-4e7f-93d1-7f7bd3a7d29a" xsi:nil="true"/>
    <TemplateTemplateType xmlns="b7eaa704-8282-4e7f-93d1-7f7bd3a7d29a">Excel Spreadsheet Template</TemplateTemplateType>
    <TimesCloned xmlns="b7eaa704-8282-4e7f-93d1-7f7bd3a7d29a" xsi:nil="true"/>
    <TPAppVersion xmlns="b7eaa704-8282-4e7f-93d1-7f7bd3a7d29a" xsi:nil="true"/>
    <VoteCount xmlns="b7eaa704-8282-4e7f-93d1-7f7bd3a7d29a" xsi:nil="true"/>
    <FeatureTagsTaxHTField0 xmlns="b7eaa704-8282-4e7f-93d1-7f7bd3a7d29a">
      <Terms xmlns="http://schemas.microsoft.com/office/infopath/2007/PartnerControls"/>
    </FeatureTagsTaxHTField0>
    <Provider xmlns="b7eaa704-8282-4e7f-93d1-7f7bd3a7d29a" xsi:nil="true"/>
    <UACurrentWords xmlns="b7eaa704-8282-4e7f-93d1-7f7bd3a7d29a" xsi:nil="true"/>
    <AssetId xmlns="b7eaa704-8282-4e7f-93d1-7f7bd3a7d29a">TP102929974</AssetId>
    <TPClientViewer xmlns="b7eaa704-8282-4e7f-93d1-7f7bd3a7d29a" xsi:nil="true"/>
    <DSATActionTaken xmlns="b7eaa704-8282-4e7f-93d1-7f7bd3a7d29a" xsi:nil="true"/>
    <APEditor xmlns="b7eaa704-8282-4e7f-93d1-7f7bd3a7d29a">
      <UserInfo>
        <DisplayName/>
        <AccountId xsi:nil="true"/>
        <AccountType/>
      </UserInfo>
    </APEditor>
    <TPInstallLocation xmlns="b7eaa704-8282-4e7f-93d1-7f7bd3a7d29a" xsi:nil="true"/>
    <OOCacheId xmlns="b7eaa704-8282-4e7f-93d1-7f7bd3a7d29a" xsi:nil="true"/>
    <IsDeleted xmlns="b7eaa704-8282-4e7f-93d1-7f7bd3a7d29a">false</IsDeleted>
    <PublishTargets xmlns="b7eaa704-8282-4e7f-93d1-7f7bd3a7d29a">OfficeOnlineVNext</PublishTargets>
    <ApprovalLog xmlns="b7eaa704-8282-4e7f-93d1-7f7bd3a7d29a" xsi:nil="true"/>
    <BugNumber xmlns="b7eaa704-8282-4e7f-93d1-7f7bd3a7d29a" xsi:nil="true"/>
    <CrawlForDependencies xmlns="b7eaa704-8282-4e7f-93d1-7f7bd3a7d29a">false</CrawlForDependencies>
    <InternalTagsTaxHTField0 xmlns="b7eaa704-8282-4e7f-93d1-7f7bd3a7d29a">
      <Terms xmlns="http://schemas.microsoft.com/office/infopath/2007/PartnerControls"/>
    </InternalTagsTaxHTField0>
    <LastHandOff xmlns="b7eaa704-8282-4e7f-93d1-7f7bd3a7d29a" xsi:nil="true"/>
    <Milestone xmlns="b7eaa704-8282-4e7f-93d1-7f7bd3a7d29a" xsi:nil="true"/>
    <OriginalRelease xmlns="b7eaa704-8282-4e7f-93d1-7f7bd3a7d29a">15</OriginalRelease>
    <RecommendationsModifier xmlns="b7eaa704-8282-4e7f-93d1-7f7bd3a7d29a" xsi:nil="true"/>
    <ScenarioTagsTaxHTField0 xmlns="b7eaa704-8282-4e7f-93d1-7f7bd3a7d29a">
      <Terms xmlns="http://schemas.microsoft.com/office/infopath/2007/PartnerControls"/>
    </ScenarioTagsTaxHTField0>
    <UANotes xmlns="b7eaa704-8282-4e7f-93d1-7f7bd3a7d29a" xsi:nil="true"/>
  </documentManagement>
</p:properties>
</file>

<file path=customXml/itemProps1.xml><?xml version="1.0" encoding="utf-8"?>
<ds:datastoreItem xmlns:ds="http://schemas.openxmlformats.org/officeDocument/2006/customXml" ds:itemID="{505CE5B9-AC2E-4F38-869B-6876015B06F3}"/>
</file>

<file path=customXml/itemProps2.xml><?xml version="1.0" encoding="utf-8"?>
<ds:datastoreItem xmlns:ds="http://schemas.openxmlformats.org/officeDocument/2006/customXml" ds:itemID="{0AEE7169-E8EC-4E19-BA48-3F46D4C38897}"/>
</file>

<file path=customXml/itemProps3.xml><?xml version="1.0" encoding="utf-8"?>
<ds:datastoreItem xmlns:ds="http://schemas.openxmlformats.org/officeDocument/2006/customXml" ds:itemID="{C8DE6788-D1FD-452D-A3B7-55A6390F72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8</vt:i4>
      </vt:variant>
    </vt:vector>
  </HeadingPairs>
  <TitlesOfParts>
    <vt:vector size="11" baseType="lpstr">
      <vt:lpstr>Unos podataka</vt:lpstr>
      <vt:lpstr>Izveštaj o prodaji</vt:lpstr>
      <vt:lpstr>Prognoza prodaje</vt:lpstr>
      <vt:lpstr>Datum_prognoze</vt:lpstr>
      <vt:lpstr>fDate</vt:lpstr>
      <vt:lpstr>fDay</vt:lpstr>
      <vt:lpstr>fMonth</vt:lpstr>
      <vt:lpstr>fYear</vt:lpstr>
      <vt:lpstr>'Izveštaj o prodaji'!Naslovi_štampanja</vt:lpstr>
      <vt:lpstr>'Izveštaj o prodaji'!Odštampaj_naslove</vt:lpstr>
      <vt:lpstr>'Prognoza prodaje'!Odštampaj_oblast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2012-06-20T20:17:06Z</dcterms:created>
  <dcterms:modified xsi:type="dcterms:W3CDTF">2012-10-29T05:49:25Z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0x0101003D94015EC833884A9172D1FEF9686517040055434A063F21C84898617D820CDA8502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