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027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4\10_P_M\10_ART\09_Project\O15_template\4_HOApr3_HOMay1\04_Final_finish_template\SRL\FY12HOApr3_Batch1\Templates\"/>
    </mc:Choice>
  </mc:AlternateContent>
  <bookViews>
    <workbookView xWindow="0" yWindow="0" windowWidth="19200" windowHeight="11490" tabRatio="833"/>
  </bookViews>
  <sheets>
    <sheet name="Kako koristiti ovaj predložak" sheetId="9" r:id="rId1"/>
    <sheet name="Lista učenika" sheetId="5" r:id="rId2"/>
    <sheet name="Avgust" sheetId="4" r:id="rId3"/>
    <sheet name="Septembar" sheetId="14" r:id="rId4"/>
    <sheet name="Oktobar" sheetId="15" r:id="rId5"/>
    <sheet name="Novembar" sheetId="16" r:id="rId6"/>
    <sheet name="Decembar" sheetId="17" r:id="rId7"/>
    <sheet name="Januar" sheetId="18" r:id="rId8"/>
    <sheet name="Februar" sheetId="8" r:id="rId9"/>
    <sheet name="Mart" sheetId="19" r:id="rId10"/>
    <sheet name="April" sheetId="20" r:id="rId11"/>
    <sheet name="Maj" sheetId="21" r:id="rId12"/>
    <sheet name="Jun" sheetId="22" r:id="rId13"/>
    <sheet name="Jul" sheetId="23" r:id="rId14"/>
    <sheet name="Izveštaj o prisust. učenika" sheetId="6" r:id="rId15"/>
  </sheets>
  <definedNames>
    <definedName name="IDučenika">Listaučenika[ID učenika]</definedName>
    <definedName name="Imeučenika">Listaučenika[Puno ime studenta]</definedName>
    <definedName name="Kalendarskagodina">Avgust!$AM$1</definedName>
    <definedName name="Odštampaj_naslove" localSheetId="1">'Lista učenika'!$A:$C,'Lista učenika'!$3:$3</definedName>
    <definedName name="Pronalaženjeučenika">'Izveštaj o prisust. učenika'!$B$4</definedName>
    <definedName name="Šifra1">Avgust!$D$3</definedName>
    <definedName name="Šifra2">Avgust!$H$3</definedName>
    <definedName name="Šifra3">Avgust!$L$3</definedName>
    <definedName name="Šifra4">Avgust!$P$3</definedName>
    <definedName name="Šifra5">Avgust!$T$3</definedName>
    <definedName name="Teksthromakija">Avgust!$C$3</definedName>
    <definedName name="Tekstšifre1">Avgust!$E$3</definedName>
    <definedName name="Tekstšifre2">Avgust!$I$3</definedName>
    <definedName name="Tekstšifre3">Avgust!$M$3</definedName>
    <definedName name="Tekstšifre4">Avgust!$Q$3</definedName>
    <definedName name="Tekstšifre5">Avgust!$U$3</definedName>
  </definedNames>
  <calcPr calcId="152511"/>
</workbook>
</file>

<file path=xl/calcChain.xml><?xml version="1.0" encoding="utf-8"?>
<calcChain xmlns="http://schemas.openxmlformats.org/spreadsheetml/2006/main">
  <c r="C8" i="23" l="1"/>
  <c r="C9" i="23"/>
  <c r="C10" i="23"/>
  <c r="C11" i="23"/>
  <c r="C7" i="23"/>
  <c r="C8" i="22"/>
  <c r="C9" i="22"/>
  <c r="C10" i="22"/>
  <c r="C11" i="22"/>
  <c r="C7" i="22"/>
  <c r="C8" i="21"/>
  <c r="C9" i="21"/>
  <c r="C10" i="21"/>
  <c r="C11" i="21"/>
  <c r="C7" i="21"/>
  <c r="C8" i="20"/>
  <c r="C9" i="20"/>
  <c r="C10" i="20"/>
  <c r="C11" i="20"/>
  <c r="C7" i="20"/>
  <c r="C8" i="19"/>
  <c r="C9" i="19"/>
  <c r="C10" i="19"/>
  <c r="C11" i="19"/>
  <c r="C7" i="19"/>
  <c r="C8" i="8"/>
  <c r="C9" i="8"/>
  <c r="C10" i="8"/>
  <c r="C11" i="8"/>
  <c r="C7" i="8"/>
  <c r="C8" i="18"/>
  <c r="C9" i="18"/>
  <c r="C10" i="18"/>
  <c r="C11" i="18"/>
  <c r="C7" i="18"/>
  <c r="C8" i="17"/>
  <c r="C9" i="17"/>
  <c r="C10" i="17"/>
  <c r="C11" i="17"/>
  <c r="C7" i="17"/>
  <c r="C8" i="16"/>
  <c r="C9" i="16"/>
  <c r="C10" i="16"/>
  <c r="C11" i="16"/>
  <c r="C7" i="16"/>
  <c r="C8" i="15"/>
  <c r="C9" i="15"/>
  <c r="C10" i="15"/>
  <c r="C11" i="15"/>
  <c r="C7" i="15"/>
  <c r="C8" i="14"/>
  <c r="C9" i="14"/>
  <c r="C10" i="14"/>
  <c r="C11" i="14"/>
  <c r="C7" i="14"/>
  <c r="U12" i="6" l="1"/>
  <c r="T12" i="6"/>
  <c r="Q12" i="6"/>
  <c r="P12" i="6"/>
  <c r="L12" i="6"/>
  <c r="K12" i="6"/>
  <c r="H12" i="6"/>
  <c r="G12" i="6"/>
  <c r="D12" i="6"/>
  <c r="C12" i="6"/>
  <c r="B12" i="6"/>
  <c r="A1" i="6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D12" i="23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AB12" i="22"/>
  <c r="AC12" i="22"/>
  <c r="AD12" i="22"/>
  <c r="AE12" i="22"/>
  <c r="AF12" i="22"/>
  <c r="AG12" i="22"/>
  <c r="AH12" i="22"/>
  <c r="D12" i="22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U12" i="21"/>
  <c r="V12" i="21"/>
  <c r="W12" i="21"/>
  <c r="X12" i="21"/>
  <c r="Y12" i="21"/>
  <c r="Z12" i="21"/>
  <c r="AA12" i="21"/>
  <c r="AB12" i="21"/>
  <c r="AC12" i="21"/>
  <c r="AD12" i="21"/>
  <c r="AE12" i="21"/>
  <c r="AF12" i="21"/>
  <c r="AG12" i="21"/>
  <c r="AH12" i="21"/>
  <c r="D12" i="21"/>
  <c r="E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V12" i="20"/>
  <c r="W12" i="20"/>
  <c r="X12" i="20"/>
  <c r="Y12" i="20"/>
  <c r="Z12" i="20"/>
  <c r="AA12" i="20"/>
  <c r="AB12" i="20"/>
  <c r="AC12" i="20"/>
  <c r="AD12" i="20"/>
  <c r="AE12" i="20"/>
  <c r="AF12" i="20"/>
  <c r="AG12" i="20"/>
  <c r="AH12" i="20"/>
  <c r="D12" i="20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D12" i="19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D12" i="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D12" i="18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D12" i="17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AF12" i="16"/>
  <c r="AG12" i="16"/>
  <c r="AH12" i="16"/>
  <c r="D12" i="16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D12" i="15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D12" i="14"/>
  <c r="E12" i="4" l="1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D12" i="4"/>
  <c r="S5" i="5"/>
  <c r="C8" i="4" s="1"/>
  <c r="S6" i="5"/>
  <c r="C9" i="4" s="1"/>
  <c r="S7" i="5"/>
  <c r="C10" i="4" s="1"/>
  <c r="S8" i="5"/>
  <c r="C11" i="4" s="1"/>
  <c r="S4" i="5"/>
  <c r="C7" i="4" s="1"/>
  <c r="AG39" i="6" l="1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AH5" i="23"/>
  <c r="AG5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B5" i="23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B5" i="22"/>
  <c r="AL11" i="23"/>
  <c r="AK11" i="23"/>
  <c r="AJ11" i="23"/>
  <c r="AI11" i="23"/>
  <c r="AL10" i="23"/>
  <c r="AK10" i="23"/>
  <c r="AJ10" i="23"/>
  <c r="AI10" i="23"/>
  <c r="AL9" i="23"/>
  <c r="AK9" i="23"/>
  <c r="AJ9" i="23"/>
  <c r="AI9" i="23"/>
  <c r="AL8" i="23"/>
  <c r="AK8" i="23"/>
  <c r="AJ8" i="23"/>
  <c r="AI8" i="23"/>
  <c r="AL7" i="23"/>
  <c r="AL12" i="23" s="1"/>
  <c r="AK7" i="23"/>
  <c r="AK12" i="23" s="1"/>
  <c r="AJ7" i="23"/>
  <c r="AJ12" i="23" s="1"/>
  <c r="AI7" i="23"/>
  <c r="AI12" i="23" s="1"/>
  <c r="U3" i="23"/>
  <c r="T3" i="23"/>
  <c r="Q3" i="23"/>
  <c r="P3" i="23"/>
  <c r="M3" i="23"/>
  <c r="L3" i="23"/>
  <c r="I3" i="23"/>
  <c r="H3" i="23"/>
  <c r="E3" i="23"/>
  <c r="D3" i="23"/>
  <c r="C3" i="23"/>
  <c r="AM1" i="23"/>
  <c r="AL11" i="22"/>
  <c r="AK11" i="22"/>
  <c r="AJ11" i="22"/>
  <c r="AI11" i="22"/>
  <c r="AL10" i="22"/>
  <c r="AK10" i="22"/>
  <c r="AJ10" i="22"/>
  <c r="AI10" i="22"/>
  <c r="AL9" i="22"/>
  <c r="AK9" i="22"/>
  <c r="AJ9" i="22"/>
  <c r="AI9" i="22"/>
  <c r="AL8" i="22"/>
  <c r="AK8" i="22"/>
  <c r="AJ8" i="22"/>
  <c r="AI8" i="22"/>
  <c r="AL7" i="22"/>
  <c r="AL12" i="22" s="1"/>
  <c r="AK7" i="22"/>
  <c r="AK12" i="22" s="1"/>
  <c r="AJ7" i="22"/>
  <c r="AJ12" i="22" s="1"/>
  <c r="AI7" i="22"/>
  <c r="AI12" i="22" s="1"/>
  <c r="U3" i="22"/>
  <c r="T3" i="22"/>
  <c r="Q3" i="22"/>
  <c r="P3" i="22"/>
  <c r="M3" i="22"/>
  <c r="L3" i="22"/>
  <c r="I3" i="22"/>
  <c r="H3" i="22"/>
  <c r="E3" i="22"/>
  <c r="D3" i="22"/>
  <c r="C3" i="22"/>
  <c r="AM1" i="22"/>
  <c r="AH5" i="21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B5" i="21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B5" i="20"/>
  <c r="AL11" i="21"/>
  <c r="AK11" i="21"/>
  <c r="AJ11" i="21"/>
  <c r="AI11" i="21"/>
  <c r="AL10" i="21"/>
  <c r="AK10" i="21"/>
  <c r="AJ10" i="21"/>
  <c r="AI10" i="21"/>
  <c r="AL9" i="21"/>
  <c r="AK9" i="21"/>
  <c r="AJ9" i="21"/>
  <c r="AI9" i="21"/>
  <c r="AL8" i="21"/>
  <c r="AK8" i="21"/>
  <c r="AJ8" i="21"/>
  <c r="AI8" i="21"/>
  <c r="AL7" i="21"/>
  <c r="AK7" i="21"/>
  <c r="AK12" i="21" s="1"/>
  <c r="AJ7" i="21"/>
  <c r="AI7" i="21"/>
  <c r="AI12" i="21" s="1"/>
  <c r="U3" i="21"/>
  <c r="T3" i="21"/>
  <c r="Q3" i="21"/>
  <c r="P3" i="21"/>
  <c r="M3" i="21"/>
  <c r="L3" i="21"/>
  <c r="I3" i="21"/>
  <c r="H3" i="21"/>
  <c r="E3" i="21"/>
  <c r="D3" i="21"/>
  <c r="C3" i="21"/>
  <c r="AM1" i="21"/>
  <c r="AL11" i="20"/>
  <c r="AK11" i="20"/>
  <c r="AJ11" i="20"/>
  <c r="AI11" i="20"/>
  <c r="AL10" i="20"/>
  <c r="AK10" i="20"/>
  <c r="AJ10" i="20"/>
  <c r="AI10" i="20"/>
  <c r="AL9" i="20"/>
  <c r="AK9" i="20"/>
  <c r="AJ9" i="20"/>
  <c r="AI9" i="20"/>
  <c r="AL8" i="20"/>
  <c r="AK8" i="20"/>
  <c r="AJ8" i="20"/>
  <c r="AI8" i="20"/>
  <c r="AL7" i="20"/>
  <c r="AK7" i="20"/>
  <c r="AJ7" i="20"/>
  <c r="AJ12" i="20" s="1"/>
  <c r="AI7" i="20"/>
  <c r="U3" i="20"/>
  <c r="T3" i="20"/>
  <c r="Q3" i="20"/>
  <c r="P3" i="20"/>
  <c r="M3" i="20"/>
  <c r="L3" i="20"/>
  <c r="I3" i="20"/>
  <c r="H3" i="20"/>
  <c r="E3" i="20"/>
  <c r="D3" i="20"/>
  <c r="C3" i="20"/>
  <c r="AM1" i="20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B5" i="19"/>
  <c r="AL11" i="19"/>
  <c r="AK11" i="19"/>
  <c r="AJ11" i="19"/>
  <c r="AI11" i="19"/>
  <c r="AL10" i="19"/>
  <c r="AK10" i="19"/>
  <c r="AJ10" i="19"/>
  <c r="AI10" i="19"/>
  <c r="AL9" i="19"/>
  <c r="AK9" i="19"/>
  <c r="AJ9" i="19"/>
  <c r="AI9" i="19"/>
  <c r="AL8" i="19"/>
  <c r="AK8" i="19"/>
  <c r="AJ8" i="19"/>
  <c r="AI8" i="19"/>
  <c r="AL7" i="19"/>
  <c r="AL12" i="19" s="1"/>
  <c r="AK7" i="19"/>
  <c r="AK12" i="19" s="1"/>
  <c r="AJ7" i="19"/>
  <c r="AJ12" i="19" s="1"/>
  <c r="AI7" i="19"/>
  <c r="AI12" i="19" s="1"/>
  <c r="U3" i="19"/>
  <c r="T3" i="19"/>
  <c r="Q3" i="19"/>
  <c r="P3" i="19"/>
  <c r="M3" i="19"/>
  <c r="L3" i="19"/>
  <c r="I3" i="19"/>
  <c r="H3" i="19"/>
  <c r="E3" i="19"/>
  <c r="D3" i="19"/>
  <c r="C3" i="19"/>
  <c r="AM1" i="19"/>
  <c r="B5" i="17"/>
  <c r="B5" i="16"/>
  <c r="B5" i="15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B5" i="18"/>
  <c r="AL11" i="18"/>
  <c r="AK11" i="18"/>
  <c r="AJ11" i="18"/>
  <c r="AI11" i="18"/>
  <c r="AL10" i="18"/>
  <c r="AK10" i="18"/>
  <c r="AJ10" i="18"/>
  <c r="AI10" i="18"/>
  <c r="AL9" i="18"/>
  <c r="AK9" i="18"/>
  <c r="AJ9" i="18"/>
  <c r="AI9" i="18"/>
  <c r="AL8" i="18"/>
  <c r="AK8" i="18"/>
  <c r="AJ8" i="18"/>
  <c r="AI8" i="18"/>
  <c r="AL7" i="18"/>
  <c r="AL12" i="18" s="1"/>
  <c r="AK7" i="18"/>
  <c r="AK12" i="18" s="1"/>
  <c r="AJ7" i="18"/>
  <c r="AJ12" i="18" s="1"/>
  <c r="AI7" i="18"/>
  <c r="AI12" i="18" s="1"/>
  <c r="U3" i="18"/>
  <c r="T3" i="18"/>
  <c r="Q3" i="18"/>
  <c r="P3" i="18"/>
  <c r="M3" i="18"/>
  <c r="L3" i="18"/>
  <c r="I3" i="18"/>
  <c r="H3" i="18"/>
  <c r="E3" i="18"/>
  <c r="D3" i="18"/>
  <c r="C3" i="18"/>
  <c r="AM1" i="18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AL11" i="17"/>
  <c r="AK11" i="17"/>
  <c r="AJ11" i="17"/>
  <c r="AI11" i="17"/>
  <c r="AL10" i="17"/>
  <c r="AK10" i="17"/>
  <c r="AJ10" i="17"/>
  <c r="AI10" i="17"/>
  <c r="AL9" i="17"/>
  <c r="AK9" i="17"/>
  <c r="AJ9" i="17"/>
  <c r="AI9" i="17"/>
  <c r="AL8" i="17"/>
  <c r="AK8" i="17"/>
  <c r="AJ8" i="17"/>
  <c r="AI8" i="17"/>
  <c r="AL7" i="17"/>
  <c r="AK7" i="17"/>
  <c r="AJ7" i="17"/>
  <c r="AI7" i="17"/>
  <c r="U3" i="17"/>
  <c r="T3" i="17"/>
  <c r="Q3" i="17"/>
  <c r="P3" i="17"/>
  <c r="M3" i="17"/>
  <c r="L3" i="17"/>
  <c r="I3" i="17"/>
  <c r="H3" i="17"/>
  <c r="E3" i="17"/>
  <c r="D3" i="17"/>
  <c r="C3" i="17"/>
  <c r="AM1" i="17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AL11" i="16"/>
  <c r="AK11" i="16"/>
  <c r="AJ11" i="16"/>
  <c r="AI11" i="16"/>
  <c r="AL10" i="16"/>
  <c r="AK10" i="16"/>
  <c r="AJ10" i="16"/>
  <c r="AI10" i="16"/>
  <c r="AL9" i="16"/>
  <c r="AK9" i="16"/>
  <c r="AJ9" i="16"/>
  <c r="AI9" i="16"/>
  <c r="AL8" i="16"/>
  <c r="AK8" i="16"/>
  <c r="AJ8" i="16"/>
  <c r="AI8" i="16"/>
  <c r="AL7" i="16"/>
  <c r="AK7" i="16"/>
  <c r="AJ7" i="16"/>
  <c r="AI7" i="16"/>
  <c r="U3" i="16"/>
  <c r="T3" i="16"/>
  <c r="Q3" i="16"/>
  <c r="P3" i="16"/>
  <c r="M3" i="16"/>
  <c r="L3" i="16"/>
  <c r="I3" i="16"/>
  <c r="H3" i="16"/>
  <c r="E3" i="16"/>
  <c r="D3" i="16"/>
  <c r="C3" i="16"/>
  <c r="AM1" i="16"/>
  <c r="AL11" i="15"/>
  <c r="AK11" i="15"/>
  <c r="AJ11" i="15"/>
  <c r="AI11" i="15"/>
  <c r="AL10" i="15"/>
  <c r="AK10" i="15"/>
  <c r="AJ10" i="15"/>
  <c r="AI10" i="15"/>
  <c r="AL9" i="15"/>
  <c r="AK9" i="15"/>
  <c r="AJ9" i="15"/>
  <c r="AI9" i="15"/>
  <c r="AL8" i="15"/>
  <c r="AK8" i="15"/>
  <c r="AJ8" i="15"/>
  <c r="AI8" i="15"/>
  <c r="AL7" i="15"/>
  <c r="AK7" i="15"/>
  <c r="AJ7" i="15"/>
  <c r="AI7" i="15"/>
  <c r="AI12" i="15" s="1"/>
  <c r="U3" i="15"/>
  <c r="T3" i="15"/>
  <c r="Q3" i="15"/>
  <c r="P3" i="15"/>
  <c r="M3" i="15"/>
  <c r="L3" i="15"/>
  <c r="I3" i="15"/>
  <c r="H3" i="15"/>
  <c r="E3" i="15"/>
  <c r="D3" i="15"/>
  <c r="C3" i="15"/>
  <c r="AM1" i="15"/>
  <c r="AJ12" i="21" l="1"/>
  <c r="AL12" i="21"/>
  <c r="AL12" i="20"/>
  <c r="AI12" i="20"/>
  <c r="AK12" i="20"/>
  <c r="AJ12" i="17"/>
  <c r="AL12" i="17"/>
  <c r="AK12" i="16"/>
  <c r="AI12" i="17"/>
  <c r="AK12" i="17"/>
  <c r="AL12" i="16"/>
  <c r="AI12" i="16"/>
  <c r="AJ12" i="16"/>
  <c r="AK12" i="15"/>
  <c r="AL12" i="15"/>
  <c r="AJ12" i="15"/>
  <c r="AH36" i="6"/>
  <c r="AH38" i="6"/>
  <c r="AK38" i="6"/>
  <c r="AI38" i="6"/>
  <c r="AK36" i="6"/>
  <c r="AI36" i="6"/>
  <c r="AJ38" i="6"/>
  <c r="AJ36" i="6"/>
  <c r="AF19" i="6" l="1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U3" i="14"/>
  <c r="T3" i="14"/>
  <c r="Q3" i="14"/>
  <c r="P3" i="14"/>
  <c r="M3" i="14"/>
  <c r="L3" i="14"/>
  <c r="I3" i="14"/>
  <c r="H3" i="14"/>
  <c r="E3" i="14"/>
  <c r="D3" i="14"/>
  <c r="C3" i="14"/>
  <c r="AM1" i="14"/>
  <c r="G5" i="14"/>
  <c r="F5" i="14"/>
  <c r="E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D5" i="14"/>
  <c r="B5" i="14"/>
  <c r="AL11" i="14"/>
  <c r="AK11" i="14"/>
  <c r="AJ11" i="14"/>
  <c r="AI11" i="14"/>
  <c r="AL10" i="14"/>
  <c r="AK10" i="14"/>
  <c r="AJ10" i="14"/>
  <c r="AI10" i="14"/>
  <c r="AL9" i="14"/>
  <c r="AK9" i="14"/>
  <c r="AJ9" i="14"/>
  <c r="AI9" i="14"/>
  <c r="AL8" i="14"/>
  <c r="AK8" i="14"/>
  <c r="AJ8" i="14"/>
  <c r="AI8" i="14"/>
  <c r="AL7" i="14"/>
  <c r="AK7" i="14"/>
  <c r="AJ7" i="14"/>
  <c r="AI7" i="14"/>
  <c r="AI12" i="14" s="1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K12" i="14" l="1"/>
  <c r="AM8" i="23"/>
  <c r="AM8" i="22"/>
  <c r="AM8" i="21"/>
  <c r="AM8" i="20"/>
  <c r="AM8" i="19"/>
  <c r="AM8" i="8"/>
  <c r="AM8" i="18"/>
  <c r="AM8" i="17"/>
  <c r="AM8" i="16"/>
  <c r="AM8" i="15"/>
  <c r="AM9" i="15"/>
  <c r="AM9" i="23"/>
  <c r="AM9" i="22"/>
  <c r="AM9" i="21"/>
  <c r="AM9" i="20"/>
  <c r="AM9" i="19"/>
  <c r="AM9" i="8"/>
  <c r="AM9" i="18"/>
  <c r="AM9" i="17"/>
  <c r="AM9" i="16"/>
  <c r="AM10" i="15"/>
  <c r="AM10" i="23"/>
  <c r="AM10" i="22"/>
  <c r="AM10" i="21"/>
  <c r="AM10" i="20"/>
  <c r="AM10" i="19"/>
  <c r="AM10" i="8"/>
  <c r="AM10" i="18"/>
  <c r="AM10" i="17"/>
  <c r="AM10" i="16"/>
  <c r="AM11" i="15"/>
  <c r="AM11" i="23"/>
  <c r="AM11" i="22"/>
  <c r="AM11" i="21"/>
  <c r="AM11" i="20"/>
  <c r="AM11" i="19"/>
  <c r="AM11" i="8"/>
  <c r="AM11" i="18"/>
  <c r="AM11" i="17"/>
  <c r="AM11" i="16"/>
  <c r="AL12" i="14"/>
  <c r="AM7" i="23"/>
  <c r="AM7" i="19"/>
  <c r="AM7" i="16"/>
  <c r="AM7" i="15"/>
  <c r="AM7" i="22"/>
  <c r="AM7" i="18"/>
  <c r="AM7" i="20"/>
  <c r="AM7" i="17"/>
  <c r="AM12" i="17" s="1"/>
  <c r="AM7" i="8"/>
  <c r="AM7" i="21"/>
  <c r="AM8" i="14"/>
  <c r="AM9" i="14"/>
  <c r="AM10" i="14"/>
  <c r="AM11" i="14"/>
  <c r="AJ12" i="14"/>
  <c r="AM7" i="14"/>
  <c r="U3" i="8"/>
  <c r="T3" i="8"/>
  <c r="Q3" i="8"/>
  <c r="P3" i="8"/>
  <c r="M3" i="8"/>
  <c r="L3" i="8"/>
  <c r="I3" i="8"/>
  <c r="H3" i="8"/>
  <c r="E3" i="8"/>
  <c r="D3" i="8"/>
  <c r="C3" i="8"/>
  <c r="AM12" i="8" l="1"/>
  <c r="AM12" i="22"/>
  <c r="AM12" i="23"/>
  <c r="AM12" i="21"/>
  <c r="AM12" i="18"/>
  <c r="AM12" i="19"/>
  <c r="AM12" i="15"/>
  <c r="AM12" i="20"/>
  <c r="AM12" i="16"/>
  <c r="AM12" i="14"/>
  <c r="AM1" i="8"/>
  <c r="AL11" i="8"/>
  <c r="AK11" i="8"/>
  <c r="AJ11" i="8"/>
  <c r="AI11" i="8"/>
  <c r="AL10" i="8"/>
  <c r="AK10" i="8"/>
  <c r="AJ10" i="8"/>
  <c r="AI10" i="8"/>
  <c r="AL9" i="8"/>
  <c r="AK9" i="8"/>
  <c r="AJ9" i="8"/>
  <c r="AI9" i="8"/>
  <c r="AL8" i="8"/>
  <c r="AK8" i="8"/>
  <c r="AJ8" i="8"/>
  <c r="AI8" i="8"/>
  <c r="AL7" i="8"/>
  <c r="AK7" i="8"/>
  <c r="AK12" i="8" s="1"/>
  <c r="AJ7" i="8"/>
  <c r="AI7" i="8"/>
  <c r="AI12" i="8" s="1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B5" i="8"/>
  <c r="AL12" i="8" l="1"/>
  <c r="AJ12" i="8"/>
  <c r="AI11" i="4"/>
  <c r="AJ11" i="4"/>
  <c r="AK11" i="4"/>
  <c r="AL11" i="4"/>
  <c r="AL7" i="4"/>
  <c r="AL8" i="4"/>
  <c r="AL9" i="4"/>
  <c r="AL10" i="4"/>
  <c r="AK7" i="4"/>
  <c r="AK8" i="4"/>
  <c r="AK9" i="4"/>
  <c r="AK10" i="4"/>
  <c r="AJ7" i="4"/>
  <c r="AJ8" i="4"/>
  <c r="AM8" i="4" s="1"/>
  <c r="AJ9" i="4"/>
  <c r="AJ10" i="4"/>
  <c r="AM10" i="4" s="1"/>
  <c r="AM11" i="4" l="1"/>
  <c r="AM9" i="4"/>
  <c r="AK12" i="4"/>
  <c r="AM7" i="4"/>
  <c r="AJ12" i="4"/>
  <c r="AI7" i="4"/>
  <c r="AI8" i="4"/>
  <c r="AI9" i="4"/>
  <c r="AI10" i="4"/>
  <c r="AM12" i="4" l="1"/>
  <c r="AI12" i="4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K16" i="6" l="1"/>
  <c r="AJ16" i="6"/>
  <c r="AI16" i="6"/>
  <c r="AH16" i="6"/>
  <c r="K6" i="6"/>
  <c r="B6" i="6"/>
  <c r="B10" i="6"/>
  <c r="AE10" i="6"/>
  <c r="W10" i="6"/>
  <c r="K10" i="6"/>
  <c r="AE8" i="6"/>
  <c r="W8" i="6"/>
  <c r="K8" i="6"/>
  <c r="B8" i="6"/>
  <c r="AK28" i="6" l="1"/>
  <c r="AJ28" i="6"/>
  <c r="AI28" i="6"/>
  <c r="AH28" i="6"/>
  <c r="AI22" i="6" l="1"/>
  <c r="AK22" i="6"/>
  <c r="AJ22" i="6"/>
  <c r="AK24" i="6"/>
  <c r="AJ24" i="6"/>
  <c r="AI24" i="6"/>
  <c r="AJ30" i="6"/>
  <c r="AI30" i="6"/>
  <c r="AK30" i="6"/>
  <c r="AK18" i="6"/>
  <c r="AJ18" i="6"/>
  <c r="AI18" i="6"/>
  <c r="AK20" i="6"/>
  <c r="AJ20" i="6"/>
  <c r="AI20" i="6"/>
  <c r="AK26" i="6"/>
  <c r="AJ26" i="6"/>
  <c r="AI26" i="6"/>
  <c r="AK32" i="6"/>
  <c r="AJ32" i="6"/>
  <c r="AI32" i="6"/>
  <c r="AK34" i="6"/>
  <c r="AJ34" i="6"/>
  <c r="AI34" i="6"/>
  <c r="AH18" i="6"/>
  <c r="AH22" i="6"/>
  <c r="AH24" i="6"/>
  <c r="AH30" i="6"/>
  <c r="AH20" i="6"/>
  <c r="AH26" i="6"/>
  <c r="AH32" i="6"/>
  <c r="AH34" i="6"/>
  <c r="AH5" i="4" l="1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5" i="4"/>
  <c r="AE6" i="6"/>
  <c r="W6" i="6"/>
  <c r="S4" i="6"/>
  <c r="P4" i="6"/>
  <c r="AH40" i="6" l="1"/>
  <c r="AI40" i="6"/>
  <c r="AJ40" i="6"/>
  <c r="AK40" i="6"/>
  <c r="D4" i="6" l="1"/>
  <c r="L1" i="6" s="1"/>
  <c r="AL12" i="4"/>
</calcChain>
</file>

<file path=xl/sharedStrings.xml><?xml version="1.0" encoding="utf-8"?>
<sst xmlns="http://schemas.openxmlformats.org/spreadsheetml/2006/main" count="784" uniqueCount="132">
  <si>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</si>
  <si>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</si>
  <si>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</si>
  <si>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</si>
  <si>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</si>
  <si>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</si>
  <si>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</si>
  <si>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</si>
  <si>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</si>
  <si>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</si>
  <si>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</si>
  <si>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</si>
  <si>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</si>
  <si>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</si>
  <si>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</si>
  <si>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</si>
  <si>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</si>
  <si>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</si>
  <si>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</si>
  <si>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</si>
  <si>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</si>
  <si>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</si>
  <si>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</si>
  <si>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</si>
  <si>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</si>
  <si>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</si>
  <si>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</si>
  <si>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</si>
  <si>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</si>
  <si>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</si>
  <si>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</si>
  <si>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P</t>
  </si>
  <si>
    <t>Ime učenika</t>
  </si>
  <si>
    <t>Prezime učenika</t>
  </si>
  <si>
    <t>ID učenika</t>
  </si>
  <si>
    <t>Učenik</t>
  </si>
  <si>
    <t>Ime i prezime učenika</t>
  </si>
  <si>
    <t>Dani odsustvovanja</t>
  </si>
  <si>
    <t>Ukupne vrednosti</t>
  </si>
  <si>
    <t>Pol</t>
  </si>
  <si>
    <t>Datum rođenja</t>
  </si>
  <si>
    <t>Škola</t>
  </si>
  <si>
    <t>Razred</t>
  </si>
  <si>
    <t>Nastavnik</t>
  </si>
  <si>
    <t>Učionica</t>
  </si>
  <si>
    <t>Odnos</t>
  </si>
  <si>
    <t>Broj na poslu</t>
  </si>
  <si>
    <t>Broj kod kuće</t>
  </si>
  <si>
    <t>Kontakt za hitne slučajeve</t>
  </si>
  <si>
    <t>M</t>
  </si>
  <si>
    <t>Odnos sa kontaktom za hitne slučajeve</t>
  </si>
  <si>
    <t>Broj na poslu kontakta za hitne slučajeve</t>
  </si>
  <si>
    <t>Broj kod kuće kontakta za hitne slučajeve</t>
  </si>
  <si>
    <t>Puno ime studenta</t>
  </si>
  <si>
    <t>Deda</t>
  </si>
  <si>
    <t>Zbir prisustvovanja</t>
  </si>
  <si>
    <t>Avgust</t>
  </si>
  <si>
    <t>Septembar</t>
  </si>
  <si>
    <t>Oktobar</t>
  </si>
  <si>
    <t>Novembar</t>
  </si>
  <si>
    <t>Decembar</t>
  </si>
  <si>
    <t>Januar</t>
  </si>
  <si>
    <t>Februar</t>
  </si>
  <si>
    <t>Mart</t>
  </si>
  <si>
    <t>April</t>
  </si>
  <si>
    <t>Maj</t>
  </si>
  <si>
    <t>Jun</t>
  </si>
  <si>
    <t>Jul</t>
  </si>
  <si>
    <t>N</t>
  </si>
  <si>
    <t>Početak školske godine:</t>
  </si>
  <si>
    <t>Otac</t>
  </si>
  <si>
    <t>Roditelj ili staratelj 1</t>
  </si>
  <si>
    <t>Roditelj/odnos sa starateljem 1</t>
  </si>
  <si>
    <t>Kućni broj roditelja/staratelja 1</t>
  </si>
  <si>
    <t>Roditelj/odnos sa starateljem 2</t>
  </si>
  <si>
    <t>Broj na poslu roditelja/staratelja 2</t>
  </si>
  <si>
    <t>Kućni broj roditelja/staratelja 2</t>
  </si>
  <si>
    <t>Roditelj/staratelj 2</t>
  </si>
  <si>
    <t>Ime roditelja ili staratelja 1</t>
  </si>
  <si>
    <t>Ime roditelja ili staratelja 2</t>
  </si>
  <si>
    <t>Zakasnio</t>
  </si>
  <si>
    <t>Opravdan</t>
  </si>
  <si>
    <t>Neopravdan</t>
  </si>
  <si>
    <t>Prisutan</t>
  </si>
  <si>
    <t>Nema škole</t>
  </si>
  <si>
    <t>Prisustvovanje</t>
  </si>
  <si>
    <t>EVIDENCIJA O PRISUSTVOVANJU UČENIKA</t>
  </si>
  <si>
    <t>David</t>
  </si>
  <si>
    <t>Aleksić</t>
  </si>
  <si>
    <t>S001</t>
  </si>
  <si>
    <t>Milica</t>
  </si>
  <si>
    <t>Milica Aleksić</t>
  </si>
  <si>
    <t>S002</t>
  </si>
  <si>
    <t>S003</t>
  </si>
  <si>
    <t>S004</t>
  </si>
  <si>
    <t>S005</t>
  </si>
  <si>
    <t xml:space="preserve">Umetnička škola </t>
  </si>
  <si>
    <t>Luka Avramović</t>
  </si>
  <si>
    <t>Rajan Kočović</t>
  </si>
  <si>
    <t xml:space="preserve">● </t>
  </si>
  <si>
    <t>1.</t>
  </si>
  <si>
    <t>2.</t>
  </si>
  <si>
    <t>3.</t>
  </si>
  <si>
    <t>Pošto ste na list „Lista učenika“ uneli učenike, možete početi sa praćenjem njihovog prisustvovanja za određenu školsku godinu pomoću ovih koraka:</t>
  </si>
  <si>
    <t>ODAKLE DA POČNEM?</t>
  </si>
  <si>
    <t>DODAO SAM SVOJE UČENIKE, ŠTA TREBA SLEDEĆE DA URADIM?</t>
  </si>
  <si>
    <t>KAKO DA DODAM VIŠE UČENIKA U MESEČNU EVIDENCIJU PRISUSTVOVANJA?</t>
  </si>
  <si>
    <t>MOGU LI DA PRIKAŽEM PRISUSTVOVANJE UČENIKA ZA CELU ŠKOLSKU GODINU?</t>
  </si>
  <si>
    <t>Postoji nekoliko koraka koje morate preduzeti da biste mogli da počnete praćenje prisustva učenika:</t>
  </si>
  <si>
    <t xml:space="preserve">HROMA KI </t>
  </si>
  <si>
    <t>Ako tabela nema red „Ukupno“, počnite da kucate ispod tabele i ona će se automatski razviti kada pritisnete taster Enter ili Tab.</t>
  </si>
  <si>
    <t>Postavite pokazivač ćelije na poslednju ćeliju iznad reda „Ukupno“, na primer ćeliju „Dani odsustvovanja“ za poslednjeg učenika, a zatim pritisnite taster Tab.</t>
  </si>
  <si>
    <t>U donjem desnom uglu tabele postavite miš na regulator veličine tabele i prevucite nadole da biste povećali broj dostupnih redova tabele.</t>
  </si>
  <si>
    <t>Zatim unesite evidenciju prisustvovanja za svaki dan u mesecu pomoću tipova prisustvovanja obezbeđenih u hroma kiju. Prisustvovanje učenika se automatski izračunava po tipu prisustvovanja za svakog učenika u koloni „Ukupno“. Ukupna odsustvovanja se automatski izračunavaju na dnu tabele u redu „Ukupno“.</t>
  </si>
  <si>
    <t>Listovi evidencije mesečnog prisustvovanja i lista učenika su Excel tabele. Da biste dodali nove redove u bilo koju Excel tabelu, uradite nešto od sledećeg:</t>
  </si>
  <si>
    <t>Broj na poslu roditelja/staratelja 1</t>
  </si>
  <si>
    <t xml:space="preserve"> </t>
  </si>
  <si>
    <t>Ukupno dana odsustvovanja</t>
  </si>
  <si>
    <t>LISTA UČENIKA</t>
  </si>
  <si>
    <t>KAKO KORISTITI OVAJ PREDLOŽAK</t>
  </si>
  <si>
    <t>Prilagodite temu dokumenta.</t>
  </si>
  <si>
    <r>
      <t xml:space="preserve">Da biste učenika dodali u evidenciju prisustvovanja, kliknite na ćeliju ispod kolone </t>
    </r>
    <r>
      <rPr>
        <b/>
        <sz val="10"/>
        <color theme="1"/>
        <rFont val="Century Gothic"/>
        <family val="2"/>
        <scheme val="minor"/>
      </rPr>
      <t>ID učenika</t>
    </r>
    <r>
      <rPr>
        <sz val="10"/>
        <color theme="1"/>
        <rFont val="Century Gothic"/>
        <family val="2"/>
        <scheme val="minor"/>
      </rPr>
      <t xml:space="preserve"> i sa liste izaberite ID. Ime učenika će se automatski prikazati pošto izaberete neki ID. </t>
    </r>
  </si>
  <si>
    <r>
      <t xml:space="preserve">Kliknite desnim tasterom miša na tabelu i u iskačućem meniju postavite pokazivač na stavku </t>
    </r>
    <r>
      <rPr>
        <b/>
        <sz val="10"/>
        <color theme="1"/>
        <rFont val="Century Gothic"/>
        <family val="2"/>
        <scheme val="minor"/>
      </rPr>
      <t>Umetni,</t>
    </r>
    <r>
      <rPr>
        <sz val="10"/>
        <color theme="1"/>
        <rFont val="Century Gothic"/>
        <family val="2"/>
        <scheme val="minor"/>
      </rPr>
      <t xml:space="preserve"> a zatim izaberite </t>
    </r>
    <r>
      <rPr>
        <b/>
        <sz val="10"/>
        <color theme="1"/>
        <rFont val="Century Gothic"/>
        <family val="2"/>
        <scheme val="minor"/>
      </rPr>
      <t>Redovi tabele iznad</t>
    </r>
    <r>
      <rPr>
        <sz val="10"/>
        <color theme="1"/>
        <rFont val="Century Gothic"/>
        <family val="2"/>
        <scheme val="minor"/>
      </rPr>
      <t xml:space="preserve"> ili R</t>
    </r>
    <r>
      <rPr>
        <b/>
        <sz val="10"/>
        <color theme="1"/>
        <rFont val="Century Gothic"/>
        <family val="2"/>
        <scheme val="minor"/>
      </rPr>
      <t>edovi tabele ispod</t>
    </r>
    <r>
      <rPr>
        <sz val="10"/>
        <color theme="1"/>
        <rFont val="Century Gothic"/>
        <family val="2"/>
        <scheme val="minor"/>
      </rPr>
      <t xml:space="preserve">. </t>
    </r>
  </si>
  <si>
    <r>
      <t xml:space="preserve">Poslednji list u ovoj radnoj svesci – „Izveštaj o prisustvovanju učenika“ prati godišnje prisustvovanje učenika po datumu. Da biste videli izveštaj za određenog učenika, kliknite na ćeliju ispod </t>
    </r>
    <r>
      <rPr>
        <b/>
        <sz val="10"/>
        <color theme="1"/>
        <rFont val="Century Gothic"/>
        <family val="2"/>
        <scheme val="minor"/>
      </rPr>
      <t>ID učenika</t>
    </r>
    <r>
      <rPr>
        <sz val="10"/>
        <color theme="1"/>
        <rFont val="Century Gothic"/>
        <family val="2"/>
        <scheme val="minor"/>
      </rPr>
      <t xml:space="preserve">, a zatim sa padajuće liste izaberite ID. Informacije koje ste prethodno uneli na list „Lista učenika“ biće automatski prikazane za izabranog učenika. Imajte u vidu da kada prvi put koristite izveštaj o prisustvovanju učenika, morate uneti školu, razred, nastavnika i učionicu. Ove informacije se neće promeniti ako izaberete drugog učenika. </t>
    </r>
  </si>
  <si>
    <r>
      <rPr>
        <b/>
        <sz val="10"/>
        <color theme="4" tint="-0.499984740745262"/>
        <rFont val="Century Gothic"/>
        <family val="2"/>
        <scheme val="minor"/>
      </rPr>
      <t>Dodajte učenike</t>
    </r>
    <r>
      <rPr>
        <b/>
        <sz val="10"/>
        <color theme="1"/>
        <rFont val="Century Gothic"/>
        <family val="2"/>
        <scheme val="minor"/>
      </rPr>
      <t>:</t>
    </r>
    <r>
      <rPr>
        <sz val="10"/>
        <color theme="1"/>
        <rFont val="Century Gothic"/>
        <family val="2"/>
        <scheme val="minor"/>
      </rPr>
      <t xml:space="preserve"> Na list </t>
    </r>
    <r>
      <rPr>
        <b/>
        <sz val="10"/>
        <color theme="1"/>
        <rFont val="Century Gothic"/>
        <family val="2"/>
        <scheme val="minor"/>
      </rPr>
      <t>Lista učenika</t>
    </r>
    <r>
      <rPr>
        <sz val="10"/>
        <color theme="1"/>
        <rFont val="Century Gothic"/>
        <family val="2"/>
        <scheme val="minor"/>
      </rPr>
      <t xml:space="preserve"> unesite informacije o svakom učeniku, na primer imena staratelja i kontakt podatke. ID učenika je važna stavka zato što pruža jedinstveni identifikator za svakog učenika i koristi se kroz celu radnu svesku za razne padajuće liste „ID učenika“ radi olakšavanja unosa podataka. Informacije unete na listu učenika se koriste i na drugim listovima, na primer izveštaju o prisustvovanju učenika i mesečnim evidencijama prisustvovanja.</t>
    </r>
  </si>
  <si>
    <r>
      <rPr>
        <b/>
        <sz val="10"/>
        <color theme="1"/>
        <rFont val="Century Gothic"/>
        <family val="2"/>
        <scheme val="minor"/>
      </rPr>
      <t xml:space="preserve">Savet: </t>
    </r>
    <r>
      <rPr>
        <sz val="10"/>
        <color theme="1"/>
        <rFont val="Century Gothic"/>
        <family val="2"/>
        <scheme val="minor"/>
      </rPr>
      <t xml:space="preserve">Sačuvajte korake za unos stavki podataka! Pošto su učenici dodati za jedan mesec, izaberite unete ID-ove učenika, kopirajte ih i nalepite u kolonu </t>
    </r>
    <r>
      <rPr>
        <b/>
        <sz val="10"/>
        <color theme="1"/>
        <rFont val="Century Gothic"/>
        <family val="2"/>
        <scheme val="minor"/>
      </rPr>
      <t>ID učenika</t>
    </r>
    <r>
      <rPr>
        <sz val="10"/>
        <color theme="1"/>
        <rFont val="Century Gothic"/>
        <family val="2"/>
        <scheme val="minor"/>
      </rPr>
      <t xml:space="preserve"> za preostale mesece. </t>
    </r>
  </si>
  <si>
    <r>
      <rPr>
        <b/>
        <sz val="10"/>
        <color theme="1"/>
        <rFont val="Century Gothic"/>
        <family val="2"/>
        <scheme val="minor"/>
      </rPr>
      <t>Savet:</t>
    </r>
    <r>
      <rPr>
        <sz val="10"/>
        <color theme="1"/>
        <rFont val="Century Gothic"/>
        <family val="2"/>
        <scheme val="minor"/>
      </rPr>
      <t xml:space="preserve"> Kreirajte prilagođen skup boja teme za podudaranje sa bojama škole! Da biste to uradili, na kartici </t>
    </r>
    <r>
      <rPr>
        <b/>
        <sz val="10"/>
        <color theme="1"/>
        <rFont val="Century Gothic"/>
        <family val="2"/>
        <scheme val="minor"/>
      </rPr>
      <t>Raspored na stranici</t>
    </r>
    <r>
      <rPr>
        <sz val="10"/>
        <color theme="1"/>
        <rFont val="Century Gothic"/>
        <family val="2"/>
        <scheme val="minor"/>
      </rPr>
      <t xml:space="preserve">, u grupi </t>
    </r>
    <r>
      <rPr>
        <b/>
        <sz val="10"/>
        <color theme="1"/>
        <rFont val="Century Gothic"/>
        <family val="2"/>
        <scheme val="minor"/>
      </rPr>
      <t>Teme</t>
    </r>
    <r>
      <rPr>
        <sz val="10"/>
        <color theme="1"/>
        <rFont val="Century Gothic"/>
        <family val="2"/>
        <scheme val="minor"/>
      </rPr>
      <t xml:space="preserve"> kliknite na </t>
    </r>
    <r>
      <rPr>
        <b/>
        <sz val="10"/>
        <color theme="1"/>
        <rFont val="Century Gothic"/>
        <family val="2"/>
        <scheme val="minor"/>
      </rPr>
      <t>Boje</t>
    </r>
    <r>
      <rPr>
        <sz val="10"/>
        <color theme="1"/>
        <rFont val="Century Gothic"/>
        <family val="2"/>
        <scheme val="minor"/>
      </rPr>
      <t xml:space="preserve">, a zatim blizu dna galerija boja izaberite stavku </t>
    </r>
    <r>
      <rPr>
        <b/>
        <sz val="10"/>
        <color theme="1"/>
        <rFont val="Century Gothic"/>
        <family val="2"/>
        <scheme val="minor"/>
      </rPr>
      <t>Kreiraj nove boje teme.</t>
    </r>
    <r>
      <rPr>
        <sz val="10"/>
        <color theme="1"/>
        <rFont val="Century Gothic"/>
        <family val="2"/>
        <scheme val="minor"/>
      </rPr>
      <t xml:space="preserve"> Više informacija o kreiranju prilagođenog skupa boja potražite u sledećoj temi pomoći: </t>
    </r>
  </si>
  <si>
    <t>Z</t>
  </si>
  <si>
    <t>O</t>
  </si>
  <si>
    <t>Ne</t>
  </si>
  <si>
    <r>
      <rPr>
        <b/>
        <sz val="10"/>
        <color theme="4" tint="-0.499984740745262"/>
        <rFont val="Century Gothic"/>
        <family val="2"/>
        <scheme val="minor"/>
      </rPr>
      <t>Promenite školsku kalendarsku godinu:</t>
    </r>
    <r>
      <rPr>
        <sz val="10"/>
        <color theme="4" tint="-0.499984740745262"/>
        <rFont val="Century Gothic"/>
        <family val="2"/>
        <scheme val="minor"/>
      </rPr>
      <t xml:space="preserve"> </t>
    </r>
    <r>
      <rPr>
        <sz val="10"/>
        <color theme="1"/>
        <rFont val="Century Gothic"/>
        <family val="2"/>
        <scheme val="minor"/>
      </rPr>
      <t xml:space="preserve">Na listu </t>
    </r>
    <r>
      <rPr>
        <b/>
        <sz val="10"/>
        <color theme="1"/>
        <rFont val="Century Gothic"/>
        <family val="2"/>
        <scheme val="minor"/>
      </rPr>
      <t>Avgust</t>
    </r>
    <r>
      <rPr>
        <sz val="10"/>
        <color theme="1"/>
        <rFont val="Century Gothic"/>
        <family val="2"/>
        <scheme val="minor"/>
      </rPr>
      <t xml:space="preserve"> za prisustvovanje, kliknite na potenciometar na gornjoj desnoj ivici zaglavlja da biste ažurirali školski godišnji kalendar. Ova promena će ažurirati zaglavlje u svim mesečnim evidencijama prisustvovanja u celoj ovoj radnoj svesci. (Zapazićete da se dugme potenciometra ne štampa.)</t>
    </r>
  </si>
  <si>
    <r>
      <rPr>
        <b/>
        <i/>
        <sz val="10"/>
        <color theme="4" tint="-0.499984740745262"/>
        <rFont val="Century Gothic"/>
        <family val="2"/>
        <scheme val="minor"/>
      </rPr>
      <t>(Opcionalno)</t>
    </r>
    <r>
      <rPr>
        <b/>
        <sz val="10"/>
        <color theme="4" tint="-0.499984740745262"/>
        <rFont val="Century Gothic"/>
        <family val="2"/>
        <scheme val="minor"/>
      </rPr>
      <t xml:space="preserve"> Izmenite boje u celoj radnoj svesci:</t>
    </r>
    <r>
      <rPr>
        <b/>
        <sz val="10"/>
        <color theme="1"/>
        <rFont val="Century Gothic"/>
        <family val="2"/>
        <scheme val="minor"/>
      </rPr>
      <t xml:space="preserve"> </t>
    </r>
    <r>
      <rPr>
        <sz val="10"/>
        <color theme="1"/>
        <rFont val="Century Gothic"/>
        <family val="2"/>
        <scheme val="minor"/>
      </rPr>
      <t xml:space="preserve">Prvo idite na poslednji list, </t>
    </r>
    <r>
      <rPr>
        <b/>
        <sz val="10"/>
        <color theme="1"/>
        <rFont val="Century Gothic"/>
        <family val="2"/>
        <scheme val="minor"/>
      </rPr>
      <t>Izveštaj o prisustvovanju učenika</t>
    </r>
    <r>
      <rPr>
        <sz val="10"/>
        <color theme="1"/>
        <rFont val="Century Gothic"/>
        <family val="2"/>
        <scheme val="minor"/>
      </rPr>
      <t xml:space="preserve"> i na kartici </t>
    </r>
    <r>
      <rPr>
        <b/>
        <sz val="10"/>
        <color theme="1"/>
        <rFont val="Century Gothic"/>
        <family val="2"/>
        <scheme val="minor"/>
      </rPr>
      <t>Pregled</t>
    </r>
    <r>
      <rPr>
        <sz val="10"/>
        <color theme="1"/>
        <rFont val="Century Gothic"/>
        <family val="2"/>
        <scheme val="minor"/>
      </rPr>
      <t xml:space="preserve">, u grupi </t>
    </r>
    <r>
      <rPr>
        <b/>
        <sz val="10"/>
        <color theme="1"/>
        <rFont val="Century Gothic"/>
        <family val="2"/>
        <scheme val="minor"/>
      </rPr>
      <t>Promene</t>
    </r>
    <r>
      <rPr>
        <sz val="10"/>
        <color theme="1"/>
        <rFont val="Century Gothic"/>
        <family val="2"/>
        <scheme val="minor"/>
      </rPr>
      <t xml:space="preserve"> kliknite na </t>
    </r>
    <r>
      <rPr>
        <b/>
        <sz val="10"/>
        <color theme="1"/>
        <rFont val="Century Gothic"/>
        <family val="2"/>
        <scheme val="minor"/>
      </rPr>
      <t>Ukloni zaštitu lista.</t>
    </r>
    <r>
      <rPr>
        <sz val="10"/>
        <color theme="1"/>
        <rFont val="Century Gothic"/>
        <family val="2"/>
        <scheme val="minor"/>
      </rPr>
      <t xml:space="preserve"> Zatim na kartici </t>
    </r>
    <r>
      <rPr>
        <b/>
        <sz val="10"/>
        <color theme="1"/>
        <rFont val="Century Gothic"/>
        <family val="2"/>
        <scheme val="minor"/>
      </rPr>
      <t>Raspored na stranici</t>
    </r>
    <r>
      <rPr>
        <sz val="10"/>
        <color theme="1"/>
        <rFont val="Century Gothic"/>
        <family val="2"/>
        <scheme val="minor"/>
      </rPr>
      <t xml:space="preserve">, u grupi </t>
    </r>
    <r>
      <rPr>
        <b/>
        <sz val="10"/>
        <color theme="1"/>
        <rFont val="Century Gothic"/>
        <family val="2"/>
        <scheme val="minor"/>
      </rPr>
      <t>Teme</t>
    </r>
    <r>
      <rPr>
        <sz val="10"/>
        <color theme="1"/>
        <rFont val="Century Gothic"/>
        <family val="2"/>
        <scheme val="minor"/>
      </rPr>
      <t xml:space="preserve"> kliknite na </t>
    </r>
    <r>
      <rPr>
        <b/>
        <sz val="10"/>
        <color theme="1"/>
        <rFont val="Century Gothic"/>
        <family val="2"/>
        <scheme val="minor"/>
      </rPr>
      <t>Boje</t>
    </r>
    <r>
      <rPr>
        <sz val="10"/>
        <color theme="1"/>
        <rFont val="Century Gothic"/>
        <family val="2"/>
        <scheme val="minor"/>
      </rPr>
      <t xml:space="preserve"> i iz galerije boja izaberite neki drugi skup boja. Pošto ste napravili promene boje i bilo koje druge promene teme, vratite se na list </t>
    </r>
    <r>
      <rPr>
        <b/>
        <sz val="10"/>
        <color theme="1"/>
        <rFont val="Century Gothic"/>
        <family val="2"/>
        <scheme val="minor"/>
      </rPr>
      <t>Izveštaj o prisustvovanju učenika</t>
    </r>
    <r>
      <rPr>
        <sz val="10"/>
        <color theme="1"/>
        <rFont val="Century Gothic"/>
        <family val="2"/>
        <scheme val="minor"/>
      </rPr>
      <t xml:space="preserve"> i na kartici </t>
    </r>
    <r>
      <rPr>
        <b/>
        <sz val="10"/>
        <color theme="1"/>
        <rFont val="Century Gothic"/>
        <family val="2"/>
        <scheme val="minor"/>
      </rPr>
      <t>Pregled</t>
    </r>
    <r>
      <rPr>
        <sz val="10"/>
        <color theme="1"/>
        <rFont val="Century Gothic"/>
        <family val="2"/>
        <scheme val="minor"/>
      </rPr>
      <t xml:space="preserve">, u grupi </t>
    </r>
    <r>
      <rPr>
        <b/>
        <sz val="10"/>
        <color theme="1"/>
        <rFont val="Century Gothic"/>
        <family val="2"/>
        <scheme val="minor"/>
      </rPr>
      <t>Promene</t>
    </r>
    <r>
      <rPr>
        <sz val="10"/>
        <color theme="1"/>
        <rFont val="Century Gothic"/>
        <family val="2"/>
        <scheme val="minor"/>
      </rPr>
      <t xml:space="preserve"> kliknite na </t>
    </r>
    <r>
      <rPr>
        <b/>
        <sz val="10"/>
        <color theme="1"/>
        <rFont val="Century Gothic"/>
        <family val="2"/>
        <scheme val="minor"/>
      </rPr>
      <t xml:space="preserve"> Zaštiti list</t>
    </r>
    <r>
      <rPr>
        <sz val="10"/>
        <color theme="1"/>
        <rFont val="Century Gothic"/>
        <family val="2"/>
        <scheme val="minor"/>
      </rPr>
      <t xml:space="preserve">, a zatim kliknite na dugme </t>
    </r>
    <r>
      <rPr>
        <b/>
        <sz val="10"/>
        <color theme="1"/>
        <rFont val="Century Gothic"/>
        <family val="2"/>
        <scheme val="minor"/>
      </rPr>
      <t>U redu.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</si>
</sst>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0;"/>
    <numFmt numFmtId="165" formatCode="mm/dd/yy;@"/>
    <numFmt numFmtId="166" formatCode="[&lt;=9999999]###\-####;\(###\)\ ###\-####"/>
    <numFmt numFmtId="167" formatCode="0;0;;@"/>
    <numFmt numFmtId="168" formatCode="_)@"/>
  </numFmts>
  <fonts count="47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Century Gothic"/>
      <family val="2"/>
    </font>
    <font>
      <b/>
      <sz val="12"/>
      <name val="Arial"/>
      <family val="2"/>
    </font>
    <font>
      <sz val="9"/>
      <name val="Century Gothic"/>
      <family val="2"/>
    </font>
    <font>
      <b/>
      <sz val="20"/>
      <name val="Century Gothic"/>
      <family val="1"/>
      <scheme val="major"/>
    </font>
    <font>
      <sz val="16"/>
      <name val="Century Gothic"/>
      <family val="1"/>
      <scheme val="major"/>
    </font>
    <font>
      <b/>
      <sz val="8"/>
      <color theme="1" tint="0.14996795556505021"/>
      <name val="Century Gothic"/>
      <family val="1"/>
      <scheme val="minor"/>
    </font>
    <font>
      <sz val="8"/>
      <name val="Century Gothic"/>
      <family val="1"/>
      <scheme val="minor"/>
    </font>
    <font>
      <b/>
      <sz val="8"/>
      <color theme="1" tint="0.14996795556505021"/>
      <name val="Century Gothic"/>
      <family val="2"/>
      <scheme val="minor"/>
    </font>
    <font>
      <sz val="8"/>
      <name val="Century Gothic"/>
      <family val="2"/>
      <scheme val="minor"/>
    </font>
    <font>
      <sz val="9"/>
      <name val="Century Gothic"/>
      <family val="1"/>
      <scheme val="major"/>
    </font>
    <font>
      <b/>
      <sz val="8"/>
      <color theme="0"/>
      <name val="Century Gothic"/>
      <family val="1"/>
      <scheme val="major"/>
    </font>
    <font>
      <sz val="9"/>
      <color theme="0"/>
      <name val="Century Gothic"/>
      <family val="1"/>
      <scheme val="major"/>
    </font>
    <font>
      <sz val="10"/>
      <color theme="1"/>
      <name val="Century Gothic"/>
      <family val="1"/>
      <scheme val="major"/>
    </font>
    <font>
      <b/>
      <sz val="9"/>
      <color theme="0"/>
      <name val="Century Gothic"/>
      <family val="1"/>
      <scheme val="major"/>
    </font>
    <font>
      <sz val="10"/>
      <name val="Century Gothic"/>
      <family val="2"/>
      <scheme val="minor"/>
    </font>
    <font>
      <b/>
      <sz val="12"/>
      <name val="Century Gothic"/>
      <family val="2"/>
      <scheme val="minor"/>
    </font>
    <font>
      <b/>
      <sz val="22"/>
      <color theme="0"/>
      <name val="Century Gothic"/>
      <family val="2"/>
      <scheme val="major"/>
    </font>
    <font>
      <b/>
      <sz val="16"/>
      <color theme="0"/>
      <name val="Century Gothic"/>
      <family val="2"/>
      <scheme val="minor"/>
    </font>
    <font>
      <sz val="9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sz val="10"/>
      <color theme="1"/>
      <name val="Century Gothic"/>
      <family val="2"/>
      <scheme val="major"/>
    </font>
    <font>
      <b/>
      <sz val="11"/>
      <color indexed="9"/>
      <name val="Century Gothic"/>
      <family val="1"/>
      <scheme val="major"/>
    </font>
    <font>
      <sz val="9"/>
      <color theme="1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16"/>
      <color theme="0"/>
      <name val="Century Gothic"/>
      <family val="1"/>
      <scheme val="major"/>
    </font>
    <font>
      <sz val="8"/>
      <color theme="1"/>
      <name val="Century Gothic"/>
      <family val="2"/>
      <scheme val="minor"/>
    </font>
    <font>
      <b/>
      <sz val="16"/>
      <color theme="0"/>
      <name val="Century Gothic"/>
      <family val="2"/>
      <scheme val="major"/>
    </font>
    <font>
      <b/>
      <i/>
      <sz val="14"/>
      <color theme="0"/>
      <name val="Century Gothic"/>
      <family val="2"/>
      <scheme val="major"/>
    </font>
    <font>
      <sz val="12"/>
      <color theme="3"/>
      <name val="Century Gothic"/>
      <family val="2"/>
      <scheme val="minor"/>
    </font>
    <font>
      <sz val="10"/>
      <color theme="4" tint="-0.499984740745262"/>
      <name val="Century Gothic"/>
      <family val="2"/>
      <scheme val="minor"/>
    </font>
    <font>
      <u/>
      <sz val="10"/>
      <color theme="10"/>
      <name val="Arial"/>
      <family val="2"/>
    </font>
    <font>
      <b/>
      <sz val="10"/>
      <color theme="4" tint="-0.499984740745262"/>
      <name val="Century Gothic"/>
      <family val="2"/>
      <scheme val="minor"/>
    </font>
    <font>
      <b/>
      <i/>
      <sz val="10"/>
      <color theme="4" tint="-0.499984740745262"/>
      <name val="Century Gothic"/>
      <family val="2"/>
      <scheme val="minor"/>
    </font>
    <font>
      <b/>
      <sz val="9"/>
      <color theme="4" tint="-0.499984740745262"/>
      <name val="Century Gothic"/>
      <family val="1"/>
      <scheme val="major"/>
    </font>
    <font>
      <sz val="9"/>
      <name val="Century Gothic"/>
      <family val="1"/>
      <scheme val="minor"/>
    </font>
    <font>
      <b/>
      <sz val="9"/>
      <color theme="1" tint="0.14996795556505021"/>
      <name val="Century Gothic"/>
      <family val="1"/>
      <scheme val="major"/>
    </font>
    <font>
      <sz val="9"/>
      <color theme="3" tint="-0.249977111117893"/>
      <name val="Century Gothic"/>
      <family val="1"/>
      <scheme val="major"/>
    </font>
    <font>
      <b/>
      <sz val="9"/>
      <color theme="3" tint="-0.249977111117893"/>
      <name val="Century Gothic"/>
      <family val="1"/>
      <scheme val="major"/>
    </font>
    <font>
      <sz val="9"/>
      <color theme="3" tint="-0.249977111117893"/>
      <name val="Century Gothic"/>
      <family val="1"/>
      <scheme val="minor"/>
    </font>
    <font>
      <sz val="9"/>
      <color theme="1"/>
      <name val="Century Gothic"/>
      <family val="1"/>
      <scheme val="minor"/>
    </font>
    <font>
      <b/>
      <sz val="9"/>
      <color theme="1" tint="0.14996795556505021"/>
      <name val="Century Gothic"/>
      <family val="1"/>
      <scheme val="minor"/>
    </font>
    <font>
      <b/>
      <sz val="8"/>
      <name val="Century Gothic"/>
      <family val="2"/>
      <scheme val="major"/>
    </font>
    <font>
      <sz val="10"/>
      <color theme="1"/>
      <name val="Century Gothic"/>
      <scheme val="minor"/>
    </font>
    <font>
      <b/>
      <sz val="10"/>
      <color theme="0"/>
      <name val="Century Gothic"/>
      <family val="2"/>
      <scheme val="minor"/>
    </font>
    <font>
      <sz val="10"/>
      <color theme="3" tint="-0.24994659260841701"/>
      <name val="Century Gothic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4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 style="thin">
        <color theme="0" tint="-0.34998626667073579"/>
      </right>
      <top/>
      <bottom style="medium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49998474074526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/>
      </left>
      <right style="thin">
        <color theme="3"/>
      </right>
      <top style="thin">
        <color theme="4" tint="-0.499984740745262"/>
      </top>
      <bottom style="medium">
        <color theme="4" tint="-0.499984740745262"/>
      </bottom>
      <diagonal/>
    </border>
  </borders>
  <cellStyleXfs count="13">
    <xf numFmtId="0" fontId="0" fillId="0" borderId="0"/>
    <xf numFmtId="0" fontId="18" fillId="0" borderId="0" applyNumberFormat="0" applyFill="0" applyBorder="0" applyAlignment="0" applyProtection="0"/>
    <xf numFmtId="0" fontId="7" fillId="3" borderId="2">
      <alignment vertical="center"/>
    </xf>
    <xf numFmtId="0" fontId="8" fillId="0" borderId="2">
      <alignment horizontal="left" vertical="center" wrapText="1"/>
      <protection locked="0"/>
    </xf>
    <xf numFmtId="165" fontId="8" fillId="0" borderId="2">
      <alignment horizontal="left" vertical="center" wrapText="1"/>
      <protection locked="0"/>
    </xf>
    <xf numFmtId="166" fontId="8" fillId="0" borderId="2">
      <alignment horizontal="left" vertical="center" wrapText="1"/>
      <protection locked="0"/>
    </xf>
    <xf numFmtId="0" fontId="9" fillId="4" borderId="3" applyBorder="0">
      <alignment horizontal="center" vertical="center"/>
    </xf>
    <xf numFmtId="1" fontId="9" fillId="4" borderId="2">
      <alignment horizontal="center" vertical="center"/>
    </xf>
    <xf numFmtId="0" fontId="10" fillId="5" borderId="2">
      <alignment horizontal="center" vertical="center"/>
      <protection locked="0"/>
    </xf>
    <xf numFmtId="0" fontId="10" fillId="6" borderId="2">
      <alignment horizontal="center" vertical="center"/>
    </xf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/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indent="2"/>
    </xf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Protection="1"/>
    <xf numFmtId="166" fontId="0" fillId="0" borderId="0" xfId="0" applyNumberFormat="1" applyAlignment="1">
      <alignment horizontal="center"/>
    </xf>
    <xf numFmtId="167" fontId="0" fillId="0" borderId="0" xfId="0" applyNumberFormat="1"/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18" fillId="7" borderId="0" xfId="1" applyNumberForma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0" fillId="7" borderId="0" xfId="0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0" fontId="2" fillId="7" borderId="0" xfId="0" applyFont="1" applyFill="1" applyAlignment="1">
      <alignment horizontal="center" vertical="center"/>
    </xf>
    <xf numFmtId="0" fontId="13" fillId="7" borderId="1" xfId="0" applyFont="1" applyFill="1" applyBorder="1" applyAlignment="1">
      <alignment horizontal="center"/>
    </xf>
    <xf numFmtId="0" fontId="0" fillId="7" borderId="0" xfId="0" applyFill="1"/>
    <xf numFmtId="0" fontId="2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Protection="1">
      <protection locked="0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24" fillId="8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7" borderId="0" xfId="0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1" fillId="7" borderId="7" xfId="0" applyFont="1" applyFill="1" applyBorder="1"/>
    <xf numFmtId="17" fontId="23" fillId="7" borderId="4" xfId="0" applyNumberFormat="1" applyFont="1" applyFill="1" applyBorder="1" applyAlignment="1">
      <alignment horizontal="left" vertical="center"/>
    </xf>
    <xf numFmtId="0" fontId="5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horizontal="right" vertical="center"/>
    </xf>
    <xf numFmtId="0" fontId="0" fillId="7" borderId="0" xfId="0" applyFill="1" applyProtection="1"/>
    <xf numFmtId="0" fontId="18" fillId="7" borderId="0" xfId="1" applyFill="1" applyBorder="1" applyAlignment="1" applyProtection="1">
      <alignment vertical="center"/>
    </xf>
    <xf numFmtId="167" fontId="8" fillId="0" borderId="0" xfId="3" applyNumberFormat="1" applyBorder="1" applyAlignment="1" applyProtection="1">
      <alignment horizontal="left" vertical="center" wrapText="1" indent="1"/>
    </xf>
    <xf numFmtId="166" fontId="8" fillId="0" borderId="0" xfId="5" applyBorder="1" applyAlignment="1" applyProtection="1">
      <alignment horizontal="left" vertical="center" wrapText="1" indent="1"/>
    </xf>
    <xf numFmtId="0" fontId="24" fillId="0" borderId="0" xfId="0" applyFont="1" applyAlignment="1">
      <alignment horizontal="left" vertical="center"/>
    </xf>
    <xf numFmtId="0" fontId="0" fillId="8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27" fillId="0" borderId="0" xfId="0" applyFont="1"/>
    <xf numFmtId="0" fontId="27" fillId="11" borderId="0" xfId="0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0" fontId="27" fillId="8" borderId="0" xfId="0" applyFont="1" applyFill="1" applyAlignment="1">
      <alignment horizontal="center"/>
    </xf>
    <xf numFmtId="0" fontId="27" fillId="0" borderId="0" xfId="0" applyFont="1" applyProtection="1"/>
    <xf numFmtId="0" fontId="27" fillId="10" borderId="0" xfId="0" applyFont="1" applyFill="1" applyAlignment="1">
      <alignment horizontal="center"/>
    </xf>
    <xf numFmtId="0" fontId="27" fillId="12" borderId="0" xfId="0" applyFont="1" applyFill="1" applyAlignment="1">
      <alignment horizontal="center"/>
    </xf>
    <xf numFmtId="167" fontId="10" fillId="0" borderId="0" xfId="3" applyNumberFormat="1" applyFont="1" applyBorder="1" applyAlignment="1" applyProtection="1">
      <alignment horizontal="left"/>
    </xf>
    <xf numFmtId="167" fontId="10" fillId="0" borderId="0" xfId="3" applyNumberFormat="1" applyFont="1" applyBorder="1" applyAlignment="1" applyProtection="1">
      <alignment horizontal="left" vertical="center" wrapText="1" indent="1"/>
    </xf>
    <xf numFmtId="166" fontId="10" fillId="0" borderId="0" xfId="5" applyFont="1" applyBorder="1" applyAlignment="1" applyProtection="1">
      <alignment horizontal="left" vertical="center" wrapText="1" indent="1"/>
    </xf>
    <xf numFmtId="167" fontId="28" fillId="7" borderId="0" xfId="1" applyNumberFormat="1" applyFont="1" applyFill="1" applyBorder="1" applyAlignment="1" applyProtection="1">
      <alignment vertical="center"/>
    </xf>
    <xf numFmtId="0" fontId="29" fillId="7" borderId="0" xfId="1" applyFont="1" applyFill="1" applyBorder="1" applyAlignment="1" applyProtection="1">
      <alignment horizontal="left" vertical="center" indent="1"/>
    </xf>
    <xf numFmtId="0" fontId="1" fillId="7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7" borderId="0" xfId="1" applyFill="1" applyAlignment="1">
      <alignment horizontal="left" vertical="center" indent="1"/>
    </xf>
    <xf numFmtId="0" fontId="30" fillId="0" borderId="0" xfId="1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11" borderId="0" xfId="0" applyNumberFormat="1" applyFont="1" applyFill="1" applyBorder="1" applyAlignment="1">
      <alignment horizontal="center"/>
    </xf>
    <xf numFmtId="0" fontId="0" fillId="0" borderId="0" xfId="0" quotePrefix="1" applyAlignment="1">
      <alignment vertical="top"/>
    </xf>
    <xf numFmtId="0" fontId="0" fillId="0" borderId="0" xfId="0" applyFill="1"/>
    <xf numFmtId="0" fontId="0" fillId="0" borderId="0" xfId="0" applyAlignment="1">
      <alignment vertical="center" wrapText="1"/>
    </xf>
    <xf numFmtId="0" fontId="30" fillId="0" borderId="0" xfId="11" applyAlignment="1">
      <alignment vertical="top"/>
    </xf>
    <xf numFmtId="0" fontId="18" fillId="7" borderId="0" xfId="1" applyFont="1" applyFill="1" applyAlignment="1">
      <alignment horizontal="left" vertical="center" indent="1"/>
    </xf>
    <xf numFmtId="0" fontId="0" fillId="0" borderId="0" xfId="0" applyAlignment="1">
      <alignment wrapText="1"/>
    </xf>
    <xf numFmtId="168" fontId="35" fillId="2" borderId="9" xfId="2" applyNumberFormat="1" applyFont="1" applyFill="1" applyBorder="1" applyAlignment="1" applyProtection="1">
      <alignment vertical="center"/>
    </xf>
    <xf numFmtId="168" fontId="35" fillId="2" borderId="10" xfId="2" applyNumberFormat="1" applyFont="1" applyFill="1" applyBorder="1" applyAlignment="1" applyProtection="1">
      <alignment vertical="center"/>
    </xf>
    <xf numFmtId="0" fontId="36" fillId="0" borderId="8" xfId="3" applyFont="1" applyBorder="1" applyAlignment="1" applyProtection="1">
      <alignment horizontal="center" vertical="center" wrapText="1"/>
      <protection locked="0"/>
    </xf>
    <xf numFmtId="0" fontId="38" fillId="2" borderId="12" xfId="0" applyFont="1" applyFill="1" applyBorder="1" applyAlignment="1" applyProtection="1">
      <alignment horizontal="center" vertical="center"/>
    </xf>
    <xf numFmtId="164" fontId="40" fillId="0" borderId="8" xfId="8" applyNumberFormat="1" applyFont="1" applyFill="1" applyBorder="1" applyProtection="1">
      <alignment horizontal="center" vertical="center"/>
    </xf>
    <xf numFmtId="164" fontId="38" fillId="2" borderId="8" xfId="0" applyNumberFormat="1" applyFont="1" applyFill="1" applyBorder="1" applyAlignment="1" applyProtection="1">
      <alignment horizontal="center" vertical="center"/>
    </xf>
    <xf numFmtId="0" fontId="41" fillId="0" borderId="0" xfId="0" applyFont="1" applyProtection="1"/>
    <xf numFmtId="0" fontId="36" fillId="0" borderId="0" xfId="0" applyFont="1" applyFill="1" applyBorder="1" applyProtection="1"/>
    <xf numFmtId="164" fontId="39" fillId="0" borderId="8" xfId="7" applyNumberFormat="1" applyFont="1" applyFill="1" applyBorder="1" applyProtection="1">
      <alignment horizontal="center" vertical="center"/>
    </xf>
    <xf numFmtId="0" fontId="35" fillId="2" borderId="8" xfId="2" applyNumberFormat="1" applyFont="1" applyFill="1" applyBorder="1" applyAlignment="1" applyProtection="1">
      <alignment vertical="center"/>
    </xf>
    <xf numFmtId="0" fontId="43" fillId="11" borderId="13" xfId="0" applyFont="1" applyFill="1" applyBorder="1" applyAlignment="1" applyProtection="1">
      <alignment horizontal="center" vertical="center"/>
    </xf>
    <xf numFmtId="0" fontId="43" fillId="9" borderId="14" xfId="0" applyFont="1" applyFill="1" applyBorder="1" applyAlignment="1" applyProtection="1">
      <alignment horizontal="center" vertical="center"/>
    </xf>
    <xf numFmtId="0" fontId="43" fillId="8" borderId="14" xfId="0" applyFont="1" applyFill="1" applyBorder="1" applyAlignment="1" applyProtection="1">
      <alignment horizontal="center" vertical="center"/>
    </xf>
    <xf numFmtId="0" fontId="43" fillId="10" borderId="14" xfId="0" applyFont="1" applyFill="1" applyBorder="1" applyAlignment="1" applyProtection="1">
      <alignment horizontal="center" vertical="center"/>
    </xf>
    <xf numFmtId="0" fontId="18" fillId="7" borderId="0" xfId="1" applyNumberForma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45" fillId="7" borderId="16" xfId="0" applyFont="1" applyFill="1" applyBorder="1" applyAlignment="1">
      <alignment horizontal="center" vertical="center" wrapText="1"/>
    </xf>
    <xf numFmtId="0" fontId="45" fillId="7" borderId="16" xfId="0" applyFont="1" applyFill="1" applyBorder="1" applyAlignment="1">
      <alignment horizontal="left" vertical="center" wrapText="1"/>
    </xf>
    <xf numFmtId="0" fontId="46" fillId="0" borderId="8" xfId="0" applyFont="1" applyFill="1" applyBorder="1" applyAlignment="1">
      <alignment horizontal="left"/>
    </xf>
    <xf numFmtId="0" fontId="46" fillId="0" borderId="8" xfId="0" applyFont="1" applyFill="1" applyBorder="1"/>
    <xf numFmtId="0" fontId="46" fillId="0" borderId="8" xfId="0" applyFont="1" applyFill="1" applyBorder="1" applyAlignment="1">
      <alignment horizontal="center"/>
    </xf>
    <xf numFmtId="0" fontId="46" fillId="2" borderId="8" xfId="0" applyFont="1" applyFill="1" applyBorder="1" applyAlignment="1">
      <alignment horizontal="left"/>
    </xf>
    <xf numFmtId="0" fontId="46" fillId="2" borderId="8" xfId="0" applyFont="1" applyFill="1" applyBorder="1"/>
    <xf numFmtId="0" fontId="46" fillId="2" borderId="8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2" fillId="0" borderId="0" xfId="12" quotePrefix="1" applyAlignment="1">
      <alignment vertical="top" wrapText="1"/>
    </xf>
    <xf numFmtId="0" fontId="15" fillId="7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164" fontId="39" fillId="0" borderId="15" xfId="7" applyNumberFormat="1" applyFont="1" applyFill="1" applyBorder="1" applyProtection="1">
      <alignment horizontal="center" vertical="center"/>
    </xf>
    <xf numFmtId="164" fontId="39" fillId="0" borderId="12" xfId="7" applyNumberFormat="1" applyFont="1" applyFill="1" applyBorder="1" applyProtection="1">
      <alignment horizontal="center" vertical="center"/>
    </xf>
    <xf numFmtId="0" fontId="42" fillId="0" borderId="0" xfId="0" applyFont="1" applyFill="1" applyBorder="1" applyAlignment="1" applyProtection="1">
      <alignment horizontal="right" vertical="center" wrapText="1"/>
    </xf>
    <xf numFmtId="0" fontId="37" fillId="2" borderId="8" xfId="6" applyFont="1" applyFill="1" applyBorder="1" applyProtection="1">
      <alignment horizontal="center" vertical="center"/>
    </xf>
    <xf numFmtId="164" fontId="39" fillId="0" borderId="8" xfId="7" applyNumberFormat="1" applyFont="1" applyFill="1" applyBorder="1" applyProtection="1">
      <alignment horizontal="center" vertical="center"/>
    </xf>
    <xf numFmtId="0" fontId="37" fillId="2" borderId="15" xfId="6" applyFont="1" applyFill="1" applyBorder="1" applyProtection="1">
      <alignment horizontal="center" vertical="center"/>
    </xf>
    <xf numFmtId="0" fontId="37" fillId="2" borderId="12" xfId="6" applyFont="1" applyFill="1" applyBorder="1" applyProtection="1">
      <alignment horizontal="center" vertical="center"/>
    </xf>
    <xf numFmtId="0" fontId="12" fillId="7" borderId="0" xfId="0" applyFont="1" applyFill="1" applyBorder="1" applyAlignment="1" applyProtection="1">
      <alignment horizontal="center" vertical="center"/>
    </xf>
    <xf numFmtId="0" fontId="36" fillId="0" borderId="8" xfId="3" applyFont="1" applyBorder="1" applyAlignment="1" applyProtection="1">
      <alignment horizontal="left" vertical="center" wrapText="1" indent="1"/>
      <protection locked="0"/>
    </xf>
    <xf numFmtId="167" fontId="36" fillId="0" borderId="8" xfId="3" applyNumberFormat="1" applyFont="1" applyBorder="1" applyAlignment="1" applyProtection="1">
      <alignment horizontal="left" vertical="center" wrapText="1" indent="1"/>
    </xf>
    <xf numFmtId="168" fontId="35" fillId="2" borderId="8" xfId="2" applyNumberFormat="1" applyFont="1" applyFill="1" applyBorder="1" applyAlignment="1" applyProtection="1">
      <alignment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35" fillId="2" borderId="8" xfId="2" applyNumberFormat="1" applyFont="1" applyFill="1" applyBorder="1" applyProtection="1">
      <alignment vertical="center"/>
    </xf>
    <xf numFmtId="0" fontId="36" fillId="0" borderId="8" xfId="3" applyFont="1" applyBorder="1" applyAlignment="1" applyProtection="1">
      <alignment horizontal="center" vertical="center" wrapText="1"/>
      <protection locked="0"/>
    </xf>
    <xf numFmtId="168" fontId="35" fillId="2" borderId="8" xfId="2" applyNumberFormat="1" applyFont="1" applyFill="1" applyBorder="1" applyProtection="1">
      <alignment vertical="center"/>
    </xf>
    <xf numFmtId="166" fontId="36" fillId="0" borderId="8" xfId="5" applyFont="1" applyBorder="1" applyAlignment="1" applyProtection="1">
      <alignment horizontal="left" vertical="center" wrapText="1" indent="1"/>
    </xf>
    <xf numFmtId="167" fontId="36" fillId="0" borderId="8" xfId="3" applyNumberFormat="1" applyFont="1" applyBorder="1" applyAlignment="1" applyProtection="1">
      <alignment horizontal="center" vertical="center" wrapText="1"/>
    </xf>
    <xf numFmtId="14" fontId="36" fillId="0" borderId="8" xfId="4" applyNumberFormat="1" applyFont="1" applyBorder="1" applyAlignment="1" applyProtection="1">
      <alignment horizontal="center" vertical="center" wrapText="1"/>
    </xf>
  </cellXfs>
  <cellStyles count="13">
    <cellStyle name="Attendance Totals" xfId="7"/>
    <cellStyle name="Birthdate" xfId="4"/>
    <cellStyle name="Hiperveza" xfId="12" builtinId="8"/>
    <cellStyle name="Month" xfId="6"/>
    <cellStyle name="Naslov" xfId="1" builtinId="15" customBuiltin="1"/>
    <cellStyle name="Naslov 1" xfId="10" builtinId="16" customBuiltin="1"/>
    <cellStyle name="Naslov 2" xfId="11" builtinId="17" customBuiltin="1"/>
    <cellStyle name="Normalan" xfId="0" builtinId="0" customBuiltin="1"/>
    <cellStyle name="Phone Number" xfId="5"/>
    <cellStyle name="Student Information" xfId="2"/>
    <cellStyle name="Student Information - user entered" xfId="3"/>
    <cellStyle name="Weekday" xfId="8"/>
    <cellStyle name="Weekend" xfId="9"/>
  </cellStyles>
  <dxfs count="998">
    <dxf>
      <font>
        <color theme="4" tint="0.79998168889431442"/>
      </font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ont>
        <color theme="4" tint="0.79998168889431442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ont>
        <color theme="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0;0;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scheme val="major"/>
      </font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7" formatCode="0;0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;0;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5"/>
        </patternFill>
      </fill>
    </dxf>
    <dxf>
      <numFmt numFmtId="0" formatCode="General"/>
      <alignment horizontal="left" vertical="bottom" textRotation="0" wrapText="0" indent="0" justifyLastLine="0" shrinkToFit="0" readingOrder="0"/>
    </dxf>
    <dxf>
      <numFmt numFmtId="166" formatCode="[&lt;=9999999]###\-####;\(###\)\ ###\-####"/>
      <alignment horizontal="center" vertical="bottom" textRotation="0" wrapText="0" indent="0" justifyLastLine="0" shrinkToFit="0" readingOrder="0"/>
    </dxf>
    <dxf>
      <numFmt numFmtId="166" formatCode="[&lt;=9999999]###\-####;\(###\)\ ###\-####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6" formatCode="[&lt;=9999999]###\-####;\(###\)\ ###\-####"/>
      <alignment horizontal="center" vertical="bottom" textRotation="0" wrapText="0" indent="0" justifyLastLine="0" shrinkToFit="0" readingOrder="0"/>
    </dxf>
    <dxf>
      <numFmt numFmtId="166" formatCode="[&lt;=9999999]###\-####;\(###\)\ ###\-####"/>
      <alignment horizontal="center" vertical="bottom" textRotation="0" wrapText="0" indent="0" justifyLastLine="0" shrinkToFit="0" readingOrder="0"/>
    </dxf>
    <dxf>
      <numFmt numFmtId="166" formatCode="[&lt;=9999999]###\-####;\(###\)\ ###\-####"/>
      <alignment horizontal="left" vertical="bottom" textRotation="0" wrapText="0" indent="0" justifyLastLine="0" shrinkToFit="0" readingOrder="0"/>
    </dxf>
    <dxf>
      <numFmt numFmtId="166" formatCode="[&lt;=9999999]###\-####;\(###\)\ ###\-####"/>
      <alignment horizontal="left" vertical="bottom" textRotation="0" wrapText="0" indent="0" justifyLastLine="0" shrinkToFit="0" readingOrder="0"/>
    </dxf>
    <dxf>
      <numFmt numFmtId="166" formatCode="[&lt;=9999999]###\-####;\(###\)\ ###\-####"/>
      <alignment horizontal="center" vertical="bottom" textRotation="0" wrapText="0" indent="0" justifyLastLine="0" shrinkToFit="0" readingOrder="0"/>
    </dxf>
    <dxf>
      <numFmt numFmtId="166" formatCode="[&lt;=9999999]###\-####;\(###\)\ ###\-####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9" formatCode="d/m/yyyy"/>
      <alignment horizontal="center" vertical="bottom" textRotation="0" wrapText="0" indent="0" justifyLastLine="0" shrinkToFit="0" readingOrder="0"/>
    </dxf>
    <dxf>
      <font>
        <color theme="3" tint="-0.2499465926084170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font>
        <color theme="3" tint="-0.24994659260841701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465926084170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font>
        <color theme="3" tint="-0.24994659260841701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</font>
      <border>
        <top style="double">
          <color theme="1"/>
        </top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4" tint="-0.499984740745262"/>
        </top>
        <bottom style="medium">
          <color theme="4" tint="-0.499984740745262"/>
        </bottom>
        <vertical style="thin">
          <color theme="3"/>
        </vertical>
        <horizontal style="thin">
          <color theme="3"/>
        </horizontal>
      </border>
    </dxf>
    <dxf>
      <font>
        <color theme="3" tint="-0.24994659260841701"/>
      </font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</font>
      <border>
        <top style="double">
          <color theme="1"/>
        </top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3"/>
        </left>
        <right style="thin">
          <color theme="3"/>
        </right>
        <top style="medium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1"/>
      </font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</dxfs>
  <tableStyles count="2" defaultTableStyle="TableStyleMedium2" defaultPivotStyle="PivotStyleLight16">
    <tableStyle name="Employee Absence Table" pivot="0" count="5">
      <tableStyleElement type="wholeTable" dxfId="997"/>
      <tableStyleElement type="headerRow" dxfId="996"/>
      <tableStyleElement type="totalRow" dxfId="995"/>
      <tableStyleElement type="firstRowStripe" dxfId="994"/>
      <tableStyleElement type="secondRowStripe" dxfId="993"/>
    </tableStyle>
    <tableStyle name="Student List" pivot="0" count="5">
      <tableStyleElement type="wholeTable" dxfId="992"/>
      <tableStyleElement type="headerRow" dxfId="991"/>
      <tableStyleElement type="totalRow" dxfId="990"/>
      <tableStyleElement type="firstRowStripe" dxfId="989"/>
      <tableStyleElement type="secondRowStripe" dxfId="988"/>
    </tableStyle>
  </tableStyles>
  <colors>
    <mruColors>
      <color rgb="FFF0D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Kalendarskagodina" max="3000" min="2010" page="10" val="201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38100</xdr:colOff>
          <xdr:row>0</xdr:row>
          <xdr:rowOff>104775</xdr:rowOff>
        </xdr:from>
        <xdr:to>
          <xdr:col>39</xdr:col>
          <xdr:colOff>209550</xdr:colOff>
          <xdr:row>0</xdr:row>
          <xdr:rowOff>419100</xdr:rowOff>
        </xdr:to>
        <xdr:sp macro="" textlink="">
          <xdr:nvSpPr>
            <xdr:cNvPr id="2049" name="Potenciometar 1" descr="Calendar Year Spinner. Click the spinner to change the school calendar year or type the year in cell AM.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aučenika" displayName="Listaučenika" ref="B3:S8" totalsRowShown="0" headerRowDxfId="987">
  <autoFilter ref="B3:S8"/>
  <tableColumns count="18">
    <tableColumn id="1" name="ID učenika" dataDxfId="986"/>
    <tableColumn id="2" name="Ime učenika" dataDxfId="985"/>
    <tableColumn id="3" name="Prezime učenika" dataDxfId="984"/>
    <tableColumn id="5" name="Pol" dataDxfId="983"/>
    <tableColumn id="6" name="Datum rođenja" dataDxfId="982"/>
    <tableColumn id="7" name="Roditelj ili staratelj 1" dataDxfId="981"/>
    <tableColumn id="10" name="Roditelj/odnos sa starateljem 1" dataDxfId="980"/>
    <tableColumn id="9" name="Broj na poslu roditelja/staratelja 1" dataDxfId="979"/>
    <tableColumn id="8" name="Kućni broj roditelja/staratelja 1" dataDxfId="978"/>
    <tableColumn id="18" name="Roditelj/staratelj 2" dataDxfId="977"/>
    <tableColumn id="15" name="Roditelj/odnos sa starateljem 2" dataDxfId="976"/>
    <tableColumn id="16" name="Broj na poslu roditelja/staratelja 2" dataDxfId="975"/>
    <tableColumn id="17" name="Kućni broj roditelja/staratelja 2" dataDxfId="974"/>
    <tableColumn id="13" name="Kontakt za hitne slučajeve" dataDxfId="973"/>
    <tableColumn id="12" name="Odnos sa kontaktom za hitne slučajeve" dataDxfId="972"/>
    <tableColumn id="11" name="Broj na poslu kontakta za hitne slučajeve" dataDxfId="971"/>
    <tableColumn id="14" name="Broj kod kuće kontakta za hitne slučajeve" dataDxfId="970"/>
    <tableColumn id="4" name="Puno ime studenta" dataDxfId="969">
      <calculatedColumnFormula>Listaučenika[[#This Row],[Ime učenika]]&amp;" "&amp;Listaučenika[[#This Row],[Prezime učenika]]</calculatedColumnFormula>
    </tableColumn>
  </tableColumns>
  <tableStyleInfo name="Student List" showFirstColumn="0" showLastColumn="0" showRowStripes="1" showColumnStripes="0"/>
  <extLst>
    <ext xmlns:x14="http://schemas.microsoft.com/office/spreadsheetml/2009/9/main" uri="{504A1905-F514-4f6f-8877-14C23A59335A}">
      <x14:table altText="Lista učenika" altTextSummary="Pruža imena učenika, kontakt informacije staratelja i informacije kontakta za hitne slučajeve za svakog učenika."/>
    </ext>
  </extLst>
</table>
</file>

<file path=xl/tables/table10.xml><?xml version="1.0" encoding="utf-8"?>
<table xmlns="http://schemas.openxmlformats.org/spreadsheetml/2006/main" id="9" name="Prisustvovanjeuaprilu" displayName="Prisustvovanjeuaprilu" ref="B6:AM12" totalsRowCount="1" headerRowDxfId="332" totalsRowDxfId="331">
  <tableColumns count="38">
    <tableColumn id="38" name="ID učenika" dataDxfId="330" totalsRowDxfId="329"/>
    <tableColumn id="1" name="Ime i prezime učenika" totalsRowLabel="Ukupno dana odsustvovanja" dataDxfId="328" totalsRowDxfId="327">
      <calculatedColumnFormula>IFERROR(VLOOKUP(Prisustvovanjeuaprilu[[#This Row],[ID učenika]],Listaučenika[],18,FALSE),"")</calculatedColumnFormula>
    </tableColumn>
    <tableColumn id="2" name="1" totalsRowFunction="custom" dataDxfId="326" totalsRowDxfId="325">
      <totalsRowFormula>COUNTIF(Prisustvovanjeuaprilu[1],"Ne")+COUNTIF(Prisustvovanjeuaprilu[1],"O")</totalsRowFormula>
    </tableColumn>
    <tableColumn id="3" name="2" totalsRowFunction="custom" dataDxfId="324" totalsRowDxfId="323">
      <totalsRowFormula>COUNTIF(Prisustvovanjeuaprilu[2],"Ne")+COUNTIF(Prisustvovanjeuaprilu[2],"O")</totalsRowFormula>
    </tableColumn>
    <tableColumn id="4" name="3" totalsRowFunction="custom" dataDxfId="322" totalsRowDxfId="321">
      <totalsRowFormula>COUNTIF(Prisustvovanjeuaprilu[3],"Ne")+COUNTIF(Prisustvovanjeuaprilu[3],"O")</totalsRowFormula>
    </tableColumn>
    <tableColumn id="5" name="4" totalsRowFunction="custom" dataDxfId="320" totalsRowDxfId="319">
      <totalsRowFormula>COUNTIF(Prisustvovanjeuaprilu[4],"Ne")+COUNTIF(Prisustvovanjeuaprilu[4],"O")</totalsRowFormula>
    </tableColumn>
    <tableColumn id="6" name="5" totalsRowFunction="custom" dataDxfId="318" totalsRowDxfId="317">
      <totalsRowFormula>COUNTIF(Prisustvovanjeuaprilu[5],"Ne")+COUNTIF(Prisustvovanjeuaprilu[5],"O")</totalsRowFormula>
    </tableColumn>
    <tableColumn id="7" name="6" totalsRowFunction="custom" dataDxfId="316" totalsRowDxfId="315">
      <totalsRowFormula>COUNTIF(Prisustvovanjeuaprilu[6],"Ne")+COUNTIF(Prisustvovanjeuaprilu[6],"O")</totalsRowFormula>
    </tableColumn>
    <tableColumn id="8" name="7" totalsRowFunction="custom" dataDxfId="314" totalsRowDxfId="313">
      <totalsRowFormula>COUNTIF(Prisustvovanjeuaprilu[7],"Ne")+COUNTIF(Prisustvovanjeuaprilu[7],"O")</totalsRowFormula>
    </tableColumn>
    <tableColumn id="9" name="8" totalsRowFunction="custom" dataDxfId="312" totalsRowDxfId="311">
      <totalsRowFormula>COUNTIF(Prisustvovanjeuaprilu[8],"Ne")+COUNTIF(Prisustvovanjeuaprilu[8],"O")</totalsRowFormula>
    </tableColumn>
    <tableColumn id="10" name="9" totalsRowFunction="custom" dataDxfId="310" totalsRowDxfId="309">
      <totalsRowFormula>COUNTIF(Prisustvovanjeuaprilu[9],"Ne")+COUNTIF(Prisustvovanjeuaprilu[9],"O")</totalsRowFormula>
    </tableColumn>
    <tableColumn id="11" name="10" totalsRowFunction="custom" dataDxfId="308" totalsRowDxfId="307">
      <totalsRowFormula>COUNTIF(Prisustvovanjeuaprilu[10],"Ne")+COUNTIF(Prisustvovanjeuaprilu[10],"O")</totalsRowFormula>
    </tableColumn>
    <tableColumn id="12" name="11" totalsRowFunction="custom" dataDxfId="306" totalsRowDxfId="305">
      <totalsRowFormula>COUNTIF(Prisustvovanjeuaprilu[11],"Ne")+COUNTIF(Prisustvovanjeuaprilu[11],"O")</totalsRowFormula>
    </tableColumn>
    <tableColumn id="13" name="12" totalsRowFunction="custom" dataDxfId="304" totalsRowDxfId="303">
      <totalsRowFormula>COUNTIF(Prisustvovanjeuaprilu[12],"Ne")+COUNTIF(Prisustvovanjeuaprilu[12],"O")</totalsRowFormula>
    </tableColumn>
    <tableColumn id="14" name="13" totalsRowFunction="custom" dataDxfId="302" totalsRowDxfId="301">
      <totalsRowFormula>COUNTIF(Prisustvovanjeuaprilu[13],"Ne")+COUNTIF(Prisustvovanjeuaprilu[13],"O")</totalsRowFormula>
    </tableColumn>
    <tableColumn id="15" name="14" totalsRowFunction="custom" dataDxfId="300" totalsRowDxfId="299">
      <totalsRowFormula>COUNTIF(Prisustvovanjeuaprilu[14],"Ne")+COUNTIF(Prisustvovanjeuaprilu[14],"O")</totalsRowFormula>
    </tableColumn>
    <tableColumn id="16" name="15" totalsRowFunction="custom" dataDxfId="298" totalsRowDxfId="297">
      <totalsRowFormula>COUNTIF(Prisustvovanjeuaprilu[15],"Ne")+COUNTIF(Prisustvovanjeuaprilu[15],"O")</totalsRowFormula>
    </tableColumn>
    <tableColumn id="17" name="16" totalsRowFunction="custom" dataDxfId="296" totalsRowDxfId="295">
      <totalsRowFormula>COUNTIF(Prisustvovanjeuaprilu[16],"Ne")+COUNTIF(Prisustvovanjeuaprilu[16],"O")</totalsRowFormula>
    </tableColumn>
    <tableColumn id="18" name="17" totalsRowFunction="custom" dataDxfId="294" totalsRowDxfId="293">
      <totalsRowFormula>COUNTIF(Prisustvovanjeuaprilu[17],"Ne")+COUNTIF(Prisustvovanjeuaprilu[17],"O")</totalsRowFormula>
    </tableColumn>
    <tableColumn id="19" name="18" totalsRowFunction="custom" dataDxfId="292" totalsRowDxfId="291">
      <totalsRowFormula>COUNTIF(Prisustvovanjeuaprilu[18],"Ne")+COUNTIF(Prisustvovanjeuaprilu[18],"O")</totalsRowFormula>
    </tableColumn>
    <tableColumn id="20" name="19" totalsRowFunction="custom" dataDxfId="290" totalsRowDxfId="289">
      <totalsRowFormula>COUNTIF(Prisustvovanjeuaprilu[19],"Ne")+COUNTIF(Prisustvovanjeuaprilu[19],"O")</totalsRowFormula>
    </tableColumn>
    <tableColumn id="21" name="20" totalsRowFunction="custom" dataDxfId="288" totalsRowDxfId="287">
      <totalsRowFormula>COUNTIF(Prisustvovanjeuaprilu[20],"Ne")+COUNTIF(Prisustvovanjeuaprilu[20],"O")</totalsRowFormula>
    </tableColumn>
    <tableColumn id="22" name="21" totalsRowFunction="custom" dataDxfId="286" totalsRowDxfId="285">
      <totalsRowFormula>COUNTIF(Prisustvovanjeuaprilu[21],"Ne")+COUNTIF(Prisustvovanjeuaprilu[21],"O")</totalsRowFormula>
    </tableColumn>
    <tableColumn id="23" name="22" totalsRowFunction="custom" dataDxfId="284" totalsRowDxfId="283">
      <totalsRowFormula>COUNTIF(Prisustvovanjeuaprilu[22],"Ne")+COUNTIF(Prisustvovanjeuaprilu[22],"O")</totalsRowFormula>
    </tableColumn>
    <tableColumn id="24" name="23" totalsRowFunction="custom" dataDxfId="282" totalsRowDxfId="281">
      <totalsRowFormula>COUNTIF(Prisustvovanjeuaprilu[23],"Ne")+COUNTIF(Prisustvovanjeuaprilu[23],"O")</totalsRowFormula>
    </tableColumn>
    <tableColumn id="25" name="24" totalsRowFunction="custom" dataDxfId="280" totalsRowDxfId="279">
      <totalsRowFormula>COUNTIF(Prisustvovanjeuaprilu[24],"Ne")+COUNTIF(Prisustvovanjeuaprilu[24],"O")</totalsRowFormula>
    </tableColumn>
    <tableColumn id="26" name="25" totalsRowFunction="custom" dataDxfId="278" totalsRowDxfId="277">
      <totalsRowFormula>COUNTIF(Prisustvovanjeuaprilu[25],"Ne")+COUNTIF(Prisustvovanjeuaprilu[25],"O")</totalsRowFormula>
    </tableColumn>
    <tableColumn id="27" name="26" totalsRowFunction="custom" dataDxfId="276" totalsRowDxfId="275">
      <totalsRowFormula>COUNTIF(Prisustvovanjeuaprilu[26],"Ne")+COUNTIF(Prisustvovanjeuaprilu[26],"O")</totalsRowFormula>
    </tableColumn>
    <tableColumn id="28" name="27" totalsRowFunction="custom" dataDxfId="274" totalsRowDxfId="273">
      <totalsRowFormula>COUNTIF(Prisustvovanjeuaprilu[27],"Ne")+COUNTIF(Prisustvovanjeuaprilu[27],"O")</totalsRowFormula>
    </tableColumn>
    <tableColumn id="29" name="28" totalsRowFunction="custom" dataDxfId="272" totalsRowDxfId="271">
      <totalsRowFormula>COUNTIF(Prisustvovanjeuaprilu[28],"Ne")+COUNTIF(Prisustvovanjeuaprilu[28],"O")</totalsRowFormula>
    </tableColumn>
    <tableColumn id="30" name="29" totalsRowFunction="custom" dataDxfId="270" totalsRowDxfId="269">
      <totalsRowFormula>COUNTIF(Prisustvovanjeuaprilu[29],"Ne")+COUNTIF(Prisustvovanjeuaprilu[29],"O")</totalsRowFormula>
    </tableColumn>
    <tableColumn id="31" name="30" totalsRowFunction="custom" dataDxfId="268" totalsRowDxfId="267">
      <totalsRowFormula>COUNTIF(Prisustvovanjeuaprilu[30],"Ne")+COUNTIF(Prisustvovanjeuaprilu[30],"O")</totalsRowFormula>
    </tableColumn>
    <tableColumn id="32" name=" " totalsRowFunction="custom" dataDxfId="266" totalsRowDxfId="265">
      <totalsRowFormula>COUNTIF(Prisustvovanjeuaprilu[[ ]],"Ne")+COUNTIF(Prisustvovanjeuaprilu[[ ]],"O")</totalsRowFormula>
    </tableColumn>
    <tableColumn id="35" name="Z" totalsRowFunction="sum" dataDxfId="264" totalsRowDxfId="263">
      <calculatedColumnFormula>COUNTIF(Prisustvovanjeuaprilu[[#This Row],[1]:[ ]],Šifra1)</calculatedColumnFormula>
    </tableColumn>
    <tableColumn id="34" name="O" totalsRowFunction="sum" dataDxfId="262" totalsRowDxfId="261">
      <calculatedColumnFormula>COUNTIF(Prisustvovanjeuaprilu[[#This Row],[1]:[ ]],Šifra2)</calculatedColumnFormula>
    </tableColumn>
    <tableColumn id="37" name="Ne" totalsRowFunction="sum" dataDxfId="260" totalsRowDxfId="259">
      <calculatedColumnFormula>COUNTIF(Prisustvovanjeuaprilu[[#This Row],[1]:[ ]],Šifra3)</calculatedColumnFormula>
    </tableColumn>
    <tableColumn id="36" name="P" totalsRowFunction="sum" dataDxfId="258" totalsRowDxfId="257">
      <calculatedColumnFormula>COUNTIF(Prisustvovanjeuaprilu[[#This Row],[1]:[ ]],Šifra4)</calculatedColumnFormula>
    </tableColumn>
    <tableColumn id="33" name="Dani odsustvovanja" totalsRowFunction="sum" dataDxfId="256" totalsRowDxfId="255">
      <calculatedColumnFormula>SUM(Prisustvovanjeuseptembru[[#This Row],[O]:[Ne]])</calculatedColumnFormula>
    </tableColumn>
  </tableColumns>
  <tableStyleInfo name="Employee Absence Table" showFirstColumn="0" showLastColumn="0" showRowStripes="1" showColumnStripes="1"/>
  <extLst>
    <ext xmlns:x14="http://schemas.microsoft.com/office/spreadsheetml/2009/9/main" uri="{504A1905-F514-4f6f-8877-14C23A59335A}">
      <x14:table altText="Evidencija prisustvovanja u februaru" altTextSummary="Prati prisustvovanje učenika, na primer Z=Zakasnio, O=Opravdano, N=Neopravdano, P=Prisutan, N=Nema škole, za mesec april."/>
    </ext>
  </extLst>
</table>
</file>

<file path=xl/tables/table11.xml><?xml version="1.0" encoding="utf-8"?>
<table xmlns="http://schemas.openxmlformats.org/spreadsheetml/2006/main" id="11" name="Prisustvovanjeumaju" displayName="Prisustvovanjeumaju" ref="B6:AM12" totalsRowCount="1" headerRowDxfId="249" totalsRowDxfId="248">
  <tableColumns count="38">
    <tableColumn id="38" name="ID učenika" dataDxfId="247" totalsRowDxfId="246"/>
    <tableColumn id="1" name="Ime i prezime učenika" totalsRowLabel="Ukupno dana odsustvovanja" dataDxfId="245" totalsRowDxfId="244">
      <calculatedColumnFormula>IFERROR(VLOOKUP(Prisustvovanjeumaju[[#This Row],[ID učenika]],Listaučenika[],18,FALSE),"")</calculatedColumnFormula>
    </tableColumn>
    <tableColumn id="2" name="1" totalsRowFunction="custom" dataDxfId="243" totalsRowDxfId="242">
      <totalsRowFormula>COUNTIF(Prisustvovanjeumaju[1],"Ne")+COUNTIF(Prisustvovanjeumaju[1],"O")</totalsRowFormula>
    </tableColumn>
    <tableColumn id="3" name="2" totalsRowFunction="custom" dataDxfId="241" totalsRowDxfId="240">
      <totalsRowFormula>COUNTIF(Prisustvovanjeumaju[2],"Ne")+COUNTIF(Prisustvovanjeumaju[2],"O")</totalsRowFormula>
    </tableColumn>
    <tableColumn id="4" name="3" totalsRowFunction="custom" dataDxfId="239" totalsRowDxfId="238">
      <totalsRowFormula>COUNTIF(Prisustvovanjeumaju[3],"Ne")+COUNTIF(Prisustvovanjeumaju[3],"O")</totalsRowFormula>
    </tableColumn>
    <tableColumn id="5" name="4" totalsRowFunction="custom" dataDxfId="237" totalsRowDxfId="236">
      <totalsRowFormula>COUNTIF(Prisustvovanjeumaju[4],"Ne")+COUNTIF(Prisustvovanjeumaju[4],"O")</totalsRowFormula>
    </tableColumn>
    <tableColumn id="6" name="5" totalsRowFunction="custom" dataDxfId="235" totalsRowDxfId="234">
      <totalsRowFormula>COUNTIF(Prisustvovanjeumaju[5],"Ne")+COUNTIF(Prisustvovanjeumaju[5],"O")</totalsRowFormula>
    </tableColumn>
    <tableColumn id="7" name="6" totalsRowFunction="custom" dataDxfId="233" totalsRowDxfId="232">
      <totalsRowFormula>COUNTIF(Prisustvovanjeumaju[6],"Ne")+COUNTIF(Prisustvovanjeumaju[6],"O")</totalsRowFormula>
    </tableColumn>
    <tableColumn id="8" name="7" totalsRowFunction="custom" dataDxfId="231" totalsRowDxfId="230">
      <totalsRowFormula>COUNTIF(Prisustvovanjeumaju[7],"Ne")+COUNTIF(Prisustvovanjeumaju[7],"O")</totalsRowFormula>
    </tableColumn>
    <tableColumn id="9" name="8" totalsRowFunction="custom" dataDxfId="229" totalsRowDxfId="228">
      <totalsRowFormula>COUNTIF(Prisustvovanjeumaju[8],"Ne")+COUNTIF(Prisustvovanjeumaju[8],"O")</totalsRowFormula>
    </tableColumn>
    <tableColumn id="10" name="9" totalsRowFunction="custom" dataDxfId="227" totalsRowDxfId="226">
      <totalsRowFormula>COUNTIF(Prisustvovanjeumaju[9],"Ne")+COUNTIF(Prisustvovanjeumaju[9],"O")</totalsRowFormula>
    </tableColumn>
    <tableColumn id="11" name="10" totalsRowFunction="custom" dataDxfId="225" totalsRowDxfId="224">
      <totalsRowFormula>COUNTIF(Prisustvovanjeumaju[10],"Ne")+COUNTIF(Prisustvovanjeumaju[10],"O")</totalsRowFormula>
    </tableColumn>
    <tableColumn id="12" name="11" totalsRowFunction="custom" dataDxfId="223" totalsRowDxfId="222">
      <totalsRowFormula>COUNTIF(Prisustvovanjeumaju[11],"Ne")+COUNTIF(Prisustvovanjeumaju[11],"O")</totalsRowFormula>
    </tableColumn>
    <tableColumn id="13" name="12" totalsRowFunction="custom" dataDxfId="221" totalsRowDxfId="220">
      <totalsRowFormula>COUNTIF(Prisustvovanjeumaju[12],"Ne")+COUNTIF(Prisustvovanjeumaju[12],"O")</totalsRowFormula>
    </tableColumn>
    <tableColumn id="14" name="13" totalsRowFunction="custom" dataDxfId="219" totalsRowDxfId="218">
      <totalsRowFormula>COUNTIF(Prisustvovanjeumaju[13],"Ne")+COUNTIF(Prisustvovanjeumaju[13],"O")</totalsRowFormula>
    </tableColumn>
    <tableColumn id="15" name="14" totalsRowFunction="custom" dataDxfId="217" totalsRowDxfId="216">
      <totalsRowFormula>COUNTIF(Prisustvovanjeumaju[14],"Ne")+COUNTIF(Prisustvovanjeumaju[14],"O")</totalsRowFormula>
    </tableColumn>
    <tableColumn id="16" name="15" totalsRowFunction="custom" dataDxfId="215" totalsRowDxfId="214">
      <totalsRowFormula>COUNTIF(Prisustvovanjeumaju[15],"Ne")+COUNTIF(Prisustvovanjeumaju[15],"O")</totalsRowFormula>
    </tableColumn>
    <tableColumn id="17" name="16" totalsRowFunction="custom" dataDxfId="213" totalsRowDxfId="212">
      <totalsRowFormula>COUNTIF(Prisustvovanjeumaju[16],"Ne")+COUNTIF(Prisustvovanjeumaju[16],"O")</totalsRowFormula>
    </tableColumn>
    <tableColumn id="18" name="17" totalsRowFunction="custom" dataDxfId="211" totalsRowDxfId="210">
      <totalsRowFormula>COUNTIF(Prisustvovanjeumaju[17],"Ne")+COUNTIF(Prisustvovanjeumaju[17],"O")</totalsRowFormula>
    </tableColumn>
    <tableColumn id="19" name="18" totalsRowFunction="custom" dataDxfId="209" totalsRowDxfId="208">
      <totalsRowFormula>COUNTIF(Prisustvovanjeumaju[18],"Ne")+COUNTIF(Prisustvovanjeumaju[18],"O")</totalsRowFormula>
    </tableColumn>
    <tableColumn id="20" name="19" totalsRowFunction="custom" dataDxfId="207" totalsRowDxfId="206">
      <totalsRowFormula>COUNTIF(Prisustvovanjeumaju[19],"Ne")+COUNTIF(Prisustvovanjeumaju[19],"O")</totalsRowFormula>
    </tableColumn>
    <tableColumn id="21" name="20" totalsRowFunction="custom" dataDxfId="205" totalsRowDxfId="204">
      <totalsRowFormula>COUNTIF(Prisustvovanjeumaju[20],"Ne")+COUNTIF(Prisustvovanjeumaju[20],"O")</totalsRowFormula>
    </tableColumn>
    <tableColumn id="22" name="21" totalsRowFunction="custom" dataDxfId="203" totalsRowDxfId="202">
      <totalsRowFormula>COUNTIF(Prisustvovanjeumaju[21],"Ne")+COUNTIF(Prisustvovanjeumaju[21],"O")</totalsRowFormula>
    </tableColumn>
    <tableColumn id="23" name="22" totalsRowFunction="custom" dataDxfId="201" totalsRowDxfId="200">
      <totalsRowFormula>COUNTIF(Prisustvovanjeumaju[22],"Ne")+COUNTIF(Prisustvovanjeumaju[22],"O")</totalsRowFormula>
    </tableColumn>
    <tableColumn id="24" name="23" totalsRowFunction="custom" dataDxfId="199" totalsRowDxfId="198">
      <totalsRowFormula>COUNTIF(Prisustvovanjeumaju[23],"Ne")+COUNTIF(Prisustvovanjeumaju[23],"O")</totalsRowFormula>
    </tableColumn>
    <tableColumn id="25" name="24" totalsRowFunction="custom" dataDxfId="197" totalsRowDxfId="196">
      <totalsRowFormula>COUNTIF(Prisustvovanjeumaju[24],"Ne")+COUNTIF(Prisustvovanjeumaju[24],"O")</totalsRowFormula>
    </tableColumn>
    <tableColumn id="26" name="25" totalsRowFunction="custom" dataDxfId="195" totalsRowDxfId="194">
      <totalsRowFormula>COUNTIF(Prisustvovanjeumaju[25],"Ne")+COUNTIF(Prisustvovanjeumaju[25],"O")</totalsRowFormula>
    </tableColumn>
    <tableColumn id="27" name="26" totalsRowFunction="custom" dataDxfId="193" totalsRowDxfId="192">
      <totalsRowFormula>COUNTIF(Prisustvovanjeumaju[26],"Ne")+COUNTIF(Prisustvovanjeumaju[26],"O")</totalsRowFormula>
    </tableColumn>
    <tableColumn id="28" name="27" totalsRowFunction="custom" dataDxfId="191" totalsRowDxfId="190">
      <totalsRowFormula>COUNTIF(Prisustvovanjeumaju[27],"Ne")+COUNTIF(Prisustvovanjeumaju[27],"O")</totalsRowFormula>
    </tableColumn>
    <tableColumn id="29" name="28" totalsRowFunction="custom" dataDxfId="189" totalsRowDxfId="188">
      <totalsRowFormula>COUNTIF(Prisustvovanjeumaju[28],"Ne")+COUNTIF(Prisustvovanjeumaju[28],"O")</totalsRowFormula>
    </tableColumn>
    <tableColumn id="30" name="29" totalsRowFunction="custom" dataDxfId="187" totalsRowDxfId="186">
      <totalsRowFormula>COUNTIF(Prisustvovanjeumaju[29],"Ne")+COUNTIF(Prisustvovanjeumaju[29],"O")</totalsRowFormula>
    </tableColumn>
    <tableColumn id="31" name="30" totalsRowFunction="custom" dataDxfId="185" totalsRowDxfId="184">
      <totalsRowFormula>COUNTIF(Prisustvovanjeumaju[30],"Ne")+COUNTIF(Prisustvovanjeumaju[30],"O")</totalsRowFormula>
    </tableColumn>
    <tableColumn id="32" name="31" totalsRowFunction="custom" dataDxfId="183" totalsRowDxfId="182">
      <totalsRowFormula>COUNTIF(Prisustvovanjeumaju[31],"Ne")+COUNTIF(Prisustvovanjeumaju[31],"O")</totalsRowFormula>
    </tableColumn>
    <tableColumn id="35" name="Z" totalsRowFunction="sum" dataDxfId="181" totalsRowDxfId="180">
      <calculatedColumnFormula>COUNTIF(Prisustvovanjeumaju[[#This Row],[1]:[31]],Šifra1)</calculatedColumnFormula>
    </tableColumn>
    <tableColumn id="34" name="O" totalsRowFunction="sum" dataDxfId="179" totalsRowDxfId="178">
      <calculatedColumnFormula>COUNTIF(Prisustvovanjeumaju[[#This Row],[1]:[31]],Šifra2)</calculatedColumnFormula>
    </tableColumn>
    <tableColumn id="37" name="Ne" totalsRowFunction="sum" dataDxfId="177" totalsRowDxfId="176">
      <calculatedColumnFormula>COUNTIF(Prisustvovanjeumaju[[#This Row],[1]:[31]],Šifra3)</calculatedColumnFormula>
    </tableColumn>
    <tableColumn id="36" name="P" totalsRowFunction="sum" dataDxfId="175" totalsRowDxfId="174">
      <calculatedColumnFormula>COUNTIF(Prisustvovanjeumaju[[#This Row],[1]:[31]],Šifra4)</calculatedColumnFormula>
    </tableColumn>
    <tableColumn id="33" name="Dani odsustvovanja" totalsRowFunction="sum" dataDxfId="173" totalsRowDxfId="172">
      <calculatedColumnFormula>SUM(Prisustvovanjeuseptembru[[#This Row],[O]:[Ne]])</calculatedColumnFormula>
    </tableColumn>
  </tableColumns>
  <tableStyleInfo name="Employee Absence Table" showFirstColumn="0" showLastColumn="0" showRowStripes="1" showColumnStripes="1"/>
  <extLst>
    <ext xmlns:x14="http://schemas.microsoft.com/office/spreadsheetml/2009/9/main" uri="{504A1905-F514-4f6f-8877-14C23A59335A}">
      <x14:table altText="Evidencija prisustvovanja u februaru" altTextSummary="Prati prisustvovanje učenika, na primer Z=Zakasnio, O=Opravdano, N=Neopravdano, P=Prisutan, N=Nema škole, za mesec maj."/>
    </ext>
  </extLst>
</table>
</file>

<file path=xl/tables/table12.xml><?xml version="1.0" encoding="utf-8"?>
<table xmlns="http://schemas.openxmlformats.org/spreadsheetml/2006/main" id="12" name="Prisustvovanjeujunu" displayName="Prisustvovanjeujunu" ref="B6:AM12" totalsRowCount="1" headerRowDxfId="166" totalsRowDxfId="165">
  <tableColumns count="38">
    <tableColumn id="38" name="ID učenika" dataDxfId="164" totalsRowDxfId="163"/>
    <tableColumn id="1" name="Ime i prezime učenika" totalsRowLabel="Ukupno dana odsustvovanja" dataDxfId="162" totalsRowDxfId="161">
      <calculatedColumnFormula>IFERROR(VLOOKUP(Prisustvovanjeujunu[[#This Row],[ID učenika]],Listaučenika[],18,FALSE),"")</calculatedColumnFormula>
    </tableColumn>
    <tableColumn id="2" name="1" totalsRowFunction="custom" dataDxfId="160" totalsRowDxfId="159">
      <totalsRowFormula>COUNTIF(Prisustvovanjeujunu[1],"Ne")+COUNTIF(Prisustvovanjeujunu[1],"O")</totalsRowFormula>
    </tableColumn>
    <tableColumn id="3" name="2" totalsRowFunction="custom" dataDxfId="158" totalsRowDxfId="157">
      <totalsRowFormula>COUNTIF(Prisustvovanjeujunu[2],"Ne")+COUNTIF(Prisustvovanjeujunu[2],"O")</totalsRowFormula>
    </tableColumn>
    <tableColumn id="4" name="3" totalsRowFunction="custom" dataDxfId="156" totalsRowDxfId="155">
      <totalsRowFormula>COUNTIF(Prisustvovanjeujunu[3],"Ne")+COUNTIF(Prisustvovanjeujunu[3],"O")</totalsRowFormula>
    </tableColumn>
    <tableColumn id="5" name="4" totalsRowFunction="custom" dataDxfId="154" totalsRowDxfId="153">
      <totalsRowFormula>COUNTIF(Prisustvovanjeujunu[4],"Ne")+COUNTIF(Prisustvovanjeujunu[4],"O")</totalsRowFormula>
    </tableColumn>
    <tableColumn id="6" name="5" totalsRowFunction="custom" dataDxfId="152" totalsRowDxfId="151">
      <totalsRowFormula>COUNTIF(Prisustvovanjeujunu[5],"Ne")+COUNTIF(Prisustvovanjeujunu[5],"O")</totalsRowFormula>
    </tableColumn>
    <tableColumn id="7" name="6" totalsRowFunction="custom" dataDxfId="150" totalsRowDxfId="149">
      <totalsRowFormula>COUNTIF(Prisustvovanjeujunu[6],"Ne")+COUNTIF(Prisustvovanjeujunu[6],"O")</totalsRowFormula>
    </tableColumn>
    <tableColumn id="8" name="7" totalsRowFunction="custom" dataDxfId="148" totalsRowDxfId="147">
      <totalsRowFormula>COUNTIF(Prisustvovanjeujunu[7],"Ne")+COUNTIF(Prisustvovanjeujunu[7],"O")</totalsRowFormula>
    </tableColumn>
    <tableColumn id="9" name="8" totalsRowFunction="custom" dataDxfId="146" totalsRowDxfId="145">
      <totalsRowFormula>COUNTIF(Prisustvovanjeujunu[8],"Ne")+COUNTIF(Prisustvovanjeujunu[8],"O")</totalsRowFormula>
    </tableColumn>
    <tableColumn id="10" name="9" totalsRowFunction="custom" dataDxfId="144" totalsRowDxfId="143">
      <totalsRowFormula>COUNTIF(Prisustvovanjeujunu[9],"Ne")+COUNTIF(Prisustvovanjeujunu[9],"O")</totalsRowFormula>
    </tableColumn>
    <tableColumn id="11" name="10" totalsRowFunction="custom" dataDxfId="142" totalsRowDxfId="141">
      <totalsRowFormula>COUNTIF(Prisustvovanjeujunu[10],"Ne")+COUNTIF(Prisustvovanjeujunu[10],"O")</totalsRowFormula>
    </tableColumn>
    <tableColumn id="12" name="11" totalsRowFunction="custom" dataDxfId="140" totalsRowDxfId="139">
      <totalsRowFormula>COUNTIF(Prisustvovanjeujunu[11],"Ne")+COUNTIF(Prisustvovanjeujunu[11],"O")</totalsRowFormula>
    </tableColumn>
    <tableColumn id="13" name="12" totalsRowFunction="custom" dataDxfId="138" totalsRowDxfId="137">
      <totalsRowFormula>COUNTIF(Prisustvovanjeujunu[12],"Ne")+COUNTIF(Prisustvovanjeujunu[12],"O")</totalsRowFormula>
    </tableColumn>
    <tableColumn id="14" name="13" totalsRowFunction="custom" dataDxfId="136" totalsRowDxfId="135">
      <totalsRowFormula>COUNTIF(Prisustvovanjeujunu[13],"Ne")+COUNTIF(Prisustvovanjeujunu[13],"O")</totalsRowFormula>
    </tableColumn>
    <tableColumn id="15" name="14" totalsRowFunction="custom" dataDxfId="134" totalsRowDxfId="133">
      <totalsRowFormula>COUNTIF(Prisustvovanjeujunu[14],"Ne")+COUNTIF(Prisustvovanjeujunu[14],"O")</totalsRowFormula>
    </tableColumn>
    <tableColumn id="16" name="15" totalsRowFunction="custom" dataDxfId="132" totalsRowDxfId="131">
      <totalsRowFormula>COUNTIF(Prisustvovanjeujunu[15],"Ne")+COUNTIF(Prisustvovanjeujunu[15],"O")</totalsRowFormula>
    </tableColumn>
    <tableColumn id="17" name="16" totalsRowFunction="custom" dataDxfId="130" totalsRowDxfId="129">
      <totalsRowFormula>COUNTIF(Prisustvovanjeujunu[16],"Ne")+COUNTIF(Prisustvovanjeujunu[16],"O")</totalsRowFormula>
    </tableColumn>
    <tableColumn id="18" name="17" totalsRowFunction="custom" dataDxfId="128" totalsRowDxfId="127">
      <totalsRowFormula>COUNTIF(Prisustvovanjeujunu[17],"Ne")+COUNTIF(Prisustvovanjeujunu[17],"O")</totalsRowFormula>
    </tableColumn>
    <tableColumn id="19" name="18" totalsRowFunction="custom" dataDxfId="126" totalsRowDxfId="125">
      <totalsRowFormula>COUNTIF(Prisustvovanjeujunu[18],"Ne")+COUNTIF(Prisustvovanjeujunu[18],"O")</totalsRowFormula>
    </tableColumn>
    <tableColumn id="20" name="19" totalsRowFunction="custom" dataDxfId="124" totalsRowDxfId="123">
      <totalsRowFormula>COUNTIF(Prisustvovanjeujunu[19],"Ne")+COUNTIF(Prisustvovanjeujunu[19],"O")</totalsRowFormula>
    </tableColumn>
    <tableColumn id="21" name="20" totalsRowFunction="custom" dataDxfId="122" totalsRowDxfId="121">
      <totalsRowFormula>COUNTIF(Prisustvovanjeujunu[20],"Ne")+COUNTIF(Prisustvovanjeujunu[20],"O")</totalsRowFormula>
    </tableColumn>
    <tableColumn id="22" name="21" totalsRowFunction="custom" dataDxfId="120" totalsRowDxfId="119">
      <totalsRowFormula>COUNTIF(Prisustvovanjeujunu[21],"Ne")+COUNTIF(Prisustvovanjeujunu[21],"O")</totalsRowFormula>
    </tableColumn>
    <tableColumn id="23" name="22" totalsRowFunction="custom" dataDxfId="118" totalsRowDxfId="117">
      <totalsRowFormula>COUNTIF(Prisustvovanjeujunu[22],"Ne")+COUNTIF(Prisustvovanjeujunu[22],"O")</totalsRowFormula>
    </tableColumn>
    <tableColumn id="24" name="23" totalsRowFunction="custom" dataDxfId="116" totalsRowDxfId="115">
      <totalsRowFormula>COUNTIF(Prisustvovanjeujunu[23],"Ne")+COUNTIF(Prisustvovanjeujunu[23],"O")</totalsRowFormula>
    </tableColumn>
    <tableColumn id="25" name="24" totalsRowFunction="custom" dataDxfId="114" totalsRowDxfId="113">
      <totalsRowFormula>COUNTIF(Prisustvovanjeujunu[24],"Ne")+COUNTIF(Prisustvovanjeujunu[24],"O")</totalsRowFormula>
    </tableColumn>
    <tableColumn id="26" name="25" totalsRowFunction="custom" dataDxfId="112" totalsRowDxfId="111">
      <totalsRowFormula>COUNTIF(Prisustvovanjeujunu[25],"Ne")+COUNTIF(Prisustvovanjeujunu[25],"O")</totalsRowFormula>
    </tableColumn>
    <tableColumn id="27" name="26" totalsRowFunction="custom" dataDxfId="110" totalsRowDxfId="109">
      <totalsRowFormula>COUNTIF(Prisustvovanjeujunu[26],"Ne")+COUNTIF(Prisustvovanjeujunu[26],"O")</totalsRowFormula>
    </tableColumn>
    <tableColumn id="28" name="27" totalsRowFunction="custom" dataDxfId="108" totalsRowDxfId="107">
      <totalsRowFormula>COUNTIF(Prisustvovanjeujunu[27],"Ne")+COUNTIF(Prisustvovanjeujunu[27],"O")</totalsRowFormula>
    </tableColumn>
    <tableColumn id="29" name="28" totalsRowFunction="custom" dataDxfId="106" totalsRowDxfId="105">
      <totalsRowFormula>COUNTIF(Prisustvovanjeujunu[28],"Ne")+COUNTIF(Prisustvovanjeujunu[28],"O")</totalsRowFormula>
    </tableColumn>
    <tableColumn id="30" name="29" totalsRowFunction="custom" dataDxfId="104" totalsRowDxfId="103">
      <totalsRowFormula>COUNTIF(Prisustvovanjeujunu[29],"Ne")+COUNTIF(Prisustvovanjeujunu[29],"O")</totalsRowFormula>
    </tableColumn>
    <tableColumn id="31" name="30" totalsRowFunction="custom" dataDxfId="102" totalsRowDxfId="101">
      <totalsRowFormula>COUNTIF(Prisustvovanjeujunu[30],"Ne")+COUNTIF(Prisustvovanjeujunu[30],"O")</totalsRowFormula>
    </tableColumn>
    <tableColumn id="32" name=" " totalsRowFunction="custom" dataDxfId="100" totalsRowDxfId="99">
      <totalsRowFormula>COUNTIF(Prisustvovanjeujunu[[ ]],"Ne")+COUNTIF(Prisustvovanjeujunu[[ ]],"O")</totalsRowFormula>
    </tableColumn>
    <tableColumn id="35" name="Z" totalsRowFunction="sum" dataDxfId="98" totalsRowDxfId="97">
      <calculatedColumnFormula>COUNTIF(Prisustvovanjeujunu[[#This Row],[1]:[ ]],Šifra1)</calculatedColumnFormula>
    </tableColumn>
    <tableColumn id="34" name="O" totalsRowFunction="sum" dataDxfId="96" totalsRowDxfId="95">
      <calculatedColumnFormula>COUNTIF(Prisustvovanjeujunu[[#This Row],[1]:[ ]],Šifra2)</calculatedColumnFormula>
    </tableColumn>
    <tableColumn id="37" name="Ne" totalsRowFunction="sum" dataDxfId="94" totalsRowDxfId="93">
      <calculatedColumnFormula>COUNTIF(Prisustvovanjeujunu[[#This Row],[1]:[ ]],Šifra3)</calculatedColumnFormula>
    </tableColumn>
    <tableColumn id="36" name="P" totalsRowFunction="sum" dataDxfId="92" totalsRowDxfId="91">
      <calculatedColumnFormula>COUNTIF(Prisustvovanjeujunu[[#This Row],[1]:[ ]],Šifra4)</calculatedColumnFormula>
    </tableColumn>
    <tableColumn id="33" name="Dani odsustvovanja" totalsRowFunction="sum" dataDxfId="90" totalsRowDxfId="89">
      <calculatedColumnFormula>SUM(Prisustvovanjeuseptembru[[#This Row],[O]:[Ne]])</calculatedColumnFormula>
    </tableColumn>
  </tableColumns>
  <tableStyleInfo name="Employee Absence Table" showFirstColumn="0" showLastColumn="0" showRowStripes="1" showColumnStripes="1"/>
  <extLst>
    <ext xmlns:x14="http://schemas.microsoft.com/office/spreadsheetml/2009/9/main" uri="{504A1905-F514-4f6f-8877-14C23A59335A}">
      <x14:table altText="Evidencija prisustvovanja u februaru" altTextSummary="Prati prisustvovanje učenika, na primer Z=Zakasnio, O=Opravdano, N=Neopravdano, P=Prisutan, N=Nema škole, za mesec jun."/>
    </ext>
  </extLst>
</table>
</file>

<file path=xl/tables/table13.xml><?xml version="1.0" encoding="utf-8"?>
<table xmlns="http://schemas.openxmlformats.org/spreadsheetml/2006/main" id="13" name="Prisustvovanjeujulu" displayName="Prisustvovanjeujulu" ref="B6:AM12" totalsRowCount="1" headerRowDxfId="83" totalsRowDxfId="82">
  <tableColumns count="38">
    <tableColumn id="38" name="ID učenika" dataDxfId="81" totalsRowDxfId="80"/>
    <tableColumn id="1" name="Ime i prezime učenika" totalsRowLabel="Ukupno dana odsustvovanja" dataDxfId="79" totalsRowDxfId="78">
      <calculatedColumnFormula>IFERROR(VLOOKUP(Prisustvovanjeujulu[[#This Row],[ID učenika]],Listaučenika[],18,FALSE),"")</calculatedColumnFormula>
    </tableColumn>
    <tableColumn id="2" name="1" totalsRowFunction="custom" dataDxfId="77" totalsRowDxfId="76">
      <totalsRowFormula>COUNTIF(Prisustvovanjeujulu[1],"Ne")+COUNTIF(Prisustvovanjeujulu[1],"O")</totalsRowFormula>
    </tableColumn>
    <tableColumn id="3" name="2" totalsRowFunction="custom" dataDxfId="75" totalsRowDxfId="74">
      <totalsRowFormula>COUNTIF(Prisustvovanjeujulu[2],"Ne")+COUNTIF(Prisustvovanjeujulu[2],"O")</totalsRowFormula>
    </tableColumn>
    <tableColumn id="4" name="3" totalsRowFunction="custom" dataDxfId="73" totalsRowDxfId="72">
      <totalsRowFormula>COUNTIF(Prisustvovanjeujulu[3],"Ne")+COUNTIF(Prisustvovanjeujulu[3],"O")</totalsRowFormula>
    </tableColumn>
    <tableColumn id="5" name="4" totalsRowFunction="custom" dataDxfId="71" totalsRowDxfId="70">
      <totalsRowFormula>COUNTIF(Prisustvovanjeujulu[4],"Ne")+COUNTIF(Prisustvovanjeujulu[4],"O")</totalsRowFormula>
    </tableColumn>
    <tableColumn id="6" name="5" totalsRowFunction="custom" dataDxfId="69" totalsRowDxfId="68">
      <totalsRowFormula>COUNTIF(Prisustvovanjeujulu[5],"Ne")+COUNTIF(Prisustvovanjeujulu[5],"O")</totalsRowFormula>
    </tableColumn>
    <tableColumn id="7" name="6" totalsRowFunction="custom" dataDxfId="67" totalsRowDxfId="66">
      <totalsRowFormula>COUNTIF(Prisustvovanjeujulu[6],"Ne")+COUNTIF(Prisustvovanjeujulu[6],"O")</totalsRowFormula>
    </tableColumn>
    <tableColumn id="8" name="7" totalsRowFunction="custom" dataDxfId="65" totalsRowDxfId="64">
      <totalsRowFormula>COUNTIF(Prisustvovanjeujulu[7],"Ne")+COUNTIF(Prisustvovanjeujulu[7],"O")</totalsRowFormula>
    </tableColumn>
    <tableColumn id="9" name="8" totalsRowFunction="custom" dataDxfId="63" totalsRowDxfId="62">
      <totalsRowFormula>COUNTIF(Prisustvovanjeujulu[8],"Ne")+COUNTIF(Prisustvovanjeujulu[8],"O")</totalsRowFormula>
    </tableColumn>
    <tableColumn id="10" name="9" totalsRowFunction="custom" dataDxfId="61" totalsRowDxfId="60">
      <totalsRowFormula>COUNTIF(Prisustvovanjeujulu[9],"Ne")+COUNTIF(Prisustvovanjeujulu[9],"O")</totalsRowFormula>
    </tableColumn>
    <tableColumn id="11" name="10" totalsRowFunction="custom" dataDxfId="59" totalsRowDxfId="58">
      <totalsRowFormula>COUNTIF(Prisustvovanjeujulu[10],"Ne")+COUNTIF(Prisustvovanjeujulu[10],"O")</totalsRowFormula>
    </tableColumn>
    <tableColumn id="12" name="11" totalsRowFunction="custom" dataDxfId="57" totalsRowDxfId="56">
      <totalsRowFormula>COUNTIF(Prisustvovanjeujulu[11],"Ne")+COUNTIF(Prisustvovanjeujulu[11],"O")</totalsRowFormula>
    </tableColumn>
    <tableColumn id="13" name="12" totalsRowFunction="custom" dataDxfId="55" totalsRowDxfId="54">
      <totalsRowFormula>COUNTIF(Prisustvovanjeujulu[12],"Ne")+COUNTIF(Prisustvovanjeujulu[12],"O")</totalsRowFormula>
    </tableColumn>
    <tableColumn id="14" name="13" totalsRowFunction="custom" dataDxfId="53" totalsRowDxfId="52">
      <totalsRowFormula>COUNTIF(Prisustvovanjeujulu[13],"Ne")+COUNTIF(Prisustvovanjeujulu[13],"O")</totalsRowFormula>
    </tableColumn>
    <tableColumn id="15" name="14" totalsRowFunction="custom" dataDxfId="51" totalsRowDxfId="50">
      <totalsRowFormula>COUNTIF(Prisustvovanjeujulu[14],"Ne")+COUNTIF(Prisustvovanjeujulu[14],"O")</totalsRowFormula>
    </tableColumn>
    <tableColumn id="16" name="15" totalsRowFunction="custom" dataDxfId="49" totalsRowDxfId="48">
      <totalsRowFormula>COUNTIF(Prisustvovanjeujulu[15],"Ne")+COUNTIF(Prisustvovanjeujulu[15],"O")</totalsRowFormula>
    </tableColumn>
    <tableColumn id="17" name="16" totalsRowFunction="custom" dataDxfId="47" totalsRowDxfId="46">
      <totalsRowFormula>COUNTIF(Prisustvovanjeujulu[16],"Ne")+COUNTIF(Prisustvovanjeujulu[16],"O")</totalsRowFormula>
    </tableColumn>
    <tableColumn id="18" name="17" totalsRowFunction="custom" dataDxfId="45" totalsRowDxfId="44">
      <totalsRowFormula>COUNTIF(Prisustvovanjeujulu[17],"Ne")+COUNTIF(Prisustvovanjeujulu[17],"O")</totalsRowFormula>
    </tableColumn>
    <tableColumn id="19" name="18" totalsRowFunction="custom" dataDxfId="43" totalsRowDxfId="42">
      <totalsRowFormula>COUNTIF(Prisustvovanjeujulu[18],"Ne")+COUNTIF(Prisustvovanjeujulu[18],"O")</totalsRowFormula>
    </tableColumn>
    <tableColumn id="20" name="19" totalsRowFunction="custom" dataDxfId="41" totalsRowDxfId="40">
      <totalsRowFormula>COUNTIF(Prisustvovanjeujulu[19],"Ne")+COUNTIF(Prisustvovanjeujulu[19],"O")</totalsRowFormula>
    </tableColumn>
    <tableColumn id="21" name="20" totalsRowFunction="custom" dataDxfId="39" totalsRowDxfId="38">
      <totalsRowFormula>COUNTIF(Prisustvovanjeujulu[20],"Ne")+COUNTIF(Prisustvovanjeujulu[20],"O")</totalsRowFormula>
    </tableColumn>
    <tableColumn id="22" name="21" totalsRowFunction="custom" dataDxfId="37" totalsRowDxfId="36">
      <totalsRowFormula>COUNTIF(Prisustvovanjeujulu[21],"Ne")+COUNTIF(Prisustvovanjeujulu[21],"O")</totalsRowFormula>
    </tableColumn>
    <tableColumn id="23" name="22" totalsRowFunction="custom" dataDxfId="35" totalsRowDxfId="34">
      <totalsRowFormula>COUNTIF(Prisustvovanjeujulu[22],"Ne")+COUNTIF(Prisustvovanjeujulu[22],"O")</totalsRowFormula>
    </tableColumn>
    <tableColumn id="24" name="23" totalsRowFunction="custom" dataDxfId="33" totalsRowDxfId="32">
      <totalsRowFormula>COUNTIF(Prisustvovanjeujulu[23],"Ne")+COUNTIF(Prisustvovanjeujulu[23],"O")</totalsRowFormula>
    </tableColumn>
    <tableColumn id="25" name="24" totalsRowFunction="custom" dataDxfId="31" totalsRowDxfId="30">
      <totalsRowFormula>COUNTIF(Prisustvovanjeujulu[24],"Ne")+COUNTIF(Prisustvovanjeujulu[24],"O")</totalsRowFormula>
    </tableColumn>
    <tableColumn id="26" name="25" totalsRowFunction="custom" dataDxfId="29" totalsRowDxfId="28">
      <totalsRowFormula>COUNTIF(Prisustvovanjeujulu[25],"Ne")+COUNTIF(Prisustvovanjeujulu[25],"O")</totalsRowFormula>
    </tableColumn>
    <tableColumn id="27" name="26" totalsRowFunction="custom" dataDxfId="27" totalsRowDxfId="26">
      <totalsRowFormula>COUNTIF(Prisustvovanjeujulu[26],"Ne")+COUNTIF(Prisustvovanjeujulu[26],"O")</totalsRowFormula>
    </tableColumn>
    <tableColumn id="28" name="27" totalsRowFunction="custom" dataDxfId="25" totalsRowDxfId="24">
      <totalsRowFormula>COUNTIF(Prisustvovanjeujulu[27],"Ne")+COUNTIF(Prisustvovanjeujulu[27],"O")</totalsRowFormula>
    </tableColumn>
    <tableColumn id="29" name="28" totalsRowFunction="custom" dataDxfId="23" totalsRowDxfId="22">
      <totalsRowFormula>COUNTIF(Prisustvovanjeujulu[28],"Ne")+COUNTIF(Prisustvovanjeujulu[28],"O")</totalsRowFormula>
    </tableColumn>
    <tableColumn id="30" name="29" totalsRowFunction="custom" dataDxfId="21" totalsRowDxfId="20">
      <totalsRowFormula>COUNTIF(Prisustvovanjeujulu[29],"Ne")+COUNTIF(Prisustvovanjeujulu[29],"O")</totalsRowFormula>
    </tableColumn>
    <tableColumn id="31" name="30" totalsRowFunction="custom" dataDxfId="19" totalsRowDxfId="18">
      <totalsRowFormula>COUNTIF(Prisustvovanjeujulu[30],"Ne")+COUNTIF(Prisustvovanjeujulu[30],"O")</totalsRowFormula>
    </tableColumn>
    <tableColumn id="32" name="31" totalsRowFunction="custom" dataDxfId="17" totalsRowDxfId="16">
      <totalsRowFormula>COUNTIF(Prisustvovanjeujulu[31],"Ne")+COUNTIF(Prisustvovanjeujulu[31],"O")</totalsRowFormula>
    </tableColumn>
    <tableColumn id="35" name="Z" totalsRowFunction="sum" dataDxfId="15" totalsRowDxfId="14">
      <calculatedColumnFormula>COUNTIF(Prisustvovanjeujulu[[#This Row],[1]:[31]],Šifra1)</calculatedColumnFormula>
    </tableColumn>
    <tableColumn id="34" name="O" totalsRowFunction="sum" dataDxfId="13" totalsRowDxfId="12">
      <calculatedColumnFormula>COUNTIF(Prisustvovanjeujulu[[#This Row],[1]:[31]],Šifra2)</calculatedColumnFormula>
    </tableColumn>
    <tableColumn id="37" name="Ne" totalsRowFunction="sum" dataDxfId="11" totalsRowDxfId="10">
      <calculatedColumnFormula>COUNTIF(Prisustvovanjeujulu[[#This Row],[1]:[31]],Šifra3)</calculatedColumnFormula>
    </tableColumn>
    <tableColumn id="36" name="P" totalsRowFunction="sum" dataDxfId="9" totalsRowDxfId="8">
      <calculatedColumnFormula>COUNTIF(Prisustvovanjeujulu[[#This Row],[1]:[31]],Šifra4)</calculatedColumnFormula>
    </tableColumn>
    <tableColumn id="33" name="Dani odsustvovanja" totalsRowFunction="sum" dataDxfId="7" totalsRowDxfId="6">
      <calculatedColumnFormula>SUM(Prisustvovanjeuseptembru[[#This Row],[O]:[Ne]])</calculatedColumnFormula>
    </tableColumn>
  </tableColumns>
  <tableStyleInfo name="Employee Absence Table" showFirstColumn="0" showLastColumn="0" showRowStripes="1" showColumnStripes="1"/>
  <extLst>
    <ext xmlns:x14="http://schemas.microsoft.com/office/spreadsheetml/2009/9/main" uri="{504A1905-F514-4f6f-8877-14C23A59335A}">
      <x14:table altText="Evidencija prisustvovanja u februaru" altTextSummary="Prati prisustvovanje učenika, na primer Z=Zakasnio, O=Opravdano, N=Neopravdano, P=Prisutan, N=Nema škole, za mesec jul."/>
    </ext>
  </extLst>
</table>
</file>

<file path=xl/tables/table2.xml><?xml version="1.0" encoding="utf-8"?>
<table xmlns="http://schemas.openxmlformats.org/spreadsheetml/2006/main" id="3" name="Prisustvovanjeuavgustu" displayName="Prisustvovanjeuavgustu" ref="B6:AM12" totalsRowCount="1" totalsRowDxfId="963">
  <tableColumns count="38">
    <tableColumn id="38" name="ID učenika" totalsRowDxfId="962"/>
    <tableColumn id="1" name="Ime i prezime učenika" totalsRowLabel="Ukupno dana odsustvovanja" totalsRowDxfId="961">
      <calculatedColumnFormula>IFERROR(VLOOKUP(Prisustvovanjeuavgustu[[#This Row],[ID učenika]],Listaučenika[],18,FALSE),"")</calculatedColumnFormula>
    </tableColumn>
    <tableColumn id="2" name="1" totalsRowFunction="custom" totalsRowDxfId="960">
      <totalsRowFormula>COUNTIF(Prisustvovanjeuavgustu[1],"Ne")+COUNTIF(Prisustvovanjeuavgustu[1],"O")</totalsRowFormula>
    </tableColumn>
    <tableColumn id="3" name="2" totalsRowFunction="custom" totalsRowDxfId="959">
      <totalsRowFormula>COUNTIF(Prisustvovanjeuavgustu[2],"Ne")+COUNTIF(Prisustvovanjeuavgustu[2],"O")</totalsRowFormula>
    </tableColumn>
    <tableColumn id="4" name="3" totalsRowFunction="custom" totalsRowDxfId="958">
      <totalsRowFormula>COUNTIF(Prisustvovanjeuavgustu[3],"Ne")+COUNTIF(Prisustvovanjeuavgustu[3],"O")</totalsRowFormula>
    </tableColumn>
    <tableColumn id="5" name="4" totalsRowFunction="custom" totalsRowDxfId="957">
      <totalsRowFormula>COUNTIF(Prisustvovanjeuavgustu[4],"Ne")+COUNTIF(Prisustvovanjeuavgustu[4],"O")</totalsRowFormula>
    </tableColumn>
    <tableColumn id="6" name="5" totalsRowFunction="custom" totalsRowDxfId="956">
      <totalsRowFormula>COUNTIF(Prisustvovanjeuavgustu[5],"Ne")+COUNTIF(Prisustvovanjeuavgustu[5],"O")</totalsRowFormula>
    </tableColumn>
    <tableColumn id="7" name="6" totalsRowFunction="custom" totalsRowDxfId="955">
      <totalsRowFormula>COUNTIF(Prisustvovanjeuavgustu[6],"Ne")+COUNTIF(Prisustvovanjeuavgustu[6],"O")</totalsRowFormula>
    </tableColumn>
    <tableColumn id="8" name="7" totalsRowFunction="custom" totalsRowDxfId="954">
      <totalsRowFormula>COUNTIF(Prisustvovanjeuavgustu[7],"Ne")+COUNTIF(Prisustvovanjeuavgustu[7],"O")</totalsRowFormula>
    </tableColumn>
    <tableColumn id="9" name="8" totalsRowFunction="custom" totalsRowDxfId="953">
      <totalsRowFormula>COUNTIF(Prisustvovanjeuavgustu[8],"Ne")+COUNTIF(Prisustvovanjeuavgustu[8],"O")</totalsRowFormula>
    </tableColumn>
    <tableColumn id="10" name="9" totalsRowFunction="custom" totalsRowDxfId="952">
      <totalsRowFormula>COUNTIF(Prisustvovanjeuavgustu[9],"Ne")+COUNTIF(Prisustvovanjeuavgustu[9],"O")</totalsRowFormula>
    </tableColumn>
    <tableColumn id="11" name="10" totalsRowFunction="custom" totalsRowDxfId="951">
      <totalsRowFormula>COUNTIF(Prisustvovanjeuavgustu[10],"Ne")+COUNTIF(Prisustvovanjeuavgustu[10],"O")</totalsRowFormula>
    </tableColumn>
    <tableColumn id="12" name="11" totalsRowFunction="custom" totalsRowDxfId="950">
      <totalsRowFormula>COUNTIF(Prisustvovanjeuavgustu[11],"Ne")+COUNTIF(Prisustvovanjeuavgustu[11],"O")</totalsRowFormula>
    </tableColumn>
    <tableColumn id="13" name="12" totalsRowFunction="custom" totalsRowDxfId="949">
      <totalsRowFormula>COUNTIF(Prisustvovanjeuavgustu[12],"Ne")+COUNTIF(Prisustvovanjeuavgustu[12],"O")</totalsRowFormula>
    </tableColumn>
    <tableColumn id="14" name="13" totalsRowFunction="custom" totalsRowDxfId="948">
      <totalsRowFormula>COUNTIF(Prisustvovanjeuavgustu[13],"Ne")+COUNTIF(Prisustvovanjeuavgustu[13],"O")</totalsRowFormula>
    </tableColumn>
    <tableColumn id="15" name="14" totalsRowFunction="custom" totalsRowDxfId="947">
      <totalsRowFormula>COUNTIF(Prisustvovanjeuavgustu[14],"Ne")+COUNTIF(Prisustvovanjeuavgustu[14],"O")</totalsRowFormula>
    </tableColumn>
    <tableColumn id="16" name="15" totalsRowFunction="custom" totalsRowDxfId="946">
      <totalsRowFormula>COUNTIF(Prisustvovanjeuavgustu[15],"Ne")+COUNTIF(Prisustvovanjeuavgustu[15],"O")</totalsRowFormula>
    </tableColumn>
    <tableColumn id="17" name="16" totalsRowFunction="custom" totalsRowDxfId="945">
      <totalsRowFormula>COUNTIF(Prisustvovanjeuavgustu[16],"Ne")+COUNTIF(Prisustvovanjeuavgustu[16],"O")</totalsRowFormula>
    </tableColumn>
    <tableColumn id="18" name="17" totalsRowFunction="custom" totalsRowDxfId="944">
      <totalsRowFormula>COUNTIF(Prisustvovanjeuavgustu[17],"Ne")+COUNTIF(Prisustvovanjeuavgustu[17],"O")</totalsRowFormula>
    </tableColumn>
    <tableColumn id="19" name="18" totalsRowFunction="custom" totalsRowDxfId="943">
      <totalsRowFormula>COUNTIF(Prisustvovanjeuavgustu[18],"Ne")+COUNTIF(Prisustvovanjeuavgustu[18],"O")</totalsRowFormula>
    </tableColumn>
    <tableColumn id="20" name="19" totalsRowFunction="custom" totalsRowDxfId="942">
      <totalsRowFormula>COUNTIF(Prisustvovanjeuavgustu[19],"Ne")+COUNTIF(Prisustvovanjeuavgustu[19],"O")</totalsRowFormula>
    </tableColumn>
    <tableColumn id="21" name="20" totalsRowFunction="custom" totalsRowDxfId="941">
      <totalsRowFormula>COUNTIF(Prisustvovanjeuavgustu[20],"Ne")+COUNTIF(Prisustvovanjeuavgustu[20],"O")</totalsRowFormula>
    </tableColumn>
    <tableColumn id="22" name="21" totalsRowFunction="custom" totalsRowDxfId="940">
      <totalsRowFormula>COUNTIF(Prisustvovanjeuavgustu[21],"Ne")+COUNTIF(Prisustvovanjeuavgustu[21],"O")</totalsRowFormula>
    </tableColumn>
    <tableColumn id="23" name="22" totalsRowFunction="custom" totalsRowDxfId="939">
      <totalsRowFormula>COUNTIF(Prisustvovanjeuavgustu[22],"Ne")+COUNTIF(Prisustvovanjeuavgustu[22],"O")</totalsRowFormula>
    </tableColumn>
    <tableColumn id="24" name="23" totalsRowFunction="custom" totalsRowDxfId="938">
      <totalsRowFormula>COUNTIF(Prisustvovanjeuavgustu[23],"Ne")+COUNTIF(Prisustvovanjeuavgustu[23],"O")</totalsRowFormula>
    </tableColumn>
    <tableColumn id="25" name="24" totalsRowFunction="custom" totalsRowDxfId="937">
      <totalsRowFormula>COUNTIF(Prisustvovanjeuavgustu[24],"Ne")+COUNTIF(Prisustvovanjeuavgustu[24],"O")</totalsRowFormula>
    </tableColumn>
    <tableColumn id="26" name="25" totalsRowFunction="custom" totalsRowDxfId="936">
      <totalsRowFormula>COUNTIF(Prisustvovanjeuavgustu[25],"Ne")+COUNTIF(Prisustvovanjeuavgustu[25],"O")</totalsRowFormula>
    </tableColumn>
    <tableColumn id="27" name="26" totalsRowFunction="custom" totalsRowDxfId="935">
      <totalsRowFormula>COUNTIF(Prisustvovanjeuavgustu[26],"Ne")+COUNTIF(Prisustvovanjeuavgustu[26],"O")</totalsRowFormula>
    </tableColumn>
    <tableColumn id="28" name="27" totalsRowFunction="custom" totalsRowDxfId="934">
      <totalsRowFormula>COUNTIF(Prisustvovanjeuavgustu[27],"Ne")+COUNTIF(Prisustvovanjeuavgustu[27],"O")</totalsRowFormula>
    </tableColumn>
    <tableColumn id="29" name="28" totalsRowFunction="custom" totalsRowDxfId="933">
      <totalsRowFormula>COUNTIF(Prisustvovanjeuavgustu[28],"Ne")+COUNTIF(Prisustvovanjeuavgustu[28],"O")</totalsRowFormula>
    </tableColumn>
    <tableColumn id="30" name="29" totalsRowFunction="custom" totalsRowDxfId="932">
      <totalsRowFormula>COUNTIF(Prisustvovanjeuavgustu[29],"Ne")+COUNTIF(Prisustvovanjeuavgustu[29],"O")</totalsRowFormula>
    </tableColumn>
    <tableColumn id="31" name="30" totalsRowFunction="custom" totalsRowDxfId="931">
      <totalsRowFormula>COUNTIF(Prisustvovanjeuavgustu[30],"Ne")+COUNTIF(Prisustvovanjeuavgustu[30],"O")</totalsRowFormula>
    </tableColumn>
    <tableColumn id="32" name="31" totalsRowFunction="custom" totalsRowDxfId="930">
      <totalsRowFormula>COUNTIF(Prisustvovanjeuavgustu[31],"Ne")+COUNTIF(Prisustvovanjeuavgustu[31],"O")</totalsRowFormula>
    </tableColumn>
    <tableColumn id="35" name="Z" totalsRowFunction="sum" dataDxfId="929" totalsRowDxfId="928">
      <calculatedColumnFormula>COUNTIF(Prisustvovanjeuavgustu[[#This Row],[1]:[31]],Šifra1)</calculatedColumnFormula>
    </tableColumn>
    <tableColumn id="34" name="O" totalsRowFunction="sum" dataDxfId="927" totalsRowDxfId="926">
      <calculatedColumnFormula>COUNTIF(Prisustvovanjeuavgustu[[#This Row],[1]:[31]],Šifra2)</calculatedColumnFormula>
    </tableColumn>
    <tableColumn id="37" name="Ne" totalsRowFunction="sum" dataDxfId="925" totalsRowDxfId="924">
      <calculatedColumnFormula>COUNTIF(Prisustvovanjeuavgustu[[#This Row],[1]:[31]],Šifra3)</calculatedColumnFormula>
    </tableColumn>
    <tableColumn id="36" name="P" totalsRowFunction="sum" dataDxfId="923" totalsRowDxfId="922">
      <calculatedColumnFormula>COUNTIF(Prisustvovanjeuavgustu[[#This Row],[1]:[31]],Šifra4)</calculatedColumnFormula>
    </tableColumn>
    <tableColumn id="33" name="Dani odsustvovanja" totalsRowFunction="sum" totalsRowDxfId="921">
      <calculatedColumnFormula>SUM(Prisustvovanjeuavgustu[[#This Row],[O]:[Ne]])</calculatedColumnFormula>
    </tableColumn>
  </tableColumns>
  <tableStyleInfo name="Employee Absence Table" showFirstColumn="0" showLastColumn="1" showRowStripes="1" showColumnStripes="1"/>
  <extLst>
    <ext xmlns:x14="http://schemas.microsoft.com/office/spreadsheetml/2009/9/main" uri="{504A1905-F514-4f6f-8877-14C23A59335A}">
      <x14:table altText="Evidencija prisustvovanja u avgustu" altTextSummary="Prati prisustvovanje učenika, na primer Z=Zakasnio, O=Opravdano, N=Neopravdano, P=Prisutan, N=Nema škole, za mesec avgust."/>
    </ext>
  </extLst>
</table>
</file>

<file path=xl/tables/table3.xml><?xml version="1.0" encoding="utf-8"?>
<table xmlns="http://schemas.openxmlformats.org/spreadsheetml/2006/main" id="10" name="Prisustvovanjeuseptembru" displayName="Prisustvovanjeuseptembru" ref="B6:AM12" totalsRowCount="1" totalsRowDxfId="910">
  <tableColumns count="38">
    <tableColumn id="38" name="ID učenika" totalsRowDxfId="909"/>
    <tableColumn id="1" name="Ime i prezime učenika" totalsRowLabel="Ukupno dana odsustvovanja" dataDxfId="908" totalsRowDxfId="907">
      <calculatedColumnFormula>IFERROR(VLOOKUP(Prisustvovanjeuseptembru[[#This Row],[ID učenika]],Listaučenika[],18,FALSE),"")</calculatedColumnFormula>
    </tableColumn>
    <tableColumn id="2" name="1" totalsRowFunction="custom" dataDxfId="906" totalsRowDxfId="905">
      <totalsRowFormula>COUNTIF(Prisustvovanjeuseptembru[1],"Ne")+COUNTIF(Prisustvovanjeuseptembru[1],"O")</totalsRowFormula>
    </tableColumn>
    <tableColumn id="3" name="2" totalsRowFunction="custom" dataDxfId="904" totalsRowDxfId="903">
      <totalsRowFormula>COUNTIF(Prisustvovanjeuseptembru[2],"Ne")+COUNTIF(Prisustvovanjeuseptembru[2],"O")</totalsRowFormula>
    </tableColumn>
    <tableColumn id="4" name="3" totalsRowFunction="custom" dataDxfId="902" totalsRowDxfId="901">
      <totalsRowFormula>COUNTIF(Prisustvovanjeuseptembru[3],"Ne")+COUNTIF(Prisustvovanjeuseptembru[3],"O")</totalsRowFormula>
    </tableColumn>
    <tableColumn id="5" name="4" totalsRowFunction="custom" dataDxfId="900" totalsRowDxfId="899">
      <totalsRowFormula>COUNTIF(Prisustvovanjeuseptembru[4],"Ne")+COUNTIF(Prisustvovanjeuseptembru[4],"O")</totalsRowFormula>
    </tableColumn>
    <tableColumn id="6" name="5" totalsRowFunction="custom" dataDxfId="898" totalsRowDxfId="897">
      <totalsRowFormula>COUNTIF(Prisustvovanjeuseptembru[5],"Ne")+COUNTIF(Prisustvovanjeuseptembru[5],"O")</totalsRowFormula>
    </tableColumn>
    <tableColumn id="7" name="6" totalsRowFunction="custom" dataDxfId="896" totalsRowDxfId="895">
      <totalsRowFormula>COUNTIF(Prisustvovanjeuseptembru[6],"Ne")+COUNTIF(Prisustvovanjeuseptembru[6],"O")</totalsRowFormula>
    </tableColumn>
    <tableColumn id="8" name="7" totalsRowFunction="custom" dataDxfId="894" totalsRowDxfId="893">
      <totalsRowFormula>COUNTIF(Prisustvovanjeuseptembru[7],"Ne")+COUNTIF(Prisustvovanjeuseptembru[7],"O")</totalsRowFormula>
    </tableColumn>
    <tableColumn id="9" name="8" totalsRowFunction="custom" dataDxfId="892" totalsRowDxfId="891">
      <totalsRowFormula>COUNTIF(Prisustvovanjeuseptembru[8],"Ne")+COUNTIF(Prisustvovanjeuseptembru[8],"O")</totalsRowFormula>
    </tableColumn>
    <tableColumn id="10" name="9" totalsRowFunction="custom" dataDxfId="890" totalsRowDxfId="889">
      <totalsRowFormula>COUNTIF(Prisustvovanjeuseptembru[9],"Ne")+COUNTIF(Prisustvovanjeuseptembru[9],"O")</totalsRowFormula>
    </tableColumn>
    <tableColumn id="11" name="10" totalsRowFunction="custom" dataDxfId="888" totalsRowDxfId="887">
      <totalsRowFormula>COUNTIF(Prisustvovanjeuseptembru[10],"Ne")+COUNTIF(Prisustvovanjeuseptembru[10],"O")</totalsRowFormula>
    </tableColumn>
    <tableColumn id="12" name="11" totalsRowFunction="custom" dataDxfId="886" totalsRowDxfId="885">
      <totalsRowFormula>COUNTIF(Prisustvovanjeuseptembru[11],"Ne")+COUNTIF(Prisustvovanjeuseptembru[11],"O")</totalsRowFormula>
    </tableColumn>
    <tableColumn id="13" name="12" totalsRowFunction="custom" dataDxfId="884" totalsRowDxfId="883">
      <totalsRowFormula>COUNTIF(Prisustvovanjeuseptembru[12],"Ne")+COUNTIF(Prisustvovanjeuseptembru[12],"O")</totalsRowFormula>
    </tableColumn>
    <tableColumn id="14" name="13" totalsRowFunction="custom" dataDxfId="882" totalsRowDxfId="881">
      <totalsRowFormula>COUNTIF(Prisustvovanjeuseptembru[13],"Ne")+COUNTIF(Prisustvovanjeuseptembru[13],"O")</totalsRowFormula>
    </tableColumn>
    <tableColumn id="15" name="14" totalsRowFunction="custom" dataDxfId="880" totalsRowDxfId="879">
      <totalsRowFormula>COUNTIF(Prisustvovanjeuseptembru[14],"Ne")+COUNTIF(Prisustvovanjeuseptembru[14],"O")</totalsRowFormula>
    </tableColumn>
    <tableColumn id="16" name="15" totalsRowFunction="custom" dataDxfId="878" totalsRowDxfId="877">
      <totalsRowFormula>COUNTIF(Prisustvovanjeuseptembru[15],"Ne")+COUNTIF(Prisustvovanjeuseptembru[15],"O")</totalsRowFormula>
    </tableColumn>
    <tableColumn id="17" name="16" totalsRowFunction="custom" dataDxfId="876" totalsRowDxfId="875">
      <totalsRowFormula>COUNTIF(Prisustvovanjeuseptembru[16],"Ne")+COUNTIF(Prisustvovanjeuseptembru[16],"O")</totalsRowFormula>
    </tableColumn>
    <tableColumn id="18" name="17" totalsRowFunction="custom" dataDxfId="874" totalsRowDxfId="873">
      <totalsRowFormula>COUNTIF(Prisustvovanjeuseptembru[17],"Ne")+COUNTIF(Prisustvovanjeuseptembru[17],"O")</totalsRowFormula>
    </tableColumn>
    <tableColumn id="19" name="18" totalsRowFunction="custom" dataDxfId="872" totalsRowDxfId="871">
      <totalsRowFormula>COUNTIF(Prisustvovanjeuseptembru[18],"Ne")+COUNTIF(Prisustvovanjeuseptembru[18],"O")</totalsRowFormula>
    </tableColumn>
    <tableColumn id="20" name="19" totalsRowFunction="custom" dataDxfId="870" totalsRowDxfId="869">
      <totalsRowFormula>COUNTIF(Prisustvovanjeuseptembru[19],"Ne")+COUNTIF(Prisustvovanjeuseptembru[19],"O")</totalsRowFormula>
    </tableColumn>
    <tableColumn id="21" name="20" totalsRowFunction="custom" dataDxfId="868" totalsRowDxfId="867">
      <totalsRowFormula>COUNTIF(Prisustvovanjeuseptembru[20],"Ne")+COUNTIF(Prisustvovanjeuseptembru[20],"O")</totalsRowFormula>
    </tableColumn>
    <tableColumn id="22" name="21" totalsRowFunction="custom" dataDxfId="866" totalsRowDxfId="865">
      <totalsRowFormula>COUNTIF(Prisustvovanjeuseptembru[21],"Ne")+COUNTIF(Prisustvovanjeuseptembru[21],"O")</totalsRowFormula>
    </tableColumn>
    <tableColumn id="23" name="22" totalsRowFunction="custom" dataDxfId="864" totalsRowDxfId="863">
      <totalsRowFormula>COUNTIF(Prisustvovanjeuseptembru[22],"Ne")+COUNTIF(Prisustvovanjeuseptembru[22],"O")</totalsRowFormula>
    </tableColumn>
    <tableColumn id="24" name="23" totalsRowFunction="custom" dataDxfId="862" totalsRowDxfId="861">
      <totalsRowFormula>COUNTIF(Prisustvovanjeuseptembru[23],"Ne")+COUNTIF(Prisustvovanjeuseptembru[23],"O")</totalsRowFormula>
    </tableColumn>
    <tableColumn id="25" name="24" totalsRowFunction="custom" dataDxfId="860" totalsRowDxfId="859">
      <totalsRowFormula>COUNTIF(Prisustvovanjeuseptembru[24],"Ne")+COUNTIF(Prisustvovanjeuseptembru[24],"O")</totalsRowFormula>
    </tableColumn>
    <tableColumn id="26" name="25" totalsRowFunction="custom" dataDxfId="858" totalsRowDxfId="857">
      <totalsRowFormula>COUNTIF(Prisustvovanjeuseptembru[25],"Ne")+COUNTIF(Prisustvovanjeuseptembru[25],"O")</totalsRowFormula>
    </tableColumn>
    <tableColumn id="27" name="26" totalsRowFunction="custom" dataDxfId="856" totalsRowDxfId="855">
      <totalsRowFormula>COUNTIF(Prisustvovanjeuseptembru[26],"Ne")+COUNTIF(Prisustvovanjeuseptembru[26],"O")</totalsRowFormula>
    </tableColumn>
    <tableColumn id="28" name="27" totalsRowFunction="custom" dataDxfId="854" totalsRowDxfId="853">
      <totalsRowFormula>COUNTIF(Prisustvovanjeuseptembru[27],"Ne")+COUNTIF(Prisustvovanjeuseptembru[27],"O")</totalsRowFormula>
    </tableColumn>
    <tableColumn id="29" name="28" totalsRowFunction="custom" dataDxfId="852" totalsRowDxfId="851">
      <totalsRowFormula>COUNTIF(Prisustvovanjeuseptembru[28],"Ne")+COUNTIF(Prisustvovanjeuseptembru[28],"O")</totalsRowFormula>
    </tableColumn>
    <tableColumn id="30" name="29" totalsRowFunction="custom" dataDxfId="850" totalsRowDxfId="849">
      <totalsRowFormula>COUNTIF(Prisustvovanjeuseptembru[29],"Ne")+COUNTIF(Prisustvovanjeuseptembru[29],"O")</totalsRowFormula>
    </tableColumn>
    <tableColumn id="31" name="30" totalsRowFunction="custom" totalsRowDxfId="848">
      <totalsRowFormula>COUNTIF(Prisustvovanjeuseptembru[30],"Ne")+COUNTIF(Prisustvovanjeuseptembru[30],"O")</totalsRowFormula>
    </tableColumn>
    <tableColumn id="32" name=" " totalsRowFunction="custom" totalsRowDxfId="847">
      <totalsRowFormula>COUNTIF(Prisustvovanjeuseptembru[[ ]],"Ne")+COUNTIF(Prisustvovanjeuseptembru[[ ]],"O")</totalsRowFormula>
    </tableColumn>
    <tableColumn id="35" name="Z" totalsRowFunction="sum" dataDxfId="846" totalsRowDxfId="845">
      <calculatedColumnFormula>COUNTIF(Prisustvovanjeuseptembru[[#This Row],[1]:[ ]],Šifra1)</calculatedColumnFormula>
    </tableColumn>
    <tableColumn id="34" name="O" totalsRowFunction="sum" dataDxfId="844" totalsRowDxfId="843">
      <calculatedColumnFormula>COUNTIF(Prisustvovanjeuseptembru[[#This Row],[1]:[ ]],Šifra2)</calculatedColumnFormula>
    </tableColumn>
    <tableColumn id="37" name="Ne" totalsRowFunction="sum" dataDxfId="842" totalsRowDxfId="841">
      <calculatedColumnFormula>COUNTIF(Prisustvovanjeuseptembru[[#This Row],[1]:[ ]],Šifra3)</calculatedColumnFormula>
    </tableColumn>
    <tableColumn id="36" name="P" totalsRowFunction="sum" dataDxfId="840" totalsRowDxfId="839">
      <calculatedColumnFormula>COUNTIF(Prisustvovanjeuseptembru[[#This Row],[1]:[ ]],Šifra4)</calculatedColumnFormula>
    </tableColumn>
    <tableColumn id="33" name="Dani odsustvovanja" totalsRowFunction="sum" totalsRowDxfId="838">
      <calculatedColumnFormula>SUM(Prisustvovanjeuseptembru[[#This Row],[O]:[Ne]])</calculatedColumnFormula>
    </tableColumn>
  </tableColumns>
  <tableStyleInfo name="Employee Absence Table" showFirstColumn="0" showLastColumn="1" showRowStripes="1" showColumnStripes="1"/>
  <extLst>
    <ext xmlns:x14="http://schemas.microsoft.com/office/spreadsheetml/2009/9/main" uri="{504A1905-F514-4f6f-8877-14C23A59335A}">
      <x14:table altText="Evidencija prisustvovanja u avgustu" altTextSummary="Prati prisustvovanje učenika, na primer Z=Zakasnio, O=Opravdano, N=Neopravdano, P=Prisutan, N=Nema škole, za mesec septembar."/>
    </ext>
  </extLst>
</table>
</file>

<file path=xl/tables/table4.xml><?xml version="1.0" encoding="utf-8"?>
<table xmlns="http://schemas.openxmlformats.org/spreadsheetml/2006/main" id="2" name="Prisustvovanjeuoktobru" displayName="Prisustvovanjeuoktobru" ref="B6:AM12" totalsRowCount="1" totalsRowDxfId="827">
  <tableColumns count="38">
    <tableColumn id="38" name="ID učenika" totalsRowDxfId="826"/>
    <tableColumn id="1" name="Ime i prezime učenika" totalsRowLabel="Ukupno dana odsustvovanja" dataDxfId="825" totalsRowDxfId="824">
      <calculatedColumnFormula>IFERROR(VLOOKUP(Prisustvovanjeuoktobru[[#This Row],[ID učenika]],Listaučenika[],18,FALSE),"")</calculatedColumnFormula>
    </tableColumn>
    <tableColumn id="2" name="1" totalsRowFunction="custom" dataDxfId="823" totalsRowDxfId="822">
      <totalsRowFormula>COUNTIF(Prisustvovanjeuoktobru[1],"Ne")+COUNTIF(Prisustvovanjeuoktobru[1],"O")</totalsRowFormula>
    </tableColumn>
    <tableColumn id="3" name="2" totalsRowFunction="custom" dataDxfId="821" totalsRowDxfId="820">
      <totalsRowFormula>COUNTIF(Prisustvovanjeuoktobru[2],"Ne")+COUNTIF(Prisustvovanjeuoktobru[2],"O")</totalsRowFormula>
    </tableColumn>
    <tableColumn id="4" name="3" totalsRowFunction="custom" dataDxfId="819" totalsRowDxfId="818">
      <totalsRowFormula>COUNTIF(Prisustvovanjeuoktobru[3],"Ne")+COUNTIF(Prisustvovanjeuoktobru[3],"O")</totalsRowFormula>
    </tableColumn>
    <tableColumn id="5" name="4" totalsRowFunction="custom" dataDxfId="817" totalsRowDxfId="816">
      <totalsRowFormula>COUNTIF(Prisustvovanjeuoktobru[4],"Ne")+COUNTIF(Prisustvovanjeuoktobru[4],"O")</totalsRowFormula>
    </tableColumn>
    <tableColumn id="6" name="5" totalsRowFunction="custom" dataDxfId="815" totalsRowDxfId="814">
      <totalsRowFormula>COUNTIF(Prisustvovanjeuoktobru[5],"Ne")+COUNTIF(Prisustvovanjeuoktobru[5],"O")</totalsRowFormula>
    </tableColumn>
    <tableColumn id="7" name="6" totalsRowFunction="custom" dataDxfId="813" totalsRowDxfId="812">
      <totalsRowFormula>COUNTIF(Prisustvovanjeuoktobru[6],"Ne")+COUNTIF(Prisustvovanjeuoktobru[6],"O")</totalsRowFormula>
    </tableColumn>
    <tableColumn id="8" name="7" totalsRowFunction="custom" dataDxfId="811" totalsRowDxfId="810">
      <totalsRowFormula>COUNTIF(Prisustvovanjeuoktobru[7],"Ne")+COUNTIF(Prisustvovanjeuoktobru[7],"O")</totalsRowFormula>
    </tableColumn>
    <tableColumn id="9" name="8" totalsRowFunction="custom" dataDxfId="809" totalsRowDxfId="808">
      <totalsRowFormula>COUNTIF(Prisustvovanjeuoktobru[8],"Ne")+COUNTIF(Prisustvovanjeuoktobru[8],"O")</totalsRowFormula>
    </tableColumn>
    <tableColumn id="10" name="9" totalsRowFunction="custom" dataDxfId="807" totalsRowDxfId="806">
      <totalsRowFormula>COUNTIF(Prisustvovanjeuoktobru[9],"Ne")+COUNTIF(Prisustvovanjeuoktobru[9],"O")</totalsRowFormula>
    </tableColumn>
    <tableColumn id="11" name="10" totalsRowFunction="custom" dataDxfId="805" totalsRowDxfId="804">
      <totalsRowFormula>COUNTIF(Prisustvovanjeuoktobru[10],"Ne")+COUNTIF(Prisustvovanjeuoktobru[10],"O")</totalsRowFormula>
    </tableColumn>
    <tableColumn id="12" name="11" totalsRowFunction="custom" dataDxfId="803" totalsRowDxfId="802">
      <totalsRowFormula>COUNTIF(Prisustvovanjeuoktobru[11],"Ne")+COUNTIF(Prisustvovanjeuoktobru[11],"O")</totalsRowFormula>
    </tableColumn>
    <tableColumn id="13" name="12" totalsRowFunction="custom" dataDxfId="801" totalsRowDxfId="800">
      <totalsRowFormula>COUNTIF(Prisustvovanjeuoktobru[12],"Ne")+COUNTIF(Prisustvovanjeuoktobru[12],"O")</totalsRowFormula>
    </tableColumn>
    <tableColumn id="14" name="13" totalsRowFunction="custom" dataDxfId="799" totalsRowDxfId="798">
      <totalsRowFormula>COUNTIF(Prisustvovanjeuoktobru[13],"Ne")+COUNTIF(Prisustvovanjeuoktobru[13],"O")</totalsRowFormula>
    </tableColumn>
    <tableColumn id="15" name="14" totalsRowFunction="custom" dataDxfId="797" totalsRowDxfId="796">
      <totalsRowFormula>COUNTIF(Prisustvovanjeuoktobru[14],"Ne")+COUNTIF(Prisustvovanjeuoktobru[14],"O")</totalsRowFormula>
    </tableColumn>
    <tableColumn id="16" name="15" totalsRowFunction="custom" dataDxfId="795" totalsRowDxfId="794">
      <totalsRowFormula>COUNTIF(Prisustvovanjeuoktobru[15],"Ne")+COUNTIF(Prisustvovanjeuoktobru[15],"O")</totalsRowFormula>
    </tableColumn>
    <tableColumn id="17" name="16" totalsRowFunction="custom" dataDxfId="793" totalsRowDxfId="792">
      <totalsRowFormula>COUNTIF(Prisustvovanjeuoktobru[16],"Ne")+COUNTIF(Prisustvovanjeuoktobru[16],"O")</totalsRowFormula>
    </tableColumn>
    <tableColumn id="18" name="17" totalsRowFunction="custom" dataDxfId="791" totalsRowDxfId="790">
      <totalsRowFormula>COUNTIF(Prisustvovanjeuoktobru[17],"Ne")+COUNTIF(Prisustvovanjeuoktobru[17],"O")</totalsRowFormula>
    </tableColumn>
    <tableColumn id="19" name="18" totalsRowFunction="custom" dataDxfId="789" totalsRowDxfId="788">
      <totalsRowFormula>COUNTIF(Prisustvovanjeuoktobru[18],"Ne")+COUNTIF(Prisustvovanjeuoktobru[18],"O")</totalsRowFormula>
    </tableColumn>
    <tableColumn id="20" name="19" totalsRowFunction="custom" dataDxfId="787" totalsRowDxfId="786">
      <totalsRowFormula>COUNTIF(Prisustvovanjeuoktobru[19],"Ne")+COUNTIF(Prisustvovanjeuoktobru[19],"O")</totalsRowFormula>
    </tableColumn>
    <tableColumn id="21" name="20" totalsRowFunction="custom" dataDxfId="785" totalsRowDxfId="784">
      <totalsRowFormula>COUNTIF(Prisustvovanjeuoktobru[20],"Ne")+COUNTIF(Prisustvovanjeuoktobru[20],"O")</totalsRowFormula>
    </tableColumn>
    <tableColumn id="22" name="21" totalsRowFunction="custom" dataDxfId="783" totalsRowDxfId="782">
      <totalsRowFormula>COUNTIF(Prisustvovanjeuoktobru[21],"Ne")+COUNTIF(Prisustvovanjeuoktobru[21],"O")</totalsRowFormula>
    </tableColumn>
    <tableColumn id="23" name="22" totalsRowFunction="custom" dataDxfId="781" totalsRowDxfId="780">
      <totalsRowFormula>COUNTIF(Prisustvovanjeuoktobru[22],"Ne")+COUNTIF(Prisustvovanjeuoktobru[22],"O")</totalsRowFormula>
    </tableColumn>
    <tableColumn id="24" name="23" totalsRowFunction="custom" dataDxfId="779" totalsRowDxfId="778">
      <totalsRowFormula>COUNTIF(Prisustvovanjeuoktobru[23],"Ne")+COUNTIF(Prisustvovanjeuoktobru[23],"O")</totalsRowFormula>
    </tableColumn>
    <tableColumn id="25" name="24" totalsRowFunction="custom" dataDxfId="777" totalsRowDxfId="776">
      <totalsRowFormula>COUNTIF(Prisustvovanjeuoktobru[24],"Ne")+COUNTIF(Prisustvovanjeuoktobru[24],"O")</totalsRowFormula>
    </tableColumn>
    <tableColumn id="26" name="25" totalsRowFunction="custom" dataDxfId="775" totalsRowDxfId="774">
      <totalsRowFormula>COUNTIF(Prisustvovanjeuoktobru[25],"Ne")+COUNTIF(Prisustvovanjeuoktobru[25],"O")</totalsRowFormula>
    </tableColumn>
    <tableColumn id="27" name="26" totalsRowFunction="custom" dataDxfId="773" totalsRowDxfId="772">
      <totalsRowFormula>COUNTIF(Prisustvovanjeuoktobru[26],"Ne")+COUNTIF(Prisustvovanjeuoktobru[26],"O")</totalsRowFormula>
    </tableColumn>
    <tableColumn id="28" name="27" totalsRowFunction="custom" dataDxfId="771" totalsRowDxfId="770">
      <totalsRowFormula>COUNTIF(Prisustvovanjeuoktobru[27],"Ne")+COUNTIF(Prisustvovanjeuoktobru[27],"O")</totalsRowFormula>
    </tableColumn>
    <tableColumn id="29" name="28" totalsRowFunction="custom" dataDxfId="769" totalsRowDxfId="768">
      <totalsRowFormula>COUNTIF(Prisustvovanjeuoktobru[28],"Ne")+COUNTIF(Prisustvovanjeuoktobru[28],"O")</totalsRowFormula>
    </tableColumn>
    <tableColumn id="30" name="29" totalsRowFunction="custom" dataDxfId="767" totalsRowDxfId="766">
      <totalsRowFormula>COUNTIF(Prisustvovanjeuoktobru[29],"Ne")+COUNTIF(Prisustvovanjeuoktobru[29],"O")</totalsRowFormula>
    </tableColumn>
    <tableColumn id="31" name="30" totalsRowFunction="custom" totalsRowDxfId="765">
      <totalsRowFormula>COUNTIF(Prisustvovanjeuoktobru[30],"Ne")+COUNTIF(Prisustvovanjeuoktobru[30],"O")</totalsRowFormula>
    </tableColumn>
    <tableColumn id="32" name="31" totalsRowFunction="custom" totalsRowDxfId="764">
      <totalsRowFormula>COUNTIF(Prisustvovanjeuoktobru[31],"Ne")+COUNTIF(Prisustvovanjeuoktobru[31],"O")</totalsRowFormula>
    </tableColumn>
    <tableColumn id="35" name="Z" totalsRowFunction="sum" dataDxfId="763" totalsRowDxfId="762">
      <calculatedColumnFormula>COUNTIF(Prisustvovanjeuoktobru[[#This Row],[1]:[31]],Šifra1)</calculatedColumnFormula>
    </tableColumn>
    <tableColumn id="34" name="O" totalsRowFunction="sum" dataDxfId="761" totalsRowDxfId="760">
      <calculatedColumnFormula>COUNTIF(Prisustvovanjeuoktobru[[#This Row],[1]:[31]],Šifra2)</calculatedColumnFormula>
    </tableColumn>
    <tableColumn id="37" name="Ne" totalsRowFunction="sum" dataDxfId="759" totalsRowDxfId="758">
      <calculatedColumnFormula>COUNTIF(Prisustvovanjeuoktobru[[#This Row],[1]:[31]],Šifra3)</calculatedColumnFormula>
    </tableColumn>
    <tableColumn id="36" name="P" totalsRowFunction="sum" dataDxfId="757" totalsRowDxfId="756">
      <calculatedColumnFormula>COUNTIF(Prisustvovanjeuoktobru[[#This Row],[1]:[31]],Šifra4)</calculatedColumnFormula>
    </tableColumn>
    <tableColumn id="33" name="Dani odsustvovanja" totalsRowFunction="sum" totalsRowDxfId="755">
      <calculatedColumnFormula>SUM(Prisustvovanjeuseptembru[[#This Row],[O]:[Ne]])</calculatedColumnFormula>
    </tableColumn>
  </tableColumns>
  <tableStyleInfo name="Employee Absence Table" showFirstColumn="0" showLastColumn="1" showRowStripes="1" showColumnStripes="1"/>
  <extLst>
    <ext xmlns:x14="http://schemas.microsoft.com/office/spreadsheetml/2009/9/main" uri="{504A1905-F514-4f6f-8877-14C23A59335A}">
      <x14:table altText="Evidencija prisustvovanja u avgustu" altTextSummary="Prati prisustvovanje učenika, na primer Z=Zakasnio, O=Opravdano, N=Neopravdano, P=Prisutan, N=Nema škole, za mesec oktobar."/>
    </ext>
  </extLst>
</table>
</file>

<file path=xl/tables/table5.xml><?xml version="1.0" encoding="utf-8"?>
<table xmlns="http://schemas.openxmlformats.org/spreadsheetml/2006/main" id="4" name="Prisustvovanjeunovembru" displayName="Prisustvovanjeunovembru" ref="B6:AM12" totalsRowCount="1" totalsRowDxfId="744">
  <tableColumns count="38">
    <tableColumn id="38" name="ID učenika" totalsRowDxfId="743"/>
    <tableColumn id="1" name="Ime i prezime učenika" totalsRowLabel="Ukupno dana odsustvovanja" dataDxfId="742" totalsRowDxfId="741">
      <calculatedColumnFormula>IFERROR(VLOOKUP(Prisustvovanjeunovembru[[#This Row],[ID učenika]],Listaučenika[],18,FALSE),"")</calculatedColumnFormula>
    </tableColumn>
    <tableColumn id="2" name="1" totalsRowFunction="custom" dataDxfId="740" totalsRowDxfId="739">
      <totalsRowFormula>COUNTIF(Prisustvovanjeunovembru[1],"Ne")+COUNTIF(Prisustvovanjeunovembru[1],"O")</totalsRowFormula>
    </tableColumn>
    <tableColumn id="3" name="2" totalsRowFunction="custom" dataDxfId="738" totalsRowDxfId="737">
      <totalsRowFormula>COUNTIF(Prisustvovanjeunovembru[2],"Ne")+COUNTIF(Prisustvovanjeunovembru[2],"O")</totalsRowFormula>
    </tableColumn>
    <tableColumn id="4" name="3" totalsRowFunction="custom" dataDxfId="736" totalsRowDxfId="735">
      <totalsRowFormula>COUNTIF(Prisustvovanjeunovembru[3],"Ne")+COUNTIF(Prisustvovanjeunovembru[3],"O")</totalsRowFormula>
    </tableColumn>
    <tableColumn id="5" name="4" totalsRowFunction="custom" dataDxfId="734" totalsRowDxfId="733">
      <totalsRowFormula>COUNTIF(Prisustvovanjeunovembru[4],"Ne")+COUNTIF(Prisustvovanjeunovembru[4],"O")</totalsRowFormula>
    </tableColumn>
    <tableColumn id="6" name="5" totalsRowFunction="custom" dataDxfId="732" totalsRowDxfId="731">
      <totalsRowFormula>COUNTIF(Prisustvovanjeunovembru[5],"Ne")+COUNTIF(Prisustvovanjeunovembru[5],"O")</totalsRowFormula>
    </tableColumn>
    <tableColumn id="7" name="6" totalsRowFunction="custom" dataDxfId="730" totalsRowDxfId="729">
      <totalsRowFormula>COUNTIF(Prisustvovanjeunovembru[6],"Ne")+COUNTIF(Prisustvovanjeunovembru[6],"O")</totalsRowFormula>
    </tableColumn>
    <tableColumn id="8" name="7" totalsRowFunction="custom" dataDxfId="728" totalsRowDxfId="727">
      <totalsRowFormula>COUNTIF(Prisustvovanjeunovembru[7],"Ne")+COUNTIF(Prisustvovanjeunovembru[7],"O")</totalsRowFormula>
    </tableColumn>
    <tableColumn id="9" name="8" totalsRowFunction="custom" dataDxfId="726" totalsRowDxfId="725">
      <totalsRowFormula>COUNTIF(Prisustvovanjeunovembru[8],"Ne")+COUNTIF(Prisustvovanjeunovembru[8],"O")</totalsRowFormula>
    </tableColumn>
    <tableColumn id="10" name="9" totalsRowFunction="custom" dataDxfId="724" totalsRowDxfId="723">
      <totalsRowFormula>COUNTIF(Prisustvovanjeunovembru[9],"Ne")+COUNTIF(Prisustvovanjeunovembru[9],"O")</totalsRowFormula>
    </tableColumn>
    <tableColumn id="11" name="10" totalsRowFunction="custom" dataDxfId="722" totalsRowDxfId="721">
      <totalsRowFormula>COUNTIF(Prisustvovanjeunovembru[10],"Ne")+COUNTIF(Prisustvovanjeunovembru[10],"O")</totalsRowFormula>
    </tableColumn>
    <tableColumn id="12" name="11" totalsRowFunction="custom" dataDxfId="720" totalsRowDxfId="719">
      <totalsRowFormula>COUNTIF(Prisustvovanjeunovembru[11],"Ne")+COUNTIF(Prisustvovanjeunovembru[11],"O")</totalsRowFormula>
    </tableColumn>
    <tableColumn id="13" name="12" totalsRowFunction="custom" dataDxfId="718" totalsRowDxfId="717">
      <totalsRowFormula>COUNTIF(Prisustvovanjeunovembru[12],"Ne")+COUNTIF(Prisustvovanjeunovembru[12],"O")</totalsRowFormula>
    </tableColumn>
    <tableColumn id="14" name="13" totalsRowFunction="custom" dataDxfId="716" totalsRowDxfId="715">
      <totalsRowFormula>COUNTIF(Prisustvovanjeunovembru[13],"Ne")+COUNTIF(Prisustvovanjeunovembru[13],"O")</totalsRowFormula>
    </tableColumn>
    <tableColumn id="15" name="14" totalsRowFunction="custom" dataDxfId="714" totalsRowDxfId="713">
      <totalsRowFormula>COUNTIF(Prisustvovanjeunovembru[14],"Ne")+COUNTIF(Prisustvovanjeunovembru[14],"O")</totalsRowFormula>
    </tableColumn>
    <tableColumn id="16" name="15" totalsRowFunction="custom" dataDxfId="712" totalsRowDxfId="711">
      <totalsRowFormula>COUNTIF(Prisustvovanjeunovembru[15],"Ne")+COUNTIF(Prisustvovanjeunovembru[15],"O")</totalsRowFormula>
    </tableColumn>
    <tableColumn id="17" name="16" totalsRowFunction="custom" dataDxfId="710" totalsRowDxfId="709">
      <totalsRowFormula>COUNTIF(Prisustvovanjeunovembru[16],"Ne")+COUNTIF(Prisustvovanjeunovembru[16],"O")</totalsRowFormula>
    </tableColumn>
    <tableColumn id="18" name="17" totalsRowFunction="custom" dataDxfId="708" totalsRowDxfId="707">
      <totalsRowFormula>COUNTIF(Prisustvovanjeunovembru[17],"Ne")+COUNTIF(Prisustvovanjeunovembru[17],"O")</totalsRowFormula>
    </tableColumn>
    <tableColumn id="19" name="18" totalsRowFunction="custom" dataDxfId="706" totalsRowDxfId="705">
      <totalsRowFormula>COUNTIF(Prisustvovanjeunovembru[18],"Ne")+COUNTIF(Prisustvovanjeunovembru[18],"O")</totalsRowFormula>
    </tableColumn>
    <tableColumn id="20" name="19" totalsRowFunction="custom" dataDxfId="704" totalsRowDxfId="703">
      <totalsRowFormula>COUNTIF(Prisustvovanjeunovembru[19],"Ne")+COUNTIF(Prisustvovanjeunovembru[19],"O")</totalsRowFormula>
    </tableColumn>
    <tableColumn id="21" name="20" totalsRowFunction="custom" dataDxfId="702" totalsRowDxfId="701">
      <totalsRowFormula>COUNTIF(Prisustvovanjeunovembru[20],"Ne")+COUNTIF(Prisustvovanjeunovembru[20],"O")</totalsRowFormula>
    </tableColumn>
    <tableColumn id="22" name="21" totalsRowFunction="custom" dataDxfId="700" totalsRowDxfId="699">
      <totalsRowFormula>COUNTIF(Prisustvovanjeunovembru[21],"Ne")+COUNTIF(Prisustvovanjeunovembru[21],"O")</totalsRowFormula>
    </tableColumn>
    <tableColumn id="23" name="22" totalsRowFunction="custom" dataDxfId="698" totalsRowDxfId="697">
      <totalsRowFormula>COUNTIF(Prisustvovanjeunovembru[22],"Ne")+COUNTIF(Prisustvovanjeunovembru[22],"O")</totalsRowFormula>
    </tableColumn>
    <tableColumn id="24" name="23" totalsRowFunction="custom" dataDxfId="696" totalsRowDxfId="695">
      <totalsRowFormula>COUNTIF(Prisustvovanjeunovembru[23],"Ne")+COUNTIF(Prisustvovanjeunovembru[23],"O")</totalsRowFormula>
    </tableColumn>
    <tableColumn id="25" name="24" totalsRowFunction="custom" dataDxfId="694" totalsRowDxfId="693">
      <totalsRowFormula>COUNTIF(Prisustvovanjeunovembru[24],"Ne")+COUNTIF(Prisustvovanjeunovembru[24],"O")</totalsRowFormula>
    </tableColumn>
    <tableColumn id="26" name="25" totalsRowFunction="custom" dataDxfId="692" totalsRowDxfId="691">
      <totalsRowFormula>COUNTIF(Prisustvovanjeunovembru[25],"Ne")+COUNTIF(Prisustvovanjeunovembru[25],"O")</totalsRowFormula>
    </tableColumn>
    <tableColumn id="27" name="26" totalsRowFunction="custom" dataDxfId="690" totalsRowDxfId="689">
      <totalsRowFormula>COUNTIF(Prisustvovanjeunovembru[26],"Ne")+COUNTIF(Prisustvovanjeunovembru[26],"O")</totalsRowFormula>
    </tableColumn>
    <tableColumn id="28" name="27" totalsRowFunction="custom" dataDxfId="688" totalsRowDxfId="687">
      <totalsRowFormula>COUNTIF(Prisustvovanjeunovembru[27],"Ne")+COUNTIF(Prisustvovanjeunovembru[27],"O")</totalsRowFormula>
    </tableColumn>
    <tableColumn id="29" name="28" totalsRowFunction="custom" dataDxfId="686" totalsRowDxfId="685">
      <totalsRowFormula>COUNTIF(Prisustvovanjeunovembru[28],"Ne")+COUNTIF(Prisustvovanjeunovembru[28],"O")</totalsRowFormula>
    </tableColumn>
    <tableColumn id="30" name="29" totalsRowFunction="custom" dataDxfId="684" totalsRowDxfId="683">
      <totalsRowFormula>COUNTIF(Prisustvovanjeunovembru[29],"Ne")+COUNTIF(Prisustvovanjeunovembru[29],"O")</totalsRowFormula>
    </tableColumn>
    <tableColumn id="31" name="30" totalsRowFunction="custom" totalsRowDxfId="682">
      <totalsRowFormula>COUNTIF(Prisustvovanjeunovembru[30],"Ne")+COUNTIF(Prisustvovanjeunovembru[30],"O")</totalsRowFormula>
    </tableColumn>
    <tableColumn id="32" name=" " totalsRowFunction="custom" totalsRowDxfId="681">
      <totalsRowFormula>COUNTIF(Prisustvovanjeunovembru[[ ]],"Ne")+COUNTIF(Prisustvovanjeunovembru[[ ]],"O")</totalsRowFormula>
    </tableColumn>
    <tableColumn id="35" name="Z" totalsRowFunction="sum" dataDxfId="680" totalsRowDxfId="679">
      <calculatedColumnFormula>COUNTIF(Prisustvovanjeunovembru[[#This Row],[1]:[ ]],Šifra1)</calculatedColumnFormula>
    </tableColumn>
    <tableColumn id="34" name="O" totalsRowFunction="sum" dataDxfId="678" totalsRowDxfId="677">
      <calculatedColumnFormula>COUNTIF(Prisustvovanjeunovembru[[#This Row],[1]:[ ]],Šifra2)</calculatedColumnFormula>
    </tableColumn>
    <tableColumn id="37" name="Ne" totalsRowFunction="sum" dataDxfId="676" totalsRowDxfId="675">
      <calculatedColumnFormula>COUNTIF(Prisustvovanjeunovembru[[#This Row],[1]:[ ]],Šifra3)</calculatedColumnFormula>
    </tableColumn>
    <tableColumn id="36" name="P" totalsRowFunction="sum" dataDxfId="674" totalsRowDxfId="673">
      <calculatedColumnFormula>COUNTIF(Prisustvovanjeunovembru[[#This Row],[1]:[ ]],Šifra4)</calculatedColumnFormula>
    </tableColumn>
    <tableColumn id="33" name="Dani odsustvovanja" totalsRowFunction="sum" totalsRowDxfId="672">
      <calculatedColumnFormula>SUM(Prisustvovanjeuseptembru[[#This Row],[O]:[Ne]])</calculatedColumnFormula>
    </tableColumn>
  </tableColumns>
  <tableStyleInfo name="Employee Absence Table" showFirstColumn="0" showLastColumn="1" showRowStripes="1" showColumnStripes="1"/>
  <extLst>
    <ext xmlns:x14="http://schemas.microsoft.com/office/spreadsheetml/2009/9/main" uri="{504A1905-F514-4f6f-8877-14C23A59335A}">
      <x14:table altText="Evidencija prisustvovanja u avgustu" altTextSummary="Prati prisustvovanje učenika, na primer Z=Zakasnio, O=Opravdano, N=Neopravdano, P=Prisutan, N=Nema škole, za mesec novembar."/>
    </ext>
  </extLst>
</table>
</file>

<file path=xl/tables/table6.xml><?xml version="1.0" encoding="utf-8"?>
<table xmlns="http://schemas.openxmlformats.org/spreadsheetml/2006/main" id="6" name="Prisustvovanjeudecembru" displayName="Prisustvovanjeudecembru" ref="B6:AM12" totalsRowCount="1" totalsRowDxfId="661">
  <tableColumns count="38">
    <tableColumn id="38" name="ID učenika" totalsRowDxfId="660"/>
    <tableColumn id="1" name="Ime i prezime učenika" totalsRowLabel="Ukupno dana odsustvovanja" dataDxfId="659" totalsRowDxfId="658">
      <calculatedColumnFormula>IFERROR(VLOOKUP(Prisustvovanjeudecembru[[#This Row],[ID učenika]],Listaučenika[],18,FALSE),"")</calculatedColumnFormula>
    </tableColumn>
    <tableColumn id="2" name="1" totalsRowFunction="custom" dataDxfId="657" totalsRowDxfId="656">
      <totalsRowFormula>COUNTIF(Prisustvovanjeudecembru[1],"Ne")+COUNTIF(Prisustvovanjeudecembru[1],"O")</totalsRowFormula>
    </tableColumn>
    <tableColumn id="3" name="2" totalsRowFunction="custom" dataDxfId="655" totalsRowDxfId="654">
      <totalsRowFormula>COUNTIF(Prisustvovanjeudecembru[2],"Ne")+COUNTIF(Prisustvovanjeudecembru[2],"O")</totalsRowFormula>
    </tableColumn>
    <tableColumn id="4" name="3" totalsRowFunction="custom" dataDxfId="653" totalsRowDxfId="652">
      <totalsRowFormula>COUNTIF(Prisustvovanjeudecembru[3],"Ne")+COUNTIF(Prisustvovanjeudecembru[3],"O")</totalsRowFormula>
    </tableColumn>
    <tableColumn id="5" name="4" totalsRowFunction="custom" dataDxfId="651" totalsRowDxfId="650">
      <totalsRowFormula>COUNTIF(Prisustvovanjeudecembru[4],"Ne")+COUNTIF(Prisustvovanjeudecembru[4],"O")</totalsRowFormula>
    </tableColumn>
    <tableColumn id="6" name="5" totalsRowFunction="custom" dataDxfId="649" totalsRowDxfId="648">
      <totalsRowFormula>COUNTIF(Prisustvovanjeudecembru[5],"Ne")+COUNTIF(Prisustvovanjeudecembru[5],"O")</totalsRowFormula>
    </tableColumn>
    <tableColumn id="7" name="6" totalsRowFunction="custom" dataDxfId="647" totalsRowDxfId="646">
      <totalsRowFormula>COUNTIF(Prisustvovanjeudecembru[6],"Ne")+COUNTIF(Prisustvovanjeudecembru[6],"O")</totalsRowFormula>
    </tableColumn>
    <tableColumn id="8" name="7" totalsRowFunction="custom" dataDxfId="645" totalsRowDxfId="644">
      <totalsRowFormula>COUNTIF(Prisustvovanjeudecembru[7],"Ne")+COUNTIF(Prisustvovanjeudecembru[7],"O")</totalsRowFormula>
    </tableColumn>
    <tableColumn id="9" name="8" totalsRowFunction="custom" dataDxfId="643" totalsRowDxfId="642">
      <totalsRowFormula>COUNTIF(Prisustvovanjeudecembru[8],"Ne")+COUNTIF(Prisustvovanjeudecembru[8],"O")</totalsRowFormula>
    </tableColumn>
    <tableColumn id="10" name="9" totalsRowFunction="custom" dataDxfId="641" totalsRowDxfId="640">
      <totalsRowFormula>COUNTIF(Prisustvovanjeudecembru[9],"Ne")+COUNTIF(Prisustvovanjeudecembru[9],"O")</totalsRowFormula>
    </tableColumn>
    <tableColumn id="11" name="10" totalsRowFunction="custom" dataDxfId="639" totalsRowDxfId="638">
      <totalsRowFormula>COUNTIF(Prisustvovanjeudecembru[10],"Ne")+COUNTIF(Prisustvovanjeudecembru[10],"O")</totalsRowFormula>
    </tableColumn>
    <tableColumn id="12" name="11" totalsRowFunction="custom" dataDxfId="637" totalsRowDxfId="636">
      <totalsRowFormula>COUNTIF(Prisustvovanjeudecembru[11],"Ne")+COUNTIF(Prisustvovanjeudecembru[11],"O")</totalsRowFormula>
    </tableColumn>
    <tableColumn id="13" name="12" totalsRowFunction="custom" dataDxfId="635" totalsRowDxfId="634">
      <totalsRowFormula>COUNTIF(Prisustvovanjeudecembru[12],"Ne")+COUNTIF(Prisustvovanjeudecembru[12],"O")</totalsRowFormula>
    </tableColumn>
    <tableColumn id="14" name="13" totalsRowFunction="custom" dataDxfId="633" totalsRowDxfId="632">
      <totalsRowFormula>COUNTIF(Prisustvovanjeudecembru[13],"Ne")+COUNTIF(Prisustvovanjeudecembru[13],"O")</totalsRowFormula>
    </tableColumn>
    <tableColumn id="15" name="14" totalsRowFunction="custom" dataDxfId="631" totalsRowDxfId="630">
      <totalsRowFormula>COUNTIF(Prisustvovanjeudecembru[14],"Ne")+COUNTIF(Prisustvovanjeudecembru[14],"O")</totalsRowFormula>
    </tableColumn>
    <tableColumn id="16" name="15" totalsRowFunction="custom" dataDxfId="629" totalsRowDxfId="628">
      <totalsRowFormula>COUNTIF(Prisustvovanjeudecembru[15],"Ne")+COUNTIF(Prisustvovanjeudecembru[15],"O")</totalsRowFormula>
    </tableColumn>
    <tableColumn id="17" name="16" totalsRowFunction="custom" dataDxfId="627" totalsRowDxfId="626">
      <totalsRowFormula>COUNTIF(Prisustvovanjeudecembru[16],"Ne")+COUNTIF(Prisustvovanjeudecembru[16],"O")</totalsRowFormula>
    </tableColumn>
    <tableColumn id="18" name="17" totalsRowFunction="custom" dataDxfId="625" totalsRowDxfId="624">
      <totalsRowFormula>COUNTIF(Prisustvovanjeudecembru[17],"Ne")+COUNTIF(Prisustvovanjeudecembru[17],"O")</totalsRowFormula>
    </tableColumn>
    <tableColumn id="19" name="18" totalsRowFunction="custom" dataDxfId="623" totalsRowDxfId="622">
      <totalsRowFormula>COUNTIF(Prisustvovanjeudecembru[18],"Ne")+COUNTIF(Prisustvovanjeudecembru[18],"O")</totalsRowFormula>
    </tableColumn>
    <tableColumn id="20" name="19" totalsRowFunction="custom" dataDxfId="621" totalsRowDxfId="620">
      <totalsRowFormula>COUNTIF(Prisustvovanjeudecembru[19],"Ne")+COUNTIF(Prisustvovanjeudecembru[19],"O")</totalsRowFormula>
    </tableColumn>
    <tableColumn id="21" name="20" totalsRowFunction="custom" dataDxfId="619" totalsRowDxfId="618">
      <totalsRowFormula>COUNTIF(Prisustvovanjeudecembru[20],"Ne")+COUNTIF(Prisustvovanjeudecembru[20],"O")</totalsRowFormula>
    </tableColumn>
    <tableColumn id="22" name="21" totalsRowFunction="custom" dataDxfId="617" totalsRowDxfId="616">
      <totalsRowFormula>COUNTIF(Prisustvovanjeudecembru[21],"Ne")+COUNTIF(Prisustvovanjeudecembru[21],"O")</totalsRowFormula>
    </tableColumn>
    <tableColumn id="23" name="22" totalsRowFunction="custom" dataDxfId="615" totalsRowDxfId="614">
      <totalsRowFormula>COUNTIF(Prisustvovanjeudecembru[22],"Ne")+COUNTIF(Prisustvovanjeudecembru[22],"O")</totalsRowFormula>
    </tableColumn>
    <tableColumn id="24" name="23" totalsRowFunction="custom" dataDxfId="613" totalsRowDxfId="612">
      <totalsRowFormula>COUNTIF(Prisustvovanjeudecembru[23],"Ne")+COUNTIF(Prisustvovanjeudecembru[23],"O")</totalsRowFormula>
    </tableColumn>
    <tableColumn id="25" name="24" totalsRowFunction="custom" dataDxfId="611" totalsRowDxfId="610">
      <totalsRowFormula>COUNTIF(Prisustvovanjeudecembru[24],"Ne")+COUNTIF(Prisustvovanjeudecembru[24],"O")</totalsRowFormula>
    </tableColumn>
    <tableColumn id="26" name="25" totalsRowFunction="custom" dataDxfId="609" totalsRowDxfId="608">
      <totalsRowFormula>COUNTIF(Prisustvovanjeudecembru[25],"Ne")+COUNTIF(Prisustvovanjeudecembru[25],"O")</totalsRowFormula>
    </tableColumn>
    <tableColumn id="27" name="26" totalsRowFunction="custom" dataDxfId="607" totalsRowDxfId="606">
      <totalsRowFormula>COUNTIF(Prisustvovanjeudecembru[26],"Ne")+COUNTIF(Prisustvovanjeudecembru[26],"O")</totalsRowFormula>
    </tableColumn>
    <tableColumn id="28" name="27" totalsRowFunction="custom" dataDxfId="605" totalsRowDxfId="604">
      <totalsRowFormula>COUNTIF(Prisustvovanjeudecembru[27],"Ne")+COUNTIF(Prisustvovanjeudecembru[27],"O")</totalsRowFormula>
    </tableColumn>
    <tableColumn id="29" name="28" totalsRowFunction="custom" dataDxfId="603" totalsRowDxfId="602">
      <totalsRowFormula>COUNTIF(Prisustvovanjeudecembru[28],"Ne")+COUNTIF(Prisustvovanjeudecembru[28],"O")</totalsRowFormula>
    </tableColumn>
    <tableColumn id="30" name="29" totalsRowFunction="custom" dataDxfId="601" totalsRowDxfId="600">
      <totalsRowFormula>COUNTIF(Prisustvovanjeudecembru[29],"Ne")+COUNTIF(Prisustvovanjeudecembru[29],"O")</totalsRowFormula>
    </tableColumn>
    <tableColumn id="31" name="30" totalsRowFunction="custom" totalsRowDxfId="599">
      <totalsRowFormula>COUNTIF(Prisustvovanjeudecembru[30],"Ne")+COUNTIF(Prisustvovanjeudecembru[30],"O")</totalsRowFormula>
    </tableColumn>
    <tableColumn id="32" name="31" totalsRowFunction="custom" totalsRowDxfId="598">
      <totalsRowFormula>COUNTIF(Prisustvovanjeudecembru[31],"Ne")+COUNTIF(Prisustvovanjeudecembru[31],"O")</totalsRowFormula>
    </tableColumn>
    <tableColumn id="35" name="Z" totalsRowFunction="sum" dataDxfId="597" totalsRowDxfId="596">
      <calculatedColumnFormula>COUNTIF(Prisustvovanjeudecembru[[#This Row],[1]:[31]],Šifra1)</calculatedColumnFormula>
    </tableColumn>
    <tableColumn id="34" name="O" totalsRowFunction="sum" dataDxfId="595" totalsRowDxfId="594">
      <calculatedColumnFormula>COUNTIF(Prisustvovanjeudecembru[[#This Row],[1]:[31]],Šifra2)</calculatedColumnFormula>
    </tableColumn>
    <tableColumn id="37" name="Ne" totalsRowFunction="sum" dataDxfId="593" totalsRowDxfId="592">
      <calculatedColumnFormula>COUNTIF(Prisustvovanjeudecembru[[#This Row],[1]:[31]],Šifra3)</calculatedColumnFormula>
    </tableColumn>
    <tableColumn id="36" name="P" totalsRowFunction="sum" dataDxfId="591" totalsRowDxfId="590">
      <calculatedColumnFormula>COUNTIF(Prisustvovanjeudecembru[[#This Row],[1]:[31]],Šifra4)</calculatedColumnFormula>
    </tableColumn>
    <tableColumn id="33" name="Dani odsustvovanja" totalsRowFunction="sum" totalsRowDxfId="589">
      <calculatedColumnFormula>SUM(Prisustvovanjeuseptembru[[#This Row],[O]:[Ne]])</calculatedColumnFormula>
    </tableColumn>
  </tableColumns>
  <tableStyleInfo name="Employee Absence Table" showFirstColumn="0" showLastColumn="1" showRowStripes="1" showColumnStripes="1"/>
  <extLst>
    <ext xmlns:x14="http://schemas.microsoft.com/office/spreadsheetml/2009/9/main" uri="{504A1905-F514-4f6f-8877-14C23A59335A}">
      <x14:table altText="Evidencija prisustvovanja u avgustu" altTextSummary="Prati prisustvovanje učenika, na primer Z=Zakasnio, O=Opravdano, N=Neopravdano, P=Prisutan, N=Nema škole, za mesec decembar."/>
    </ext>
  </extLst>
</table>
</file>

<file path=xl/tables/table7.xml><?xml version="1.0" encoding="utf-8"?>
<table xmlns="http://schemas.openxmlformats.org/spreadsheetml/2006/main" id="7" name="Prisustvovanjeujanuaru" displayName="Prisustvovanjeujanuaru" ref="B6:AM12" totalsRowCount="1" headerRowDxfId="583" totalsRowDxfId="582">
  <tableColumns count="38">
    <tableColumn id="38" name="ID učenika" dataDxfId="581" totalsRowDxfId="580"/>
    <tableColumn id="1" name="Ime i prezime učenika" totalsRowLabel="Ukupno dana odsustvovanja" dataDxfId="579" totalsRowDxfId="578">
      <calculatedColumnFormula>IFERROR(VLOOKUP(Prisustvovanjeujanuaru[[#This Row],[ID učenika]],Listaučenika[],18,FALSE),"")</calculatedColumnFormula>
    </tableColumn>
    <tableColumn id="2" name="1" totalsRowFunction="custom" dataDxfId="577" totalsRowDxfId="576">
      <totalsRowFormula>COUNTIF(Prisustvovanjeujanuaru[1],"Ne")+COUNTIF(Prisustvovanjeujanuaru[1],"O")</totalsRowFormula>
    </tableColumn>
    <tableColumn id="3" name="2" totalsRowFunction="custom" dataDxfId="575" totalsRowDxfId="574">
      <totalsRowFormula>COUNTIF(Prisustvovanjeujanuaru[2],"Ne")+COUNTIF(Prisustvovanjeujanuaru[2],"O")</totalsRowFormula>
    </tableColumn>
    <tableColumn id="4" name="3" totalsRowFunction="custom" dataDxfId="573" totalsRowDxfId="572">
      <totalsRowFormula>COUNTIF(Prisustvovanjeujanuaru[3],"Ne")+COUNTIF(Prisustvovanjeujanuaru[3],"O")</totalsRowFormula>
    </tableColumn>
    <tableColumn id="5" name="4" totalsRowFunction="custom" dataDxfId="571" totalsRowDxfId="570">
      <totalsRowFormula>COUNTIF(Prisustvovanjeujanuaru[4],"Ne")+COUNTIF(Prisustvovanjeujanuaru[4],"O")</totalsRowFormula>
    </tableColumn>
    <tableColumn id="6" name="5" totalsRowFunction="custom" dataDxfId="569" totalsRowDxfId="568">
      <totalsRowFormula>COUNTIF(Prisustvovanjeujanuaru[5],"Ne")+COUNTIF(Prisustvovanjeujanuaru[5],"O")</totalsRowFormula>
    </tableColumn>
    <tableColumn id="7" name="6" totalsRowFunction="custom" dataDxfId="567" totalsRowDxfId="566">
      <totalsRowFormula>COUNTIF(Prisustvovanjeujanuaru[6],"Ne")+COUNTIF(Prisustvovanjeujanuaru[6],"O")</totalsRowFormula>
    </tableColumn>
    <tableColumn id="8" name="7" totalsRowFunction="custom" dataDxfId="565" totalsRowDxfId="564">
      <totalsRowFormula>COUNTIF(Prisustvovanjeujanuaru[7],"Ne")+COUNTIF(Prisustvovanjeujanuaru[7],"O")</totalsRowFormula>
    </tableColumn>
    <tableColumn id="9" name="8" totalsRowFunction="custom" dataDxfId="563" totalsRowDxfId="562">
      <totalsRowFormula>COUNTIF(Prisustvovanjeujanuaru[8],"Ne")+COUNTIF(Prisustvovanjeujanuaru[8],"O")</totalsRowFormula>
    </tableColumn>
    <tableColumn id="10" name="9" totalsRowFunction="custom" dataDxfId="561" totalsRowDxfId="560">
      <totalsRowFormula>COUNTIF(Prisustvovanjeujanuaru[9],"Ne")+COUNTIF(Prisustvovanjeujanuaru[9],"O")</totalsRowFormula>
    </tableColumn>
    <tableColumn id="11" name="10" totalsRowFunction="custom" dataDxfId="559" totalsRowDxfId="558">
      <totalsRowFormula>COUNTIF(Prisustvovanjeujanuaru[10],"Ne")+COUNTIF(Prisustvovanjeujanuaru[10],"O")</totalsRowFormula>
    </tableColumn>
    <tableColumn id="12" name="11" totalsRowFunction="custom" dataDxfId="557" totalsRowDxfId="556">
      <totalsRowFormula>COUNTIF(Prisustvovanjeujanuaru[11],"Ne")+COUNTIF(Prisustvovanjeujanuaru[11],"O")</totalsRowFormula>
    </tableColumn>
    <tableColumn id="13" name="12" totalsRowFunction="custom" dataDxfId="555" totalsRowDxfId="554">
      <totalsRowFormula>COUNTIF(Prisustvovanjeujanuaru[12],"Ne")+COUNTIF(Prisustvovanjeujanuaru[12],"O")</totalsRowFormula>
    </tableColumn>
    <tableColumn id="14" name="13" totalsRowFunction="custom" dataDxfId="553" totalsRowDxfId="552">
      <totalsRowFormula>COUNTIF(Prisustvovanjeujanuaru[13],"Ne")+COUNTIF(Prisustvovanjeujanuaru[13],"O")</totalsRowFormula>
    </tableColumn>
    <tableColumn id="15" name="14" totalsRowFunction="custom" dataDxfId="551" totalsRowDxfId="550">
      <totalsRowFormula>COUNTIF(Prisustvovanjeujanuaru[14],"Ne")+COUNTIF(Prisustvovanjeujanuaru[14],"O")</totalsRowFormula>
    </tableColumn>
    <tableColumn id="16" name="15" totalsRowFunction="custom" dataDxfId="549" totalsRowDxfId="548">
      <totalsRowFormula>COUNTIF(Prisustvovanjeujanuaru[15],"Ne")+COUNTIF(Prisustvovanjeujanuaru[15],"O")</totalsRowFormula>
    </tableColumn>
    <tableColumn id="17" name="16" totalsRowFunction="custom" dataDxfId="547" totalsRowDxfId="546">
      <totalsRowFormula>COUNTIF(Prisustvovanjeujanuaru[16],"Ne")+COUNTIF(Prisustvovanjeujanuaru[16],"O")</totalsRowFormula>
    </tableColumn>
    <tableColumn id="18" name="17" totalsRowFunction="custom" dataDxfId="545" totalsRowDxfId="544">
      <totalsRowFormula>COUNTIF(Prisustvovanjeujanuaru[17],"Ne")+COUNTIF(Prisustvovanjeujanuaru[17],"O")</totalsRowFormula>
    </tableColumn>
    <tableColumn id="19" name="18" totalsRowFunction="custom" dataDxfId="543" totalsRowDxfId="542">
      <totalsRowFormula>COUNTIF(Prisustvovanjeujanuaru[18],"Ne")+COUNTIF(Prisustvovanjeujanuaru[18],"O")</totalsRowFormula>
    </tableColumn>
    <tableColumn id="20" name="19" totalsRowFunction="custom" dataDxfId="541" totalsRowDxfId="540">
      <totalsRowFormula>COUNTIF(Prisustvovanjeujanuaru[19],"Ne")+COUNTIF(Prisustvovanjeujanuaru[19],"O")</totalsRowFormula>
    </tableColumn>
    <tableColumn id="21" name="20" totalsRowFunction="custom" dataDxfId="539" totalsRowDxfId="538">
      <totalsRowFormula>COUNTIF(Prisustvovanjeujanuaru[20],"Ne")+COUNTIF(Prisustvovanjeujanuaru[20],"O")</totalsRowFormula>
    </tableColumn>
    <tableColumn id="22" name="21" totalsRowFunction="custom" dataDxfId="537" totalsRowDxfId="536">
      <totalsRowFormula>COUNTIF(Prisustvovanjeujanuaru[21],"Ne")+COUNTIF(Prisustvovanjeujanuaru[21],"O")</totalsRowFormula>
    </tableColumn>
    <tableColumn id="23" name="22" totalsRowFunction="custom" dataDxfId="535" totalsRowDxfId="534">
      <totalsRowFormula>COUNTIF(Prisustvovanjeujanuaru[22],"Ne")+COUNTIF(Prisustvovanjeujanuaru[22],"O")</totalsRowFormula>
    </tableColumn>
    <tableColumn id="24" name="23" totalsRowFunction="custom" dataDxfId="533" totalsRowDxfId="532">
      <totalsRowFormula>COUNTIF(Prisustvovanjeujanuaru[23],"Ne")+COUNTIF(Prisustvovanjeujanuaru[23],"O")</totalsRowFormula>
    </tableColumn>
    <tableColumn id="25" name="24" totalsRowFunction="custom" dataDxfId="531" totalsRowDxfId="530">
      <totalsRowFormula>COUNTIF(Prisustvovanjeujanuaru[24],"Ne")+COUNTIF(Prisustvovanjeujanuaru[24],"O")</totalsRowFormula>
    </tableColumn>
    <tableColumn id="26" name="25" totalsRowFunction="custom" dataDxfId="529" totalsRowDxfId="528">
      <totalsRowFormula>COUNTIF(Prisustvovanjeujanuaru[25],"Ne")+COUNTIF(Prisustvovanjeujanuaru[25],"O")</totalsRowFormula>
    </tableColumn>
    <tableColumn id="27" name="26" totalsRowFunction="custom" dataDxfId="527" totalsRowDxfId="526">
      <totalsRowFormula>COUNTIF(Prisustvovanjeujanuaru[26],"Ne")+COUNTIF(Prisustvovanjeujanuaru[26],"O")</totalsRowFormula>
    </tableColumn>
    <tableColumn id="28" name="27" totalsRowFunction="custom" dataDxfId="525" totalsRowDxfId="524">
      <totalsRowFormula>COUNTIF(Prisustvovanjeujanuaru[27],"Ne")+COUNTIF(Prisustvovanjeujanuaru[27],"O")</totalsRowFormula>
    </tableColumn>
    <tableColumn id="29" name="28" totalsRowFunction="custom" dataDxfId="523" totalsRowDxfId="522">
      <totalsRowFormula>COUNTIF(Prisustvovanjeujanuaru[28],"Ne")+COUNTIF(Prisustvovanjeujanuaru[28],"O")</totalsRowFormula>
    </tableColumn>
    <tableColumn id="30" name="29" totalsRowFunction="custom" dataDxfId="521" totalsRowDxfId="520">
      <totalsRowFormula>COUNTIF(Prisustvovanjeujanuaru[29],"Ne")+COUNTIF(Prisustvovanjeujanuaru[29],"O")</totalsRowFormula>
    </tableColumn>
    <tableColumn id="31" name="30" totalsRowFunction="custom" dataDxfId="519" totalsRowDxfId="518">
      <totalsRowFormula>COUNTIF(Prisustvovanjeujanuaru[30],"Ne")+COUNTIF(Prisustvovanjeujanuaru[30],"O")</totalsRowFormula>
    </tableColumn>
    <tableColumn id="32" name="31" totalsRowFunction="custom" dataDxfId="517" totalsRowDxfId="516">
      <totalsRowFormula>COUNTIF(Prisustvovanjeujanuaru[31],"Ne")+COUNTIF(Prisustvovanjeujanuaru[31],"O")</totalsRowFormula>
    </tableColumn>
    <tableColumn id="35" name="Z" totalsRowFunction="sum" dataDxfId="515" totalsRowDxfId="514">
      <calculatedColumnFormula>COUNTIF(Prisustvovanjeujanuaru[[#This Row],[1]:[31]],Šifra1)</calculatedColumnFormula>
    </tableColumn>
    <tableColumn id="34" name="O" totalsRowFunction="sum" dataDxfId="513" totalsRowDxfId="512">
      <calculatedColumnFormula>COUNTIF(Prisustvovanjeujanuaru[[#This Row],[1]:[31]],Šifra2)</calculatedColumnFormula>
    </tableColumn>
    <tableColumn id="37" name="Ne" totalsRowFunction="sum" dataDxfId="511" totalsRowDxfId="510">
      <calculatedColumnFormula>COUNTIF(Prisustvovanjeujanuaru[[#This Row],[1]:[31]],Šifra3)</calculatedColumnFormula>
    </tableColumn>
    <tableColumn id="36" name="P" totalsRowFunction="sum" dataDxfId="509" totalsRowDxfId="508">
      <calculatedColumnFormula>COUNTIF(Prisustvovanjeujanuaru[[#This Row],[1]:[31]],Šifra4)</calculatedColumnFormula>
    </tableColumn>
    <tableColumn id="33" name="Dani odsustvovanja" totalsRowFunction="sum" dataDxfId="507" totalsRowDxfId="506">
      <calculatedColumnFormula>SUM(Prisustvovanjeuseptembru[[#This Row],[O]:[Ne]])</calculatedColumnFormula>
    </tableColumn>
  </tableColumns>
  <tableStyleInfo name="Employee Absence Table" showFirstColumn="0" showLastColumn="0" showRowStripes="1" showColumnStripes="1"/>
  <extLst>
    <ext xmlns:x14="http://schemas.microsoft.com/office/spreadsheetml/2009/9/main" uri="{504A1905-F514-4f6f-8877-14C23A59335A}">
      <x14:table altText="Evidencija prisustvovanja u februaru" altTextSummary="Prati prisustvovanje učenika, na primer Z=Zakasnio, O=Opravdano, N=Neopravdano, P=Prisutan, N=Nema škole, za mesec januar."/>
    </ext>
  </extLst>
</table>
</file>

<file path=xl/tables/table8.xml><?xml version="1.0" encoding="utf-8"?>
<table xmlns="http://schemas.openxmlformats.org/spreadsheetml/2006/main" id="5" name="Prisustvovanjeufebruaru" displayName="Prisustvovanjeufebruaru" ref="B6:AM12" totalsRowCount="1" headerRowDxfId="498" totalsRowDxfId="497">
  <tableColumns count="38">
    <tableColumn id="38" name="ID učenika" dataDxfId="496" totalsRowDxfId="495"/>
    <tableColumn id="1" name="Ime i prezime učenika" totalsRowLabel="Ukupno dana odsustvovanja" dataDxfId="494" totalsRowDxfId="493">
      <calculatedColumnFormula>IFERROR(VLOOKUP(Prisustvovanjeufebruaru[[#This Row],[ID učenika]],Listaučenika[],18,FALSE),"")</calculatedColumnFormula>
    </tableColumn>
    <tableColumn id="2" name="1" totalsRowFunction="custom" dataDxfId="492" totalsRowDxfId="491">
      <totalsRowFormula>COUNTIF(Prisustvovanjeufebruaru[1],"Ne")+COUNTIF(Prisustvovanjeufebruaru[1],"O")</totalsRowFormula>
    </tableColumn>
    <tableColumn id="3" name="2" totalsRowFunction="custom" dataDxfId="490" totalsRowDxfId="489">
      <totalsRowFormula>COUNTIF(Prisustvovanjeufebruaru[2],"Ne")+COUNTIF(Prisustvovanjeufebruaru[2],"O")</totalsRowFormula>
    </tableColumn>
    <tableColumn id="4" name="3" totalsRowFunction="custom" dataDxfId="488" totalsRowDxfId="487">
      <totalsRowFormula>COUNTIF(Prisustvovanjeufebruaru[3],"Ne")+COUNTIF(Prisustvovanjeufebruaru[3],"O")</totalsRowFormula>
    </tableColumn>
    <tableColumn id="5" name="4" totalsRowFunction="custom" dataDxfId="486" totalsRowDxfId="485">
      <totalsRowFormula>COUNTIF(Prisustvovanjeufebruaru[4],"Ne")+COUNTIF(Prisustvovanjeufebruaru[4],"O")</totalsRowFormula>
    </tableColumn>
    <tableColumn id="6" name="5" totalsRowFunction="custom" dataDxfId="484" totalsRowDxfId="483">
      <totalsRowFormula>COUNTIF(Prisustvovanjeufebruaru[5],"Ne")+COUNTIF(Prisustvovanjeufebruaru[5],"O")</totalsRowFormula>
    </tableColumn>
    <tableColumn id="7" name="6" totalsRowFunction="custom" dataDxfId="482" totalsRowDxfId="481">
      <totalsRowFormula>COUNTIF(Prisustvovanjeufebruaru[6],"Ne")+COUNTIF(Prisustvovanjeufebruaru[6],"O")</totalsRowFormula>
    </tableColumn>
    <tableColumn id="8" name="7" totalsRowFunction="custom" dataDxfId="480" totalsRowDxfId="479">
      <totalsRowFormula>COUNTIF(Prisustvovanjeufebruaru[7],"Ne")+COUNTIF(Prisustvovanjeufebruaru[7],"O")</totalsRowFormula>
    </tableColumn>
    <tableColumn id="9" name="8" totalsRowFunction="custom" dataDxfId="478" totalsRowDxfId="477">
      <totalsRowFormula>COUNTIF(Prisustvovanjeufebruaru[8],"Ne")+COUNTIF(Prisustvovanjeufebruaru[8],"O")</totalsRowFormula>
    </tableColumn>
    <tableColumn id="10" name="9" totalsRowFunction="custom" dataDxfId="476" totalsRowDxfId="475">
      <totalsRowFormula>COUNTIF(Prisustvovanjeufebruaru[9],"Ne")+COUNTIF(Prisustvovanjeufebruaru[9],"O")</totalsRowFormula>
    </tableColumn>
    <tableColumn id="11" name="10" totalsRowFunction="custom" dataDxfId="474" totalsRowDxfId="473">
      <totalsRowFormula>COUNTIF(Prisustvovanjeufebruaru[10],"Ne")+COUNTIF(Prisustvovanjeufebruaru[10],"O")</totalsRowFormula>
    </tableColumn>
    <tableColumn id="12" name="11" totalsRowFunction="custom" dataDxfId="472" totalsRowDxfId="471">
      <totalsRowFormula>COUNTIF(Prisustvovanjeufebruaru[11],"Ne")+COUNTIF(Prisustvovanjeufebruaru[11],"O")</totalsRowFormula>
    </tableColumn>
    <tableColumn id="13" name="12" totalsRowFunction="custom" dataDxfId="470" totalsRowDxfId="469">
      <totalsRowFormula>COUNTIF(Prisustvovanjeufebruaru[12],"Ne")+COUNTIF(Prisustvovanjeufebruaru[12],"O")</totalsRowFormula>
    </tableColumn>
    <tableColumn id="14" name="13" totalsRowFunction="custom" dataDxfId="468" totalsRowDxfId="467">
      <totalsRowFormula>COUNTIF(Prisustvovanjeufebruaru[13],"Ne")+COUNTIF(Prisustvovanjeufebruaru[13],"O")</totalsRowFormula>
    </tableColumn>
    <tableColumn id="15" name="14" totalsRowFunction="custom" dataDxfId="466" totalsRowDxfId="465">
      <totalsRowFormula>COUNTIF(Prisustvovanjeufebruaru[14],"Ne")+COUNTIF(Prisustvovanjeufebruaru[14],"O")</totalsRowFormula>
    </tableColumn>
    <tableColumn id="16" name="15" totalsRowFunction="custom" dataDxfId="464" totalsRowDxfId="463">
      <totalsRowFormula>COUNTIF(Prisustvovanjeufebruaru[15],"Ne")+COUNTIF(Prisustvovanjeufebruaru[15],"O")</totalsRowFormula>
    </tableColumn>
    <tableColumn id="17" name="16" totalsRowFunction="custom" dataDxfId="462" totalsRowDxfId="461">
      <totalsRowFormula>COUNTIF(Prisustvovanjeufebruaru[16],"Ne")+COUNTIF(Prisustvovanjeufebruaru[16],"O")</totalsRowFormula>
    </tableColumn>
    <tableColumn id="18" name="17" totalsRowFunction="custom" dataDxfId="460" totalsRowDxfId="459">
      <totalsRowFormula>COUNTIF(Prisustvovanjeufebruaru[17],"Ne")+COUNTIF(Prisustvovanjeufebruaru[17],"O")</totalsRowFormula>
    </tableColumn>
    <tableColumn id="19" name="18" totalsRowFunction="custom" dataDxfId="458" totalsRowDxfId="457">
      <totalsRowFormula>COUNTIF(Prisustvovanjeufebruaru[18],"Ne")+COUNTIF(Prisustvovanjeufebruaru[18],"O")</totalsRowFormula>
    </tableColumn>
    <tableColumn id="20" name="19" totalsRowFunction="custom" dataDxfId="456" totalsRowDxfId="455">
      <totalsRowFormula>COUNTIF(Prisustvovanjeufebruaru[19],"Ne")+COUNTIF(Prisustvovanjeufebruaru[19],"O")</totalsRowFormula>
    </tableColumn>
    <tableColumn id="21" name="20" totalsRowFunction="custom" dataDxfId="454" totalsRowDxfId="453">
      <totalsRowFormula>COUNTIF(Prisustvovanjeufebruaru[20],"Ne")+COUNTIF(Prisustvovanjeufebruaru[20],"O")</totalsRowFormula>
    </tableColumn>
    <tableColumn id="22" name="21" totalsRowFunction="custom" dataDxfId="452" totalsRowDxfId="451">
      <totalsRowFormula>COUNTIF(Prisustvovanjeufebruaru[21],"Ne")+COUNTIF(Prisustvovanjeufebruaru[21],"O")</totalsRowFormula>
    </tableColumn>
    <tableColumn id="23" name="22" totalsRowFunction="custom" dataDxfId="450" totalsRowDxfId="449">
      <totalsRowFormula>COUNTIF(Prisustvovanjeufebruaru[22],"Ne")+COUNTIF(Prisustvovanjeufebruaru[22],"O")</totalsRowFormula>
    </tableColumn>
    <tableColumn id="24" name="23" totalsRowFunction="custom" dataDxfId="448" totalsRowDxfId="447">
      <totalsRowFormula>COUNTIF(Prisustvovanjeufebruaru[23],"Ne")+COUNTIF(Prisustvovanjeufebruaru[23],"O")</totalsRowFormula>
    </tableColumn>
    <tableColumn id="25" name="24" totalsRowFunction="custom" dataDxfId="446" totalsRowDxfId="445">
      <totalsRowFormula>COUNTIF(Prisustvovanjeufebruaru[24],"Ne")+COUNTIF(Prisustvovanjeufebruaru[24],"O")</totalsRowFormula>
    </tableColumn>
    <tableColumn id="26" name="25" totalsRowFunction="custom" dataDxfId="444" totalsRowDxfId="443">
      <totalsRowFormula>COUNTIF(Prisustvovanjeufebruaru[25],"Ne")+COUNTIF(Prisustvovanjeufebruaru[25],"O")</totalsRowFormula>
    </tableColumn>
    <tableColumn id="27" name="26" totalsRowFunction="custom" dataDxfId="442" totalsRowDxfId="441">
      <totalsRowFormula>COUNTIF(Prisustvovanjeufebruaru[26],"Ne")+COUNTIF(Prisustvovanjeufebruaru[26],"O")</totalsRowFormula>
    </tableColumn>
    <tableColumn id="28" name="27" totalsRowFunction="custom" dataDxfId="440" totalsRowDxfId="439">
      <totalsRowFormula>COUNTIF(Prisustvovanjeufebruaru[27],"Ne")+COUNTIF(Prisustvovanjeufebruaru[27],"O")</totalsRowFormula>
    </tableColumn>
    <tableColumn id="29" name="28" totalsRowFunction="custom" dataDxfId="438" totalsRowDxfId="437">
      <totalsRowFormula>COUNTIF(Prisustvovanjeufebruaru[28],"Ne")+COUNTIF(Prisustvovanjeufebruaru[28],"O")</totalsRowFormula>
    </tableColumn>
    <tableColumn id="30" name="29" totalsRowFunction="custom" dataDxfId="436" totalsRowDxfId="435">
      <totalsRowFormula>COUNTIF(Prisustvovanjeufebruaru[29],"Ne")+COUNTIF(Prisustvovanjeufebruaru[29],"O")</totalsRowFormula>
    </tableColumn>
    <tableColumn id="31" name="30" totalsRowFunction="custom" dataDxfId="434" totalsRowDxfId="433">
      <totalsRowFormula>COUNTIF(Prisustvovanjeufebruaru[30],"Ne")+COUNTIF(Prisustvovanjeufebruaru[30],"O")</totalsRowFormula>
    </tableColumn>
    <tableColumn id="32" name="31" totalsRowFunction="custom" dataDxfId="432" totalsRowDxfId="431">
      <totalsRowFormula>COUNTIF(Prisustvovanjeufebruaru[31],"Ne")+COUNTIF(Prisustvovanjeufebruaru[31],"O")</totalsRowFormula>
    </tableColumn>
    <tableColumn id="35" name="Z" totalsRowFunction="sum" dataDxfId="430" totalsRowDxfId="429">
      <calculatedColumnFormula>COUNTIF(Prisustvovanjeufebruaru[[#This Row],[1]:[31]],Šifra1)</calculatedColumnFormula>
    </tableColumn>
    <tableColumn id="34" name="O" totalsRowFunction="sum" dataDxfId="428" totalsRowDxfId="427">
      <calculatedColumnFormula>COUNTIF(Prisustvovanjeufebruaru[[#This Row],[1]:[31]],Šifra2)</calculatedColumnFormula>
    </tableColumn>
    <tableColumn id="37" name="Ne" totalsRowFunction="sum" dataDxfId="426" totalsRowDxfId="425">
      <calculatedColumnFormula>COUNTIF(Prisustvovanjeufebruaru[[#This Row],[1]:[31]],Šifra3)</calculatedColumnFormula>
    </tableColumn>
    <tableColumn id="36" name="P" totalsRowFunction="sum" dataDxfId="424" totalsRowDxfId="423">
      <calculatedColumnFormula>COUNTIF(Prisustvovanjeufebruaru[[#This Row],[1]:[31]],Šifra4)</calculatedColumnFormula>
    </tableColumn>
    <tableColumn id="33" name="Dani odsustvovanja" totalsRowFunction="sum" dataDxfId="422" totalsRowDxfId="421">
      <calculatedColumnFormula>SUM(Prisustvovanjeuseptembru[[#This Row],[O]:[Ne]])</calculatedColumnFormula>
    </tableColumn>
  </tableColumns>
  <tableStyleInfo name="Employee Absence Table" showFirstColumn="0" showLastColumn="0" showRowStripes="1" showColumnStripes="1"/>
  <extLst>
    <ext xmlns:x14="http://schemas.microsoft.com/office/spreadsheetml/2009/9/main" uri="{504A1905-F514-4f6f-8877-14C23A59335A}">
      <x14:table altText="Evidencija prisustvovanja u februaru" altTextSummary="Prati prisustvovanje učenika, na primer Z=Zakasnio, O=Opravdano, N=Neopravdano, P=Prisutan, N=Nema škole, za mesec februar."/>
    </ext>
  </extLst>
</table>
</file>

<file path=xl/tables/table9.xml><?xml version="1.0" encoding="utf-8"?>
<table xmlns="http://schemas.openxmlformats.org/spreadsheetml/2006/main" id="8" name="Prisustvovanjeumartu" displayName="Prisustvovanjeumartu" ref="B6:AM12" totalsRowCount="1" headerRowDxfId="415" totalsRowDxfId="414">
  <tableColumns count="38">
    <tableColumn id="38" name="ID učenika" dataDxfId="413" totalsRowDxfId="412"/>
    <tableColumn id="1" name="Ime i prezime učenika" totalsRowLabel="Ukupno dana odsustvovanja" dataDxfId="411" totalsRowDxfId="410">
      <calculatedColumnFormula>IFERROR(VLOOKUP(Prisustvovanjeumartu[[#This Row],[ID učenika]],Listaučenika[],18,FALSE),"")</calculatedColumnFormula>
    </tableColumn>
    <tableColumn id="2" name="1" totalsRowFunction="custom" dataDxfId="409" totalsRowDxfId="408">
      <totalsRowFormula>COUNTIF(Prisustvovanjeumartu[1],"Ne")+COUNTIF(Prisustvovanjeumartu[1],"O")</totalsRowFormula>
    </tableColumn>
    <tableColumn id="3" name="2" totalsRowFunction="custom" dataDxfId="407" totalsRowDxfId="406">
      <totalsRowFormula>COUNTIF(Prisustvovanjeumartu[2],"Ne")+COUNTIF(Prisustvovanjeumartu[2],"O")</totalsRowFormula>
    </tableColumn>
    <tableColumn id="4" name="3" totalsRowFunction="custom" dataDxfId="405" totalsRowDxfId="404">
      <totalsRowFormula>COUNTIF(Prisustvovanjeumartu[3],"Ne")+COUNTIF(Prisustvovanjeumartu[3],"O")</totalsRowFormula>
    </tableColumn>
    <tableColumn id="5" name="4" totalsRowFunction="custom" dataDxfId="403" totalsRowDxfId="402">
      <totalsRowFormula>COUNTIF(Prisustvovanjeumartu[4],"Ne")+COUNTIF(Prisustvovanjeumartu[4],"O")</totalsRowFormula>
    </tableColumn>
    <tableColumn id="6" name="5" totalsRowFunction="custom" dataDxfId="401" totalsRowDxfId="400">
      <totalsRowFormula>COUNTIF(Prisustvovanjeumartu[5],"Ne")+COUNTIF(Prisustvovanjeumartu[5],"O")</totalsRowFormula>
    </tableColumn>
    <tableColumn id="7" name="6" totalsRowFunction="custom" dataDxfId="399" totalsRowDxfId="398">
      <totalsRowFormula>COUNTIF(Prisustvovanjeumartu[6],"Ne")+COUNTIF(Prisustvovanjeumartu[6],"O")</totalsRowFormula>
    </tableColumn>
    <tableColumn id="8" name="7" totalsRowFunction="custom" dataDxfId="397" totalsRowDxfId="396">
      <totalsRowFormula>COUNTIF(Prisustvovanjeumartu[7],"Ne")+COUNTIF(Prisustvovanjeumartu[7],"O")</totalsRowFormula>
    </tableColumn>
    <tableColumn id="9" name="8" totalsRowFunction="custom" dataDxfId="395" totalsRowDxfId="394">
      <totalsRowFormula>COUNTIF(Prisustvovanjeumartu[8],"Ne")+COUNTIF(Prisustvovanjeumartu[8],"O")</totalsRowFormula>
    </tableColumn>
    <tableColumn id="10" name="9" totalsRowFunction="custom" dataDxfId="393" totalsRowDxfId="392">
      <totalsRowFormula>COUNTIF(Prisustvovanjeumartu[9],"Ne")+COUNTIF(Prisustvovanjeumartu[9],"O")</totalsRowFormula>
    </tableColumn>
    <tableColumn id="11" name="10" totalsRowFunction="custom" dataDxfId="391" totalsRowDxfId="390">
      <totalsRowFormula>COUNTIF(Prisustvovanjeumartu[10],"Ne")+COUNTIF(Prisustvovanjeumartu[10],"O")</totalsRowFormula>
    </tableColumn>
    <tableColumn id="12" name="11" totalsRowFunction="custom" dataDxfId="389" totalsRowDxfId="388">
      <totalsRowFormula>COUNTIF(Prisustvovanjeumartu[11],"Ne")+COUNTIF(Prisustvovanjeumartu[11],"O")</totalsRowFormula>
    </tableColumn>
    <tableColumn id="13" name="12" totalsRowFunction="custom" dataDxfId="387" totalsRowDxfId="386">
      <totalsRowFormula>COUNTIF(Prisustvovanjeumartu[12],"Ne")+COUNTIF(Prisustvovanjeumartu[12],"O")</totalsRowFormula>
    </tableColumn>
    <tableColumn id="14" name="13" totalsRowFunction="custom" dataDxfId="385" totalsRowDxfId="384">
      <totalsRowFormula>COUNTIF(Prisustvovanjeumartu[13],"Ne")+COUNTIF(Prisustvovanjeumartu[13],"O")</totalsRowFormula>
    </tableColumn>
    <tableColumn id="15" name="14" totalsRowFunction="custom" dataDxfId="383" totalsRowDxfId="382">
      <totalsRowFormula>COUNTIF(Prisustvovanjeumartu[14],"Ne")+COUNTIF(Prisustvovanjeumartu[14],"O")</totalsRowFormula>
    </tableColumn>
    <tableColumn id="16" name="15" totalsRowFunction="custom" dataDxfId="381" totalsRowDxfId="380">
      <totalsRowFormula>COUNTIF(Prisustvovanjeumartu[15],"Ne")+COUNTIF(Prisustvovanjeumartu[15],"O")</totalsRowFormula>
    </tableColumn>
    <tableColumn id="17" name="16" totalsRowFunction="custom" dataDxfId="379" totalsRowDxfId="378">
      <totalsRowFormula>COUNTIF(Prisustvovanjeumartu[16],"Ne")+COUNTIF(Prisustvovanjeumartu[16],"O")</totalsRowFormula>
    </tableColumn>
    <tableColumn id="18" name="17" totalsRowFunction="custom" dataDxfId="377" totalsRowDxfId="376">
      <totalsRowFormula>COUNTIF(Prisustvovanjeumartu[17],"Ne")+COUNTIF(Prisustvovanjeumartu[17],"O")</totalsRowFormula>
    </tableColumn>
    <tableColumn id="19" name="18" totalsRowFunction="custom" dataDxfId="375" totalsRowDxfId="374">
      <totalsRowFormula>COUNTIF(Prisustvovanjeumartu[18],"Ne")+COUNTIF(Prisustvovanjeumartu[18],"O")</totalsRowFormula>
    </tableColumn>
    <tableColumn id="20" name="19" totalsRowFunction="custom" dataDxfId="373" totalsRowDxfId="372">
      <totalsRowFormula>COUNTIF(Prisustvovanjeumartu[19],"Ne")+COUNTIF(Prisustvovanjeumartu[19],"O")</totalsRowFormula>
    </tableColumn>
    <tableColumn id="21" name="20" totalsRowFunction="custom" dataDxfId="371" totalsRowDxfId="370">
      <totalsRowFormula>COUNTIF(Prisustvovanjeumartu[20],"Ne")+COUNTIF(Prisustvovanjeumartu[20],"O")</totalsRowFormula>
    </tableColumn>
    <tableColumn id="22" name="21" totalsRowFunction="custom" dataDxfId="369" totalsRowDxfId="368">
      <totalsRowFormula>COUNTIF(Prisustvovanjeumartu[21],"Ne")+COUNTIF(Prisustvovanjeumartu[21],"O")</totalsRowFormula>
    </tableColumn>
    <tableColumn id="23" name="22" totalsRowFunction="custom" dataDxfId="367" totalsRowDxfId="366">
      <totalsRowFormula>COUNTIF(Prisustvovanjeumartu[22],"Ne")+COUNTIF(Prisustvovanjeumartu[22],"O")</totalsRowFormula>
    </tableColumn>
    <tableColumn id="24" name="23" totalsRowFunction="custom" dataDxfId="365" totalsRowDxfId="364">
      <totalsRowFormula>COUNTIF(Prisustvovanjeumartu[23],"Ne")+COUNTIF(Prisustvovanjeumartu[23],"O")</totalsRowFormula>
    </tableColumn>
    <tableColumn id="25" name="24" totalsRowFunction="custom" dataDxfId="363" totalsRowDxfId="362">
      <totalsRowFormula>COUNTIF(Prisustvovanjeumartu[24],"Ne")+COUNTIF(Prisustvovanjeumartu[24],"O")</totalsRowFormula>
    </tableColumn>
    <tableColumn id="26" name="25" totalsRowFunction="custom" dataDxfId="361" totalsRowDxfId="360">
      <totalsRowFormula>COUNTIF(Prisustvovanjeumartu[25],"Ne")+COUNTIF(Prisustvovanjeumartu[25],"O")</totalsRowFormula>
    </tableColumn>
    <tableColumn id="27" name="26" totalsRowFunction="custom" dataDxfId="359" totalsRowDxfId="358">
      <totalsRowFormula>COUNTIF(Prisustvovanjeumartu[26],"Ne")+COUNTIF(Prisustvovanjeumartu[26],"O")</totalsRowFormula>
    </tableColumn>
    <tableColumn id="28" name="27" totalsRowFunction="custom" dataDxfId="357" totalsRowDxfId="356">
      <totalsRowFormula>COUNTIF(Prisustvovanjeumartu[27],"Ne")+COUNTIF(Prisustvovanjeumartu[27],"O")</totalsRowFormula>
    </tableColumn>
    <tableColumn id="29" name="28" totalsRowFunction="custom" dataDxfId="355" totalsRowDxfId="354">
      <totalsRowFormula>COUNTIF(Prisustvovanjeumartu[28],"Ne")+COUNTIF(Prisustvovanjeumartu[28],"O")</totalsRowFormula>
    </tableColumn>
    <tableColumn id="30" name="29" totalsRowFunction="custom" dataDxfId="353" totalsRowDxfId="352">
      <totalsRowFormula>COUNTIF(Prisustvovanjeumartu[29],"Ne")+COUNTIF(Prisustvovanjeumartu[29],"O")</totalsRowFormula>
    </tableColumn>
    <tableColumn id="31" name="30" totalsRowFunction="custom" dataDxfId="351" totalsRowDxfId="350">
      <totalsRowFormula>COUNTIF(Prisustvovanjeumartu[30],"Ne")+COUNTIF(Prisustvovanjeumartu[30],"O")</totalsRowFormula>
    </tableColumn>
    <tableColumn id="32" name="31" totalsRowFunction="custom" dataDxfId="349" totalsRowDxfId="348">
      <totalsRowFormula>COUNTIF(Prisustvovanjeumartu[31],"Ne")+COUNTIF(Prisustvovanjeumartu[31],"O")</totalsRowFormula>
    </tableColumn>
    <tableColumn id="35" name="Z" totalsRowFunction="sum" dataDxfId="347" totalsRowDxfId="346">
      <calculatedColumnFormula>COUNTIF(Prisustvovanjeumartu[[#This Row],[1]:[31]],Šifra1)</calculatedColumnFormula>
    </tableColumn>
    <tableColumn id="34" name="O" totalsRowFunction="sum" dataDxfId="345" totalsRowDxfId="344">
      <calculatedColumnFormula>COUNTIF(Prisustvovanjeumartu[[#This Row],[1]:[31]],Šifra2)</calculatedColumnFormula>
    </tableColumn>
    <tableColumn id="37" name="Ne" totalsRowFunction="sum" dataDxfId="343" totalsRowDxfId="342">
      <calculatedColumnFormula>COUNTIF(Prisustvovanjeumartu[[#This Row],[1]:[31]],Šifra3)</calculatedColumnFormula>
    </tableColumn>
    <tableColumn id="36" name="P" totalsRowFunction="sum" dataDxfId="341" totalsRowDxfId="340">
      <calculatedColumnFormula>COUNTIF(Prisustvovanjeumartu[[#This Row],[1]:[31]],Šifra4)</calculatedColumnFormula>
    </tableColumn>
    <tableColumn id="33" name="Dani odsustvovanja" totalsRowFunction="sum" dataDxfId="339" totalsRowDxfId="338">
      <calculatedColumnFormula>SUM(Prisustvovanjeuseptembru[[#This Row],[O]:[Ne]])</calculatedColumnFormula>
    </tableColumn>
  </tableColumns>
  <tableStyleInfo name="Employee Absence Table" showFirstColumn="0" showLastColumn="0" showRowStripes="1" showColumnStripes="1"/>
  <extLst>
    <ext xmlns:x14="http://schemas.microsoft.com/office/spreadsheetml/2009/9/main" uri="{504A1905-F514-4f6f-8877-14C23A59335A}">
      <x14:table altText="Evidencija prisustvovanja u februaru" altTextSummary="Prati prisustvovanje učenika, na primer Z=Zakasnio, O=Opravdano, N=Neopravdano, P=Prisutan, N=Nema škole, za mesec mart."/>
    </ext>
  </extLst>
</table>
</file>

<file path=xl/theme/theme1.xml><?xml version="1.0" encoding="utf-8"?>
<a:theme xmlns:a="http://schemas.openxmlformats.org/drawingml/2006/main" name="Office Theme">
  <a:themeElements>
    <a:clrScheme name="Student Attendance Record">
      <a:dk1>
        <a:sysClr val="windowText" lastClr="000000"/>
      </a:dk1>
      <a:lt1>
        <a:sysClr val="window" lastClr="FFFFFF"/>
      </a:lt1>
      <a:dk2>
        <a:srgbClr val="645050"/>
      </a:dk2>
      <a:lt2>
        <a:srgbClr val="FAF0DC"/>
      </a:lt2>
      <a:accent1>
        <a:srgbClr val="4BACC6"/>
      </a:accent1>
      <a:accent2>
        <a:srgbClr val="FFD264"/>
      </a:accent2>
      <a:accent3>
        <a:srgbClr val="FF9354"/>
      </a:accent3>
      <a:accent4>
        <a:srgbClr val="B4D23C"/>
      </a:accent4>
      <a:accent5>
        <a:srgbClr val="AE701E"/>
      </a:accent5>
      <a:accent6>
        <a:srgbClr val="003CC9"/>
      </a:accent6>
      <a:hlink>
        <a:srgbClr val="457CFF"/>
      </a:hlink>
      <a:folHlink>
        <a:srgbClr val="EDC796"/>
      </a:folHlink>
    </a:clrScheme>
    <a:fontScheme name="Student Attendance Record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microsoft.com/client/helppreview14.aspx?AssetId=HA010354866&amp;lcid=1033&amp;NS=EXCEL&amp;Version=14&amp;tl=2&amp;respos=0&amp;CTT=1&amp;queryid=d38d00d08c94494fb55f055eb667c2c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P32"/>
  <sheetViews>
    <sheetView showGridLines="0" showRowColHeaders="0" tabSelected="1" workbookViewId="0"/>
  </sheetViews>
  <sheetFormatPr defaultRowHeight="13.5" x14ac:dyDescent="0.25"/>
  <cols>
    <col min="1" max="3" width="3.28515625" customWidth="1"/>
    <col min="4" max="4" width="3.85546875" customWidth="1"/>
    <col min="14" max="14" width="2.42578125" customWidth="1"/>
  </cols>
  <sheetData>
    <row r="1" spans="1:16" ht="42" customHeight="1" x14ac:dyDescent="0.25">
      <c r="A1" s="83" t="s">
        <v>119</v>
      </c>
      <c r="B1" s="83"/>
      <c r="C1" s="83"/>
      <c r="D1" s="83"/>
      <c r="E1" s="39"/>
      <c r="F1" s="39"/>
      <c r="G1" s="39"/>
      <c r="H1" s="39"/>
      <c r="I1" s="39"/>
      <c r="J1" s="39"/>
      <c r="K1" s="39"/>
      <c r="L1" s="39"/>
      <c r="M1" s="39"/>
      <c r="N1" s="39"/>
      <c r="O1" s="91"/>
      <c r="P1" s="91"/>
    </row>
    <row r="2" spans="1:16" ht="6.75" customHeight="1" x14ac:dyDescent="0.25"/>
    <row r="3" spans="1:16" ht="17.25" x14ac:dyDescent="0.3">
      <c r="B3" s="84" t="s">
        <v>104</v>
      </c>
      <c r="C3" s="84"/>
      <c r="D3" s="84"/>
      <c r="E3" s="84"/>
      <c r="F3" s="84"/>
    </row>
    <row r="4" spans="1:16" ht="28.5" customHeight="1" x14ac:dyDescent="0.25">
      <c r="C4" s="122" t="s">
        <v>108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6" ht="85.5" customHeight="1" x14ac:dyDescent="0.25">
      <c r="D5" s="90" t="s">
        <v>100</v>
      </c>
      <c r="E5" s="123" t="s">
        <v>124</v>
      </c>
      <c r="F5" s="123"/>
      <c r="G5" s="123"/>
      <c r="H5" s="123"/>
      <c r="I5" s="123"/>
      <c r="J5" s="123"/>
      <c r="K5" s="123"/>
      <c r="L5" s="123"/>
      <c r="M5" s="123"/>
      <c r="N5" s="85"/>
    </row>
    <row r="6" spans="1:16" ht="70.5" customHeight="1" x14ac:dyDescent="0.25">
      <c r="C6" s="85"/>
      <c r="D6" s="90" t="s">
        <v>101</v>
      </c>
      <c r="E6" s="123" t="s">
        <v>130</v>
      </c>
      <c r="F6" s="123"/>
      <c r="G6" s="123"/>
      <c r="H6" s="123"/>
      <c r="I6" s="123"/>
      <c r="J6" s="123"/>
      <c r="K6" s="123"/>
      <c r="L6" s="123"/>
      <c r="M6" s="123"/>
      <c r="N6" s="85"/>
    </row>
    <row r="7" spans="1:16" ht="84.75" customHeight="1" x14ac:dyDescent="0.25">
      <c r="C7" s="85"/>
      <c r="D7" s="90" t="s">
        <v>102</v>
      </c>
      <c r="E7" s="123" t="s">
        <v>131</v>
      </c>
      <c r="F7" s="123"/>
      <c r="G7" s="123"/>
      <c r="H7" s="123"/>
      <c r="I7" s="123"/>
      <c r="J7" s="123"/>
      <c r="K7" s="123"/>
      <c r="L7" s="123"/>
      <c r="M7" s="123"/>
      <c r="N7" s="85"/>
    </row>
    <row r="8" spans="1:16" ht="57" customHeight="1" x14ac:dyDescent="0.25">
      <c r="C8" s="85"/>
      <c r="D8" s="90"/>
      <c r="E8" s="124" t="s">
        <v>126</v>
      </c>
      <c r="F8" s="124"/>
      <c r="G8" s="124"/>
      <c r="H8" s="124"/>
      <c r="I8" s="124"/>
      <c r="J8" s="124"/>
      <c r="K8" s="124"/>
      <c r="L8" s="124"/>
      <c r="M8" s="124"/>
      <c r="N8" s="85"/>
    </row>
    <row r="9" spans="1:16" ht="16.5" customHeight="1" x14ac:dyDescent="0.25">
      <c r="E9" s="125" t="s">
        <v>120</v>
      </c>
      <c r="F9" s="125"/>
      <c r="G9" s="125"/>
      <c r="H9" s="125"/>
    </row>
    <row r="10" spans="1:16" ht="6.75" customHeight="1" x14ac:dyDescent="0.25"/>
    <row r="11" spans="1:16" ht="16.5" customHeight="1" x14ac:dyDescent="0.3">
      <c r="B11" s="84" t="s">
        <v>105</v>
      </c>
      <c r="C11" s="84"/>
      <c r="D11" s="84"/>
      <c r="E11" s="84"/>
      <c r="F11" s="84"/>
      <c r="G11" s="84"/>
      <c r="H11" s="84"/>
      <c r="I11" s="84"/>
    </row>
    <row r="12" spans="1:16" s="86" customFormat="1" ht="35.25" customHeight="1" x14ac:dyDescent="0.25">
      <c r="C12" s="122" t="s">
        <v>103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6" ht="47.25" customHeight="1" x14ac:dyDescent="0.25">
      <c r="D13" s="90" t="s">
        <v>100</v>
      </c>
      <c r="E13" s="123" t="s">
        <v>121</v>
      </c>
      <c r="F13" s="123"/>
      <c r="G13" s="123"/>
      <c r="H13" s="123"/>
      <c r="I13" s="123"/>
      <c r="J13" s="123"/>
      <c r="K13" s="123"/>
      <c r="L13" s="123"/>
      <c r="M13" s="123"/>
      <c r="N13" s="85"/>
      <c r="O13" s="85"/>
    </row>
    <row r="14" spans="1:16" ht="47.25" customHeight="1" x14ac:dyDescent="0.25">
      <c r="D14" s="90"/>
      <c r="E14" s="123" t="s">
        <v>125</v>
      </c>
      <c r="F14" s="123"/>
      <c r="G14" s="123"/>
      <c r="H14" s="123"/>
      <c r="I14" s="123"/>
      <c r="J14" s="123"/>
      <c r="K14" s="123"/>
      <c r="L14" s="123"/>
      <c r="M14" s="123"/>
      <c r="N14" s="95"/>
      <c r="O14" s="95"/>
    </row>
    <row r="15" spans="1:16" s="87" customFormat="1" ht="57.75" customHeight="1" x14ac:dyDescent="0.25">
      <c r="D15" s="90" t="s">
        <v>101</v>
      </c>
      <c r="E15" s="123" t="s">
        <v>113</v>
      </c>
      <c r="F15" s="123"/>
      <c r="G15" s="123"/>
      <c r="H15" s="123"/>
      <c r="I15" s="123"/>
      <c r="J15" s="123"/>
      <c r="K15" s="123"/>
      <c r="L15" s="123"/>
      <c r="M15" s="123"/>
      <c r="N15" s="88"/>
      <c r="O15" s="88"/>
    </row>
    <row r="16" spans="1:16" ht="6.75" customHeight="1" x14ac:dyDescent="0.25"/>
    <row r="17" spans="2:13" ht="17.25" x14ac:dyDescent="0.3">
      <c r="B17" s="84" t="s">
        <v>106</v>
      </c>
      <c r="C17" s="84"/>
      <c r="D17" s="84"/>
      <c r="E17" s="84"/>
      <c r="F17" s="84"/>
      <c r="G17" s="84"/>
      <c r="H17" s="84"/>
      <c r="I17" s="84"/>
      <c r="J17" s="84"/>
    </row>
    <row r="18" spans="2:13" ht="30.75" customHeight="1" x14ac:dyDescent="0.25">
      <c r="B18" s="86"/>
      <c r="C18" s="122" t="s">
        <v>114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</row>
    <row r="19" spans="2:13" ht="34.5" customHeight="1" x14ac:dyDescent="0.25">
      <c r="B19" s="86"/>
      <c r="C19" s="92"/>
      <c r="D19" s="87" t="s">
        <v>99</v>
      </c>
      <c r="E19" s="122" t="s">
        <v>110</v>
      </c>
      <c r="F19" s="122"/>
      <c r="G19" s="122"/>
      <c r="H19" s="122"/>
      <c r="I19" s="122"/>
      <c r="J19" s="122"/>
      <c r="K19" s="122"/>
      <c r="L19" s="122"/>
      <c r="M19" s="122"/>
    </row>
    <row r="20" spans="2:13" s="87" customFormat="1" ht="34.5" customHeight="1" x14ac:dyDescent="0.25">
      <c r="D20" s="87" t="s">
        <v>99</v>
      </c>
      <c r="E20" s="123" t="s">
        <v>111</v>
      </c>
      <c r="F20" s="123"/>
      <c r="G20" s="123"/>
      <c r="H20" s="123"/>
      <c r="I20" s="123"/>
      <c r="J20" s="123"/>
      <c r="K20" s="123"/>
      <c r="L20" s="123"/>
      <c r="M20" s="123"/>
    </row>
    <row r="21" spans="2:13" s="87" customFormat="1" ht="34.5" customHeight="1" x14ac:dyDescent="0.25">
      <c r="D21" s="87" t="s">
        <v>99</v>
      </c>
      <c r="E21" s="123" t="s">
        <v>122</v>
      </c>
      <c r="F21" s="123"/>
      <c r="G21" s="123"/>
      <c r="H21" s="123"/>
      <c r="I21" s="123"/>
      <c r="J21" s="123"/>
      <c r="K21" s="123"/>
      <c r="L21" s="123"/>
      <c r="M21" s="123"/>
    </row>
    <row r="22" spans="2:13" s="87" customFormat="1" ht="29.25" customHeight="1" x14ac:dyDescent="0.25">
      <c r="D22" s="87" t="s">
        <v>99</v>
      </c>
      <c r="E22" s="123" t="s">
        <v>112</v>
      </c>
      <c r="F22" s="123"/>
      <c r="G22" s="123"/>
      <c r="H22" s="123"/>
      <c r="I22" s="123"/>
      <c r="J22" s="123"/>
      <c r="K22" s="123"/>
      <c r="L22" s="123"/>
      <c r="M22" s="123"/>
    </row>
    <row r="23" spans="2:13" ht="6.75" customHeight="1" x14ac:dyDescent="0.25"/>
    <row r="24" spans="2:13" s="87" customFormat="1" ht="16.5" customHeight="1" x14ac:dyDescent="0.25">
      <c r="B24" s="93" t="s">
        <v>107</v>
      </c>
      <c r="C24" s="93"/>
      <c r="D24" s="93"/>
      <c r="E24" s="93"/>
      <c r="F24" s="93"/>
      <c r="G24" s="93"/>
      <c r="H24" s="93"/>
      <c r="I24" s="93"/>
      <c r="J24" s="93"/>
      <c r="K24" s="93"/>
    </row>
    <row r="25" spans="2:13" s="87" customFormat="1" ht="96" customHeight="1" x14ac:dyDescent="0.25">
      <c r="C25" s="122" t="s">
        <v>123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</row>
    <row r="26" spans="2:13" s="87" customFormat="1" ht="16.5" customHeight="1" x14ac:dyDescent="0.25"/>
    <row r="27" spans="2:13" s="87" customFormat="1" ht="16.5" customHeight="1" x14ac:dyDescent="0.25"/>
    <row r="28" spans="2:13" s="87" customFormat="1" ht="16.5" customHeight="1" x14ac:dyDescent="0.25"/>
    <row r="29" spans="2:13" s="87" customFormat="1" ht="16.5" customHeight="1" x14ac:dyDescent="0.25"/>
    <row r="30" spans="2:13" s="87" customFormat="1" ht="16.5" customHeight="1" x14ac:dyDescent="0.25"/>
    <row r="31" spans="2:13" s="87" customFormat="1" ht="16.5" customHeight="1" x14ac:dyDescent="0.25"/>
    <row r="32" spans="2:13" ht="16.5" customHeight="1" x14ac:dyDescent="0.25"/>
  </sheetData>
  <mergeCells count="16">
    <mergeCell ref="E22:M22"/>
    <mergeCell ref="C25:M25"/>
    <mergeCell ref="E13:M13"/>
    <mergeCell ref="E15:M15"/>
    <mergeCell ref="C18:M18"/>
    <mergeCell ref="E19:M19"/>
    <mergeCell ref="E20:M20"/>
    <mergeCell ref="E21:M21"/>
    <mergeCell ref="E14:M14"/>
    <mergeCell ref="C12:M12"/>
    <mergeCell ref="C4:M4"/>
    <mergeCell ref="E5:M5"/>
    <mergeCell ref="E6:M6"/>
    <mergeCell ref="E7:M7"/>
    <mergeCell ref="E8:M8"/>
    <mergeCell ref="E9:H9"/>
  </mergeCells>
  <hyperlinks>
    <hyperlink ref="E9:F9" r:id="rId1" location="_Toc261352312" display="Customize a document theme."/>
  </hyperlinks>
  <printOptions horizontalCentered="1"/>
  <pageMargins left="0.25" right="0.25" top="0.75" bottom="0.75" header="0.3" footer="0.3"/>
  <pageSetup paperSize="9" scale="82" orientation="portrait" r:id="rId2"/>
  <ignoredErrors>
    <ignoredError sqref="D15 D5:D7 D1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M264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customHeight="1" x14ac:dyDescent="0.25"/>
  <cols>
    <col min="1" max="1" width="2.7109375" style="11" customWidth="1"/>
    <col min="2" max="2" width="10.85546875" style="11" customWidth="1"/>
    <col min="3" max="3" width="28.85546875" style="12" customWidth="1"/>
    <col min="4" max="34" width="5" style="10" customWidth="1"/>
    <col min="35" max="35" width="4.7109375" style="9" customWidth="1"/>
    <col min="36" max="36" width="4.7109375" style="10" customWidth="1"/>
    <col min="37" max="38" width="4.7109375" style="11" customWidth="1"/>
    <col min="39" max="39" width="19.7109375" style="11" bestFit="1" customWidth="1"/>
    <col min="40" max="16384" width="9.140625" style="11"/>
  </cols>
  <sheetData>
    <row r="1" spans="1:39" s="1" customFormat="1" ht="42" customHeight="1" x14ac:dyDescent="0.25">
      <c r="A1" s="33" t="s">
        <v>86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6"/>
      <c r="AH1" s="34"/>
      <c r="AI1" s="34"/>
      <c r="AJ1" s="37"/>
      <c r="AK1" s="34"/>
      <c r="AL1" s="53" t="s">
        <v>69</v>
      </c>
      <c r="AM1" s="54">
        <f>Kalendarskagodina</f>
        <v>2012</v>
      </c>
    </row>
    <row r="2" spans="1:39" customFormat="1" ht="13.5" x14ac:dyDescent="0.25"/>
    <row r="3" spans="1:39" s="28" customFormat="1" ht="12.75" customHeight="1" x14ac:dyDescent="0.25">
      <c r="C3" s="40" t="str">
        <f>Teksthromakija</f>
        <v xml:space="preserve">HROMA KI </v>
      </c>
      <c r="D3" s="47" t="str">
        <f>Šifra1</f>
        <v>Z</v>
      </c>
      <c r="E3" s="64" t="str">
        <f>Tekstšifre1</f>
        <v>Zakasnio</v>
      </c>
      <c r="F3" s="55"/>
      <c r="H3" s="48" t="str">
        <f>Šifra2</f>
        <v>O</v>
      </c>
      <c r="I3" s="52" t="str">
        <f>Tekstšifre2</f>
        <v>Opravdan</v>
      </c>
      <c r="L3" s="49" t="str">
        <f>Šifra3</f>
        <v>Ne</v>
      </c>
      <c r="M3" s="52" t="str">
        <f>Tekstšifre3</f>
        <v>Neopravdan</v>
      </c>
      <c r="P3" s="50" t="str">
        <f>Šifra4</f>
        <v>P</v>
      </c>
      <c r="Q3" s="52" t="str">
        <f>Tekstšifre4</f>
        <v>Prisutan</v>
      </c>
      <c r="T3" s="51" t="str">
        <f>Šifra5</f>
        <v>N</v>
      </c>
      <c r="U3" s="52" t="str">
        <f>Tekstšifre5</f>
        <v>Nema škole</v>
      </c>
      <c r="W3"/>
      <c r="X3"/>
      <c r="Y3"/>
      <c r="AD3" s="27"/>
      <c r="AE3" s="27"/>
      <c r="AH3" s="29"/>
      <c r="AI3" s="30"/>
      <c r="AK3" s="31"/>
    </row>
    <row r="4" spans="1:39" customFormat="1" ht="16.5" customHeight="1" x14ac:dyDescent="0.25"/>
    <row r="5" spans="1:39" s="2" customFormat="1" ht="18" customHeight="1" x14ac:dyDescent="0.3">
      <c r="B5" s="57">
        <f>DATE(Kalendarskagodina+1,3,1)</f>
        <v>41334</v>
      </c>
      <c r="C5" s="56"/>
      <c r="D5" s="38" t="str">
        <f>TEXT(WEEKDAY(DATE(Kalendarskagodina+1,3,1),1),"aaa")</f>
        <v>pet</v>
      </c>
      <c r="E5" s="38" t="str">
        <f>TEXT(WEEKDAY(DATE(Kalendarskagodina+1,3,2),1),"aaa")</f>
        <v>sub</v>
      </c>
      <c r="F5" s="38" t="str">
        <f>TEXT(WEEKDAY(DATE(Kalendarskagodina+1,3,3),1),"aaa")</f>
        <v>ned</v>
      </c>
      <c r="G5" s="38" t="str">
        <f>TEXT(WEEKDAY(DATE(Kalendarskagodina+1,3,4),1),"aaa")</f>
        <v>pon</v>
      </c>
      <c r="H5" s="38" t="str">
        <f>TEXT(WEEKDAY(DATE(Kalendarskagodina+1,3,5),1),"aaa")</f>
        <v>uto</v>
      </c>
      <c r="I5" s="38" t="str">
        <f>TEXT(WEEKDAY(DATE(Kalendarskagodina+1,3,6),1),"aaa")</f>
        <v>sre</v>
      </c>
      <c r="J5" s="38" t="str">
        <f>TEXT(WEEKDAY(DATE(Kalendarskagodina+1,3,7),1),"aaa")</f>
        <v>čet</v>
      </c>
      <c r="K5" s="38" t="str">
        <f>TEXT(WEEKDAY(DATE(Kalendarskagodina+1,3,8),1),"aaa")</f>
        <v>pet</v>
      </c>
      <c r="L5" s="38" t="str">
        <f>TEXT(WEEKDAY(DATE(Kalendarskagodina+1,3,9),1),"aaa")</f>
        <v>sub</v>
      </c>
      <c r="M5" s="38" t="str">
        <f>TEXT(WEEKDAY(DATE(Kalendarskagodina+1,3,10),1),"aaa")</f>
        <v>ned</v>
      </c>
      <c r="N5" s="38" t="str">
        <f>TEXT(WEEKDAY(DATE(Kalendarskagodina+1,3,11),1),"aaa")</f>
        <v>pon</v>
      </c>
      <c r="O5" s="38" t="str">
        <f>TEXT(WEEKDAY(DATE(Kalendarskagodina+1,3,12),1),"aaa")</f>
        <v>uto</v>
      </c>
      <c r="P5" s="38" t="str">
        <f>TEXT(WEEKDAY(DATE(Kalendarskagodina+1,3,13),1),"aaa")</f>
        <v>sre</v>
      </c>
      <c r="Q5" s="38" t="str">
        <f>TEXT(WEEKDAY(DATE(Kalendarskagodina+1,3,14),1),"aaa")</f>
        <v>čet</v>
      </c>
      <c r="R5" s="38" t="str">
        <f>TEXT(WEEKDAY(DATE(Kalendarskagodina+1,3,15),1),"aaa")</f>
        <v>pet</v>
      </c>
      <c r="S5" s="38" t="str">
        <f>TEXT(WEEKDAY(DATE(Kalendarskagodina+1,3,16),1),"aaa")</f>
        <v>sub</v>
      </c>
      <c r="T5" s="38" t="str">
        <f>TEXT(WEEKDAY(DATE(Kalendarskagodina+1,3,17),1),"aaa")</f>
        <v>ned</v>
      </c>
      <c r="U5" s="38" t="str">
        <f>TEXT(WEEKDAY(DATE(Kalendarskagodina+1,3,18),1),"aaa")</f>
        <v>pon</v>
      </c>
      <c r="V5" s="38" t="str">
        <f>TEXT(WEEKDAY(DATE(Kalendarskagodina+1,3,19),1),"aaa")</f>
        <v>uto</v>
      </c>
      <c r="W5" s="38" t="str">
        <f>TEXT(WEEKDAY(DATE(Kalendarskagodina+1,3,20),1),"aaa")</f>
        <v>sre</v>
      </c>
      <c r="X5" s="38" t="str">
        <f>TEXT(WEEKDAY(DATE(Kalendarskagodina+1,3,21),1),"aaa")</f>
        <v>čet</v>
      </c>
      <c r="Y5" s="38" t="str">
        <f>TEXT(WEEKDAY(DATE(Kalendarskagodina+1,3,22),1),"aaa")</f>
        <v>pet</v>
      </c>
      <c r="Z5" s="38" t="str">
        <f>TEXT(WEEKDAY(DATE(Kalendarskagodina+1,3,23),1),"aaa")</f>
        <v>sub</v>
      </c>
      <c r="AA5" s="38" t="str">
        <f>TEXT(WEEKDAY(DATE(Kalendarskagodina+1,3,24),1),"aaa")</f>
        <v>ned</v>
      </c>
      <c r="AB5" s="38" t="str">
        <f>TEXT(WEEKDAY(DATE(Kalendarskagodina+1,3,25),1),"aaa")</f>
        <v>pon</v>
      </c>
      <c r="AC5" s="38" t="str">
        <f>TEXT(WEEKDAY(DATE(Kalendarskagodina+1,3,26),1),"aaa")</f>
        <v>uto</v>
      </c>
      <c r="AD5" s="38" t="str">
        <f>TEXT(WEEKDAY(DATE(Kalendarskagodina+1,3,27),1),"aaa")</f>
        <v>sre</v>
      </c>
      <c r="AE5" s="38" t="str">
        <f>TEXT(WEEKDAY(DATE(Kalendarskagodina+1,3,28),1),"aaa")</f>
        <v>čet</v>
      </c>
      <c r="AF5" s="38" t="str">
        <f>TEXT(WEEKDAY(DATE(Kalendarskagodina+1,3,29),1),"aaa")</f>
        <v>pet</v>
      </c>
      <c r="AG5" s="38" t="str">
        <f>TEXT(WEEKDAY(DATE(Kalendarskagodina+1,3,30),1),"aaa")</f>
        <v>sub</v>
      </c>
      <c r="AH5" s="38" t="str">
        <f>TEXT(WEEKDAY(DATE(Kalendarskagodina+1,3,31),1),"aaa")</f>
        <v>ned</v>
      </c>
      <c r="AI5" s="129" t="s">
        <v>38</v>
      </c>
      <c r="AJ5" s="129"/>
      <c r="AK5" s="129"/>
      <c r="AL5" s="129"/>
      <c r="AM5" s="129"/>
    </row>
    <row r="6" spans="1:39" ht="14.25" customHeight="1" x14ac:dyDescent="0.25">
      <c r="B6" s="24" t="s">
        <v>34</v>
      </c>
      <c r="C6" s="25" t="s">
        <v>36</v>
      </c>
      <c r="D6" s="26" t="s">
        <v>0</v>
      </c>
      <c r="E6" s="26" t="s">
        <v>1</v>
      </c>
      <c r="F6" s="26" t="s">
        <v>2</v>
      </c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26" t="s">
        <v>15</v>
      </c>
      <c r="T6" s="26" t="s">
        <v>16</v>
      </c>
      <c r="U6" s="26" t="s">
        <v>17</v>
      </c>
      <c r="V6" s="26" t="s">
        <v>18</v>
      </c>
      <c r="W6" s="26" t="s">
        <v>19</v>
      </c>
      <c r="X6" s="26" t="s">
        <v>20</v>
      </c>
      <c r="Y6" s="26" t="s">
        <v>21</v>
      </c>
      <c r="Z6" s="26" t="s">
        <v>22</v>
      </c>
      <c r="AA6" s="26" t="s">
        <v>23</v>
      </c>
      <c r="AB6" s="26" t="s">
        <v>24</v>
      </c>
      <c r="AC6" s="26" t="s">
        <v>25</v>
      </c>
      <c r="AD6" s="26" t="s">
        <v>26</v>
      </c>
      <c r="AE6" s="26" t="s">
        <v>27</v>
      </c>
      <c r="AF6" s="26" t="s">
        <v>28</v>
      </c>
      <c r="AG6" s="26" t="s">
        <v>29</v>
      </c>
      <c r="AH6" s="26" t="s">
        <v>30</v>
      </c>
      <c r="AI6" s="89" t="s">
        <v>127</v>
      </c>
      <c r="AJ6" s="65" t="s">
        <v>128</v>
      </c>
      <c r="AK6" s="66" t="s">
        <v>129</v>
      </c>
      <c r="AL6" s="67" t="s">
        <v>31</v>
      </c>
      <c r="AM6" t="s">
        <v>37</v>
      </c>
    </row>
    <row r="7" spans="1:39" ht="16.5" customHeight="1" x14ac:dyDescent="0.25">
      <c r="B7" s="23"/>
      <c r="C7" s="19" t="str">
        <f>IFERROR(VLOOKUP(Prisustvovanjeumartu[[#This Row],[ID učenika]],Listaučenika[],18,FALSE),"")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3"/>
      <c r="AH7" s="3"/>
      <c r="AI7" s="32">
        <f>COUNTIF(Prisustvovanjeumartu[[#This Row],[1]:[31]],Šifra1)</f>
        <v>0</v>
      </c>
      <c r="AJ7" s="32">
        <f>COUNTIF(Prisustvovanjeumartu[[#This Row],[1]:[31]],Šifra2)</f>
        <v>0</v>
      </c>
      <c r="AK7" s="32">
        <f>COUNTIF(Prisustvovanjeumartu[[#This Row],[1]:[31]],Šifra3)</f>
        <v>0</v>
      </c>
      <c r="AL7" s="32">
        <f>COUNTIF(Prisustvovanjeumartu[[#This Row],[1]:[31]],Šifra4)</f>
        <v>0</v>
      </c>
      <c r="AM7" s="6">
        <f>SUM(Prisustvovanjeuseptembru[[#This Row],[O]:[Ne]])</f>
        <v>0</v>
      </c>
    </row>
    <row r="8" spans="1:39" ht="16.5" customHeight="1" x14ac:dyDescent="0.25">
      <c r="B8" s="23"/>
      <c r="C8" s="19" t="str">
        <f>IFERROR(VLOOKUP(Prisustvovanjeumartu[[#This Row],[ID učenika]],Listaučenika[],18,FALSE),"")</f>
        <v/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3"/>
      <c r="AH8" s="3"/>
      <c r="AI8" s="32">
        <f>COUNTIF(Prisustvovanjeumartu[[#This Row],[1]:[31]],Šifra1)</f>
        <v>0</v>
      </c>
      <c r="AJ8" s="32">
        <f>COUNTIF(Prisustvovanjeumartu[[#This Row],[1]:[31]],Šifra2)</f>
        <v>0</v>
      </c>
      <c r="AK8" s="32">
        <f>COUNTIF(Prisustvovanjeumartu[[#This Row],[1]:[31]],Šifra3)</f>
        <v>0</v>
      </c>
      <c r="AL8" s="32">
        <f>COUNTIF(Prisustvovanjeumartu[[#This Row],[1]:[31]],Šifra4)</f>
        <v>0</v>
      </c>
      <c r="AM8" s="6">
        <f>SUM(Prisustvovanjeuseptembru[[#This Row],[O]:[Ne]])</f>
        <v>0</v>
      </c>
    </row>
    <row r="9" spans="1:39" ht="16.5" customHeight="1" x14ac:dyDescent="0.25">
      <c r="B9" s="23"/>
      <c r="C9" s="19" t="str">
        <f>IFERROR(VLOOKUP(Prisustvovanjeumartu[[#This Row],[ID učenika]],Listaučenika[],18,FALSE),"")</f>
        <v/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3"/>
      <c r="AH9" s="3"/>
      <c r="AI9" s="32">
        <f>COUNTIF(Prisustvovanjeumartu[[#This Row],[1]:[31]],Šifra1)</f>
        <v>0</v>
      </c>
      <c r="AJ9" s="32">
        <f>COUNTIF(Prisustvovanjeumartu[[#This Row],[1]:[31]],Šifra2)</f>
        <v>0</v>
      </c>
      <c r="AK9" s="32">
        <f>COUNTIF(Prisustvovanjeumartu[[#This Row],[1]:[31]],Šifra3)</f>
        <v>0</v>
      </c>
      <c r="AL9" s="32">
        <f>COUNTIF(Prisustvovanjeumartu[[#This Row],[1]:[31]],Šifra4)</f>
        <v>0</v>
      </c>
      <c r="AM9" s="6">
        <f>SUM(Prisustvovanjeuseptembru[[#This Row],[O]:[Ne]])</f>
        <v>0</v>
      </c>
    </row>
    <row r="10" spans="1:39" ht="16.5" customHeight="1" x14ac:dyDescent="0.25">
      <c r="B10" s="23"/>
      <c r="C10" s="19" t="str">
        <f>IFERROR(VLOOKUP(Prisustvovanjeumartu[[#This Row],[ID učenika]],Listaučenika[],18,FALSE),"")</f>
        <v/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3"/>
      <c r="AH10" s="3"/>
      <c r="AI10" s="32">
        <f>COUNTIF(Prisustvovanjeumartu[[#This Row],[1]:[31]],Šifra1)</f>
        <v>0</v>
      </c>
      <c r="AJ10" s="32">
        <f>COUNTIF(Prisustvovanjeumartu[[#This Row],[1]:[31]],Šifra2)</f>
        <v>0</v>
      </c>
      <c r="AK10" s="32">
        <f>COUNTIF(Prisustvovanjeumartu[[#This Row],[1]:[31]],Šifra3)</f>
        <v>0</v>
      </c>
      <c r="AL10" s="32">
        <f>COUNTIF(Prisustvovanjeumartu[[#This Row],[1]:[31]],Šifra4)</f>
        <v>0</v>
      </c>
      <c r="AM10" s="6">
        <f>SUM(Prisustvovanjeuseptembru[[#This Row],[O]:[Ne]])</f>
        <v>0</v>
      </c>
    </row>
    <row r="11" spans="1:39" ht="16.5" customHeight="1" x14ac:dyDescent="0.25">
      <c r="B11" s="23"/>
      <c r="C11" s="19" t="str">
        <f>IFERROR(VLOOKUP(Prisustvovanjeumartu[[#This Row],[ID učenika]],Listaučenika[],18,FALSE),"")</f>
        <v/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3"/>
      <c r="AH11" s="3"/>
      <c r="AI11" s="32">
        <f>COUNTIF(Prisustvovanjeumartu[[#This Row],[1]:[31]],Šifra1)</f>
        <v>0</v>
      </c>
      <c r="AJ11" s="32">
        <f>COUNTIF(Prisustvovanjeumartu[[#This Row],[1]:[31]],Šifra2)</f>
        <v>0</v>
      </c>
      <c r="AK11" s="32">
        <f>COUNTIF(Prisustvovanjeumartu[[#This Row],[1]:[31]],Šifra3)</f>
        <v>0</v>
      </c>
      <c r="AL11" s="32">
        <f>COUNTIF(Prisustvovanjeumartu[[#This Row],[1]:[31]],Šifra4)</f>
        <v>0</v>
      </c>
      <c r="AM11" s="6">
        <f>SUM(Prisustvovanjeuseptembru[[#This Row],[O]:[Ne]])</f>
        <v>0</v>
      </c>
    </row>
    <row r="12" spans="1:39" ht="16.5" customHeight="1" x14ac:dyDescent="0.25">
      <c r="B12" s="111"/>
      <c r="C12" s="112" t="s">
        <v>117</v>
      </c>
      <c r="D12" s="113">
        <f>COUNTIF(Prisustvovanjeumartu[1],"Ne")+COUNTIF(Prisustvovanjeumartu[1],"O")</f>
        <v>0</v>
      </c>
      <c r="E12" s="113">
        <f>COUNTIF(Prisustvovanjeumartu[2],"Ne")+COUNTIF(Prisustvovanjeumartu[2],"O")</f>
        <v>0</v>
      </c>
      <c r="F12" s="113">
        <f>COUNTIF(Prisustvovanjeumartu[3],"Ne")+COUNTIF(Prisustvovanjeumartu[3],"O")</f>
        <v>0</v>
      </c>
      <c r="G12" s="113">
        <f>COUNTIF(Prisustvovanjeumartu[4],"Ne")+COUNTIF(Prisustvovanjeumartu[4],"O")</f>
        <v>0</v>
      </c>
      <c r="H12" s="113">
        <f>COUNTIF(Prisustvovanjeumartu[5],"Ne")+COUNTIF(Prisustvovanjeumartu[5],"O")</f>
        <v>0</v>
      </c>
      <c r="I12" s="113">
        <f>COUNTIF(Prisustvovanjeumartu[6],"Ne")+COUNTIF(Prisustvovanjeumartu[6],"O")</f>
        <v>0</v>
      </c>
      <c r="J12" s="113">
        <f>COUNTIF(Prisustvovanjeumartu[7],"Ne")+COUNTIF(Prisustvovanjeumartu[7],"O")</f>
        <v>0</v>
      </c>
      <c r="K12" s="113">
        <f>COUNTIF(Prisustvovanjeumartu[8],"Ne")+COUNTIF(Prisustvovanjeumartu[8],"O")</f>
        <v>0</v>
      </c>
      <c r="L12" s="113">
        <f>COUNTIF(Prisustvovanjeumartu[9],"Ne")+COUNTIF(Prisustvovanjeumartu[9],"O")</f>
        <v>0</v>
      </c>
      <c r="M12" s="113">
        <f>COUNTIF(Prisustvovanjeumartu[10],"Ne")+COUNTIF(Prisustvovanjeumartu[10],"O")</f>
        <v>0</v>
      </c>
      <c r="N12" s="113">
        <f>COUNTIF(Prisustvovanjeumartu[11],"Ne")+COUNTIF(Prisustvovanjeumartu[11],"O")</f>
        <v>0</v>
      </c>
      <c r="O12" s="113">
        <f>COUNTIF(Prisustvovanjeumartu[12],"Ne")+COUNTIF(Prisustvovanjeumartu[12],"O")</f>
        <v>0</v>
      </c>
      <c r="P12" s="113">
        <f>COUNTIF(Prisustvovanjeumartu[13],"Ne")+COUNTIF(Prisustvovanjeumartu[13],"O")</f>
        <v>0</v>
      </c>
      <c r="Q12" s="113">
        <f>COUNTIF(Prisustvovanjeumartu[14],"Ne")+COUNTIF(Prisustvovanjeumartu[14],"O")</f>
        <v>0</v>
      </c>
      <c r="R12" s="113">
        <f>COUNTIF(Prisustvovanjeumartu[15],"Ne")+COUNTIF(Prisustvovanjeumartu[15],"O")</f>
        <v>0</v>
      </c>
      <c r="S12" s="113">
        <f>COUNTIF(Prisustvovanjeumartu[16],"Ne")+COUNTIF(Prisustvovanjeumartu[16],"O")</f>
        <v>0</v>
      </c>
      <c r="T12" s="113">
        <f>COUNTIF(Prisustvovanjeumartu[17],"Ne")+COUNTIF(Prisustvovanjeumartu[17],"O")</f>
        <v>0</v>
      </c>
      <c r="U12" s="113">
        <f>COUNTIF(Prisustvovanjeumartu[18],"Ne")+COUNTIF(Prisustvovanjeumartu[18],"O")</f>
        <v>0</v>
      </c>
      <c r="V12" s="113">
        <f>COUNTIF(Prisustvovanjeumartu[19],"Ne")+COUNTIF(Prisustvovanjeumartu[19],"O")</f>
        <v>0</v>
      </c>
      <c r="W12" s="113">
        <f>COUNTIF(Prisustvovanjeumartu[20],"Ne")+COUNTIF(Prisustvovanjeumartu[20],"O")</f>
        <v>0</v>
      </c>
      <c r="X12" s="113">
        <f>COUNTIF(Prisustvovanjeumartu[21],"Ne")+COUNTIF(Prisustvovanjeumartu[21],"O")</f>
        <v>0</v>
      </c>
      <c r="Y12" s="113">
        <f>COUNTIF(Prisustvovanjeumartu[22],"Ne")+COUNTIF(Prisustvovanjeumartu[22],"O")</f>
        <v>0</v>
      </c>
      <c r="Z12" s="113">
        <f>COUNTIF(Prisustvovanjeumartu[23],"Ne")+COUNTIF(Prisustvovanjeumartu[23],"O")</f>
        <v>0</v>
      </c>
      <c r="AA12" s="113">
        <f>COUNTIF(Prisustvovanjeumartu[24],"Ne")+COUNTIF(Prisustvovanjeumartu[24],"O")</f>
        <v>0</v>
      </c>
      <c r="AB12" s="113">
        <f>COUNTIF(Prisustvovanjeumartu[25],"Ne")+COUNTIF(Prisustvovanjeumartu[25],"O")</f>
        <v>0</v>
      </c>
      <c r="AC12" s="113">
        <f>COUNTIF(Prisustvovanjeumartu[26],"Ne")+COUNTIF(Prisustvovanjeumartu[26],"O")</f>
        <v>0</v>
      </c>
      <c r="AD12" s="113">
        <f>COUNTIF(Prisustvovanjeumartu[27],"Ne")+COUNTIF(Prisustvovanjeumartu[27],"O")</f>
        <v>0</v>
      </c>
      <c r="AE12" s="113">
        <f>COUNTIF(Prisustvovanjeumartu[28],"Ne")+COUNTIF(Prisustvovanjeumartu[28],"O")</f>
        <v>0</v>
      </c>
      <c r="AF12" s="113">
        <f>COUNTIF(Prisustvovanjeumartu[29],"Ne")+COUNTIF(Prisustvovanjeumartu[29],"O")</f>
        <v>0</v>
      </c>
      <c r="AG12" s="113">
        <f>COUNTIF(Prisustvovanjeumartu[30],"Ne")+COUNTIF(Prisustvovanjeumartu[30],"O")</f>
        <v>0</v>
      </c>
      <c r="AH12" s="113">
        <f>COUNTIF(Prisustvovanjeumartu[31],"Ne")+COUNTIF(Prisustvovanjeumartu[31],"O")</f>
        <v>0</v>
      </c>
      <c r="AI12" s="113">
        <f>SUBTOTAL(109,Prisustvovanjeumartu[Z])</f>
        <v>0</v>
      </c>
      <c r="AJ12" s="113">
        <f>SUBTOTAL(109,Prisustvovanjeumartu[O])</f>
        <v>0</v>
      </c>
      <c r="AK12" s="113">
        <f>SUBTOTAL(109,Prisustvovanjeumartu[Ne])</f>
        <v>0</v>
      </c>
      <c r="AL12" s="113">
        <f>SUBTOTAL(109,Prisustvovanjeumartu[P])</f>
        <v>0</v>
      </c>
      <c r="AM12" s="113">
        <f>SUBTOTAL(109,Prisustvovanjeumartu[Dani odsustvovanja])</f>
        <v>0</v>
      </c>
    </row>
    <row r="14" spans="1:39" ht="16.5" customHeight="1" x14ac:dyDescent="0.25"/>
    <row r="15" spans="1:39" ht="16.5" customHeight="1" x14ac:dyDescent="0.25"/>
    <row r="16" spans="1:3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I5:AM5"/>
  </mergeCells>
  <conditionalFormatting sqref="AM7:AM11">
    <cfRule type="dataBar" priority="1">
      <dataBar>
        <cfvo type="min"/>
        <cfvo type="num" val="DATEDIF(DATE(Kalendarskagodina,2,1),DATE(Kalendarskagodina,3,1),&quot;d&quot;)"/>
        <color theme="4"/>
      </dataBar>
      <extLst>
        <ext xmlns:x14="http://schemas.microsoft.com/office/spreadsheetml/2009/9/main" uri="{B025F937-C7B1-47D3-B67F-A62EFF666E3E}">
          <x14:id>{FE16E06C-E989-439D-8944-FBFC073CA68C}</x14:id>
        </ext>
      </extLst>
    </cfRule>
  </conditionalFormatting>
  <conditionalFormatting sqref="D7:AF11">
    <cfRule type="expression" dxfId="420" priority="2" stopIfTrue="1">
      <formula>D7=Šifra2</formula>
    </cfRule>
  </conditionalFormatting>
  <conditionalFormatting sqref="D7:AF11">
    <cfRule type="expression" dxfId="419" priority="3" stopIfTrue="1">
      <formula>D7=Šifra5</formula>
    </cfRule>
    <cfRule type="expression" dxfId="418" priority="4" stopIfTrue="1">
      <formula>D7=Šifra4</formula>
    </cfRule>
    <cfRule type="expression" dxfId="417" priority="5" stopIfTrue="1">
      <formula>D7=Šifra3</formula>
    </cfRule>
    <cfRule type="expression" dxfId="416" priority="6" stopIfTrue="1">
      <formula>D7=Šifra1</formula>
    </cfRule>
  </conditionalFormatting>
  <dataValidations count="1">
    <dataValidation type="list" errorStyle="warning" allowBlank="1" showInputMessage="1" showErrorMessage="1" errorTitle="Ups!" error="ID učenika koji ste uneli nije na listu „Lista učenika“. Možete kliknuti na „Da“ da biste koristili ono što ste uneli, ali taj ID učenika neće biti dostupan na listu „Izveštaj o prisustvovanju učenika“." sqref="B7:B11">
      <formula1>IDučenika</formula1>
    </dataValidation>
  </dataValidations>
  <printOptions horizontalCentered="1"/>
  <pageMargins left="0.5" right="0.5" top="0.75" bottom="0.75" header="0.3" footer="0.3"/>
  <pageSetup paperSize="9" scale="5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16E06C-E989-439D-8944-FBFC073CA68C}">
            <x14:dataBar minLength="0" maxLength="100" border="1" negativeBarBorderColorSameAsPositive="0">
              <x14:cfvo type="autoMin"/>
              <x14:cfvo type="num">
                <xm:f>DATEDIF(DATE(Kalendarskagodina,2,1),DATE(Kalendarskagodina,3,1),"d")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AM7:AM11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M264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customHeight="1" x14ac:dyDescent="0.25"/>
  <cols>
    <col min="1" max="1" width="2.7109375" style="11" customWidth="1"/>
    <col min="2" max="2" width="10.85546875" style="11" customWidth="1"/>
    <col min="3" max="3" width="28.85546875" style="12" customWidth="1"/>
    <col min="4" max="34" width="5" style="10" customWidth="1"/>
    <col min="35" max="35" width="4.7109375" style="9" customWidth="1"/>
    <col min="36" max="36" width="4.7109375" style="10" customWidth="1"/>
    <col min="37" max="38" width="4.7109375" style="11" customWidth="1"/>
    <col min="39" max="39" width="19.7109375" style="11" bestFit="1" customWidth="1"/>
    <col min="40" max="16384" width="9.140625" style="11"/>
  </cols>
  <sheetData>
    <row r="1" spans="1:39" s="1" customFormat="1" ht="42" customHeight="1" x14ac:dyDescent="0.25">
      <c r="A1" s="33" t="s">
        <v>86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6"/>
      <c r="AH1" s="34"/>
      <c r="AI1" s="34"/>
      <c r="AJ1" s="37"/>
      <c r="AK1" s="34"/>
      <c r="AL1" s="53" t="s">
        <v>69</v>
      </c>
      <c r="AM1" s="54">
        <f>Kalendarskagodina</f>
        <v>2012</v>
      </c>
    </row>
    <row r="2" spans="1:39" customFormat="1" ht="13.5" x14ac:dyDescent="0.25"/>
    <row r="3" spans="1:39" s="28" customFormat="1" ht="12.75" customHeight="1" x14ac:dyDescent="0.25">
      <c r="C3" s="40" t="str">
        <f>Teksthromakija</f>
        <v xml:space="preserve">HROMA KI </v>
      </c>
      <c r="D3" s="47" t="str">
        <f>Šifra1</f>
        <v>Z</v>
      </c>
      <c r="E3" s="64" t="str">
        <f>Tekstšifre1</f>
        <v>Zakasnio</v>
      </c>
      <c r="F3" s="55"/>
      <c r="H3" s="48" t="str">
        <f>Šifra2</f>
        <v>O</v>
      </c>
      <c r="I3" s="52" t="str">
        <f>Tekstšifre2</f>
        <v>Opravdan</v>
      </c>
      <c r="L3" s="49" t="str">
        <f>Šifra3</f>
        <v>Ne</v>
      </c>
      <c r="M3" s="52" t="str">
        <f>Tekstšifre3</f>
        <v>Neopravdan</v>
      </c>
      <c r="P3" s="50" t="str">
        <f>Šifra4</f>
        <v>P</v>
      </c>
      <c r="Q3" s="52" t="str">
        <f>Tekstšifre4</f>
        <v>Prisutan</v>
      </c>
      <c r="T3" s="51" t="str">
        <f>Šifra5</f>
        <v>N</v>
      </c>
      <c r="U3" s="52" t="str">
        <f>Tekstšifre5</f>
        <v>Nema škole</v>
      </c>
      <c r="W3"/>
      <c r="X3"/>
      <c r="Y3"/>
      <c r="AD3" s="27"/>
      <c r="AE3" s="27"/>
      <c r="AH3" s="29"/>
      <c r="AI3" s="30"/>
      <c r="AK3" s="31"/>
    </row>
    <row r="4" spans="1:39" customFormat="1" ht="16.5" customHeight="1" x14ac:dyDescent="0.25"/>
    <row r="5" spans="1:39" s="2" customFormat="1" ht="18" customHeight="1" x14ac:dyDescent="0.3">
      <c r="B5" s="57">
        <f>DATE(Kalendarskagodina+1,4,1)</f>
        <v>41365</v>
      </c>
      <c r="C5" s="56"/>
      <c r="D5" s="38" t="str">
        <f>TEXT(WEEKDAY(DATE(Kalendarskagodina+1,4,1),1),"aaa")</f>
        <v>pon</v>
      </c>
      <c r="E5" s="38" t="str">
        <f>TEXT(WEEKDAY(DATE(Kalendarskagodina+1,4,2),1),"aaa")</f>
        <v>uto</v>
      </c>
      <c r="F5" s="38" t="str">
        <f>TEXT(WEEKDAY(DATE(Kalendarskagodina+1,4,3),1),"aaa")</f>
        <v>sre</v>
      </c>
      <c r="G5" s="38" t="str">
        <f>TEXT(WEEKDAY(DATE(Kalendarskagodina+1,4,4),1),"aaa")</f>
        <v>čet</v>
      </c>
      <c r="H5" s="38" t="str">
        <f>TEXT(WEEKDAY(DATE(Kalendarskagodina+1,4,5),1),"aaa")</f>
        <v>pet</v>
      </c>
      <c r="I5" s="38" t="str">
        <f>TEXT(WEEKDAY(DATE(Kalendarskagodina+1,4,6),1),"aaa")</f>
        <v>sub</v>
      </c>
      <c r="J5" s="38" t="str">
        <f>TEXT(WEEKDAY(DATE(Kalendarskagodina+1,4,7),1),"aaa")</f>
        <v>ned</v>
      </c>
      <c r="K5" s="38" t="str">
        <f>TEXT(WEEKDAY(DATE(Kalendarskagodina+1,4,8),1),"aaa")</f>
        <v>pon</v>
      </c>
      <c r="L5" s="38" t="str">
        <f>TEXT(WEEKDAY(DATE(Kalendarskagodina+1,4,9),1),"aaa")</f>
        <v>uto</v>
      </c>
      <c r="M5" s="38" t="str">
        <f>TEXT(WEEKDAY(DATE(Kalendarskagodina+1,4,10),1),"aaa")</f>
        <v>sre</v>
      </c>
      <c r="N5" s="38" t="str">
        <f>TEXT(WEEKDAY(DATE(Kalendarskagodina+1,4,11),1),"aaa")</f>
        <v>čet</v>
      </c>
      <c r="O5" s="38" t="str">
        <f>TEXT(WEEKDAY(DATE(Kalendarskagodina+1,4,12),1),"aaa")</f>
        <v>pet</v>
      </c>
      <c r="P5" s="38" t="str">
        <f>TEXT(WEEKDAY(DATE(Kalendarskagodina+1,4,13),1),"aaa")</f>
        <v>sub</v>
      </c>
      <c r="Q5" s="38" t="str">
        <f>TEXT(WEEKDAY(DATE(Kalendarskagodina+1,4,14),1),"aaa")</f>
        <v>ned</v>
      </c>
      <c r="R5" s="38" t="str">
        <f>TEXT(WEEKDAY(DATE(Kalendarskagodina+1,4,15),1),"aaa")</f>
        <v>pon</v>
      </c>
      <c r="S5" s="38" t="str">
        <f>TEXT(WEEKDAY(DATE(Kalendarskagodina+1,4,16),1),"aaa")</f>
        <v>uto</v>
      </c>
      <c r="T5" s="38" t="str">
        <f>TEXT(WEEKDAY(DATE(Kalendarskagodina+1,4,17),1),"aaa")</f>
        <v>sre</v>
      </c>
      <c r="U5" s="38" t="str">
        <f>TEXT(WEEKDAY(DATE(Kalendarskagodina+1,4,18),1),"aaa")</f>
        <v>čet</v>
      </c>
      <c r="V5" s="38" t="str">
        <f>TEXT(WEEKDAY(DATE(Kalendarskagodina+1,4,19),1),"aaa")</f>
        <v>pet</v>
      </c>
      <c r="W5" s="38" t="str">
        <f>TEXT(WEEKDAY(DATE(Kalendarskagodina+1,4,20),1),"aaa")</f>
        <v>sub</v>
      </c>
      <c r="X5" s="38" t="str">
        <f>TEXT(WEEKDAY(DATE(Kalendarskagodina+1,4,21),1),"aaa")</f>
        <v>ned</v>
      </c>
      <c r="Y5" s="38" t="str">
        <f>TEXT(WEEKDAY(DATE(Kalendarskagodina+1,4,22),1),"aaa")</f>
        <v>pon</v>
      </c>
      <c r="Z5" s="38" t="str">
        <f>TEXT(WEEKDAY(DATE(Kalendarskagodina+1,4,23),1),"aaa")</f>
        <v>uto</v>
      </c>
      <c r="AA5" s="38" t="str">
        <f>TEXT(WEEKDAY(DATE(Kalendarskagodina+1,4,24),1),"aaa")</f>
        <v>sre</v>
      </c>
      <c r="AB5" s="38" t="str">
        <f>TEXT(WEEKDAY(DATE(Kalendarskagodina+1,4,25),1),"aaa")</f>
        <v>čet</v>
      </c>
      <c r="AC5" s="38" t="str">
        <f>TEXT(WEEKDAY(DATE(Kalendarskagodina+1,4,26),1),"aaa")</f>
        <v>pet</v>
      </c>
      <c r="AD5" s="38" t="str">
        <f>TEXT(WEEKDAY(DATE(Kalendarskagodina+1,4,27),1),"aaa")</f>
        <v>sub</v>
      </c>
      <c r="AE5" s="38" t="str">
        <f>TEXT(WEEKDAY(DATE(Kalendarskagodina+1,4,28),1),"aaa")</f>
        <v>ned</v>
      </c>
      <c r="AF5" s="38" t="str">
        <f>TEXT(WEEKDAY(DATE(Kalendarskagodina+1,4,29),1),"aaa")</f>
        <v>pon</v>
      </c>
      <c r="AG5" s="38" t="str">
        <f>TEXT(WEEKDAY(DATE(Kalendarskagodina+1,4,30),1),"aaa")</f>
        <v>uto</v>
      </c>
      <c r="AH5" s="38"/>
      <c r="AI5" s="129" t="s">
        <v>38</v>
      </c>
      <c r="AJ5" s="129"/>
      <c r="AK5" s="129"/>
      <c r="AL5" s="129"/>
      <c r="AM5" s="129"/>
    </row>
    <row r="6" spans="1:39" ht="14.25" customHeight="1" x14ac:dyDescent="0.25">
      <c r="B6" s="24" t="s">
        <v>34</v>
      </c>
      <c r="C6" s="25" t="s">
        <v>36</v>
      </c>
      <c r="D6" s="26" t="s">
        <v>0</v>
      </c>
      <c r="E6" s="26" t="s">
        <v>1</v>
      </c>
      <c r="F6" s="26" t="s">
        <v>2</v>
      </c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26" t="s">
        <v>15</v>
      </c>
      <c r="T6" s="26" t="s">
        <v>16</v>
      </c>
      <c r="U6" s="26" t="s">
        <v>17</v>
      </c>
      <c r="V6" s="26" t="s">
        <v>18</v>
      </c>
      <c r="W6" s="26" t="s">
        <v>19</v>
      </c>
      <c r="X6" s="26" t="s">
        <v>20</v>
      </c>
      <c r="Y6" s="26" t="s">
        <v>21</v>
      </c>
      <c r="Z6" s="26" t="s">
        <v>22</v>
      </c>
      <c r="AA6" s="26" t="s">
        <v>23</v>
      </c>
      <c r="AB6" s="26" t="s">
        <v>24</v>
      </c>
      <c r="AC6" s="26" t="s">
        <v>25</v>
      </c>
      <c r="AD6" s="26" t="s">
        <v>26</v>
      </c>
      <c r="AE6" s="26" t="s">
        <v>27</v>
      </c>
      <c r="AF6" s="26" t="s">
        <v>28</v>
      </c>
      <c r="AG6" s="26" t="s">
        <v>29</v>
      </c>
      <c r="AH6" s="26" t="s">
        <v>116</v>
      </c>
      <c r="AI6" s="89" t="s">
        <v>127</v>
      </c>
      <c r="AJ6" s="65" t="s">
        <v>128</v>
      </c>
      <c r="AK6" s="66" t="s">
        <v>129</v>
      </c>
      <c r="AL6" s="67" t="s">
        <v>31</v>
      </c>
      <c r="AM6" t="s">
        <v>37</v>
      </c>
    </row>
    <row r="7" spans="1:39" ht="16.5" customHeight="1" x14ac:dyDescent="0.25">
      <c r="B7" s="23"/>
      <c r="C7" s="19" t="str">
        <f>IFERROR(VLOOKUP(Prisustvovanjeuaprilu[[#This Row],[ID učenika]],Listaučenika[],18,FALSE),"")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3"/>
      <c r="AH7" s="3"/>
      <c r="AI7" s="32">
        <f>COUNTIF(Prisustvovanjeuaprilu[[#This Row],[1]:[ ]],Šifra1)</f>
        <v>0</v>
      </c>
      <c r="AJ7" s="32">
        <f>COUNTIF(Prisustvovanjeuaprilu[[#This Row],[1]:[ ]],Šifra2)</f>
        <v>0</v>
      </c>
      <c r="AK7" s="32">
        <f>COUNTIF(Prisustvovanjeuaprilu[[#This Row],[1]:[ ]],Šifra3)</f>
        <v>0</v>
      </c>
      <c r="AL7" s="32">
        <f>COUNTIF(Prisustvovanjeuaprilu[[#This Row],[1]:[ ]],Šifra4)</f>
        <v>0</v>
      </c>
      <c r="AM7" s="6">
        <f>SUM(Prisustvovanjeuseptembru[[#This Row],[O]:[Ne]])</f>
        <v>0</v>
      </c>
    </row>
    <row r="8" spans="1:39" ht="16.5" customHeight="1" x14ac:dyDescent="0.25">
      <c r="B8" s="23"/>
      <c r="C8" s="19" t="str">
        <f>IFERROR(VLOOKUP(Prisustvovanjeuaprilu[[#This Row],[ID učenika]],Listaučenika[],18,FALSE),"")</f>
        <v/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3"/>
      <c r="AH8" s="3"/>
      <c r="AI8" s="32">
        <f>COUNTIF(Prisustvovanjeuaprilu[[#This Row],[1]:[ ]],Šifra1)</f>
        <v>0</v>
      </c>
      <c r="AJ8" s="32">
        <f>COUNTIF(Prisustvovanjeuaprilu[[#This Row],[1]:[ ]],Šifra2)</f>
        <v>0</v>
      </c>
      <c r="AK8" s="32">
        <f>COUNTIF(Prisustvovanjeuaprilu[[#This Row],[1]:[ ]],Šifra3)</f>
        <v>0</v>
      </c>
      <c r="AL8" s="32">
        <f>COUNTIF(Prisustvovanjeuaprilu[[#This Row],[1]:[ ]],Šifra4)</f>
        <v>0</v>
      </c>
      <c r="AM8" s="6">
        <f>SUM(Prisustvovanjeuseptembru[[#This Row],[O]:[Ne]])</f>
        <v>0</v>
      </c>
    </row>
    <row r="9" spans="1:39" ht="16.5" customHeight="1" x14ac:dyDescent="0.25">
      <c r="B9" s="23"/>
      <c r="C9" s="19" t="str">
        <f>IFERROR(VLOOKUP(Prisustvovanjeuaprilu[[#This Row],[ID učenika]],Listaučenika[],18,FALSE),"")</f>
        <v/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3"/>
      <c r="AH9" s="3"/>
      <c r="AI9" s="32">
        <f>COUNTIF(Prisustvovanjeuaprilu[[#This Row],[1]:[ ]],Šifra1)</f>
        <v>0</v>
      </c>
      <c r="AJ9" s="32">
        <f>COUNTIF(Prisustvovanjeuaprilu[[#This Row],[1]:[ ]],Šifra2)</f>
        <v>0</v>
      </c>
      <c r="AK9" s="32">
        <f>COUNTIF(Prisustvovanjeuaprilu[[#This Row],[1]:[ ]],Šifra3)</f>
        <v>0</v>
      </c>
      <c r="AL9" s="32">
        <f>COUNTIF(Prisustvovanjeuaprilu[[#This Row],[1]:[ ]],Šifra4)</f>
        <v>0</v>
      </c>
      <c r="AM9" s="6">
        <f>SUM(Prisustvovanjeuseptembru[[#This Row],[O]:[Ne]])</f>
        <v>0</v>
      </c>
    </row>
    <row r="10" spans="1:39" ht="16.5" customHeight="1" x14ac:dyDescent="0.25">
      <c r="B10" s="23"/>
      <c r="C10" s="19" t="str">
        <f>IFERROR(VLOOKUP(Prisustvovanjeuaprilu[[#This Row],[ID učenika]],Listaučenika[],18,FALSE),"")</f>
        <v/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3"/>
      <c r="AH10" s="3"/>
      <c r="AI10" s="32">
        <f>COUNTIF(Prisustvovanjeuaprilu[[#This Row],[1]:[ ]],Šifra1)</f>
        <v>0</v>
      </c>
      <c r="AJ10" s="32">
        <f>COUNTIF(Prisustvovanjeuaprilu[[#This Row],[1]:[ ]],Šifra2)</f>
        <v>0</v>
      </c>
      <c r="AK10" s="32">
        <f>COUNTIF(Prisustvovanjeuaprilu[[#This Row],[1]:[ ]],Šifra3)</f>
        <v>0</v>
      </c>
      <c r="AL10" s="32">
        <f>COUNTIF(Prisustvovanjeuaprilu[[#This Row],[1]:[ ]],Šifra4)</f>
        <v>0</v>
      </c>
      <c r="AM10" s="6">
        <f>SUM(Prisustvovanjeuseptembru[[#This Row],[O]:[Ne]])</f>
        <v>0</v>
      </c>
    </row>
    <row r="11" spans="1:39" ht="16.5" customHeight="1" x14ac:dyDescent="0.25">
      <c r="B11" s="23"/>
      <c r="C11" s="19" t="str">
        <f>IFERROR(VLOOKUP(Prisustvovanjeuaprilu[[#This Row],[ID učenika]],Listaučenika[],18,FALSE),"")</f>
        <v/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3"/>
      <c r="AH11" s="3"/>
      <c r="AI11" s="32">
        <f>COUNTIF(Prisustvovanjeuaprilu[[#This Row],[1]:[ ]],Šifra1)</f>
        <v>0</v>
      </c>
      <c r="AJ11" s="32">
        <f>COUNTIF(Prisustvovanjeuaprilu[[#This Row],[1]:[ ]],Šifra2)</f>
        <v>0</v>
      </c>
      <c r="AK11" s="32">
        <f>COUNTIF(Prisustvovanjeuaprilu[[#This Row],[1]:[ ]],Šifra3)</f>
        <v>0</v>
      </c>
      <c r="AL11" s="32">
        <f>COUNTIF(Prisustvovanjeuaprilu[[#This Row],[1]:[ ]],Šifra4)</f>
        <v>0</v>
      </c>
      <c r="AM11" s="6">
        <f>SUM(Prisustvovanjeuseptembru[[#This Row],[O]:[Ne]])</f>
        <v>0</v>
      </c>
    </row>
    <row r="12" spans="1:39" ht="16.5" customHeight="1" x14ac:dyDescent="0.25">
      <c r="B12" s="111"/>
      <c r="C12" s="112" t="s">
        <v>117</v>
      </c>
      <c r="D12" s="113">
        <f>COUNTIF(Prisustvovanjeuaprilu[1],"Ne")+COUNTIF(Prisustvovanjeuaprilu[1],"O")</f>
        <v>0</v>
      </c>
      <c r="E12" s="113">
        <f>COUNTIF(Prisustvovanjeuaprilu[2],"Ne")+COUNTIF(Prisustvovanjeuaprilu[2],"O")</f>
        <v>0</v>
      </c>
      <c r="F12" s="113">
        <f>COUNTIF(Prisustvovanjeuaprilu[3],"Ne")+COUNTIF(Prisustvovanjeuaprilu[3],"O")</f>
        <v>0</v>
      </c>
      <c r="G12" s="113">
        <f>COUNTIF(Prisustvovanjeuaprilu[4],"Ne")+COUNTIF(Prisustvovanjeuaprilu[4],"O")</f>
        <v>0</v>
      </c>
      <c r="H12" s="113">
        <f>COUNTIF(Prisustvovanjeuaprilu[5],"Ne")+COUNTIF(Prisustvovanjeuaprilu[5],"O")</f>
        <v>0</v>
      </c>
      <c r="I12" s="113">
        <f>COUNTIF(Prisustvovanjeuaprilu[6],"Ne")+COUNTIF(Prisustvovanjeuaprilu[6],"O")</f>
        <v>0</v>
      </c>
      <c r="J12" s="113">
        <f>COUNTIF(Prisustvovanjeuaprilu[7],"Ne")+COUNTIF(Prisustvovanjeuaprilu[7],"O")</f>
        <v>0</v>
      </c>
      <c r="K12" s="113">
        <f>COUNTIF(Prisustvovanjeuaprilu[8],"Ne")+COUNTIF(Prisustvovanjeuaprilu[8],"O")</f>
        <v>0</v>
      </c>
      <c r="L12" s="113">
        <f>COUNTIF(Prisustvovanjeuaprilu[9],"Ne")+COUNTIF(Prisustvovanjeuaprilu[9],"O")</f>
        <v>0</v>
      </c>
      <c r="M12" s="113">
        <f>COUNTIF(Prisustvovanjeuaprilu[10],"Ne")+COUNTIF(Prisustvovanjeuaprilu[10],"O")</f>
        <v>0</v>
      </c>
      <c r="N12" s="113">
        <f>COUNTIF(Prisustvovanjeuaprilu[11],"Ne")+COUNTIF(Prisustvovanjeuaprilu[11],"O")</f>
        <v>0</v>
      </c>
      <c r="O12" s="113">
        <f>COUNTIF(Prisustvovanjeuaprilu[12],"Ne")+COUNTIF(Prisustvovanjeuaprilu[12],"O")</f>
        <v>0</v>
      </c>
      <c r="P12" s="113">
        <f>COUNTIF(Prisustvovanjeuaprilu[13],"Ne")+COUNTIF(Prisustvovanjeuaprilu[13],"O")</f>
        <v>0</v>
      </c>
      <c r="Q12" s="113">
        <f>COUNTIF(Prisustvovanjeuaprilu[14],"Ne")+COUNTIF(Prisustvovanjeuaprilu[14],"O")</f>
        <v>0</v>
      </c>
      <c r="R12" s="113">
        <f>COUNTIF(Prisustvovanjeuaprilu[15],"Ne")+COUNTIF(Prisustvovanjeuaprilu[15],"O")</f>
        <v>0</v>
      </c>
      <c r="S12" s="113">
        <f>COUNTIF(Prisustvovanjeuaprilu[16],"Ne")+COUNTIF(Prisustvovanjeuaprilu[16],"O")</f>
        <v>0</v>
      </c>
      <c r="T12" s="113">
        <f>COUNTIF(Prisustvovanjeuaprilu[17],"Ne")+COUNTIF(Prisustvovanjeuaprilu[17],"O")</f>
        <v>0</v>
      </c>
      <c r="U12" s="113">
        <f>COUNTIF(Prisustvovanjeuaprilu[18],"Ne")+COUNTIF(Prisustvovanjeuaprilu[18],"O")</f>
        <v>0</v>
      </c>
      <c r="V12" s="113">
        <f>COUNTIF(Prisustvovanjeuaprilu[19],"Ne")+COUNTIF(Prisustvovanjeuaprilu[19],"O")</f>
        <v>0</v>
      </c>
      <c r="W12" s="113">
        <f>COUNTIF(Prisustvovanjeuaprilu[20],"Ne")+COUNTIF(Prisustvovanjeuaprilu[20],"O")</f>
        <v>0</v>
      </c>
      <c r="X12" s="113">
        <f>COUNTIF(Prisustvovanjeuaprilu[21],"Ne")+COUNTIF(Prisustvovanjeuaprilu[21],"O")</f>
        <v>0</v>
      </c>
      <c r="Y12" s="113">
        <f>COUNTIF(Prisustvovanjeuaprilu[22],"Ne")+COUNTIF(Prisustvovanjeuaprilu[22],"O")</f>
        <v>0</v>
      </c>
      <c r="Z12" s="113">
        <f>COUNTIF(Prisustvovanjeuaprilu[23],"Ne")+COUNTIF(Prisustvovanjeuaprilu[23],"O")</f>
        <v>0</v>
      </c>
      <c r="AA12" s="113">
        <f>COUNTIF(Prisustvovanjeuaprilu[24],"Ne")+COUNTIF(Prisustvovanjeuaprilu[24],"O")</f>
        <v>0</v>
      </c>
      <c r="AB12" s="113">
        <f>COUNTIF(Prisustvovanjeuaprilu[25],"Ne")+COUNTIF(Prisustvovanjeuaprilu[25],"O")</f>
        <v>0</v>
      </c>
      <c r="AC12" s="113">
        <f>COUNTIF(Prisustvovanjeuaprilu[26],"Ne")+COUNTIF(Prisustvovanjeuaprilu[26],"O")</f>
        <v>0</v>
      </c>
      <c r="AD12" s="113">
        <f>COUNTIF(Prisustvovanjeuaprilu[27],"Ne")+COUNTIF(Prisustvovanjeuaprilu[27],"O")</f>
        <v>0</v>
      </c>
      <c r="AE12" s="113">
        <f>COUNTIF(Prisustvovanjeuaprilu[28],"Ne")+COUNTIF(Prisustvovanjeuaprilu[28],"O")</f>
        <v>0</v>
      </c>
      <c r="AF12" s="113">
        <f>COUNTIF(Prisustvovanjeuaprilu[29],"Ne")+COUNTIF(Prisustvovanjeuaprilu[29],"O")</f>
        <v>0</v>
      </c>
      <c r="AG12" s="113">
        <f>COUNTIF(Prisustvovanjeuaprilu[30],"Ne")+COUNTIF(Prisustvovanjeuaprilu[30],"O")</f>
        <v>0</v>
      </c>
      <c r="AH12" s="113">
        <f>COUNTIF(Prisustvovanjeuaprilu[[ ]],"Ne")+COUNTIF(Prisustvovanjeuaprilu[[ ]],"O")</f>
        <v>0</v>
      </c>
      <c r="AI12" s="113">
        <f>SUBTOTAL(109,Prisustvovanjeuaprilu[Z])</f>
        <v>0</v>
      </c>
      <c r="AJ12" s="113">
        <f>SUBTOTAL(109,Prisustvovanjeuaprilu[O])</f>
        <v>0</v>
      </c>
      <c r="AK12" s="113">
        <f>SUBTOTAL(109,Prisustvovanjeuaprilu[Ne])</f>
        <v>0</v>
      </c>
      <c r="AL12" s="113">
        <f>SUBTOTAL(109,Prisustvovanjeuaprilu[P])</f>
        <v>0</v>
      </c>
      <c r="AM12" s="113">
        <f>SUBTOTAL(109,Prisustvovanjeuaprilu[Dani odsustvovanja])</f>
        <v>0</v>
      </c>
    </row>
    <row r="14" spans="1:39" ht="16.5" customHeight="1" x14ac:dyDescent="0.25"/>
    <row r="15" spans="1:39" ht="16.5" customHeight="1" x14ac:dyDescent="0.25"/>
    <row r="16" spans="1:3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I5:AM5"/>
  </mergeCells>
  <conditionalFormatting sqref="AM7:AM11">
    <cfRule type="dataBar" priority="1">
      <dataBar>
        <cfvo type="min"/>
        <cfvo type="num" val="DATEDIF(DATE(Kalendarskagodina,2,1),DATE(Kalendarskagodina,3,1),&quot;d&quot;)"/>
        <color theme="4"/>
      </dataBar>
      <extLst>
        <ext xmlns:x14="http://schemas.microsoft.com/office/spreadsheetml/2009/9/main" uri="{B025F937-C7B1-47D3-B67F-A62EFF666E3E}">
          <x14:id>{9FD523D2-45CA-45DA-93F8-59B772F50C00}</x14:id>
        </ext>
      </extLst>
    </cfRule>
  </conditionalFormatting>
  <conditionalFormatting sqref="D7:AF11">
    <cfRule type="expression" dxfId="337" priority="2" stopIfTrue="1">
      <formula>D7=Šifra2</formula>
    </cfRule>
  </conditionalFormatting>
  <conditionalFormatting sqref="D7:AF11">
    <cfRule type="expression" dxfId="336" priority="3" stopIfTrue="1">
      <formula>D7=Šifra5</formula>
    </cfRule>
    <cfRule type="expression" dxfId="335" priority="4" stopIfTrue="1">
      <formula>D7=Šifra4</formula>
    </cfRule>
    <cfRule type="expression" dxfId="334" priority="5" stopIfTrue="1">
      <formula>D7=Šifra3</formula>
    </cfRule>
    <cfRule type="expression" dxfId="333" priority="6" stopIfTrue="1">
      <formula>D7=Šifra1</formula>
    </cfRule>
  </conditionalFormatting>
  <dataValidations count="1">
    <dataValidation type="list" errorStyle="warning" allowBlank="1" showInputMessage="1" showErrorMessage="1" errorTitle="Ups!" error="ID učenika koji ste uneli nije na listu „Lista učenika“. Možete kliknuti na „Da“ da biste koristili ono što ste uneli, ali taj ID učenika neće biti dostupan na listu „Izveštaj o prisustvovanju učenika“." sqref="B7:B11">
      <formula1>IDučenika</formula1>
    </dataValidation>
  </dataValidations>
  <printOptions horizontalCentered="1"/>
  <pageMargins left="0.5" right="0.5" top="0.75" bottom="0.75" header="0.3" footer="0.3"/>
  <pageSetup paperSize="9" scale="5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D523D2-45CA-45DA-93F8-59B772F50C00}">
            <x14:dataBar minLength="0" maxLength="100" border="1" negativeBarBorderColorSameAsPositive="0">
              <x14:cfvo type="autoMin"/>
              <x14:cfvo type="num">
                <xm:f>DATEDIF(DATE(Kalendarskagodina,2,1),DATE(Kalendarskagodina,3,1),"d")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AM7:AM11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M264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customHeight="1" x14ac:dyDescent="0.25"/>
  <cols>
    <col min="1" max="1" width="2.7109375" style="11" customWidth="1"/>
    <col min="2" max="2" width="10.85546875" style="11" customWidth="1"/>
    <col min="3" max="3" width="28.85546875" style="12" customWidth="1"/>
    <col min="4" max="34" width="5" style="10" customWidth="1"/>
    <col min="35" max="35" width="4.7109375" style="9" customWidth="1"/>
    <col min="36" max="36" width="4.7109375" style="10" customWidth="1"/>
    <col min="37" max="38" width="4.7109375" style="11" customWidth="1"/>
    <col min="39" max="39" width="19.7109375" style="11" bestFit="1" customWidth="1"/>
    <col min="40" max="16384" width="9.140625" style="11"/>
  </cols>
  <sheetData>
    <row r="1" spans="1:39" s="1" customFormat="1" ht="42" customHeight="1" x14ac:dyDescent="0.25">
      <c r="A1" s="33" t="s">
        <v>86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6"/>
      <c r="AH1" s="34"/>
      <c r="AI1" s="34"/>
      <c r="AJ1" s="37"/>
      <c r="AK1" s="34"/>
      <c r="AL1" s="53" t="s">
        <v>69</v>
      </c>
      <c r="AM1" s="54">
        <f>Kalendarskagodina</f>
        <v>2012</v>
      </c>
    </row>
    <row r="2" spans="1:39" customFormat="1" ht="13.5" x14ac:dyDescent="0.25"/>
    <row r="3" spans="1:39" s="28" customFormat="1" ht="12.75" customHeight="1" x14ac:dyDescent="0.25">
      <c r="C3" s="40" t="str">
        <f>Teksthromakija</f>
        <v xml:space="preserve">HROMA KI </v>
      </c>
      <c r="D3" s="47" t="str">
        <f>Šifra1</f>
        <v>Z</v>
      </c>
      <c r="E3" s="64" t="str">
        <f>Tekstšifre1</f>
        <v>Zakasnio</v>
      </c>
      <c r="F3" s="55"/>
      <c r="H3" s="48" t="str">
        <f>Šifra2</f>
        <v>O</v>
      </c>
      <c r="I3" s="52" t="str">
        <f>Tekstšifre2</f>
        <v>Opravdan</v>
      </c>
      <c r="L3" s="49" t="str">
        <f>Šifra3</f>
        <v>Ne</v>
      </c>
      <c r="M3" s="52" t="str">
        <f>Tekstšifre3</f>
        <v>Neopravdan</v>
      </c>
      <c r="P3" s="50" t="str">
        <f>Šifra4</f>
        <v>P</v>
      </c>
      <c r="Q3" s="52" t="str">
        <f>Tekstšifre4</f>
        <v>Prisutan</v>
      </c>
      <c r="T3" s="51" t="str">
        <f>Šifra5</f>
        <v>N</v>
      </c>
      <c r="U3" s="52" t="str">
        <f>Tekstšifre5</f>
        <v>Nema škole</v>
      </c>
      <c r="W3"/>
      <c r="X3"/>
      <c r="Y3"/>
      <c r="AD3" s="27"/>
      <c r="AE3" s="27"/>
      <c r="AH3" s="29"/>
      <c r="AI3" s="30"/>
      <c r="AK3" s="31"/>
    </row>
    <row r="4" spans="1:39" customFormat="1" ht="16.5" customHeight="1" x14ac:dyDescent="0.25"/>
    <row r="5" spans="1:39" s="2" customFormat="1" ht="18" customHeight="1" x14ac:dyDescent="0.3">
      <c r="B5" s="57">
        <f>DATE(Kalendarskagodina+1,5,1)</f>
        <v>41395</v>
      </c>
      <c r="C5" s="56"/>
      <c r="D5" s="38" t="str">
        <f>TEXT(WEEKDAY(DATE(Kalendarskagodina+1,5,1),1),"aaa")</f>
        <v>sre</v>
      </c>
      <c r="E5" s="38" t="str">
        <f>TEXT(WEEKDAY(DATE(Kalendarskagodina+1,5,2),1),"aaa")</f>
        <v>čet</v>
      </c>
      <c r="F5" s="38" t="str">
        <f>TEXT(WEEKDAY(DATE(Kalendarskagodina+1,5,3),1),"aaa")</f>
        <v>pet</v>
      </c>
      <c r="G5" s="38" t="str">
        <f>TEXT(WEEKDAY(DATE(Kalendarskagodina+1,5,4),1),"aaa")</f>
        <v>sub</v>
      </c>
      <c r="H5" s="38" t="str">
        <f>TEXT(WEEKDAY(DATE(Kalendarskagodina+1,5,5),1),"aaa")</f>
        <v>ned</v>
      </c>
      <c r="I5" s="38" t="str">
        <f>TEXT(WEEKDAY(DATE(Kalendarskagodina+1,5,6),1),"aaa")</f>
        <v>pon</v>
      </c>
      <c r="J5" s="38" t="str">
        <f>TEXT(WEEKDAY(DATE(Kalendarskagodina+1,5,7),1),"aaa")</f>
        <v>uto</v>
      </c>
      <c r="K5" s="38" t="str">
        <f>TEXT(WEEKDAY(DATE(Kalendarskagodina+1,5,8),1),"aaa")</f>
        <v>sre</v>
      </c>
      <c r="L5" s="38" t="str">
        <f>TEXT(WEEKDAY(DATE(Kalendarskagodina+1,5,9),1),"aaa")</f>
        <v>čet</v>
      </c>
      <c r="M5" s="38" t="str">
        <f>TEXT(WEEKDAY(DATE(Kalendarskagodina+1,5,10),1),"aaa")</f>
        <v>pet</v>
      </c>
      <c r="N5" s="38" t="str">
        <f>TEXT(WEEKDAY(DATE(Kalendarskagodina+1,5,11),1),"aaa")</f>
        <v>sub</v>
      </c>
      <c r="O5" s="38" t="str">
        <f>TEXT(WEEKDAY(DATE(Kalendarskagodina+1,5,12),1),"aaa")</f>
        <v>ned</v>
      </c>
      <c r="P5" s="38" t="str">
        <f>TEXT(WEEKDAY(DATE(Kalendarskagodina+1,5,13),1),"aaa")</f>
        <v>pon</v>
      </c>
      <c r="Q5" s="38" t="str">
        <f>TEXT(WEEKDAY(DATE(Kalendarskagodina+1,5,14),1),"aaa")</f>
        <v>uto</v>
      </c>
      <c r="R5" s="38" t="str">
        <f>TEXT(WEEKDAY(DATE(Kalendarskagodina+1,5,15),1),"aaa")</f>
        <v>sre</v>
      </c>
      <c r="S5" s="38" t="str">
        <f>TEXT(WEEKDAY(DATE(Kalendarskagodina+1,5,16),1),"aaa")</f>
        <v>čet</v>
      </c>
      <c r="T5" s="38" t="str">
        <f>TEXT(WEEKDAY(DATE(Kalendarskagodina+1,5,17),1),"aaa")</f>
        <v>pet</v>
      </c>
      <c r="U5" s="38" t="str">
        <f>TEXT(WEEKDAY(DATE(Kalendarskagodina+1,5,18),1),"aaa")</f>
        <v>sub</v>
      </c>
      <c r="V5" s="38" t="str">
        <f>TEXT(WEEKDAY(DATE(Kalendarskagodina+1,5,19),1),"aaa")</f>
        <v>ned</v>
      </c>
      <c r="W5" s="38" t="str">
        <f>TEXT(WEEKDAY(DATE(Kalendarskagodina+1,5,20),1),"aaa")</f>
        <v>pon</v>
      </c>
      <c r="X5" s="38" t="str">
        <f>TEXT(WEEKDAY(DATE(Kalendarskagodina+1,5,21),1),"aaa")</f>
        <v>uto</v>
      </c>
      <c r="Y5" s="38" t="str">
        <f>TEXT(WEEKDAY(DATE(Kalendarskagodina+1,5,22),1),"aaa")</f>
        <v>sre</v>
      </c>
      <c r="Z5" s="38" t="str">
        <f>TEXT(WEEKDAY(DATE(Kalendarskagodina+1,5,23),1),"aaa")</f>
        <v>čet</v>
      </c>
      <c r="AA5" s="38" t="str">
        <f>TEXT(WEEKDAY(DATE(Kalendarskagodina+1,5,24),1),"aaa")</f>
        <v>pet</v>
      </c>
      <c r="AB5" s="38" t="str">
        <f>TEXT(WEEKDAY(DATE(Kalendarskagodina+1,5,25),1),"aaa")</f>
        <v>sub</v>
      </c>
      <c r="AC5" s="38" t="str">
        <f>TEXT(WEEKDAY(DATE(Kalendarskagodina+1,5,26),1),"aaa")</f>
        <v>ned</v>
      </c>
      <c r="AD5" s="38" t="str">
        <f>TEXT(WEEKDAY(DATE(Kalendarskagodina+1,5,27),1),"aaa")</f>
        <v>pon</v>
      </c>
      <c r="AE5" s="38" t="str">
        <f>TEXT(WEEKDAY(DATE(Kalendarskagodina+1,5,28),1),"aaa")</f>
        <v>uto</v>
      </c>
      <c r="AF5" s="38" t="str">
        <f>TEXT(WEEKDAY(DATE(Kalendarskagodina+1,5,29),1),"aaa")</f>
        <v>sre</v>
      </c>
      <c r="AG5" s="38" t="str">
        <f>TEXT(WEEKDAY(DATE(Kalendarskagodina+1,5,30),1),"aaa")</f>
        <v>čet</v>
      </c>
      <c r="AH5" s="38" t="str">
        <f>TEXT(WEEKDAY(DATE(Kalendarskagodina+1,5,31),1),"aaa")</f>
        <v>pet</v>
      </c>
      <c r="AI5" s="129" t="s">
        <v>38</v>
      </c>
      <c r="AJ5" s="129"/>
      <c r="AK5" s="129"/>
      <c r="AL5" s="129"/>
      <c r="AM5" s="129"/>
    </row>
    <row r="6" spans="1:39" ht="14.25" customHeight="1" x14ac:dyDescent="0.25">
      <c r="B6" s="24" t="s">
        <v>34</v>
      </c>
      <c r="C6" s="25" t="s">
        <v>36</v>
      </c>
      <c r="D6" s="26" t="s">
        <v>0</v>
      </c>
      <c r="E6" s="26" t="s">
        <v>1</v>
      </c>
      <c r="F6" s="26" t="s">
        <v>2</v>
      </c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26" t="s">
        <v>15</v>
      </c>
      <c r="T6" s="26" t="s">
        <v>16</v>
      </c>
      <c r="U6" s="26" t="s">
        <v>17</v>
      </c>
      <c r="V6" s="26" t="s">
        <v>18</v>
      </c>
      <c r="W6" s="26" t="s">
        <v>19</v>
      </c>
      <c r="X6" s="26" t="s">
        <v>20</v>
      </c>
      <c r="Y6" s="26" t="s">
        <v>21</v>
      </c>
      <c r="Z6" s="26" t="s">
        <v>22</v>
      </c>
      <c r="AA6" s="26" t="s">
        <v>23</v>
      </c>
      <c r="AB6" s="26" t="s">
        <v>24</v>
      </c>
      <c r="AC6" s="26" t="s">
        <v>25</v>
      </c>
      <c r="AD6" s="26" t="s">
        <v>26</v>
      </c>
      <c r="AE6" s="26" t="s">
        <v>27</v>
      </c>
      <c r="AF6" s="26" t="s">
        <v>28</v>
      </c>
      <c r="AG6" s="26" t="s">
        <v>29</v>
      </c>
      <c r="AH6" s="26" t="s">
        <v>30</v>
      </c>
      <c r="AI6" s="89" t="s">
        <v>127</v>
      </c>
      <c r="AJ6" s="65" t="s">
        <v>128</v>
      </c>
      <c r="AK6" s="66" t="s">
        <v>129</v>
      </c>
      <c r="AL6" s="67" t="s">
        <v>31</v>
      </c>
      <c r="AM6" t="s">
        <v>37</v>
      </c>
    </row>
    <row r="7" spans="1:39" ht="16.5" customHeight="1" x14ac:dyDescent="0.25">
      <c r="B7" s="23"/>
      <c r="C7" s="19" t="str">
        <f>IFERROR(VLOOKUP(Prisustvovanjeumaju[[#This Row],[ID učenika]],Listaučenika[],18,FALSE),"")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3"/>
      <c r="AH7" s="3"/>
      <c r="AI7" s="32">
        <f>COUNTIF(Prisustvovanjeumaju[[#This Row],[1]:[31]],Šifra1)</f>
        <v>0</v>
      </c>
      <c r="AJ7" s="32">
        <f>COUNTIF(Prisustvovanjeumaju[[#This Row],[1]:[31]],Šifra2)</f>
        <v>0</v>
      </c>
      <c r="AK7" s="32">
        <f>COUNTIF(Prisustvovanjeumaju[[#This Row],[1]:[31]],Šifra3)</f>
        <v>0</v>
      </c>
      <c r="AL7" s="32">
        <f>COUNTIF(Prisustvovanjeumaju[[#This Row],[1]:[31]],Šifra4)</f>
        <v>0</v>
      </c>
      <c r="AM7" s="6">
        <f>SUM(Prisustvovanjeuseptembru[[#This Row],[O]:[Ne]])</f>
        <v>0</v>
      </c>
    </row>
    <row r="8" spans="1:39" ht="16.5" customHeight="1" x14ac:dyDescent="0.25">
      <c r="B8" s="23"/>
      <c r="C8" s="19" t="str">
        <f>IFERROR(VLOOKUP(Prisustvovanjeumaju[[#This Row],[ID učenika]],Listaučenika[],18,FALSE),"")</f>
        <v/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3"/>
      <c r="AH8" s="3"/>
      <c r="AI8" s="32">
        <f>COUNTIF(Prisustvovanjeumaju[[#This Row],[1]:[31]],Šifra1)</f>
        <v>0</v>
      </c>
      <c r="AJ8" s="32">
        <f>COUNTIF(Prisustvovanjeumaju[[#This Row],[1]:[31]],Šifra2)</f>
        <v>0</v>
      </c>
      <c r="AK8" s="32">
        <f>COUNTIF(Prisustvovanjeumaju[[#This Row],[1]:[31]],Šifra3)</f>
        <v>0</v>
      </c>
      <c r="AL8" s="32">
        <f>COUNTIF(Prisustvovanjeumaju[[#This Row],[1]:[31]],Šifra4)</f>
        <v>0</v>
      </c>
      <c r="AM8" s="6">
        <f>SUM(Prisustvovanjeuseptembru[[#This Row],[O]:[Ne]])</f>
        <v>0</v>
      </c>
    </row>
    <row r="9" spans="1:39" ht="16.5" customHeight="1" x14ac:dyDescent="0.25">
      <c r="B9" s="23"/>
      <c r="C9" s="19" t="str">
        <f>IFERROR(VLOOKUP(Prisustvovanjeumaju[[#This Row],[ID učenika]],Listaučenika[],18,FALSE),"")</f>
        <v/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3"/>
      <c r="AH9" s="3"/>
      <c r="AI9" s="32">
        <f>COUNTIF(Prisustvovanjeumaju[[#This Row],[1]:[31]],Šifra1)</f>
        <v>0</v>
      </c>
      <c r="AJ9" s="32">
        <f>COUNTIF(Prisustvovanjeumaju[[#This Row],[1]:[31]],Šifra2)</f>
        <v>0</v>
      </c>
      <c r="AK9" s="32">
        <f>COUNTIF(Prisustvovanjeumaju[[#This Row],[1]:[31]],Šifra3)</f>
        <v>0</v>
      </c>
      <c r="AL9" s="32">
        <f>COUNTIF(Prisustvovanjeumaju[[#This Row],[1]:[31]],Šifra4)</f>
        <v>0</v>
      </c>
      <c r="AM9" s="6">
        <f>SUM(Prisustvovanjeuseptembru[[#This Row],[O]:[Ne]])</f>
        <v>0</v>
      </c>
    </row>
    <row r="10" spans="1:39" ht="16.5" customHeight="1" x14ac:dyDescent="0.25">
      <c r="B10" s="23"/>
      <c r="C10" s="19" t="str">
        <f>IFERROR(VLOOKUP(Prisustvovanjeumaju[[#This Row],[ID učenika]],Listaučenika[],18,FALSE),"")</f>
        <v/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3"/>
      <c r="AH10" s="3"/>
      <c r="AI10" s="32">
        <f>COUNTIF(Prisustvovanjeumaju[[#This Row],[1]:[31]],Šifra1)</f>
        <v>0</v>
      </c>
      <c r="AJ10" s="32">
        <f>COUNTIF(Prisustvovanjeumaju[[#This Row],[1]:[31]],Šifra2)</f>
        <v>0</v>
      </c>
      <c r="AK10" s="32">
        <f>COUNTIF(Prisustvovanjeumaju[[#This Row],[1]:[31]],Šifra3)</f>
        <v>0</v>
      </c>
      <c r="AL10" s="32">
        <f>COUNTIF(Prisustvovanjeumaju[[#This Row],[1]:[31]],Šifra4)</f>
        <v>0</v>
      </c>
      <c r="AM10" s="6">
        <f>SUM(Prisustvovanjeuseptembru[[#This Row],[O]:[Ne]])</f>
        <v>0</v>
      </c>
    </row>
    <row r="11" spans="1:39" ht="16.5" customHeight="1" x14ac:dyDescent="0.25">
      <c r="B11" s="23"/>
      <c r="C11" s="19" t="str">
        <f>IFERROR(VLOOKUP(Prisustvovanjeumaju[[#This Row],[ID učenika]],Listaučenika[],18,FALSE),"")</f>
        <v/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3"/>
      <c r="AH11" s="3"/>
      <c r="AI11" s="32">
        <f>COUNTIF(Prisustvovanjeumaju[[#This Row],[1]:[31]],Šifra1)</f>
        <v>0</v>
      </c>
      <c r="AJ11" s="32">
        <f>COUNTIF(Prisustvovanjeumaju[[#This Row],[1]:[31]],Šifra2)</f>
        <v>0</v>
      </c>
      <c r="AK11" s="32">
        <f>COUNTIF(Prisustvovanjeumaju[[#This Row],[1]:[31]],Šifra3)</f>
        <v>0</v>
      </c>
      <c r="AL11" s="32">
        <f>COUNTIF(Prisustvovanjeumaju[[#This Row],[1]:[31]],Šifra4)</f>
        <v>0</v>
      </c>
      <c r="AM11" s="6">
        <f>SUM(Prisustvovanjeuseptembru[[#This Row],[O]:[Ne]])</f>
        <v>0</v>
      </c>
    </row>
    <row r="12" spans="1:39" ht="16.5" customHeight="1" x14ac:dyDescent="0.25">
      <c r="B12" s="111"/>
      <c r="C12" s="112" t="s">
        <v>117</v>
      </c>
      <c r="D12" s="113">
        <f>COUNTIF(Prisustvovanjeumaju[1],"Ne")+COUNTIF(Prisustvovanjeumaju[1],"O")</f>
        <v>0</v>
      </c>
      <c r="E12" s="113">
        <f>COUNTIF(Prisustvovanjeumaju[2],"Ne")+COUNTIF(Prisustvovanjeumaju[2],"O")</f>
        <v>0</v>
      </c>
      <c r="F12" s="113">
        <f>COUNTIF(Prisustvovanjeumaju[3],"Ne")+COUNTIF(Prisustvovanjeumaju[3],"O")</f>
        <v>0</v>
      </c>
      <c r="G12" s="113">
        <f>COUNTIF(Prisustvovanjeumaju[4],"Ne")+COUNTIF(Prisustvovanjeumaju[4],"O")</f>
        <v>0</v>
      </c>
      <c r="H12" s="113">
        <f>COUNTIF(Prisustvovanjeumaju[5],"Ne")+COUNTIF(Prisustvovanjeumaju[5],"O")</f>
        <v>0</v>
      </c>
      <c r="I12" s="113">
        <f>COUNTIF(Prisustvovanjeumaju[6],"Ne")+COUNTIF(Prisustvovanjeumaju[6],"O")</f>
        <v>0</v>
      </c>
      <c r="J12" s="113">
        <f>COUNTIF(Prisustvovanjeumaju[7],"Ne")+COUNTIF(Prisustvovanjeumaju[7],"O")</f>
        <v>0</v>
      </c>
      <c r="K12" s="113">
        <f>COUNTIF(Prisustvovanjeumaju[8],"Ne")+COUNTIF(Prisustvovanjeumaju[8],"O")</f>
        <v>0</v>
      </c>
      <c r="L12" s="113">
        <f>COUNTIF(Prisustvovanjeumaju[9],"Ne")+COUNTIF(Prisustvovanjeumaju[9],"O")</f>
        <v>0</v>
      </c>
      <c r="M12" s="113">
        <f>COUNTIF(Prisustvovanjeumaju[10],"Ne")+COUNTIF(Prisustvovanjeumaju[10],"O")</f>
        <v>0</v>
      </c>
      <c r="N12" s="113">
        <f>COUNTIF(Prisustvovanjeumaju[11],"Ne")+COUNTIF(Prisustvovanjeumaju[11],"O")</f>
        <v>0</v>
      </c>
      <c r="O12" s="113">
        <f>COUNTIF(Prisustvovanjeumaju[12],"Ne")+COUNTIF(Prisustvovanjeumaju[12],"O")</f>
        <v>0</v>
      </c>
      <c r="P12" s="113">
        <f>COUNTIF(Prisustvovanjeumaju[13],"Ne")+COUNTIF(Prisustvovanjeumaju[13],"O")</f>
        <v>0</v>
      </c>
      <c r="Q12" s="113">
        <f>COUNTIF(Prisustvovanjeumaju[14],"Ne")+COUNTIF(Prisustvovanjeumaju[14],"O")</f>
        <v>0</v>
      </c>
      <c r="R12" s="113">
        <f>COUNTIF(Prisustvovanjeumaju[15],"Ne")+COUNTIF(Prisustvovanjeumaju[15],"O")</f>
        <v>0</v>
      </c>
      <c r="S12" s="113">
        <f>COUNTIF(Prisustvovanjeumaju[16],"Ne")+COUNTIF(Prisustvovanjeumaju[16],"O")</f>
        <v>0</v>
      </c>
      <c r="T12" s="113">
        <f>COUNTIF(Prisustvovanjeumaju[17],"Ne")+COUNTIF(Prisustvovanjeumaju[17],"O")</f>
        <v>0</v>
      </c>
      <c r="U12" s="113">
        <f>COUNTIF(Prisustvovanjeumaju[18],"Ne")+COUNTIF(Prisustvovanjeumaju[18],"O")</f>
        <v>0</v>
      </c>
      <c r="V12" s="113">
        <f>COUNTIF(Prisustvovanjeumaju[19],"Ne")+COUNTIF(Prisustvovanjeumaju[19],"O")</f>
        <v>0</v>
      </c>
      <c r="W12" s="113">
        <f>COUNTIF(Prisustvovanjeumaju[20],"Ne")+COUNTIF(Prisustvovanjeumaju[20],"O")</f>
        <v>0</v>
      </c>
      <c r="X12" s="113">
        <f>COUNTIF(Prisustvovanjeumaju[21],"Ne")+COUNTIF(Prisustvovanjeumaju[21],"O")</f>
        <v>0</v>
      </c>
      <c r="Y12" s="113">
        <f>COUNTIF(Prisustvovanjeumaju[22],"Ne")+COUNTIF(Prisustvovanjeumaju[22],"O")</f>
        <v>0</v>
      </c>
      <c r="Z12" s="113">
        <f>COUNTIF(Prisustvovanjeumaju[23],"Ne")+COUNTIF(Prisustvovanjeumaju[23],"O")</f>
        <v>0</v>
      </c>
      <c r="AA12" s="113">
        <f>COUNTIF(Prisustvovanjeumaju[24],"Ne")+COUNTIF(Prisustvovanjeumaju[24],"O")</f>
        <v>0</v>
      </c>
      <c r="AB12" s="113">
        <f>COUNTIF(Prisustvovanjeumaju[25],"Ne")+COUNTIF(Prisustvovanjeumaju[25],"O")</f>
        <v>0</v>
      </c>
      <c r="AC12" s="113">
        <f>COUNTIF(Prisustvovanjeumaju[26],"Ne")+COUNTIF(Prisustvovanjeumaju[26],"O")</f>
        <v>0</v>
      </c>
      <c r="AD12" s="113">
        <f>COUNTIF(Prisustvovanjeumaju[27],"Ne")+COUNTIF(Prisustvovanjeumaju[27],"O")</f>
        <v>0</v>
      </c>
      <c r="AE12" s="113">
        <f>COUNTIF(Prisustvovanjeumaju[28],"Ne")+COUNTIF(Prisustvovanjeumaju[28],"O")</f>
        <v>0</v>
      </c>
      <c r="AF12" s="113">
        <f>COUNTIF(Prisustvovanjeumaju[29],"Ne")+COUNTIF(Prisustvovanjeumaju[29],"O")</f>
        <v>0</v>
      </c>
      <c r="AG12" s="113">
        <f>COUNTIF(Prisustvovanjeumaju[30],"Ne")+COUNTIF(Prisustvovanjeumaju[30],"O")</f>
        <v>0</v>
      </c>
      <c r="AH12" s="113">
        <f>COUNTIF(Prisustvovanjeumaju[31],"Ne")+COUNTIF(Prisustvovanjeumaju[31],"O")</f>
        <v>0</v>
      </c>
      <c r="AI12" s="113">
        <f>SUBTOTAL(109,Prisustvovanjeumaju[Z])</f>
        <v>0</v>
      </c>
      <c r="AJ12" s="113">
        <f>SUBTOTAL(109,Prisustvovanjeumaju[O])</f>
        <v>0</v>
      </c>
      <c r="AK12" s="113">
        <f>SUBTOTAL(109,Prisustvovanjeumaju[Ne])</f>
        <v>0</v>
      </c>
      <c r="AL12" s="113">
        <f>SUBTOTAL(109,Prisustvovanjeumaju[P])</f>
        <v>0</v>
      </c>
      <c r="AM12" s="113">
        <f>SUBTOTAL(109,Prisustvovanjeumaju[Dani odsustvovanja])</f>
        <v>0</v>
      </c>
    </row>
    <row r="14" spans="1:39" ht="16.5" customHeight="1" x14ac:dyDescent="0.25"/>
    <row r="15" spans="1:39" ht="16.5" customHeight="1" x14ac:dyDescent="0.25"/>
    <row r="16" spans="1:3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I5:AM5"/>
  </mergeCells>
  <conditionalFormatting sqref="AM7:AM11">
    <cfRule type="dataBar" priority="1">
      <dataBar>
        <cfvo type="min"/>
        <cfvo type="num" val="DATEDIF(DATE(Kalendarskagodina,2,1),DATE(Kalendarskagodina,3,1),&quot;d&quot;)"/>
        <color theme="4"/>
      </dataBar>
      <extLst>
        <ext xmlns:x14="http://schemas.microsoft.com/office/spreadsheetml/2009/9/main" uri="{B025F937-C7B1-47D3-B67F-A62EFF666E3E}">
          <x14:id>{075C44B9-B707-434A-A9F0-95252D34B3EF}</x14:id>
        </ext>
      </extLst>
    </cfRule>
  </conditionalFormatting>
  <conditionalFormatting sqref="D7:AF11">
    <cfRule type="expression" dxfId="254" priority="2" stopIfTrue="1">
      <formula>D7=Šifra2</formula>
    </cfRule>
  </conditionalFormatting>
  <conditionalFormatting sqref="D7:AF11">
    <cfRule type="expression" dxfId="253" priority="3" stopIfTrue="1">
      <formula>D7=Šifra5</formula>
    </cfRule>
    <cfRule type="expression" dxfId="252" priority="4" stopIfTrue="1">
      <formula>D7=Šifra4</formula>
    </cfRule>
    <cfRule type="expression" dxfId="251" priority="5" stopIfTrue="1">
      <formula>D7=Šifra3</formula>
    </cfRule>
    <cfRule type="expression" dxfId="250" priority="6" stopIfTrue="1">
      <formula>D7=Šifra1</formula>
    </cfRule>
  </conditionalFormatting>
  <dataValidations count="1">
    <dataValidation type="list" errorStyle="warning" allowBlank="1" showInputMessage="1" showErrorMessage="1" errorTitle="Ups!" error="ID učenika koji ste uneli nije na listu „Lista učenika“. Možete kliknuti na „Da“ da biste koristili ono što ste uneli, ali taj ID učenika neće biti dostupan na listu „Izveštaj o prisustvovanju učenika“." sqref="B7:B11">
      <formula1>IDučenika</formula1>
    </dataValidation>
  </dataValidations>
  <printOptions horizontalCentered="1"/>
  <pageMargins left="0.5" right="0.5" top="0.75" bottom="0.75" header="0.3" footer="0.3"/>
  <pageSetup paperSize="9" scale="5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5C44B9-B707-434A-A9F0-95252D34B3EF}">
            <x14:dataBar minLength="0" maxLength="100" border="1" negativeBarBorderColorSameAsPositive="0">
              <x14:cfvo type="autoMin"/>
              <x14:cfvo type="num">
                <xm:f>DATEDIF(DATE(Kalendarskagodina,2,1),DATE(Kalendarskagodina,3,1),"d")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AM7:AM11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M264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customHeight="1" x14ac:dyDescent="0.25"/>
  <cols>
    <col min="1" max="1" width="2.7109375" style="11" customWidth="1"/>
    <col min="2" max="2" width="10.85546875" style="11" customWidth="1"/>
    <col min="3" max="3" width="28.85546875" style="12" customWidth="1"/>
    <col min="4" max="34" width="5" style="10" customWidth="1"/>
    <col min="35" max="35" width="4.7109375" style="9" customWidth="1"/>
    <col min="36" max="36" width="4.7109375" style="10" customWidth="1"/>
    <col min="37" max="38" width="4.7109375" style="11" customWidth="1"/>
    <col min="39" max="39" width="19.7109375" style="11" bestFit="1" customWidth="1"/>
    <col min="40" max="16384" width="9.140625" style="11"/>
  </cols>
  <sheetData>
    <row r="1" spans="1:39" s="1" customFormat="1" ht="42" customHeight="1" x14ac:dyDescent="0.25">
      <c r="A1" s="33" t="s">
        <v>86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6"/>
      <c r="AH1" s="34"/>
      <c r="AI1" s="34"/>
      <c r="AJ1" s="37"/>
      <c r="AK1" s="34"/>
      <c r="AL1" s="53" t="s">
        <v>69</v>
      </c>
      <c r="AM1" s="54">
        <f>Kalendarskagodina</f>
        <v>2012</v>
      </c>
    </row>
    <row r="2" spans="1:39" customFormat="1" ht="13.5" x14ac:dyDescent="0.25"/>
    <row r="3" spans="1:39" s="28" customFormat="1" ht="12.75" customHeight="1" x14ac:dyDescent="0.25">
      <c r="C3" s="40" t="str">
        <f>Teksthromakija</f>
        <v xml:space="preserve">HROMA KI </v>
      </c>
      <c r="D3" s="47" t="str">
        <f>Šifra1</f>
        <v>Z</v>
      </c>
      <c r="E3" s="64" t="str">
        <f>Tekstšifre1</f>
        <v>Zakasnio</v>
      </c>
      <c r="F3" s="55"/>
      <c r="H3" s="48" t="str">
        <f>Šifra2</f>
        <v>O</v>
      </c>
      <c r="I3" s="52" t="str">
        <f>Tekstšifre2</f>
        <v>Opravdan</v>
      </c>
      <c r="L3" s="49" t="str">
        <f>Šifra3</f>
        <v>Ne</v>
      </c>
      <c r="M3" s="52" t="str">
        <f>Tekstšifre3</f>
        <v>Neopravdan</v>
      </c>
      <c r="P3" s="50" t="str">
        <f>Šifra4</f>
        <v>P</v>
      </c>
      <c r="Q3" s="52" t="str">
        <f>Tekstšifre4</f>
        <v>Prisutan</v>
      </c>
      <c r="T3" s="51" t="str">
        <f>Šifra5</f>
        <v>N</v>
      </c>
      <c r="U3" s="52" t="str">
        <f>Tekstšifre5</f>
        <v>Nema škole</v>
      </c>
      <c r="W3"/>
      <c r="X3"/>
      <c r="Y3"/>
      <c r="AD3" s="27"/>
      <c r="AE3" s="27"/>
      <c r="AH3" s="29"/>
      <c r="AI3" s="30"/>
      <c r="AK3" s="31"/>
    </row>
    <row r="4" spans="1:39" customFormat="1" ht="16.5" customHeight="1" x14ac:dyDescent="0.25"/>
    <row r="5" spans="1:39" s="2" customFormat="1" ht="18" customHeight="1" x14ac:dyDescent="0.3">
      <c r="B5" s="57">
        <f>DATE(Kalendarskagodina+1,6,1)</f>
        <v>41426</v>
      </c>
      <c r="C5" s="56"/>
      <c r="D5" s="38" t="str">
        <f>TEXT(WEEKDAY(DATE(Kalendarskagodina+1,6,1),1),"aaa")</f>
        <v>sub</v>
      </c>
      <c r="E5" s="38" t="str">
        <f>TEXT(WEEKDAY(DATE(Kalendarskagodina+1,6,2),1),"aaa")</f>
        <v>ned</v>
      </c>
      <c r="F5" s="38" t="str">
        <f>TEXT(WEEKDAY(DATE(Kalendarskagodina+1,6,3),1),"aaa")</f>
        <v>pon</v>
      </c>
      <c r="G5" s="38" t="str">
        <f>TEXT(WEEKDAY(DATE(Kalendarskagodina+1,6,4),1),"aaa")</f>
        <v>uto</v>
      </c>
      <c r="H5" s="38" t="str">
        <f>TEXT(WEEKDAY(DATE(Kalendarskagodina+1,6,5),1),"aaa")</f>
        <v>sre</v>
      </c>
      <c r="I5" s="38" t="str">
        <f>TEXT(WEEKDAY(DATE(Kalendarskagodina+1,6,6),1),"aaa")</f>
        <v>čet</v>
      </c>
      <c r="J5" s="38" t="str">
        <f>TEXT(WEEKDAY(DATE(Kalendarskagodina+1,6,7),1),"aaa")</f>
        <v>pet</v>
      </c>
      <c r="K5" s="38" t="str">
        <f>TEXT(WEEKDAY(DATE(Kalendarskagodina+1,6,8),1),"aaa")</f>
        <v>sub</v>
      </c>
      <c r="L5" s="38" t="str">
        <f>TEXT(WEEKDAY(DATE(Kalendarskagodina+1,6,9),1),"aaa")</f>
        <v>ned</v>
      </c>
      <c r="M5" s="38" t="str">
        <f>TEXT(WEEKDAY(DATE(Kalendarskagodina+1,6,10),1),"aaa")</f>
        <v>pon</v>
      </c>
      <c r="N5" s="38" t="str">
        <f>TEXT(WEEKDAY(DATE(Kalendarskagodina+1,6,11),1),"aaa")</f>
        <v>uto</v>
      </c>
      <c r="O5" s="38" t="str">
        <f>TEXT(WEEKDAY(DATE(Kalendarskagodina+1,6,12),1),"aaa")</f>
        <v>sre</v>
      </c>
      <c r="P5" s="38" t="str">
        <f>TEXT(WEEKDAY(DATE(Kalendarskagodina+1,6,13),1),"aaa")</f>
        <v>čet</v>
      </c>
      <c r="Q5" s="38" t="str">
        <f>TEXT(WEEKDAY(DATE(Kalendarskagodina+1,6,14),1),"aaa")</f>
        <v>pet</v>
      </c>
      <c r="R5" s="38" t="str">
        <f>TEXT(WEEKDAY(DATE(Kalendarskagodina+1,6,15),1),"aaa")</f>
        <v>sub</v>
      </c>
      <c r="S5" s="38" t="str">
        <f>TEXT(WEEKDAY(DATE(Kalendarskagodina+1,6,16),1),"aaa")</f>
        <v>ned</v>
      </c>
      <c r="T5" s="38" t="str">
        <f>TEXT(WEEKDAY(DATE(Kalendarskagodina+1,6,17),1),"aaa")</f>
        <v>pon</v>
      </c>
      <c r="U5" s="38" t="str">
        <f>TEXT(WEEKDAY(DATE(Kalendarskagodina+1,6,18),1),"aaa")</f>
        <v>uto</v>
      </c>
      <c r="V5" s="38" t="str">
        <f>TEXT(WEEKDAY(DATE(Kalendarskagodina+1,6,19),1),"aaa")</f>
        <v>sre</v>
      </c>
      <c r="W5" s="38" t="str">
        <f>TEXT(WEEKDAY(DATE(Kalendarskagodina+1,6,20),1),"aaa")</f>
        <v>čet</v>
      </c>
      <c r="X5" s="38" t="str">
        <f>TEXT(WEEKDAY(DATE(Kalendarskagodina+1,6,21),1),"aaa")</f>
        <v>pet</v>
      </c>
      <c r="Y5" s="38" t="str">
        <f>TEXT(WEEKDAY(DATE(Kalendarskagodina+1,6,22),1),"aaa")</f>
        <v>sub</v>
      </c>
      <c r="Z5" s="38" t="str">
        <f>TEXT(WEEKDAY(DATE(Kalendarskagodina+1,6,23),1),"aaa")</f>
        <v>ned</v>
      </c>
      <c r="AA5" s="38" t="str">
        <f>TEXT(WEEKDAY(DATE(Kalendarskagodina+1,6,24),1),"aaa")</f>
        <v>pon</v>
      </c>
      <c r="AB5" s="38" t="str">
        <f>TEXT(WEEKDAY(DATE(Kalendarskagodina+1,6,25),1),"aaa")</f>
        <v>uto</v>
      </c>
      <c r="AC5" s="38" t="str">
        <f>TEXT(WEEKDAY(DATE(Kalendarskagodina+1,6,26),1),"aaa")</f>
        <v>sre</v>
      </c>
      <c r="AD5" s="38" t="str">
        <f>TEXT(WEEKDAY(DATE(Kalendarskagodina+1,6,27),1),"aaa")</f>
        <v>čet</v>
      </c>
      <c r="AE5" s="38" t="str">
        <f>TEXT(WEEKDAY(DATE(Kalendarskagodina+1,6,28),1),"aaa")</f>
        <v>pet</v>
      </c>
      <c r="AF5" s="38" t="str">
        <f>TEXT(WEEKDAY(DATE(Kalendarskagodina+1,6,29),1),"aaa")</f>
        <v>sub</v>
      </c>
      <c r="AG5" s="38" t="str">
        <f>TEXT(WEEKDAY(DATE(Kalendarskagodina+1,6,30),1),"aaa")</f>
        <v>ned</v>
      </c>
      <c r="AH5" s="38"/>
      <c r="AI5" s="129" t="s">
        <v>38</v>
      </c>
      <c r="AJ5" s="129"/>
      <c r="AK5" s="129"/>
      <c r="AL5" s="129"/>
      <c r="AM5" s="129"/>
    </row>
    <row r="6" spans="1:39" ht="14.25" customHeight="1" x14ac:dyDescent="0.25">
      <c r="B6" s="24" t="s">
        <v>34</v>
      </c>
      <c r="C6" s="25" t="s">
        <v>36</v>
      </c>
      <c r="D6" s="26" t="s">
        <v>0</v>
      </c>
      <c r="E6" s="26" t="s">
        <v>1</v>
      </c>
      <c r="F6" s="26" t="s">
        <v>2</v>
      </c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26" t="s">
        <v>15</v>
      </c>
      <c r="T6" s="26" t="s">
        <v>16</v>
      </c>
      <c r="U6" s="26" t="s">
        <v>17</v>
      </c>
      <c r="V6" s="26" t="s">
        <v>18</v>
      </c>
      <c r="W6" s="26" t="s">
        <v>19</v>
      </c>
      <c r="X6" s="26" t="s">
        <v>20</v>
      </c>
      <c r="Y6" s="26" t="s">
        <v>21</v>
      </c>
      <c r="Z6" s="26" t="s">
        <v>22</v>
      </c>
      <c r="AA6" s="26" t="s">
        <v>23</v>
      </c>
      <c r="AB6" s="26" t="s">
        <v>24</v>
      </c>
      <c r="AC6" s="26" t="s">
        <v>25</v>
      </c>
      <c r="AD6" s="26" t="s">
        <v>26</v>
      </c>
      <c r="AE6" s="26" t="s">
        <v>27</v>
      </c>
      <c r="AF6" s="26" t="s">
        <v>28</v>
      </c>
      <c r="AG6" s="26" t="s">
        <v>29</v>
      </c>
      <c r="AH6" s="26" t="s">
        <v>116</v>
      </c>
      <c r="AI6" s="89" t="s">
        <v>127</v>
      </c>
      <c r="AJ6" s="65" t="s">
        <v>128</v>
      </c>
      <c r="AK6" s="66" t="s">
        <v>129</v>
      </c>
      <c r="AL6" s="67" t="s">
        <v>31</v>
      </c>
      <c r="AM6" t="s">
        <v>37</v>
      </c>
    </row>
    <row r="7" spans="1:39" ht="16.5" customHeight="1" x14ac:dyDescent="0.25">
      <c r="B7" s="23"/>
      <c r="C7" s="19" t="str">
        <f>IFERROR(VLOOKUP(Prisustvovanjeujunu[[#This Row],[ID učenika]],Listaučenika[],18,FALSE),"")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3"/>
      <c r="AH7" s="3"/>
      <c r="AI7" s="32">
        <f>COUNTIF(Prisustvovanjeujunu[[#This Row],[1]:[ ]],Šifra1)</f>
        <v>0</v>
      </c>
      <c r="AJ7" s="32">
        <f>COUNTIF(Prisustvovanjeujunu[[#This Row],[1]:[ ]],Šifra2)</f>
        <v>0</v>
      </c>
      <c r="AK7" s="32">
        <f>COUNTIF(Prisustvovanjeujunu[[#This Row],[1]:[ ]],Šifra3)</f>
        <v>0</v>
      </c>
      <c r="AL7" s="32">
        <f>COUNTIF(Prisustvovanjeujunu[[#This Row],[1]:[ ]],Šifra4)</f>
        <v>0</v>
      </c>
      <c r="AM7" s="6">
        <f>SUM(Prisustvovanjeuseptembru[[#This Row],[O]:[Ne]])</f>
        <v>0</v>
      </c>
    </row>
    <row r="8" spans="1:39" ht="16.5" customHeight="1" x14ac:dyDescent="0.25">
      <c r="B8" s="23"/>
      <c r="C8" s="19" t="str">
        <f>IFERROR(VLOOKUP(Prisustvovanjeujunu[[#This Row],[ID učenika]],Listaučenika[],18,FALSE),"")</f>
        <v/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3"/>
      <c r="AH8" s="3"/>
      <c r="AI8" s="32">
        <f>COUNTIF(Prisustvovanjeujunu[[#This Row],[1]:[ ]],Šifra1)</f>
        <v>0</v>
      </c>
      <c r="AJ8" s="32">
        <f>COUNTIF(Prisustvovanjeujunu[[#This Row],[1]:[ ]],Šifra2)</f>
        <v>0</v>
      </c>
      <c r="AK8" s="32">
        <f>COUNTIF(Prisustvovanjeujunu[[#This Row],[1]:[ ]],Šifra3)</f>
        <v>0</v>
      </c>
      <c r="AL8" s="32">
        <f>COUNTIF(Prisustvovanjeujunu[[#This Row],[1]:[ ]],Šifra4)</f>
        <v>0</v>
      </c>
      <c r="AM8" s="6">
        <f>SUM(Prisustvovanjeuseptembru[[#This Row],[O]:[Ne]])</f>
        <v>0</v>
      </c>
    </row>
    <row r="9" spans="1:39" ht="16.5" customHeight="1" x14ac:dyDescent="0.25">
      <c r="B9" s="23"/>
      <c r="C9" s="19" t="str">
        <f>IFERROR(VLOOKUP(Prisustvovanjeujunu[[#This Row],[ID učenika]],Listaučenika[],18,FALSE),"")</f>
        <v/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3"/>
      <c r="AH9" s="3"/>
      <c r="AI9" s="32">
        <f>COUNTIF(Prisustvovanjeujunu[[#This Row],[1]:[ ]],Šifra1)</f>
        <v>0</v>
      </c>
      <c r="AJ9" s="32">
        <f>COUNTIF(Prisustvovanjeujunu[[#This Row],[1]:[ ]],Šifra2)</f>
        <v>0</v>
      </c>
      <c r="AK9" s="32">
        <f>COUNTIF(Prisustvovanjeujunu[[#This Row],[1]:[ ]],Šifra3)</f>
        <v>0</v>
      </c>
      <c r="AL9" s="32">
        <f>COUNTIF(Prisustvovanjeujunu[[#This Row],[1]:[ ]],Šifra4)</f>
        <v>0</v>
      </c>
      <c r="AM9" s="6">
        <f>SUM(Prisustvovanjeuseptembru[[#This Row],[O]:[Ne]])</f>
        <v>0</v>
      </c>
    </row>
    <row r="10" spans="1:39" ht="16.5" customHeight="1" x14ac:dyDescent="0.25">
      <c r="B10" s="23"/>
      <c r="C10" s="19" t="str">
        <f>IFERROR(VLOOKUP(Prisustvovanjeujunu[[#This Row],[ID učenika]],Listaučenika[],18,FALSE),"")</f>
        <v/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3"/>
      <c r="AH10" s="3"/>
      <c r="AI10" s="32">
        <f>COUNTIF(Prisustvovanjeujunu[[#This Row],[1]:[ ]],Šifra1)</f>
        <v>0</v>
      </c>
      <c r="AJ10" s="32">
        <f>COUNTIF(Prisustvovanjeujunu[[#This Row],[1]:[ ]],Šifra2)</f>
        <v>0</v>
      </c>
      <c r="AK10" s="32">
        <f>COUNTIF(Prisustvovanjeujunu[[#This Row],[1]:[ ]],Šifra3)</f>
        <v>0</v>
      </c>
      <c r="AL10" s="32">
        <f>COUNTIF(Prisustvovanjeujunu[[#This Row],[1]:[ ]],Šifra4)</f>
        <v>0</v>
      </c>
      <c r="AM10" s="6">
        <f>SUM(Prisustvovanjeuseptembru[[#This Row],[O]:[Ne]])</f>
        <v>0</v>
      </c>
    </row>
    <row r="11" spans="1:39" ht="16.5" customHeight="1" x14ac:dyDescent="0.25">
      <c r="B11" s="23"/>
      <c r="C11" s="19" t="str">
        <f>IFERROR(VLOOKUP(Prisustvovanjeujunu[[#This Row],[ID učenika]],Listaučenika[],18,FALSE),"")</f>
        <v/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3"/>
      <c r="AH11" s="3"/>
      <c r="AI11" s="32">
        <f>COUNTIF(Prisustvovanjeujunu[[#This Row],[1]:[ ]],Šifra1)</f>
        <v>0</v>
      </c>
      <c r="AJ11" s="32">
        <f>COUNTIF(Prisustvovanjeujunu[[#This Row],[1]:[ ]],Šifra2)</f>
        <v>0</v>
      </c>
      <c r="AK11" s="32">
        <f>COUNTIF(Prisustvovanjeujunu[[#This Row],[1]:[ ]],Šifra3)</f>
        <v>0</v>
      </c>
      <c r="AL11" s="32">
        <f>COUNTIF(Prisustvovanjeujunu[[#This Row],[1]:[ ]],Šifra4)</f>
        <v>0</v>
      </c>
      <c r="AM11" s="6">
        <f>SUM(Prisustvovanjeuseptembru[[#This Row],[O]:[Ne]])</f>
        <v>0</v>
      </c>
    </row>
    <row r="12" spans="1:39" ht="16.5" customHeight="1" x14ac:dyDescent="0.25">
      <c r="B12" s="111"/>
      <c r="C12" s="112" t="s">
        <v>117</v>
      </c>
      <c r="D12" s="113">
        <f>COUNTIF(Prisustvovanjeujunu[1],"Ne")+COUNTIF(Prisustvovanjeujunu[1],"O")</f>
        <v>0</v>
      </c>
      <c r="E12" s="113">
        <f>COUNTIF(Prisustvovanjeujunu[2],"Ne")+COUNTIF(Prisustvovanjeujunu[2],"O")</f>
        <v>0</v>
      </c>
      <c r="F12" s="113">
        <f>COUNTIF(Prisustvovanjeujunu[3],"Ne")+COUNTIF(Prisustvovanjeujunu[3],"O")</f>
        <v>0</v>
      </c>
      <c r="G12" s="113">
        <f>COUNTIF(Prisustvovanjeujunu[4],"Ne")+COUNTIF(Prisustvovanjeujunu[4],"O")</f>
        <v>0</v>
      </c>
      <c r="H12" s="113">
        <f>COUNTIF(Prisustvovanjeujunu[5],"Ne")+COUNTIF(Prisustvovanjeujunu[5],"O")</f>
        <v>0</v>
      </c>
      <c r="I12" s="113">
        <f>COUNTIF(Prisustvovanjeujunu[6],"Ne")+COUNTIF(Prisustvovanjeujunu[6],"O")</f>
        <v>0</v>
      </c>
      <c r="J12" s="113">
        <f>COUNTIF(Prisustvovanjeujunu[7],"Ne")+COUNTIF(Prisustvovanjeujunu[7],"O")</f>
        <v>0</v>
      </c>
      <c r="K12" s="113">
        <f>COUNTIF(Prisustvovanjeujunu[8],"Ne")+COUNTIF(Prisustvovanjeujunu[8],"O")</f>
        <v>0</v>
      </c>
      <c r="L12" s="113">
        <f>COUNTIF(Prisustvovanjeujunu[9],"Ne")+COUNTIF(Prisustvovanjeujunu[9],"O")</f>
        <v>0</v>
      </c>
      <c r="M12" s="113">
        <f>COUNTIF(Prisustvovanjeujunu[10],"Ne")+COUNTIF(Prisustvovanjeujunu[10],"O")</f>
        <v>0</v>
      </c>
      <c r="N12" s="113">
        <f>COUNTIF(Prisustvovanjeujunu[11],"Ne")+COUNTIF(Prisustvovanjeujunu[11],"O")</f>
        <v>0</v>
      </c>
      <c r="O12" s="113">
        <f>COUNTIF(Prisustvovanjeujunu[12],"Ne")+COUNTIF(Prisustvovanjeujunu[12],"O")</f>
        <v>0</v>
      </c>
      <c r="P12" s="113">
        <f>COUNTIF(Prisustvovanjeujunu[13],"Ne")+COUNTIF(Prisustvovanjeujunu[13],"O")</f>
        <v>0</v>
      </c>
      <c r="Q12" s="113">
        <f>COUNTIF(Prisustvovanjeujunu[14],"Ne")+COUNTIF(Prisustvovanjeujunu[14],"O")</f>
        <v>0</v>
      </c>
      <c r="R12" s="113">
        <f>COUNTIF(Prisustvovanjeujunu[15],"Ne")+COUNTIF(Prisustvovanjeujunu[15],"O")</f>
        <v>0</v>
      </c>
      <c r="S12" s="113">
        <f>COUNTIF(Prisustvovanjeujunu[16],"Ne")+COUNTIF(Prisustvovanjeujunu[16],"O")</f>
        <v>0</v>
      </c>
      <c r="T12" s="113">
        <f>COUNTIF(Prisustvovanjeujunu[17],"Ne")+COUNTIF(Prisustvovanjeujunu[17],"O")</f>
        <v>0</v>
      </c>
      <c r="U12" s="113">
        <f>COUNTIF(Prisustvovanjeujunu[18],"Ne")+COUNTIF(Prisustvovanjeujunu[18],"O")</f>
        <v>0</v>
      </c>
      <c r="V12" s="113">
        <f>COUNTIF(Prisustvovanjeujunu[19],"Ne")+COUNTIF(Prisustvovanjeujunu[19],"O")</f>
        <v>0</v>
      </c>
      <c r="W12" s="113">
        <f>COUNTIF(Prisustvovanjeujunu[20],"Ne")+COUNTIF(Prisustvovanjeujunu[20],"O")</f>
        <v>0</v>
      </c>
      <c r="X12" s="113">
        <f>COUNTIF(Prisustvovanjeujunu[21],"Ne")+COUNTIF(Prisustvovanjeujunu[21],"O")</f>
        <v>0</v>
      </c>
      <c r="Y12" s="113">
        <f>COUNTIF(Prisustvovanjeujunu[22],"Ne")+COUNTIF(Prisustvovanjeujunu[22],"O")</f>
        <v>0</v>
      </c>
      <c r="Z12" s="113">
        <f>COUNTIF(Prisustvovanjeujunu[23],"Ne")+COUNTIF(Prisustvovanjeujunu[23],"O")</f>
        <v>0</v>
      </c>
      <c r="AA12" s="113">
        <f>COUNTIF(Prisustvovanjeujunu[24],"Ne")+COUNTIF(Prisustvovanjeujunu[24],"O")</f>
        <v>0</v>
      </c>
      <c r="AB12" s="113">
        <f>COUNTIF(Prisustvovanjeujunu[25],"Ne")+COUNTIF(Prisustvovanjeujunu[25],"O")</f>
        <v>0</v>
      </c>
      <c r="AC12" s="113">
        <f>COUNTIF(Prisustvovanjeujunu[26],"Ne")+COUNTIF(Prisustvovanjeujunu[26],"O")</f>
        <v>0</v>
      </c>
      <c r="AD12" s="113">
        <f>COUNTIF(Prisustvovanjeujunu[27],"Ne")+COUNTIF(Prisustvovanjeujunu[27],"O")</f>
        <v>0</v>
      </c>
      <c r="AE12" s="113">
        <f>COUNTIF(Prisustvovanjeujunu[28],"Ne")+COUNTIF(Prisustvovanjeujunu[28],"O")</f>
        <v>0</v>
      </c>
      <c r="AF12" s="113">
        <f>COUNTIF(Prisustvovanjeujunu[29],"Ne")+COUNTIF(Prisustvovanjeujunu[29],"O")</f>
        <v>0</v>
      </c>
      <c r="AG12" s="113">
        <f>COUNTIF(Prisustvovanjeujunu[30],"Ne")+COUNTIF(Prisustvovanjeujunu[30],"O")</f>
        <v>0</v>
      </c>
      <c r="AH12" s="113">
        <f>COUNTIF(Prisustvovanjeujunu[[ ]],"Ne")+COUNTIF(Prisustvovanjeujunu[[ ]],"O")</f>
        <v>0</v>
      </c>
      <c r="AI12" s="113">
        <f>SUBTOTAL(109,Prisustvovanjeujunu[Z])</f>
        <v>0</v>
      </c>
      <c r="AJ12" s="113">
        <f>SUBTOTAL(109,Prisustvovanjeujunu[O])</f>
        <v>0</v>
      </c>
      <c r="AK12" s="113">
        <f>SUBTOTAL(109,Prisustvovanjeujunu[Ne])</f>
        <v>0</v>
      </c>
      <c r="AL12" s="113">
        <f>SUBTOTAL(109,Prisustvovanjeujunu[P])</f>
        <v>0</v>
      </c>
      <c r="AM12" s="113">
        <f>SUBTOTAL(109,Prisustvovanjeujunu[Dani odsustvovanja])</f>
        <v>0</v>
      </c>
    </row>
    <row r="14" spans="1:39" ht="16.5" customHeight="1" x14ac:dyDescent="0.25"/>
    <row r="15" spans="1:39" ht="16.5" customHeight="1" x14ac:dyDescent="0.25"/>
    <row r="16" spans="1:3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I5:AM5"/>
  </mergeCells>
  <conditionalFormatting sqref="AM7:AM11">
    <cfRule type="dataBar" priority="1">
      <dataBar>
        <cfvo type="min"/>
        <cfvo type="num" val="DATEDIF(DATE(Kalendarskagodina,2,1),DATE(Kalendarskagodina,3,1),&quot;d&quot;)"/>
        <color theme="4"/>
      </dataBar>
      <extLst>
        <ext xmlns:x14="http://schemas.microsoft.com/office/spreadsheetml/2009/9/main" uri="{B025F937-C7B1-47D3-B67F-A62EFF666E3E}">
          <x14:id>{22C67C28-76AD-46BA-A7A2-13A61F3247FE}</x14:id>
        </ext>
      </extLst>
    </cfRule>
  </conditionalFormatting>
  <conditionalFormatting sqref="D7:AF11">
    <cfRule type="expression" dxfId="171" priority="2" stopIfTrue="1">
      <formula>D7=Šifra2</formula>
    </cfRule>
  </conditionalFormatting>
  <conditionalFormatting sqref="D7:AF11">
    <cfRule type="expression" dxfId="170" priority="3" stopIfTrue="1">
      <formula>D7=Šifra5</formula>
    </cfRule>
    <cfRule type="expression" dxfId="169" priority="4" stopIfTrue="1">
      <formula>D7=Šifra4</formula>
    </cfRule>
    <cfRule type="expression" dxfId="168" priority="5" stopIfTrue="1">
      <formula>D7=Šifra3</formula>
    </cfRule>
    <cfRule type="expression" dxfId="167" priority="6" stopIfTrue="1">
      <formula>D7=Šifra1</formula>
    </cfRule>
  </conditionalFormatting>
  <dataValidations count="1">
    <dataValidation type="list" errorStyle="warning" allowBlank="1" showInputMessage="1" showErrorMessage="1" errorTitle="Ups!" error="ID učenika koji ste uneli nije na listu „Lista učenika“. Možete kliknuti na „Da“ da biste koristili ono što ste uneli, ali taj ID učenika neće biti dostupan na listu „Izveštaj o prisustvovanju učenika“." sqref="B7:B11">
      <formula1>IDučenika</formula1>
    </dataValidation>
  </dataValidations>
  <printOptions horizontalCentered="1"/>
  <pageMargins left="0.5" right="0.5" top="0.75" bottom="0.75" header="0.3" footer="0.3"/>
  <pageSetup paperSize="9" scale="5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C67C28-76AD-46BA-A7A2-13A61F3247FE}">
            <x14:dataBar minLength="0" maxLength="100" border="1" negativeBarBorderColorSameAsPositive="0">
              <x14:cfvo type="autoMin"/>
              <x14:cfvo type="num">
                <xm:f>DATEDIF(DATE(Kalendarskagodina,2,1),DATE(Kalendarskagodina,3,1),"d")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AM7:AM11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M264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 activeCell="Q23" sqref="Q23"/>
    </sheetView>
  </sheetViews>
  <sheetFormatPr defaultRowHeight="15" customHeight="1" x14ac:dyDescent="0.25"/>
  <cols>
    <col min="1" max="1" width="2.7109375" style="11" customWidth="1"/>
    <col min="2" max="2" width="10.85546875" style="11" customWidth="1"/>
    <col min="3" max="3" width="28.85546875" style="12" customWidth="1"/>
    <col min="4" max="34" width="5" style="10" customWidth="1"/>
    <col min="35" max="35" width="4.7109375" style="9" customWidth="1"/>
    <col min="36" max="36" width="4.7109375" style="10" customWidth="1"/>
    <col min="37" max="38" width="4.7109375" style="11" customWidth="1"/>
    <col min="39" max="39" width="19.7109375" style="11" bestFit="1" customWidth="1"/>
    <col min="40" max="16384" width="9.140625" style="11"/>
  </cols>
  <sheetData>
    <row r="1" spans="1:39" s="1" customFormat="1" ht="42" customHeight="1" x14ac:dyDescent="0.25">
      <c r="A1" s="33" t="s">
        <v>86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6"/>
      <c r="AH1" s="34"/>
      <c r="AI1" s="34"/>
      <c r="AJ1" s="37"/>
      <c r="AK1" s="34"/>
      <c r="AL1" s="53" t="s">
        <v>69</v>
      </c>
      <c r="AM1" s="54">
        <f>Kalendarskagodina</f>
        <v>2012</v>
      </c>
    </row>
    <row r="2" spans="1:39" customFormat="1" ht="13.5" x14ac:dyDescent="0.25"/>
    <row r="3" spans="1:39" s="28" customFormat="1" ht="12.75" customHeight="1" x14ac:dyDescent="0.25">
      <c r="C3" s="40" t="str">
        <f>Teksthromakija</f>
        <v xml:space="preserve">HROMA KI </v>
      </c>
      <c r="D3" s="47" t="str">
        <f>Šifra1</f>
        <v>Z</v>
      </c>
      <c r="E3" s="64" t="str">
        <f>Tekstšifre1</f>
        <v>Zakasnio</v>
      </c>
      <c r="F3" s="55"/>
      <c r="H3" s="48" t="str">
        <f>Šifra2</f>
        <v>O</v>
      </c>
      <c r="I3" s="52" t="str">
        <f>Tekstšifre2</f>
        <v>Opravdan</v>
      </c>
      <c r="L3" s="49" t="str">
        <f>Šifra3</f>
        <v>Ne</v>
      </c>
      <c r="M3" s="52" t="str">
        <f>Tekstšifre3</f>
        <v>Neopravdan</v>
      </c>
      <c r="P3" s="50" t="str">
        <f>Šifra4</f>
        <v>P</v>
      </c>
      <c r="Q3" s="52" t="str">
        <f>Tekstšifre4</f>
        <v>Prisutan</v>
      </c>
      <c r="T3" s="51" t="str">
        <f>Šifra5</f>
        <v>N</v>
      </c>
      <c r="U3" s="52" t="str">
        <f>Tekstšifre5</f>
        <v>Nema škole</v>
      </c>
      <c r="W3"/>
      <c r="X3"/>
      <c r="Y3"/>
      <c r="AD3" s="27"/>
      <c r="AE3" s="27"/>
      <c r="AH3" s="29"/>
      <c r="AI3" s="30"/>
      <c r="AK3" s="31"/>
    </row>
    <row r="4" spans="1:39" customFormat="1" ht="16.5" customHeight="1" x14ac:dyDescent="0.25"/>
    <row r="5" spans="1:39" s="2" customFormat="1" ht="18" customHeight="1" x14ac:dyDescent="0.3">
      <c r="B5" s="57">
        <f>DATE(Kalendarskagodina+1,7,1)</f>
        <v>41456</v>
      </c>
      <c r="C5" s="56"/>
      <c r="D5" s="38" t="str">
        <f>TEXT(WEEKDAY(DATE(Kalendarskagodina+1,7,1),1),"aaa")</f>
        <v>pon</v>
      </c>
      <c r="E5" s="38" t="str">
        <f>TEXT(WEEKDAY(DATE(Kalendarskagodina+1,7,2),1),"aaa")</f>
        <v>uto</v>
      </c>
      <c r="F5" s="38" t="str">
        <f>TEXT(WEEKDAY(DATE(Kalendarskagodina+1,7,3),1),"aaa")</f>
        <v>sre</v>
      </c>
      <c r="G5" s="38" t="str">
        <f>TEXT(WEEKDAY(DATE(Kalendarskagodina+1,7,4),1),"aaa")</f>
        <v>čet</v>
      </c>
      <c r="H5" s="38" t="str">
        <f>TEXT(WEEKDAY(DATE(Kalendarskagodina+1,7,5),1),"aaa")</f>
        <v>pet</v>
      </c>
      <c r="I5" s="38" t="str">
        <f>TEXT(WEEKDAY(DATE(Kalendarskagodina+1,7,6),1),"aaa")</f>
        <v>sub</v>
      </c>
      <c r="J5" s="38" t="str">
        <f>TEXT(WEEKDAY(DATE(Kalendarskagodina+1,7,7),1),"aaa")</f>
        <v>ned</v>
      </c>
      <c r="K5" s="38" t="str">
        <f>TEXT(WEEKDAY(DATE(Kalendarskagodina+1,7,8),1),"aaa")</f>
        <v>pon</v>
      </c>
      <c r="L5" s="38" t="str">
        <f>TEXT(WEEKDAY(DATE(Kalendarskagodina+1,7,9),1),"aaa")</f>
        <v>uto</v>
      </c>
      <c r="M5" s="38" t="str">
        <f>TEXT(WEEKDAY(DATE(Kalendarskagodina+1,7,10),1),"aaa")</f>
        <v>sre</v>
      </c>
      <c r="N5" s="38" t="str">
        <f>TEXT(WEEKDAY(DATE(Kalendarskagodina+1,7,11),1),"aaa")</f>
        <v>čet</v>
      </c>
      <c r="O5" s="38" t="str">
        <f>TEXT(WEEKDAY(DATE(Kalendarskagodina+1,7,12),1),"aaa")</f>
        <v>pet</v>
      </c>
      <c r="P5" s="38" t="str">
        <f>TEXT(WEEKDAY(DATE(Kalendarskagodina+1,7,13),1),"aaa")</f>
        <v>sub</v>
      </c>
      <c r="Q5" s="38" t="str">
        <f>TEXT(WEEKDAY(DATE(Kalendarskagodina+1,7,14),1),"aaa")</f>
        <v>ned</v>
      </c>
      <c r="R5" s="38" t="str">
        <f>TEXT(WEEKDAY(DATE(Kalendarskagodina+1,7,15),1),"aaa")</f>
        <v>pon</v>
      </c>
      <c r="S5" s="38" t="str">
        <f>TEXT(WEEKDAY(DATE(Kalendarskagodina+1,7,16),1),"aaa")</f>
        <v>uto</v>
      </c>
      <c r="T5" s="38" t="str">
        <f>TEXT(WEEKDAY(DATE(Kalendarskagodina+1,7,17),1),"aaa")</f>
        <v>sre</v>
      </c>
      <c r="U5" s="38" t="str">
        <f>TEXT(WEEKDAY(DATE(Kalendarskagodina+1,7,18),1),"aaa")</f>
        <v>čet</v>
      </c>
      <c r="V5" s="38" t="str">
        <f>TEXT(WEEKDAY(DATE(Kalendarskagodina+1,7,19),1),"aaa")</f>
        <v>pet</v>
      </c>
      <c r="W5" s="38" t="str">
        <f>TEXT(WEEKDAY(DATE(Kalendarskagodina+1,7,20),1),"aaa")</f>
        <v>sub</v>
      </c>
      <c r="X5" s="38" t="str">
        <f>TEXT(WEEKDAY(DATE(Kalendarskagodina+1,7,21),1),"aaa")</f>
        <v>ned</v>
      </c>
      <c r="Y5" s="38" t="str">
        <f>TEXT(WEEKDAY(DATE(Kalendarskagodina+1,7,22),1),"aaa")</f>
        <v>pon</v>
      </c>
      <c r="Z5" s="38" t="str">
        <f>TEXT(WEEKDAY(DATE(Kalendarskagodina+1,7,23),1),"aaa")</f>
        <v>uto</v>
      </c>
      <c r="AA5" s="38" t="str">
        <f>TEXT(WEEKDAY(DATE(Kalendarskagodina+1,7,24),1),"aaa")</f>
        <v>sre</v>
      </c>
      <c r="AB5" s="38" t="str">
        <f>TEXT(WEEKDAY(DATE(Kalendarskagodina+1,7,25),1),"aaa")</f>
        <v>čet</v>
      </c>
      <c r="AC5" s="38" t="str">
        <f>TEXT(WEEKDAY(DATE(Kalendarskagodina+1,7,26),1),"aaa")</f>
        <v>pet</v>
      </c>
      <c r="AD5" s="38" t="str">
        <f>TEXT(WEEKDAY(DATE(Kalendarskagodina+1,7,27),1),"aaa")</f>
        <v>sub</v>
      </c>
      <c r="AE5" s="38" t="str">
        <f>TEXT(WEEKDAY(DATE(Kalendarskagodina+1,7,28),1),"aaa")</f>
        <v>ned</v>
      </c>
      <c r="AF5" s="38" t="str">
        <f>TEXT(WEEKDAY(DATE(Kalendarskagodina+1,7,29),1),"aaa")</f>
        <v>pon</v>
      </c>
      <c r="AG5" s="38" t="str">
        <f>TEXT(WEEKDAY(DATE(Kalendarskagodina+1,7,30),1),"aaa")</f>
        <v>uto</v>
      </c>
      <c r="AH5" s="38" t="str">
        <f>TEXT(WEEKDAY(DATE(Kalendarskagodina+1,7,31),1),"aaa")</f>
        <v>sre</v>
      </c>
      <c r="AI5" s="129" t="s">
        <v>38</v>
      </c>
      <c r="AJ5" s="129"/>
      <c r="AK5" s="129"/>
      <c r="AL5" s="129"/>
      <c r="AM5" s="129"/>
    </row>
    <row r="6" spans="1:39" ht="14.25" customHeight="1" x14ac:dyDescent="0.25">
      <c r="B6" s="24" t="s">
        <v>34</v>
      </c>
      <c r="C6" s="25" t="s">
        <v>36</v>
      </c>
      <c r="D6" s="26" t="s">
        <v>0</v>
      </c>
      <c r="E6" s="26" t="s">
        <v>1</v>
      </c>
      <c r="F6" s="26" t="s">
        <v>2</v>
      </c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26" t="s">
        <v>15</v>
      </c>
      <c r="T6" s="26" t="s">
        <v>16</v>
      </c>
      <c r="U6" s="26" t="s">
        <v>17</v>
      </c>
      <c r="V6" s="26" t="s">
        <v>18</v>
      </c>
      <c r="W6" s="26" t="s">
        <v>19</v>
      </c>
      <c r="X6" s="26" t="s">
        <v>20</v>
      </c>
      <c r="Y6" s="26" t="s">
        <v>21</v>
      </c>
      <c r="Z6" s="26" t="s">
        <v>22</v>
      </c>
      <c r="AA6" s="26" t="s">
        <v>23</v>
      </c>
      <c r="AB6" s="26" t="s">
        <v>24</v>
      </c>
      <c r="AC6" s="26" t="s">
        <v>25</v>
      </c>
      <c r="AD6" s="26" t="s">
        <v>26</v>
      </c>
      <c r="AE6" s="26" t="s">
        <v>27</v>
      </c>
      <c r="AF6" s="26" t="s">
        <v>28</v>
      </c>
      <c r="AG6" s="26" t="s">
        <v>29</v>
      </c>
      <c r="AH6" s="26" t="s">
        <v>30</v>
      </c>
      <c r="AI6" s="89" t="s">
        <v>127</v>
      </c>
      <c r="AJ6" s="65" t="s">
        <v>128</v>
      </c>
      <c r="AK6" s="66" t="s">
        <v>129</v>
      </c>
      <c r="AL6" s="67" t="s">
        <v>31</v>
      </c>
      <c r="AM6" t="s">
        <v>37</v>
      </c>
    </row>
    <row r="7" spans="1:39" ht="16.5" customHeight="1" x14ac:dyDescent="0.25">
      <c r="B7" s="23"/>
      <c r="C7" s="19" t="str">
        <f>IFERROR(VLOOKUP(Prisustvovanjeujulu[[#This Row],[ID učenika]],Listaučenika[],18,FALSE),"")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3"/>
      <c r="AH7" s="3"/>
      <c r="AI7" s="32">
        <f>COUNTIF(Prisustvovanjeujulu[[#This Row],[1]:[31]],Šifra1)</f>
        <v>0</v>
      </c>
      <c r="AJ7" s="32">
        <f>COUNTIF(Prisustvovanjeujulu[[#This Row],[1]:[31]],Šifra2)</f>
        <v>0</v>
      </c>
      <c r="AK7" s="32">
        <f>COUNTIF(Prisustvovanjeujulu[[#This Row],[1]:[31]],Šifra3)</f>
        <v>0</v>
      </c>
      <c r="AL7" s="32">
        <f>COUNTIF(Prisustvovanjeujulu[[#This Row],[1]:[31]],Šifra4)</f>
        <v>0</v>
      </c>
      <c r="AM7" s="6">
        <f>SUM(Prisustvovanjeuseptembru[[#This Row],[O]:[Ne]])</f>
        <v>0</v>
      </c>
    </row>
    <row r="8" spans="1:39" ht="16.5" customHeight="1" x14ac:dyDescent="0.25">
      <c r="B8" s="23"/>
      <c r="C8" s="19" t="str">
        <f>IFERROR(VLOOKUP(Prisustvovanjeujulu[[#This Row],[ID učenika]],Listaučenika[],18,FALSE),"")</f>
        <v/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3"/>
      <c r="AH8" s="3"/>
      <c r="AI8" s="32">
        <f>COUNTIF(Prisustvovanjeujulu[[#This Row],[1]:[31]],Šifra1)</f>
        <v>0</v>
      </c>
      <c r="AJ8" s="32">
        <f>COUNTIF(Prisustvovanjeujulu[[#This Row],[1]:[31]],Šifra2)</f>
        <v>0</v>
      </c>
      <c r="AK8" s="32">
        <f>COUNTIF(Prisustvovanjeujulu[[#This Row],[1]:[31]],Šifra3)</f>
        <v>0</v>
      </c>
      <c r="AL8" s="32">
        <f>COUNTIF(Prisustvovanjeujulu[[#This Row],[1]:[31]],Šifra4)</f>
        <v>0</v>
      </c>
      <c r="AM8" s="6">
        <f>SUM(Prisustvovanjeuseptembru[[#This Row],[O]:[Ne]])</f>
        <v>0</v>
      </c>
    </row>
    <row r="9" spans="1:39" ht="16.5" customHeight="1" x14ac:dyDescent="0.25">
      <c r="B9" s="23"/>
      <c r="C9" s="19" t="str">
        <f>IFERROR(VLOOKUP(Prisustvovanjeujulu[[#This Row],[ID učenika]],Listaučenika[],18,FALSE),"")</f>
        <v/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3"/>
      <c r="AH9" s="3"/>
      <c r="AI9" s="32">
        <f>COUNTIF(Prisustvovanjeujulu[[#This Row],[1]:[31]],Šifra1)</f>
        <v>0</v>
      </c>
      <c r="AJ9" s="32">
        <f>COUNTIF(Prisustvovanjeujulu[[#This Row],[1]:[31]],Šifra2)</f>
        <v>0</v>
      </c>
      <c r="AK9" s="32">
        <f>COUNTIF(Prisustvovanjeujulu[[#This Row],[1]:[31]],Šifra3)</f>
        <v>0</v>
      </c>
      <c r="AL9" s="32">
        <f>COUNTIF(Prisustvovanjeujulu[[#This Row],[1]:[31]],Šifra4)</f>
        <v>0</v>
      </c>
      <c r="AM9" s="6">
        <f>SUM(Prisustvovanjeuseptembru[[#This Row],[O]:[Ne]])</f>
        <v>0</v>
      </c>
    </row>
    <row r="10" spans="1:39" ht="16.5" customHeight="1" x14ac:dyDescent="0.25">
      <c r="B10" s="23"/>
      <c r="C10" s="19" t="str">
        <f>IFERROR(VLOOKUP(Prisustvovanjeujulu[[#This Row],[ID učenika]],Listaučenika[],18,FALSE),"")</f>
        <v/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3"/>
      <c r="AH10" s="3"/>
      <c r="AI10" s="32">
        <f>COUNTIF(Prisustvovanjeujulu[[#This Row],[1]:[31]],Šifra1)</f>
        <v>0</v>
      </c>
      <c r="AJ10" s="32">
        <f>COUNTIF(Prisustvovanjeujulu[[#This Row],[1]:[31]],Šifra2)</f>
        <v>0</v>
      </c>
      <c r="AK10" s="32">
        <f>COUNTIF(Prisustvovanjeujulu[[#This Row],[1]:[31]],Šifra3)</f>
        <v>0</v>
      </c>
      <c r="AL10" s="32">
        <f>COUNTIF(Prisustvovanjeujulu[[#This Row],[1]:[31]],Šifra4)</f>
        <v>0</v>
      </c>
      <c r="AM10" s="6">
        <f>SUM(Prisustvovanjeuseptembru[[#This Row],[O]:[Ne]])</f>
        <v>0</v>
      </c>
    </row>
    <row r="11" spans="1:39" ht="16.5" customHeight="1" x14ac:dyDescent="0.25">
      <c r="B11" s="23"/>
      <c r="C11" s="19" t="str">
        <f>IFERROR(VLOOKUP(Prisustvovanjeujulu[[#This Row],[ID učenika]],Listaučenika[],18,FALSE),"")</f>
        <v/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3"/>
      <c r="AH11" s="3"/>
      <c r="AI11" s="32">
        <f>COUNTIF(Prisustvovanjeujulu[[#This Row],[1]:[31]],Šifra1)</f>
        <v>0</v>
      </c>
      <c r="AJ11" s="32">
        <f>COUNTIF(Prisustvovanjeujulu[[#This Row],[1]:[31]],Šifra2)</f>
        <v>0</v>
      </c>
      <c r="AK11" s="32">
        <f>COUNTIF(Prisustvovanjeujulu[[#This Row],[1]:[31]],Šifra3)</f>
        <v>0</v>
      </c>
      <c r="AL11" s="32">
        <f>COUNTIF(Prisustvovanjeujulu[[#This Row],[1]:[31]],Šifra4)</f>
        <v>0</v>
      </c>
      <c r="AM11" s="6">
        <f>SUM(Prisustvovanjeuseptembru[[#This Row],[O]:[Ne]])</f>
        <v>0</v>
      </c>
    </row>
    <row r="12" spans="1:39" ht="16.5" customHeight="1" x14ac:dyDescent="0.25">
      <c r="B12" s="111"/>
      <c r="C12" s="112" t="s">
        <v>117</v>
      </c>
      <c r="D12" s="113">
        <f>COUNTIF(Prisustvovanjeujulu[1],"Ne")+COUNTIF(Prisustvovanjeujulu[1],"O")</f>
        <v>0</v>
      </c>
      <c r="E12" s="113">
        <f>COUNTIF(Prisustvovanjeujulu[2],"Ne")+COUNTIF(Prisustvovanjeujulu[2],"O")</f>
        <v>0</v>
      </c>
      <c r="F12" s="113">
        <f>COUNTIF(Prisustvovanjeujulu[3],"Ne")+COUNTIF(Prisustvovanjeujulu[3],"O")</f>
        <v>0</v>
      </c>
      <c r="G12" s="113">
        <f>COUNTIF(Prisustvovanjeujulu[4],"Ne")+COUNTIF(Prisustvovanjeujulu[4],"O")</f>
        <v>0</v>
      </c>
      <c r="H12" s="113">
        <f>COUNTIF(Prisustvovanjeujulu[5],"Ne")+COUNTIF(Prisustvovanjeujulu[5],"O")</f>
        <v>0</v>
      </c>
      <c r="I12" s="113">
        <f>COUNTIF(Prisustvovanjeujulu[6],"Ne")+COUNTIF(Prisustvovanjeujulu[6],"O")</f>
        <v>0</v>
      </c>
      <c r="J12" s="113">
        <f>COUNTIF(Prisustvovanjeujulu[7],"Ne")+COUNTIF(Prisustvovanjeujulu[7],"O")</f>
        <v>0</v>
      </c>
      <c r="K12" s="113">
        <f>COUNTIF(Prisustvovanjeujulu[8],"Ne")+COUNTIF(Prisustvovanjeujulu[8],"O")</f>
        <v>0</v>
      </c>
      <c r="L12" s="113">
        <f>COUNTIF(Prisustvovanjeujulu[9],"Ne")+COUNTIF(Prisustvovanjeujulu[9],"O")</f>
        <v>0</v>
      </c>
      <c r="M12" s="113">
        <f>COUNTIF(Prisustvovanjeujulu[10],"Ne")+COUNTIF(Prisustvovanjeujulu[10],"O")</f>
        <v>0</v>
      </c>
      <c r="N12" s="113">
        <f>COUNTIF(Prisustvovanjeujulu[11],"Ne")+COUNTIF(Prisustvovanjeujulu[11],"O")</f>
        <v>0</v>
      </c>
      <c r="O12" s="113">
        <f>COUNTIF(Prisustvovanjeujulu[12],"Ne")+COUNTIF(Prisustvovanjeujulu[12],"O")</f>
        <v>0</v>
      </c>
      <c r="P12" s="113">
        <f>COUNTIF(Prisustvovanjeujulu[13],"Ne")+COUNTIF(Prisustvovanjeujulu[13],"O")</f>
        <v>0</v>
      </c>
      <c r="Q12" s="113">
        <f>COUNTIF(Prisustvovanjeujulu[14],"Ne")+COUNTIF(Prisustvovanjeujulu[14],"O")</f>
        <v>0</v>
      </c>
      <c r="R12" s="113">
        <f>COUNTIF(Prisustvovanjeujulu[15],"Ne")+COUNTIF(Prisustvovanjeujulu[15],"O")</f>
        <v>0</v>
      </c>
      <c r="S12" s="113">
        <f>COUNTIF(Prisustvovanjeujulu[16],"Ne")+COUNTIF(Prisustvovanjeujulu[16],"O")</f>
        <v>0</v>
      </c>
      <c r="T12" s="113">
        <f>COUNTIF(Prisustvovanjeujulu[17],"Ne")+COUNTIF(Prisustvovanjeujulu[17],"O")</f>
        <v>0</v>
      </c>
      <c r="U12" s="113">
        <f>COUNTIF(Prisustvovanjeujulu[18],"Ne")+COUNTIF(Prisustvovanjeujulu[18],"O")</f>
        <v>0</v>
      </c>
      <c r="V12" s="113">
        <f>COUNTIF(Prisustvovanjeujulu[19],"Ne")+COUNTIF(Prisustvovanjeujulu[19],"O")</f>
        <v>0</v>
      </c>
      <c r="W12" s="113">
        <f>COUNTIF(Prisustvovanjeujulu[20],"Ne")+COUNTIF(Prisustvovanjeujulu[20],"O")</f>
        <v>0</v>
      </c>
      <c r="X12" s="113">
        <f>COUNTIF(Prisustvovanjeujulu[21],"Ne")+COUNTIF(Prisustvovanjeujulu[21],"O")</f>
        <v>0</v>
      </c>
      <c r="Y12" s="113">
        <f>COUNTIF(Prisustvovanjeujulu[22],"Ne")+COUNTIF(Prisustvovanjeujulu[22],"O")</f>
        <v>0</v>
      </c>
      <c r="Z12" s="113">
        <f>COUNTIF(Prisustvovanjeujulu[23],"Ne")+COUNTIF(Prisustvovanjeujulu[23],"O")</f>
        <v>0</v>
      </c>
      <c r="AA12" s="113">
        <f>COUNTIF(Prisustvovanjeujulu[24],"Ne")+COUNTIF(Prisustvovanjeujulu[24],"O")</f>
        <v>0</v>
      </c>
      <c r="AB12" s="113">
        <f>COUNTIF(Prisustvovanjeujulu[25],"Ne")+COUNTIF(Prisustvovanjeujulu[25],"O")</f>
        <v>0</v>
      </c>
      <c r="AC12" s="113">
        <f>COUNTIF(Prisustvovanjeujulu[26],"Ne")+COUNTIF(Prisustvovanjeujulu[26],"O")</f>
        <v>0</v>
      </c>
      <c r="AD12" s="113">
        <f>COUNTIF(Prisustvovanjeujulu[27],"Ne")+COUNTIF(Prisustvovanjeujulu[27],"O")</f>
        <v>0</v>
      </c>
      <c r="AE12" s="113">
        <f>COUNTIF(Prisustvovanjeujulu[28],"Ne")+COUNTIF(Prisustvovanjeujulu[28],"O")</f>
        <v>0</v>
      </c>
      <c r="AF12" s="113">
        <f>COUNTIF(Prisustvovanjeujulu[29],"Ne")+COUNTIF(Prisustvovanjeujulu[29],"O")</f>
        <v>0</v>
      </c>
      <c r="AG12" s="113">
        <f>COUNTIF(Prisustvovanjeujulu[30],"Ne")+COUNTIF(Prisustvovanjeujulu[30],"O")</f>
        <v>0</v>
      </c>
      <c r="AH12" s="113">
        <f>COUNTIF(Prisustvovanjeujulu[31],"Ne")+COUNTIF(Prisustvovanjeujulu[31],"O")</f>
        <v>0</v>
      </c>
      <c r="AI12" s="113">
        <f>SUBTOTAL(109,Prisustvovanjeujulu[Z])</f>
        <v>0</v>
      </c>
      <c r="AJ12" s="113">
        <f>SUBTOTAL(109,Prisustvovanjeujulu[O])</f>
        <v>0</v>
      </c>
      <c r="AK12" s="113">
        <f>SUBTOTAL(109,Prisustvovanjeujulu[Ne])</f>
        <v>0</v>
      </c>
      <c r="AL12" s="113">
        <f>SUBTOTAL(109,Prisustvovanjeujulu[P])</f>
        <v>0</v>
      </c>
      <c r="AM12" s="113">
        <f>SUBTOTAL(109,Prisustvovanjeujulu[Dani odsustvovanja])</f>
        <v>0</v>
      </c>
    </row>
    <row r="14" spans="1:39" ht="16.5" customHeight="1" x14ac:dyDescent="0.25"/>
    <row r="15" spans="1:39" ht="16.5" customHeight="1" x14ac:dyDescent="0.25"/>
    <row r="16" spans="1:3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I5:AM5"/>
  </mergeCells>
  <conditionalFormatting sqref="AM7:AM11">
    <cfRule type="dataBar" priority="1">
      <dataBar>
        <cfvo type="min"/>
        <cfvo type="num" val="DATEDIF(DATE(Kalendarskagodina,2,1),DATE(Kalendarskagodina,3,1),&quot;d&quot;)"/>
        <color theme="4"/>
      </dataBar>
      <extLst>
        <ext xmlns:x14="http://schemas.microsoft.com/office/spreadsheetml/2009/9/main" uri="{B025F937-C7B1-47D3-B67F-A62EFF666E3E}">
          <x14:id>{9F36FAEC-C62D-409B-BB81-2770CD5BFB3E}</x14:id>
        </ext>
      </extLst>
    </cfRule>
  </conditionalFormatting>
  <conditionalFormatting sqref="D7:AF11">
    <cfRule type="expression" dxfId="88" priority="2" stopIfTrue="1">
      <formula>D7=Šifra2</formula>
    </cfRule>
  </conditionalFormatting>
  <conditionalFormatting sqref="D7:AF11">
    <cfRule type="expression" dxfId="87" priority="3" stopIfTrue="1">
      <formula>D7=Šifra5</formula>
    </cfRule>
    <cfRule type="expression" dxfId="86" priority="4" stopIfTrue="1">
      <formula>D7=Šifra4</formula>
    </cfRule>
    <cfRule type="expression" dxfId="85" priority="5" stopIfTrue="1">
      <formula>D7=Šifra3</formula>
    </cfRule>
    <cfRule type="expression" dxfId="84" priority="6" stopIfTrue="1">
      <formula>D7=Šifra1</formula>
    </cfRule>
  </conditionalFormatting>
  <dataValidations count="1">
    <dataValidation type="list" errorStyle="warning" allowBlank="1" showInputMessage="1" showErrorMessage="1" errorTitle="Ups!" error="ID učenika koji ste uneli nije na listu „Lista učenika“. Možete kliknuti na „Da“ da biste koristili ono što ste uneli, ali taj ID učenika neće biti dostupan na listu „Izveštaj o prisustvovanju učenika“." sqref="B7:B11">
      <formula1>IDučenika</formula1>
    </dataValidation>
  </dataValidations>
  <printOptions horizontalCentered="1"/>
  <pageMargins left="0.5" right="0.5" top="0.75" bottom="0.75" header="0.3" footer="0.3"/>
  <pageSetup paperSize="9" scale="5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36FAEC-C62D-409B-BB81-2770CD5BFB3E}">
            <x14:dataBar minLength="0" maxLength="100" border="1" negativeBarBorderColorSameAsPositive="0">
              <x14:cfvo type="autoMin"/>
              <x14:cfvo type="num">
                <xm:f>DATEDIF(DATE(Kalendarskagodina,2,1),DATE(Kalendarskagodina,3,1),"d")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AM7:AM11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AK40"/>
  <sheetViews>
    <sheetView showGridLines="0" zoomScaleNormal="100" workbookViewId="0">
      <selection activeCell="B4" sqref="B4:C4"/>
    </sheetView>
  </sheetViews>
  <sheetFormatPr defaultRowHeight="13.5" x14ac:dyDescent="0.25"/>
  <cols>
    <col min="1" max="1" width="3.42578125" style="17" customWidth="1"/>
    <col min="2" max="2" width="10.85546875" style="17" customWidth="1"/>
    <col min="3" max="18" width="3.28515625" style="17" customWidth="1"/>
    <col min="19" max="22" width="3.5703125" style="17" customWidth="1"/>
    <col min="23" max="33" width="3.28515625" style="17" customWidth="1"/>
    <col min="34" max="36" width="6.140625" style="17" customWidth="1"/>
    <col min="37" max="37" width="8.5703125" style="17" bestFit="1" customWidth="1"/>
    <col min="38" max="16384" width="9.140625" style="17"/>
  </cols>
  <sheetData>
    <row r="1" spans="1:37" ht="33" customHeight="1" x14ac:dyDescent="0.25">
      <c r="A1" s="79" t="str">
        <f>"Evidencija prisustvovanja za "</f>
        <v xml:space="preserve">Evidencija prisustvovanja za </v>
      </c>
      <c r="B1" s="60"/>
      <c r="C1" s="61"/>
      <c r="D1" s="61"/>
      <c r="E1" s="61"/>
      <c r="F1" s="61"/>
      <c r="G1" s="61"/>
      <c r="H1" s="61"/>
      <c r="I1" s="58"/>
      <c r="J1" s="60"/>
      <c r="K1" s="60"/>
      <c r="L1" s="78" t="str">
        <f>D4</f>
        <v>David Aleksić</v>
      </c>
      <c r="M1" s="61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9"/>
    </row>
    <row r="2" spans="1:37" customFormat="1" ht="15" customHeight="1" x14ac:dyDescent="0.25"/>
    <row r="3" spans="1:37" ht="17.25" customHeight="1" x14ac:dyDescent="0.25">
      <c r="B3" s="96" t="s">
        <v>34</v>
      </c>
      <c r="C3" s="97"/>
      <c r="D3" s="140" t="s">
        <v>36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5" t="s">
        <v>39</v>
      </c>
      <c r="Q3" s="145"/>
      <c r="R3" s="145"/>
      <c r="S3" s="145" t="s">
        <v>40</v>
      </c>
      <c r="T3" s="145"/>
      <c r="U3" s="145"/>
      <c r="V3" s="145"/>
      <c r="W3" s="145" t="s">
        <v>41</v>
      </c>
      <c r="X3" s="145"/>
      <c r="Y3" s="145"/>
      <c r="Z3" s="145"/>
      <c r="AA3" s="145"/>
      <c r="AB3" s="145"/>
      <c r="AC3" s="145"/>
      <c r="AD3" s="145"/>
      <c r="AE3" s="143" t="s">
        <v>42</v>
      </c>
      <c r="AF3" s="143"/>
      <c r="AG3" s="145" t="s">
        <v>43</v>
      </c>
      <c r="AH3" s="145"/>
      <c r="AI3" s="145"/>
      <c r="AJ3" s="145"/>
      <c r="AK3" s="105" t="s">
        <v>44</v>
      </c>
    </row>
    <row r="4" spans="1:37" ht="17.25" customHeight="1" x14ac:dyDescent="0.25">
      <c r="B4" s="138" t="s">
        <v>89</v>
      </c>
      <c r="C4" s="138"/>
      <c r="D4" s="139" t="str">
        <f>IFERROR(VLOOKUP(Pronalaženjeučenika,Listaučenika[],18,FALSE),"")</f>
        <v>David Aleksić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7" t="str">
        <f>IFERROR(VLOOKUP(Pronalaženjeučenika,Listaučenika[],4,FALSE),"")</f>
        <v>M</v>
      </c>
      <c r="Q4" s="147"/>
      <c r="R4" s="147"/>
      <c r="S4" s="148">
        <f>IFERROR(VLOOKUP(Pronalaženjeučenika,Listaučenika[],5,FALSE),"")</f>
        <v>35517</v>
      </c>
      <c r="T4" s="148"/>
      <c r="U4" s="148"/>
      <c r="V4" s="148"/>
      <c r="W4" s="138" t="s">
        <v>96</v>
      </c>
      <c r="X4" s="138"/>
      <c r="Y4" s="138"/>
      <c r="Z4" s="138"/>
      <c r="AA4" s="138"/>
      <c r="AB4" s="138"/>
      <c r="AC4" s="138"/>
      <c r="AD4" s="138"/>
      <c r="AE4" s="144">
        <v>7</v>
      </c>
      <c r="AF4" s="144"/>
      <c r="AG4" s="138" t="s">
        <v>97</v>
      </c>
      <c r="AH4" s="138"/>
      <c r="AI4" s="138"/>
      <c r="AJ4" s="138"/>
      <c r="AK4" s="98">
        <v>123</v>
      </c>
    </row>
    <row r="5" spans="1:37" ht="17.25" customHeight="1" x14ac:dyDescent="0.25">
      <c r="B5" s="145" t="s">
        <v>78</v>
      </c>
      <c r="C5" s="145"/>
      <c r="D5" s="145"/>
      <c r="E5" s="145"/>
      <c r="F5" s="145"/>
      <c r="G5" s="145"/>
      <c r="H5" s="145"/>
      <c r="I5" s="145"/>
      <c r="J5" s="145"/>
      <c r="K5" s="145" t="s">
        <v>45</v>
      </c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 t="s">
        <v>46</v>
      </c>
      <c r="X5" s="145"/>
      <c r="Y5" s="145"/>
      <c r="Z5" s="145"/>
      <c r="AA5" s="145"/>
      <c r="AB5" s="145"/>
      <c r="AC5" s="145"/>
      <c r="AD5" s="145"/>
      <c r="AE5" s="145" t="s">
        <v>47</v>
      </c>
      <c r="AF5" s="145"/>
      <c r="AG5" s="145"/>
      <c r="AH5" s="145"/>
      <c r="AI5" s="145"/>
      <c r="AJ5" s="145"/>
      <c r="AK5" s="145"/>
    </row>
    <row r="6" spans="1:37" ht="17.25" customHeight="1" x14ac:dyDescent="0.25">
      <c r="B6" s="139" t="str">
        <f>IFERROR(VLOOKUP(Pronalaženjeučenika,Listaučenika[],6,FALSE),"")</f>
        <v>Milica</v>
      </c>
      <c r="C6" s="139"/>
      <c r="D6" s="139"/>
      <c r="E6" s="139"/>
      <c r="F6" s="139"/>
      <c r="G6" s="139"/>
      <c r="H6" s="139"/>
      <c r="I6" s="139"/>
      <c r="J6" s="139"/>
      <c r="K6" s="139" t="str">
        <f>IFERROR(VLOOKUP(Pronalaženjeučenika,Listaučenika[],7,FALSE),"")</f>
        <v>Aleksić</v>
      </c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46">
        <f>IFERROR(VLOOKUP(Pronalaženjeučenika,Listaučenika[],8,FALSE),"")</f>
        <v>1235550134</v>
      </c>
      <c r="X6" s="146"/>
      <c r="Y6" s="146"/>
      <c r="Z6" s="146"/>
      <c r="AA6" s="146"/>
      <c r="AB6" s="146"/>
      <c r="AC6" s="146"/>
      <c r="AD6" s="146"/>
      <c r="AE6" s="146">
        <f>IFERROR(VLOOKUP(Pronalaženjeučenika,Listaučenika[],9,FALSE),"")</f>
        <v>2345550134</v>
      </c>
      <c r="AF6" s="146"/>
      <c r="AG6" s="146"/>
      <c r="AH6" s="146"/>
      <c r="AI6" s="146"/>
      <c r="AJ6" s="146"/>
      <c r="AK6" s="146"/>
    </row>
    <row r="7" spans="1:37" ht="17.25" customHeight="1" x14ac:dyDescent="0.25">
      <c r="B7" s="145" t="s">
        <v>79</v>
      </c>
      <c r="C7" s="145"/>
      <c r="D7" s="145"/>
      <c r="E7" s="145"/>
      <c r="F7" s="145"/>
      <c r="G7" s="145"/>
      <c r="H7" s="145"/>
      <c r="I7" s="145"/>
      <c r="J7" s="145"/>
      <c r="K7" s="145" t="s">
        <v>45</v>
      </c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 t="s">
        <v>46</v>
      </c>
      <c r="X7" s="145"/>
      <c r="Y7" s="145"/>
      <c r="Z7" s="145"/>
      <c r="AA7" s="145"/>
      <c r="AB7" s="145"/>
      <c r="AC7" s="145"/>
      <c r="AD7" s="145"/>
      <c r="AE7" s="145" t="s">
        <v>47</v>
      </c>
      <c r="AF7" s="145"/>
      <c r="AG7" s="145"/>
      <c r="AH7" s="145"/>
      <c r="AI7" s="145"/>
      <c r="AJ7" s="145"/>
      <c r="AK7" s="145"/>
    </row>
    <row r="8" spans="1:37" ht="17.25" customHeight="1" x14ac:dyDescent="0.25">
      <c r="B8" s="139" t="str">
        <f>IFERROR(VLOOKUP(Pronalaženjeučenika,Listaučenika[],10,FALSE),"")</f>
        <v>Milica Aleksić</v>
      </c>
      <c r="C8" s="139"/>
      <c r="D8" s="139"/>
      <c r="E8" s="139"/>
      <c r="F8" s="139"/>
      <c r="G8" s="139"/>
      <c r="H8" s="139"/>
      <c r="I8" s="139"/>
      <c r="J8" s="139"/>
      <c r="K8" s="139" t="str">
        <f>IFERROR(VLOOKUP(Pronalaženjeučenika,Listaučenika[],11,FALSE),"")</f>
        <v>Otac</v>
      </c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46">
        <f>IFERROR(VLOOKUP(Pronalaženjeučenika,Listaučenika[],12,FALSE),"")</f>
        <v>1235550134</v>
      </c>
      <c r="X8" s="146"/>
      <c r="Y8" s="146"/>
      <c r="Z8" s="146"/>
      <c r="AA8" s="146"/>
      <c r="AB8" s="146"/>
      <c r="AC8" s="146"/>
      <c r="AD8" s="146"/>
      <c r="AE8" s="146">
        <f>IFERROR(VLOOKUP(Pronalaženjeučenika,Listaučenika[],13,FALSE),"")</f>
        <v>2345550134</v>
      </c>
      <c r="AF8" s="146"/>
      <c r="AG8" s="146"/>
      <c r="AH8" s="146"/>
      <c r="AI8" s="146"/>
      <c r="AJ8" s="146"/>
      <c r="AK8" s="146"/>
    </row>
    <row r="9" spans="1:37" ht="17.25" customHeight="1" x14ac:dyDescent="0.25">
      <c r="B9" s="145" t="s">
        <v>48</v>
      </c>
      <c r="C9" s="145"/>
      <c r="D9" s="145"/>
      <c r="E9" s="145"/>
      <c r="F9" s="145"/>
      <c r="G9" s="145"/>
      <c r="H9" s="145"/>
      <c r="I9" s="145"/>
      <c r="J9" s="145"/>
      <c r="K9" s="145" t="s">
        <v>45</v>
      </c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 t="s">
        <v>46</v>
      </c>
      <c r="X9" s="145"/>
      <c r="Y9" s="145"/>
      <c r="Z9" s="145"/>
      <c r="AA9" s="145"/>
      <c r="AB9" s="145"/>
      <c r="AC9" s="145"/>
      <c r="AD9" s="145"/>
      <c r="AE9" s="145" t="s">
        <v>47</v>
      </c>
      <c r="AF9" s="145"/>
      <c r="AG9" s="145"/>
      <c r="AH9" s="145"/>
      <c r="AI9" s="145"/>
      <c r="AJ9" s="145"/>
      <c r="AK9" s="145"/>
    </row>
    <row r="10" spans="1:37" ht="17.25" customHeight="1" x14ac:dyDescent="0.25">
      <c r="B10" s="139" t="str">
        <f>IFERROR(VLOOKUP(Pronalaženjeučenika,Listaučenika[],14,FALSE),"")</f>
        <v>Rajan Kočović</v>
      </c>
      <c r="C10" s="139"/>
      <c r="D10" s="139"/>
      <c r="E10" s="139"/>
      <c r="F10" s="139"/>
      <c r="G10" s="139"/>
      <c r="H10" s="139"/>
      <c r="I10" s="139"/>
      <c r="J10" s="139"/>
      <c r="K10" s="139" t="str">
        <f>IFERROR(VLOOKUP(Pronalaženjeučenika,Listaučenika[],15,FALSE),"")</f>
        <v>Deda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46">
        <f>IFERROR(VLOOKUP(Pronalaženjeučenika,Listaučenika[],16,FALSE),"")</f>
        <v>7895550189</v>
      </c>
      <c r="X10" s="146"/>
      <c r="Y10" s="146"/>
      <c r="Z10" s="146"/>
      <c r="AA10" s="146"/>
      <c r="AB10" s="146"/>
      <c r="AC10" s="146"/>
      <c r="AD10" s="146"/>
      <c r="AE10" s="146">
        <f>IFERROR(VLOOKUP(Pronalaženjeučenika,Listaučenika[],17,FALSE),"")</f>
        <v>7895550134</v>
      </c>
      <c r="AF10" s="146"/>
      <c r="AG10" s="146"/>
      <c r="AH10" s="146"/>
      <c r="AI10" s="146"/>
      <c r="AJ10" s="146"/>
      <c r="AK10" s="146"/>
    </row>
    <row r="11" spans="1:37" ht="10.5" customHeight="1" x14ac:dyDescent="0.2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</row>
    <row r="12" spans="1:37" ht="15.75" customHeight="1" x14ac:dyDescent="0.3">
      <c r="B12" s="68" t="str">
        <f>Avgust!C3</f>
        <v xml:space="preserve">HROMA KI </v>
      </c>
      <c r="C12" s="69" t="str">
        <f>Avgust!D3</f>
        <v>Z</v>
      </c>
      <c r="D12" s="68" t="str">
        <f>Avgust!E3</f>
        <v>Zakasnio</v>
      </c>
      <c r="E12" s="68"/>
      <c r="F12" s="68"/>
      <c r="G12" s="70" t="str">
        <f>Avgust!H3</f>
        <v>O</v>
      </c>
      <c r="H12" s="68" t="str">
        <f>Avgust!I3</f>
        <v>Opravdan</v>
      </c>
      <c r="I12" s="68"/>
      <c r="J12" s="68"/>
      <c r="K12" s="71" t="str">
        <f>Avgust!L3</f>
        <v>Ne</v>
      </c>
      <c r="L12" s="68" t="str">
        <f>Avgust!M3</f>
        <v>Neopravdan</v>
      </c>
      <c r="M12" s="68"/>
      <c r="N12" s="68"/>
      <c r="O12" s="72"/>
      <c r="P12" s="73" t="str">
        <f>Avgust!P3</f>
        <v>P</v>
      </c>
      <c r="Q12" s="68" t="str">
        <f>Avgust!Q3</f>
        <v>Prisutan</v>
      </c>
      <c r="R12" s="68"/>
      <c r="S12" s="68"/>
      <c r="T12" s="74" t="str">
        <f>Avgust!T3</f>
        <v>N</v>
      </c>
      <c r="U12" s="75" t="str">
        <f>Avgust!U3</f>
        <v>Nema škole</v>
      </c>
      <c r="V12" s="76"/>
      <c r="W12" s="77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</row>
    <row r="13" spans="1:37" ht="6" customHeight="1" x14ac:dyDescent="0.25"/>
    <row r="14" spans="1:37" ht="16.5" customHeight="1" x14ac:dyDescent="0.25">
      <c r="B14" s="141" t="s">
        <v>85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37" t="s">
        <v>55</v>
      </c>
      <c r="AI14" s="137"/>
      <c r="AJ14" s="137"/>
      <c r="AK14" s="137"/>
    </row>
    <row r="15" spans="1:37" ht="14.25" thickBot="1" x14ac:dyDescent="0.3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06" t="s">
        <v>127</v>
      </c>
      <c r="AI15" s="107" t="s">
        <v>128</v>
      </c>
      <c r="AJ15" s="108" t="s">
        <v>129</v>
      </c>
      <c r="AK15" s="109" t="s">
        <v>31</v>
      </c>
    </row>
    <row r="16" spans="1:37" ht="14.25" x14ac:dyDescent="0.25">
      <c r="B16" s="136" t="s">
        <v>56</v>
      </c>
      <c r="C16" s="99">
        <v>1</v>
      </c>
      <c r="D16" s="99">
        <v>2</v>
      </c>
      <c r="E16" s="99">
        <v>3</v>
      </c>
      <c r="F16" s="99">
        <v>4</v>
      </c>
      <c r="G16" s="99">
        <v>5</v>
      </c>
      <c r="H16" s="99">
        <v>6</v>
      </c>
      <c r="I16" s="99">
        <v>7</v>
      </c>
      <c r="J16" s="99">
        <v>8</v>
      </c>
      <c r="K16" s="99">
        <v>9</v>
      </c>
      <c r="L16" s="99">
        <v>10</v>
      </c>
      <c r="M16" s="99">
        <v>11</v>
      </c>
      <c r="N16" s="99">
        <v>12</v>
      </c>
      <c r="O16" s="99">
        <v>13</v>
      </c>
      <c r="P16" s="99">
        <v>14</v>
      </c>
      <c r="Q16" s="99">
        <v>15</v>
      </c>
      <c r="R16" s="99">
        <v>16</v>
      </c>
      <c r="S16" s="99">
        <v>17</v>
      </c>
      <c r="T16" s="99">
        <v>18</v>
      </c>
      <c r="U16" s="99">
        <v>19</v>
      </c>
      <c r="V16" s="99">
        <v>20</v>
      </c>
      <c r="W16" s="99">
        <v>21</v>
      </c>
      <c r="X16" s="99">
        <v>22</v>
      </c>
      <c r="Y16" s="99">
        <v>23</v>
      </c>
      <c r="Z16" s="99">
        <v>24</v>
      </c>
      <c r="AA16" s="99">
        <v>25</v>
      </c>
      <c r="AB16" s="99">
        <v>26</v>
      </c>
      <c r="AC16" s="99">
        <v>27</v>
      </c>
      <c r="AD16" s="99">
        <v>28</v>
      </c>
      <c r="AE16" s="99">
        <v>29</v>
      </c>
      <c r="AF16" s="99">
        <v>30</v>
      </c>
      <c r="AG16" s="99">
        <v>31</v>
      </c>
      <c r="AH16" s="131">
        <f>COUNTIF($D17:$AH17,Šifra1)</f>
        <v>2</v>
      </c>
      <c r="AI16" s="131">
        <f>COUNTIF($D17:$AH17,Šifra2)</f>
        <v>1</v>
      </c>
      <c r="AJ16" s="131">
        <f>COUNTIF($D17:$AH17,Šifra3)</f>
        <v>0</v>
      </c>
      <c r="AK16" s="131">
        <f>COUNTIF($D17:$AH17,Šifra4)</f>
        <v>19</v>
      </c>
    </row>
    <row r="17" spans="2:37" ht="14.25" x14ac:dyDescent="0.25">
      <c r="B17" s="133"/>
      <c r="C17" s="100" t="str">
        <f>IFERROR(VLOOKUP(Pronalaženjeučenika,Prisustvovanjeuavgustu[],3,FALSE),"")</f>
        <v>P</v>
      </c>
      <c r="D17" s="100" t="str">
        <f>IFERROR(VLOOKUP(Pronalaženjeučenika,Prisustvovanjeuavgustu[],4,FALSE),"")</f>
        <v>P</v>
      </c>
      <c r="E17" s="100" t="str">
        <f>IFERROR(VLOOKUP(Pronalaženjeučenika,Prisustvovanjeuavgustu[],5,FALSE),"")</f>
        <v>Z</v>
      </c>
      <c r="F17" s="100" t="str">
        <f>IFERROR(VLOOKUP(Pronalaženjeučenika,Prisustvovanjeuavgustu[],6,FALSE),"")</f>
        <v>Z</v>
      </c>
      <c r="G17" s="100" t="str">
        <f>IFERROR(VLOOKUP(Pronalaženjeučenika,Prisustvovanjeuavgustu[],7,FALSE),"")</f>
        <v>P</v>
      </c>
      <c r="H17" s="100" t="str">
        <f>IFERROR(VLOOKUP(Pronalaženjeučenika,Prisustvovanjeuavgustu[],8,FALSE),"")</f>
        <v>N</v>
      </c>
      <c r="I17" s="100" t="str">
        <f>IFERROR(VLOOKUP(Pronalaženjeučenika,Prisustvovanjeuavgustu[],9,FALSE),"")</f>
        <v>N</v>
      </c>
      <c r="J17" s="100" t="str">
        <f>IFERROR(VLOOKUP(Pronalaženjeučenika,Prisustvovanjeuavgustu[],10,FALSE),"")</f>
        <v>P</v>
      </c>
      <c r="K17" s="100" t="str">
        <f>IFERROR(VLOOKUP(Pronalaženjeučenika,Prisustvovanjeuavgustu[],11,FALSE),"")</f>
        <v>P</v>
      </c>
      <c r="L17" s="100" t="str">
        <f>IFERROR(VLOOKUP(Pronalaženjeučenika,Prisustvovanjeuavgustu[],12,FALSE),"")</f>
        <v>O</v>
      </c>
      <c r="M17" s="100" t="str">
        <f>IFERROR(VLOOKUP(Pronalaženjeučenika,Prisustvovanjeuavgustu[],13,FALSE),"")</f>
        <v>P</v>
      </c>
      <c r="N17" s="100" t="str">
        <f>IFERROR(VLOOKUP(Pronalaženjeučenika,Prisustvovanjeuavgustu[],14,FALSE),"")</f>
        <v>P</v>
      </c>
      <c r="O17" s="100" t="str">
        <f>IFERROR(VLOOKUP(Pronalaženjeučenika,Prisustvovanjeuavgustu[],15,FALSE),"")</f>
        <v>N</v>
      </c>
      <c r="P17" s="100" t="str">
        <f>IFERROR(VLOOKUP(Pronalaženjeučenika,Prisustvovanjeuavgustu[],16,FALSE),"")</f>
        <v>N</v>
      </c>
      <c r="Q17" s="100" t="str">
        <f>IFERROR(VLOOKUP(Pronalaženjeučenika,Prisustvovanjeuavgustu[],17,FALSE),"")</f>
        <v>P</v>
      </c>
      <c r="R17" s="100" t="str">
        <f>IFERROR(VLOOKUP(Pronalaženjeučenika,Prisustvovanjeuavgustu[],18,FALSE),"")</f>
        <v>P</v>
      </c>
      <c r="S17" s="100" t="str">
        <f>IFERROR(VLOOKUP(Pronalaženjeučenika,Prisustvovanjeuavgustu[],19,FALSE),"")</f>
        <v>P</v>
      </c>
      <c r="T17" s="100" t="str">
        <f>IFERROR(VLOOKUP(Pronalaženjeučenika,Prisustvovanjeuavgustu[],20,FALSE),"")</f>
        <v>P</v>
      </c>
      <c r="U17" s="100" t="str">
        <f>IFERROR(VLOOKUP(Pronalaženjeučenika,Prisustvovanjeuavgustu[],21,FALSE),"")</f>
        <v>P</v>
      </c>
      <c r="V17" s="100" t="str">
        <f>IFERROR(VLOOKUP(Pronalaženjeučenika,Prisustvovanjeuavgustu[],22,FALSE),"")</f>
        <v>N</v>
      </c>
      <c r="W17" s="100" t="str">
        <f>IFERROR(VLOOKUP(Pronalaženjeučenika,Prisustvovanjeuavgustu[],23,FALSE),"")</f>
        <v>N</v>
      </c>
      <c r="X17" s="100" t="str">
        <f>IFERROR(VLOOKUP(Pronalaženjeučenika,Prisustvovanjeuavgustu[],24,FALSE),"")</f>
        <v>P</v>
      </c>
      <c r="Y17" s="100" t="str">
        <f>IFERROR(VLOOKUP(Pronalaženjeučenika,Prisustvovanjeuavgustu[],25,FALSE),"")</f>
        <v>P</v>
      </c>
      <c r="Z17" s="100" t="str">
        <f>IFERROR(VLOOKUP(Pronalaženjeučenika,Prisustvovanjeuavgustu[],26,FALSE),"")</f>
        <v>P</v>
      </c>
      <c r="AA17" s="100" t="str">
        <f>IFERROR(VLOOKUP(Pronalaženjeučenika,Prisustvovanjeuavgustu[],27,FALSE),"")</f>
        <v>P</v>
      </c>
      <c r="AB17" s="100" t="str">
        <f>IFERROR(VLOOKUP(Pronalaženjeučenika,Prisustvovanjeuavgustu[],28,FALSE),"")</f>
        <v>P</v>
      </c>
      <c r="AC17" s="100" t="str">
        <f>IFERROR(VLOOKUP(Pronalaženjeučenika,Prisustvovanjeuavgustu[],29,FALSE),"")</f>
        <v>N</v>
      </c>
      <c r="AD17" s="100" t="str">
        <f>IFERROR(VLOOKUP(Pronalaženjeučenika,Prisustvovanjeuavgustu[],30,FALSE),"")</f>
        <v>N</v>
      </c>
      <c r="AE17" s="100" t="str">
        <f>IFERROR(VLOOKUP(Pronalaženjeučenika,Prisustvovanjeuavgustu[],31,FALSE),"")</f>
        <v>P</v>
      </c>
      <c r="AF17" s="100" t="str">
        <f>IFERROR(VLOOKUP(Pronalaženjeučenika,Prisustvovanjeuavgustu[],32,FALSE),"")</f>
        <v>P</v>
      </c>
      <c r="AG17" s="100" t="str">
        <f>IFERROR(VLOOKUP(Pronalaženjeučenika,Prisustvovanjeuavgustu[],33,FALSE),"")</f>
        <v>P</v>
      </c>
      <c r="AH17" s="134"/>
      <c r="AI17" s="134"/>
      <c r="AJ17" s="134"/>
      <c r="AK17" s="134"/>
    </row>
    <row r="18" spans="2:37" ht="14.25" x14ac:dyDescent="0.25">
      <c r="B18" s="133" t="s">
        <v>57</v>
      </c>
      <c r="C18" s="101">
        <v>1</v>
      </c>
      <c r="D18" s="101">
        <v>2</v>
      </c>
      <c r="E18" s="101">
        <v>3</v>
      </c>
      <c r="F18" s="101">
        <v>4</v>
      </c>
      <c r="G18" s="101">
        <v>5</v>
      </c>
      <c r="H18" s="101">
        <v>6</v>
      </c>
      <c r="I18" s="101">
        <v>7</v>
      </c>
      <c r="J18" s="101">
        <v>8</v>
      </c>
      <c r="K18" s="101">
        <v>9</v>
      </c>
      <c r="L18" s="101">
        <v>10</v>
      </c>
      <c r="M18" s="101">
        <v>11</v>
      </c>
      <c r="N18" s="101">
        <v>12</v>
      </c>
      <c r="O18" s="101">
        <v>13</v>
      </c>
      <c r="P18" s="101">
        <v>14</v>
      </c>
      <c r="Q18" s="101">
        <v>15</v>
      </c>
      <c r="R18" s="101">
        <v>16</v>
      </c>
      <c r="S18" s="101">
        <v>17</v>
      </c>
      <c r="T18" s="101">
        <v>18</v>
      </c>
      <c r="U18" s="101">
        <v>19</v>
      </c>
      <c r="V18" s="101">
        <v>20</v>
      </c>
      <c r="W18" s="101">
        <v>21</v>
      </c>
      <c r="X18" s="101">
        <v>22</v>
      </c>
      <c r="Y18" s="101">
        <v>23</v>
      </c>
      <c r="Z18" s="101">
        <v>24</v>
      </c>
      <c r="AA18" s="101">
        <v>25</v>
      </c>
      <c r="AB18" s="101">
        <v>26</v>
      </c>
      <c r="AC18" s="101">
        <v>27</v>
      </c>
      <c r="AD18" s="101">
        <v>28</v>
      </c>
      <c r="AE18" s="101">
        <v>29</v>
      </c>
      <c r="AF18" s="101">
        <v>30</v>
      </c>
      <c r="AG18" s="101"/>
      <c r="AH18" s="134">
        <f>COUNTIF($D19:$AH19,Šifra1)</f>
        <v>0</v>
      </c>
      <c r="AI18" s="134">
        <f>COUNTIF($D19:$AH19,Šifra2)</f>
        <v>0</v>
      </c>
      <c r="AJ18" s="134">
        <f>COUNTIF($D19:$AH19,Šifra3)</f>
        <v>0</v>
      </c>
      <c r="AK18" s="134">
        <f>COUNTIF($D19:$AH19,Šifra4)</f>
        <v>0</v>
      </c>
    </row>
    <row r="19" spans="2:37" ht="14.25" x14ac:dyDescent="0.25">
      <c r="B19" s="133"/>
      <c r="C19" s="100" t="str">
        <f>IFERROR(VLOOKUP(Pronalaženjeučenika,Prisustvovanjeuseptembru[],3,FALSE),"")</f>
        <v/>
      </c>
      <c r="D19" s="100" t="str">
        <f>IFERROR(VLOOKUP(Pronalaženjeučenika,Prisustvovanjeuseptembru[],4,FALSE),"")</f>
        <v/>
      </c>
      <c r="E19" s="100" t="str">
        <f>IFERROR(VLOOKUP(Pronalaženjeučenika,Prisustvovanjeuseptembru[],5,FALSE),"")</f>
        <v/>
      </c>
      <c r="F19" s="100" t="str">
        <f>IFERROR(VLOOKUP(Pronalaženjeučenika,Prisustvovanjeuseptembru[],6,FALSE),"")</f>
        <v/>
      </c>
      <c r="G19" s="100" t="str">
        <f>IFERROR(VLOOKUP(Pronalaženjeučenika,Prisustvovanjeuseptembru[],7,FALSE),"")</f>
        <v/>
      </c>
      <c r="H19" s="100" t="str">
        <f>IFERROR(VLOOKUP(Pronalaženjeučenika,Prisustvovanjeuseptembru[],8,FALSE),"")</f>
        <v/>
      </c>
      <c r="I19" s="100" t="str">
        <f>IFERROR(VLOOKUP(Pronalaženjeučenika,Prisustvovanjeuseptembru[],9,FALSE),"")</f>
        <v/>
      </c>
      <c r="J19" s="100" t="str">
        <f>IFERROR(VLOOKUP(Pronalaženjeučenika,Prisustvovanjeuseptembru[],10,FALSE),"")</f>
        <v/>
      </c>
      <c r="K19" s="100" t="str">
        <f>IFERROR(VLOOKUP(Pronalaženjeučenika,Prisustvovanjeuseptembru[],11,FALSE),"")</f>
        <v/>
      </c>
      <c r="L19" s="100" t="str">
        <f>IFERROR(VLOOKUP(Pronalaženjeučenika,Prisustvovanjeuseptembru[],12,FALSE),"")</f>
        <v/>
      </c>
      <c r="M19" s="100" t="str">
        <f>IFERROR(VLOOKUP(Pronalaženjeučenika,Prisustvovanjeuseptembru[],13,FALSE),"")</f>
        <v/>
      </c>
      <c r="N19" s="100" t="str">
        <f>IFERROR(VLOOKUP(Pronalaženjeučenika,Prisustvovanjeuseptembru[],14,FALSE),"")</f>
        <v/>
      </c>
      <c r="O19" s="100" t="str">
        <f>IFERROR(VLOOKUP(Pronalaženjeučenika,Prisustvovanjeuseptembru[],15,FALSE),"")</f>
        <v/>
      </c>
      <c r="P19" s="100" t="str">
        <f>IFERROR(VLOOKUP(Pronalaženjeučenika,Prisustvovanjeuseptembru[],16,FALSE),"")</f>
        <v/>
      </c>
      <c r="Q19" s="100" t="str">
        <f>IFERROR(VLOOKUP(Pronalaženjeučenika,Prisustvovanjeuseptembru[],17,FALSE),"")</f>
        <v/>
      </c>
      <c r="R19" s="100" t="str">
        <f>IFERROR(VLOOKUP(Pronalaženjeučenika,Prisustvovanjeuseptembru[],18,FALSE),"")</f>
        <v/>
      </c>
      <c r="S19" s="100" t="str">
        <f>IFERROR(VLOOKUP(Pronalaženjeučenika,Prisustvovanjeuseptembru[],19,FALSE),"")</f>
        <v/>
      </c>
      <c r="T19" s="100" t="str">
        <f>IFERROR(VLOOKUP(Pronalaženjeučenika,Prisustvovanjeuseptembru[],20,FALSE),"")</f>
        <v/>
      </c>
      <c r="U19" s="100" t="str">
        <f>IFERROR(VLOOKUP(Pronalaženjeučenika,Prisustvovanjeuseptembru[],21,FALSE),"")</f>
        <v/>
      </c>
      <c r="V19" s="100" t="str">
        <f>IFERROR(VLOOKUP(Pronalaženjeučenika,Prisustvovanjeuseptembru[],22,FALSE),"")</f>
        <v/>
      </c>
      <c r="W19" s="100" t="str">
        <f>IFERROR(VLOOKUP(Pronalaženjeučenika,Prisustvovanjeuseptembru[],23,FALSE),"")</f>
        <v/>
      </c>
      <c r="X19" s="100" t="str">
        <f>IFERROR(VLOOKUP(Pronalaženjeučenika,Prisustvovanjeuseptembru[],24,FALSE),"")</f>
        <v/>
      </c>
      <c r="Y19" s="100" t="str">
        <f>IFERROR(VLOOKUP(Pronalaženjeučenika,Prisustvovanjeuseptembru[],25,FALSE),"")</f>
        <v/>
      </c>
      <c r="Z19" s="100" t="str">
        <f>IFERROR(VLOOKUP(Pronalaženjeučenika,Prisustvovanjeuseptembru[],26,FALSE),"")</f>
        <v/>
      </c>
      <c r="AA19" s="100" t="str">
        <f>IFERROR(VLOOKUP(Pronalaženjeučenika,Prisustvovanjeuseptembru[],27,FALSE),"")</f>
        <v/>
      </c>
      <c r="AB19" s="100" t="str">
        <f>IFERROR(VLOOKUP(Pronalaženjeučenika,Prisustvovanjeuseptembru[],28,FALSE),"")</f>
        <v/>
      </c>
      <c r="AC19" s="100" t="str">
        <f>IFERROR(VLOOKUP(Pronalaženjeučenika,Prisustvovanjeuseptembru[],29,FALSE),"")</f>
        <v/>
      </c>
      <c r="AD19" s="100" t="str">
        <f>IFERROR(VLOOKUP(Pronalaženjeučenika,Prisustvovanjeuseptembru[],30,FALSE),"")</f>
        <v/>
      </c>
      <c r="AE19" s="100" t="str">
        <f>IFERROR(VLOOKUP(Pronalaženjeučenika,Prisustvovanjeuseptembru[],31,FALSE),"")</f>
        <v/>
      </c>
      <c r="AF19" s="100" t="str">
        <f>IFERROR(VLOOKUP(Pronalaženjeučenika,Prisustvovanjeuseptembru[],32,FALSE),"")</f>
        <v/>
      </c>
      <c r="AG19" s="100"/>
      <c r="AH19" s="134"/>
      <c r="AI19" s="134"/>
      <c r="AJ19" s="134"/>
      <c r="AK19" s="134"/>
    </row>
    <row r="20" spans="2:37" ht="14.25" x14ac:dyDescent="0.25">
      <c r="B20" s="133" t="s">
        <v>58</v>
      </c>
      <c r="C20" s="101">
        <v>1</v>
      </c>
      <c r="D20" s="101">
        <v>2</v>
      </c>
      <c r="E20" s="101">
        <v>3</v>
      </c>
      <c r="F20" s="101">
        <v>4</v>
      </c>
      <c r="G20" s="101">
        <v>5</v>
      </c>
      <c r="H20" s="101">
        <v>6</v>
      </c>
      <c r="I20" s="101">
        <v>7</v>
      </c>
      <c r="J20" s="101">
        <v>8</v>
      </c>
      <c r="K20" s="101">
        <v>9</v>
      </c>
      <c r="L20" s="101">
        <v>10</v>
      </c>
      <c r="M20" s="101">
        <v>11</v>
      </c>
      <c r="N20" s="101">
        <v>12</v>
      </c>
      <c r="O20" s="101">
        <v>13</v>
      </c>
      <c r="P20" s="101">
        <v>14</v>
      </c>
      <c r="Q20" s="101">
        <v>15</v>
      </c>
      <c r="R20" s="101">
        <v>16</v>
      </c>
      <c r="S20" s="101">
        <v>17</v>
      </c>
      <c r="T20" s="101">
        <v>18</v>
      </c>
      <c r="U20" s="101">
        <v>19</v>
      </c>
      <c r="V20" s="101">
        <v>20</v>
      </c>
      <c r="W20" s="101">
        <v>21</v>
      </c>
      <c r="X20" s="101">
        <v>22</v>
      </c>
      <c r="Y20" s="101">
        <v>23</v>
      </c>
      <c r="Z20" s="101">
        <v>24</v>
      </c>
      <c r="AA20" s="101">
        <v>25</v>
      </c>
      <c r="AB20" s="101">
        <v>26</v>
      </c>
      <c r="AC20" s="101">
        <v>27</v>
      </c>
      <c r="AD20" s="101">
        <v>28</v>
      </c>
      <c r="AE20" s="101">
        <v>29</v>
      </c>
      <c r="AF20" s="101">
        <v>30</v>
      </c>
      <c r="AG20" s="101">
        <v>31</v>
      </c>
      <c r="AH20" s="134">
        <f>COUNTIF($D21:$AH21,Šifra1)</f>
        <v>0</v>
      </c>
      <c r="AI20" s="134">
        <f>COUNTIF($D21:$AH21,Šifra2)</f>
        <v>0</v>
      </c>
      <c r="AJ20" s="134">
        <f>COUNTIF($D21:$AH21,Šifra3)</f>
        <v>0</v>
      </c>
      <c r="AK20" s="134">
        <f>COUNTIF($D21:$AH21,Šifra4)</f>
        <v>0</v>
      </c>
    </row>
    <row r="21" spans="2:37" ht="14.25" x14ac:dyDescent="0.25">
      <c r="B21" s="133"/>
      <c r="C21" s="100" t="str">
        <f>IFERROR(VLOOKUP(Pronalaženjeučenika,Prisustvovanjeuoktobru[],3,FALSE),"")</f>
        <v/>
      </c>
      <c r="D21" s="100" t="str">
        <f>IFERROR(VLOOKUP(Pronalaženjeučenika,Prisustvovanjeuoktobru[],4,FALSE),"")</f>
        <v/>
      </c>
      <c r="E21" s="100" t="str">
        <f>IFERROR(VLOOKUP(Pronalaženjeučenika,Prisustvovanjeuoktobru[],5,FALSE),"")</f>
        <v/>
      </c>
      <c r="F21" s="100" t="str">
        <f>IFERROR(VLOOKUP(Pronalaženjeučenika,Prisustvovanjeuoktobru[],6,FALSE),"")</f>
        <v/>
      </c>
      <c r="G21" s="100" t="str">
        <f>IFERROR(VLOOKUP(Pronalaženjeučenika,Prisustvovanjeuoktobru[],7,FALSE),"")</f>
        <v/>
      </c>
      <c r="H21" s="100" t="str">
        <f>IFERROR(VLOOKUP(Pronalaženjeučenika,Prisustvovanjeuoktobru[],8,FALSE),"")</f>
        <v/>
      </c>
      <c r="I21" s="100" t="str">
        <f>IFERROR(VLOOKUP(Pronalaženjeučenika,Prisustvovanjeuoktobru[],9,FALSE),"")</f>
        <v/>
      </c>
      <c r="J21" s="100" t="str">
        <f>IFERROR(VLOOKUP(Pronalaženjeučenika,Prisustvovanjeuoktobru[],10,FALSE),"")</f>
        <v/>
      </c>
      <c r="K21" s="100" t="str">
        <f>IFERROR(VLOOKUP(Pronalaženjeučenika,Prisustvovanjeuoktobru[],11,FALSE),"")</f>
        <v/>
      </c>
      <c r="L21" s="100" t="str">
        <f>IFERROR(VLOOKUP(Pronalaženjeučenika,Prisustvovanjeuoktobru[],12,FALSE),"")</f>
        <v/>
      </c>
      <c r="M21" s="100" t="str">
        <f>IFERROR(VLOOKUP(Pronalaženjeučenika,Prisustvovanjeuoktobru[],13,FALSE),"")</f>
        <v/>
      </c>
      <c r="N21" s="100" t="str">
        <f>IFERROR(VLOOKUP(Pronalaženjeučenika,Prisustvovanjeuoktobru[],14,FALSE),"")</f>
        <v/>
      </c>
      <c r="O21" s="100" t="str">
        <f>IFERROR(VLOOKUP(Pronalaženjeučenika,Prisustvovanjeuoktobru[],15,FALSE),"")</f>
        <v/>
      </c>
      <c r="P21" s="100" t="str">
        <f>IFERROR(VLOOKUP(Pronalaženjeučenika,Prisustvovanjeuoktobru[],16,FALSE),"")</f>
        <v/>
      </c>
      <c r="Q21" s="100" t="str">
        <f>IFERROR(VLOOKUP(Pronalaženjeučenika,Prisustvovanjeuoktobru[],17,FALSE),"")</f>
        <v/>
      </c>
      <c r="R21" s="100" t="str">
        <f>IFERROR(VLOOKUP(Pronalaženjeučenika,Prisustvovanjeuoktobru[],18,FALSE),"")</f>
        <v/>
      </c>
      <c r="S21" s="100" t="str">
        <f>IFERROR(VLOOKUP(Pronalaženjeučenika,Prisustvovanjeuoktobru[],19,FALSE),"")</f>
        <v/>
      </c>
      <c r="T21" s="100" t="str">
        <f>IFERROR(VLOOKUP(Pronalaženjeučenika,Prisustvovanjeuoktobru[],20,FALSE),"")</f>
        <v/>
      </c>
      <c r="U21" s="100" t="str">
        <f>IFERROR(VLOOKUP(Pronalaženjeučenika,Prisustvovanjeuoktobru[],21,FALSE),"")</f>
        <v/>
      </c>
      <c r="V21" s="100" t="str">
        <f>IFERROR(VLOOKUP(Pronalaženjeučenika,Prisustvovanjeuoktobru[],22,FALSE),"")</f>
        <v/>
      </c>
      <c r="W21" s="100" t="str">
        <f>IFERROR(VLOOKUP(Pronalaženjeučenika,Prisustvovanjeuoktobru[],23,FALSE),"")</f>
        <v/>
      </c>
      <c r="X21" s="100" t="str">
        <f>IFERROR(VLOOKUP(Pronalaženjeučenika,Prisustvovanjeuoktobru[],24,FALSE),"")</f>
        <v/>
      </c>
      <c r="Y21" s="100" t="str">
        <f>IFERROR(VLOOKUP(Pronalaženjeučenika,Prisustvovanjeuoktobru[],25,FALSE),"")</f>
        <v/>
      </c>
      <c r="Z21" s="100" t="str">
        <f>IFERROR(VLOOKUP(Pronalaženjeučenika,Prisustvovanjeuoktobru[],26,FALSE),"")</f>
        <v/>
      </c>
      <c r="AA21" s="100" t="str">
        <f>IFERROR(VLOOKUP(Pronalaženjeučenika,Prisustvovanjeuoktobru[],27,FALSE),"")</f>
        <v/>
      </c>
      <c r="AB21" s="100" t="str">
        <f>IFERROR(VLOOKUP(Pronalaženjeučenika,Prisustvovanjeuoktobru[],28,FALSE),"")</f>
        <v/>
      </c>
      <c r="AC21" s="100" t="str">
        <f>IFERROR(VLOOKUP(Pronalaženjeučenika,Prisustvovanjeuoktobru[],29,FALSE),"")</f>
        <v/>
      </c>
      <c r="AD21" s="100" t="str">
        <f>IFERROR(VLOOKUP(Pronalaženjeučenika,Prisustvovanjeuoktobru[],30,FALSE),"")</f>
        <v/>
      </c>
      <c r="AE21" s="100" t="str">
        <f>IFERROR(VLOOKUP(Pronalaženjeučenika,Prisustvovanjeuoktobru[],31,FALSE),"")</f>
        <v/>
      </c>
      <c r="AF21" s="100" t="str">
        <f>IFERROR(VLOOKUP(Pronalaženjeučenika,Prisustvovanjeuoktobru[],32,FALSE),"")</f>
        <v/>
      </c>
      <c r="AG21" s="100" t="str">
        <f>IFERROR(VLOOKUP(Pronalaženjeučenika,Prisustvovanjeuoktobru[],33,FALSE),"")</f>
        <v/>
      </c>
      <c r="AH21" s="134"/>
      <c r="AI21" s="134"/>
      <c r="AJ21" s="134"/>
      <c r="AK21" s="134"/>
    </row>
    <row r="22" spans="2:37" ht="14.25" x14ac:dyDescent="0.25">
      <c r="B22" s="133" t="s">
        <v>59</v>
      </c>
      <c r="C22" s="101">
        <v>1</v>
      </c>
      <c r="D22" s="101">
        <v>2</v>
      </c>
      <c r="E22" s="101">
        <v>3</v>
      </c>
      <c r="F22" s="101">
        <v>4</v>
      </c>
      <c r="G22" s="101">
        <v>5</v>
      </c>
      <c r="H22" s="101">
        <v>6</v>
      </c>
      <c r="I22" s="101">
        <v>7</v>
      </c>
      <c r="J22" s="101">
        <v>8</v>
      </c>
      <c r="K22" s="101">
        <v>9</v>
      </c>
      <c r="L22" s="101">
        <v>10</v>
      </c>
      <c r="M22" s="101">
        <v>11</v>
      </c>
      <c r="N22" s="101">
        <v>12</v>
      </c>
      <c r="O22" s="101">
        <v>13</v>
      </c>
      <c r="P22" s="101">
        <v>14</v>
      </c>
      <c r="Q22" s="101">
        <v>15</v>
      </c>
      <c r="R22" s="101">
        <v>16</v>
      </c>
      <c r="S22" s="101">
        <v>17</v>
      </c>
      <c r="T22" s="101">
        <v>18</v>
      </c>
      <c r="U22" s="101">
        <v>19</v>
      </c>
      <c r="V22" s="101">
        <v>20</v>
      </c>
      <c r="W22" s="101">
        <v>21</v>
      </c>
      <c r="X22" s="101">
        <v>22</v>
      </c>
      <c r="Y22" s="101">
        <v>23</v>
      </c>
      <c r="Z22" s="101">
        <v>24</v>
      </c>
      <c r="AA22" s="101">
        <v>25</v>
      </c>
      <c r="AB22" s="101">
        <v>26</v>
      </c>
      <c r="AC22" s="101">
        <v>27</v>
      </c>
      <c r="AD22" s="101">
        <v>28</v>
      </c>
      <c r="AE22" s="101">
        <v>29</v>
      </c>
      <c r="AF22" s="101">
        <v>30</v>
      </c>
      <c r="AG22" s="101"/>
      <c r="AH22" s="134">
        <f>COUNTIF($D23:$AH23,Šifra1)</f>
        <v>0</v>
      </c>
      <c r="AI22" s="134">
        <f>COUNTIF($D23:$AH23,Šifra2)</f>
        <v>0</v>
      </c>
      <c r="AJ22" s="134">
        <f>COUNTIF($D23:$AH23,Šifra3)</f>
        <v>0</v>
      </c>
      <c r="AK22" s="134">
        <f>COUNTIF($D23:$AH23,Šifra4)</f>
        <v>0</v>
      </c>
    </row>
    <row r="23" spans="2:37" ht="14.25" x14ac:dyDescent="0.25">
      <c r="B23" s="133"/>
      <c r="C23" s="100" t="str">
        <f>IFERROR(VLOOKUP(Pronalaženjeučenika,Prisustvovanjeunovembru[],3,FALSE),"")</f>
        <v/>
      </c>
      <c r="D23" s="100" t="str">
        <f>IFERROR(VLOOKUP(Pronalaženjeučenika,Prisustvovanjeunovembru[],4,FALSE),"")</f>
        <v/>
      </c>
      <c r="E23" s="100" t="str">
        <f>IFERROR(VLOOKUP(Pronalaženjeučenika,Prisustvovanjeunovembru[],5,FALSE),"")</f>
        <v/>
      </c>
      <c r="F23" s="100" t="str">
        <f>IFERROR(VLOOKUP(Pronalaženjeučenika,Prisustvovanjeunovembru[],6,FALSE),"")</f>
        <v/>
      </c>
      <c r="G23" s="100" t="str">
        <f>IFERROR(VLOOKUP(Pronalaženjeučenika,Prisustvovanjeunovembru[],7,FALSE),"")</f>
        <v/>
      </c>
      <c r="H23" s="100" t="str">
        <f>IFERROR(VLOOKUP(Pronalaženjeučenika,Prisustvovanjeunovembru[],8,FALSE),"")</f>
        <v/>
      </c>
      <c r="I23" s="100" t="str">
        <f>IFERROR(VLOOKUP(Pronalaženjeučenika,Prisustvovanjeunovembru[],9,FALSE),"")</f>
        <v/>
      </c>
      <c r="J23" s="100" t="str">
        <f>IFERROR(VLOOKUP(Pronalaženjeučenika,Prisustvovanjeunovembru[],10,FALSE),"")</f>
        <v/>
      </c>
      <c r="K23" s="100" t="str">
        <f>IFERROR(VLOOKUP(Pronalaženjeučenika,Prisustvovanjeunovembru[],11,FALSE),"")</f>
        <v/>
      </c>
      <c r="L23" s="100" t="str">
        <f>IFERROR(VLOOKUP(Pronalaženjeučenika,Prisustvovanjeunovembru[],12,FALSE),"")</f>
        <v/>
      </c>
      <c r="M23" s="100" t="str">
        <f>IFERROR(VLOOKUP(Pronalaženjeučenika,Prisustvovanjeunovembru[],13,FALSE),"")</f>
        <v/>
      </c>
      <c r="N23" s="100" t="str">
        <f>IFERROR(VLOOKUP(Pronalaženjeučenika,Prisustvovanjeunovembru[],14,FALSE),"")</f>
        <v/>
      </c>
      <c r="O23" s="100" t="str">
        <f>IFERROR(VLOOKUP(Pronalaženjeučenika,Prisustvovanjeunovembru[],15,FALSE),"")</f>
        <v/>
      </c>
      <c r="P23" s="100" t="str">
        <f>IFERROR(VLOOKUP(Pronalaženjeučenika,Prisustvovanjeunovembru[],16,FALSE),"")</f>
        <v/>
      </c>
      <c r="Q23" s="100" t="str">
        <f>IFERROR(VLOOKUP(Pronalaženjeučenika,Prisustvovanjeunovembru[],17,FALSE),"")</f>
        <v/>
      </c>
      <c r="R23" s="100" t="str">
        <f>IFERROR(VLOOKUP(Pronalaženjeučenika,Prisustvovanjeunovembru[],18,FALSE),"")</f>
        <v/>
      </c>
      <c r="S23" s="100" t="str">
        <f>IFERROR(VLOOKUP(Pronalaženjeučenika,Prisustvovanjeunovembru[],19,FALSE),"")</f>
        <v/>
      </c>
      <c r="T23" s="100" t="str">
        <f>IFERROR(VLOOKUP(Pronalaženjeučenika,Prisustvovanjeunovembru[],20,FALSE),"")</f>
        <v/>
      </c>
      <c r="U23" s="100" t="str">
        <f>IFERROR(VLOOKUP(Pronalaženjeučenika,Prisustvovanjeunovembru[],21,FALSE),"")</f>
        <v/>
      </c>
      <c r="V23" s="100" t="str">
        <f>IFERROR(VLOOKUP(Pronalaženjeučenika,Prisustvovanjeunovembru[],22,FALSE),"")</f>
        <v/>
      </c>
      <c r="W23" s="100" t="str">
        <f>IFERROR(VLOOKUP(Pronalaženjeučenika,Prisustvovanjeunovembru[],23,FALSE),"")</f>
        <v/>
      </c>
      <c r="X23" s="100" t="str">
        <f>IFERROR(VLOOKUP(Pronalaženjeučenika,Prisustvovanjeunovembru[],24,FALSE),"")</f>
        <v/>
      </c>
      <c r="Y23" s="100" t="str">
        <f>IFERROR(VLOOKUP(Pronalaženjeučenika,Prisustvovanjeunovembru[],25,FALSE),"")</f>
        <v/>
      </c>
      <c r="Z23" s="100" t="str">
        <f>IFERROR(VLOOKUP(Pronalaženjeučenika,Prisustvovanjeunovembru[],26,FALSE),"")</f>
        <v/>
      </c>
      <c r="AA23" s="100" t="str">
        <f>IFERROR(VLOOKUP(Pronalaženjeučenika,Prisustvovanjeunovembru[],27,FALSE),"")</f>
        <v/>
      </c>
      <c r="AB23" s="100" t="str">
        <f>IFERROR(VLOOKUP(Pronalaženjeučenika,Prisustvovanjeunovembru[],28,FALSE),"")</f>
        <v/>
      </c>
      <c r="AC23" s="100" t="str">
        <f>IFERROR(VLOOKUP(Pronalaženjeučenika,Prisustvovanjeunovembru[],29,FALSE),"")</f>
        <v/>
      </c>
      <c r="AD23" s="100" t="str">
        <f>IFERROR(VLOOKUP(Pronalaženjeučenika,Prisustvovanjeunovembru[],30,FALSE),"")</f>
        <v/>
      </c>
      <c r="AE23" s="100" t="str">
        <f>IFERROR(VLOOKUP(Pronalaženjeučenika,Prisustvovanjeunovembru[],31,FALSE),"")</f>
        <v/>
      </c>
      <c r="AF23" s="100" t="str">
        <f>IFERROR(VLOOKUP(Pronalaženjeučenika,Prisustvovanjeunovembru[],32,FALSE),"")</f>
        <v/>
      </c>
      <c r="AG23" s="100"/>
      <c r="AH23" s="134"/>
      <c r="AI23" s="134"/>
      <c r="AJ23" s="134"/>
      <c r="AK23" s="134"/>
    </row>
    <row r="24" spans="2:37" ht="14.25" x14ac:dyDescent="0.25">
      <c r="B24" s="133" t="s">
        <v>60</v>
      </c>
      <c r="C24" s="101">
        <v>1</v>
      </c>
      <c r="D24" s="101">
        <v>2</v>
      </c>
      <c r="E24" s="101">
        <v>3</v>
      </c>
      <c r="F24" s="101">
        <v>4</v>
      </c>
      <c r="G24" s="101">
        <v>5</v>
      </c>
      <c r="H24" s="101">
        <v>6</v>
      </c>
      <c r="I24" s="101">
        <v>7</v>
      </c>
      <c r="J24" s="101">
        <v>8</v>
      </c>
      <c r="K24" s="101">
        <v>9</v>
      </c>
      <c r="L24" s="101">
        <v>10</v>
      </c>
      <c r="M24" s="101">
        <v>11</v>
      </c>
      <c r="N24" s="101">
        <v>12</v>
      </c>
      <c r="O24" s="101">
        <v>13</v>
      </c>
      <c r="P24" s="101">
        <v>14</v>
      </c>
      <c r="Q24" s="101">
        <v>15</v>
      </c>
      <c r="R24" s="101">
        <v>16</v>
      </c>
      <c r="S24" s="101">
        <v>17</v>
      </c>
      <c r="T24" s="101">
        <v>18</v>
      </c>
      <c r="U24" s="101">
        <v>19</v>
      </c>
      <c r="V24" s="101">
        <v>20</v>
      </c>
      <c r="W24" s="101">
        <v>21</v>
      </c>
      <c r="X24" s="101">
        <v>22</v>
      </c>
      <c r="Y24" s="101">
        <v>23</v>
      </c>
      <c r="Z24" s="101">
        <v>24</v>
      </c>
      <c r="AA24" s="101">
        <v>25</v>
      </c>
      <c r="AB24" s="101">
        <v>26</v>
      </c>
      <c r="AC24" s="101">
        <v>27</v>
      </c>
      <c r="AD24" s="101">
        <v>28</v>
      </c>
      <c r="AE24" s="101">
        <v>29</v>
      </c>
      <c r="AF24" s="101">
        <v>30</v>
      </c>
      <c r="AG24" s="101">
        <v>31</v>
      </c>
      <c r="AH24" s="134">
        <f>COUNTIF($D25:$AH25,Šifra1)</f>
        <v>0</v>
      </c>
      <c r="AI24" s="134">
        <f>COUNTIF($D25:$AH25,Šifra2)</f>
        <v>0</v>
      </c>
      <c r="AJ24" s="134">
        <f>COUNTIF($D25:$AH25,Šifra3)</f>
        <v>0</v>
      </c>
      <c r="AK24" s="134">
        <f>COUNTIF($D25:$AH25,Šifra4)</f>
        <v>0</v>
      </c>
    </row>
    <row r="25" spans="2:37" ht="14.25" x14ac:dyDescent="0.25">
      <c r="B25" s="133"/>
      <c r="C25" s="100" t="str">
        <f>IFERROR(VLOOKUP(Pronalaženjeučenika,Prisustvovanjeudecembru[],3,FALSE),"")</f>
        <v/>
      </c>
      <c r="D25" s="100" t="str">
        <f>IFERROR(VLOOKUP(Pronalaženjeučenika,Prisustvovanjeudecembru[],4,FALSE),"")</f>
        <v/>
      </c>
      <c r="E25" s="100" t="str">
        <f>IFERROR(VLOOKUP(Pronalaženjeučenika,Prisustvovanjeudecembru[],5,FALSE),"")</f>
        <v/>
      </c>
      <c r="F25" s="100" t="str">
        <f>IFERROR(VLOOKUP(Pronalaženjeučenika,Prisustvovanjeudecembru[],6,FALSE),"")</f>
        <v/>
      </c>
      <c r="G25" s="100" t="str">
        <f>IFERROR(VLOOKUP(Pronalaženjeučenika,Prisustvovanjeudecembru[],7,FALSE),"")</f>
        <v/>
      </c>
      <c r="H25" s="100" t="str">
        <f>IFERROR(VLOOKUP(Pronalaženjeučenika,Prisustvovanjeudecembru[],8,FALSE),"")</f>
        <v/>
      </c>
      <c r="I25" s="100" t="str">
        <f>IFERROR(VLOOKUP(Pronalaženjeučenika,Prisustvovanjeudecembru[],9,FALSE),"")</f>
        <v/>
      </c>
      <c r="J25" s="100" t="str">
        <f>IFERROR(VLOOKUP(Pronalaženjeučenika,Prisustvovanjeudecembru[],10,FALSE),"")</f>
        <v/>
      </c>
      <c r="K25" s="100" t="str">
        <f>IFERROR(VLOOKUP(Pronalaženjeučenika,Prisustvovanjeudecembru[],11,FALSE),"")</f>
        <v/>
      </c>
      <c r="L25" s="100" t="str">
        <f>IFERROR(VLOOKUP(Pronalaženjeučenika,Prisustvovanjeudecembru[],12,FALSE),"")</f>
        <v/>
      </c>
      <c r="M25" s="100" t="str">
        <f>IFERROR(VLOOKUP(Pronalaženjeučenika,Prisustvovanjeudecembru[],13,FALSE),"")</f>
        <v/>
      </c>
      <c r="N25" s="100" t="str">
        <f>IFERROR(VLOOKUP(Pronalaženjeučenika,Prisustvovanjeudecembru[],14,FALSE),"")</f>
        <v/>
      </c>
      <c r="O25" s="100" t="str">
        <f>IFERROR(VLOOKUP(Pronalaženjeučenika,Prisustvovanjeudecembru[],15,FALSE),"")</f>
        <v/>
      </c>
      <c r="P25" s="100" t="str">
        <f>IFERROR(VLOOKUP(Pronalaženjeučenika,Prisustvovanjeudecembru[],16,FALSE),"")</f>
        <v/>
      </c>
      <c r="Q25" s="100" t="str">
        <f>IFERROR(VLOOKUP(Pronalaženjeučenika,Prisustvovanjeudecembru[],17,FALSE),"")</f>
        <v/>
      </c>
      <c r="R25" s="100" t="str">
        <f>IFERROR(VLOOKUP(Pronalaženjeučenika,Prisustvovanjeudecembru[],18,FALSE),"")</f>
        <v/>
      </c>
      <c r="S25" s="100" t="str">
        <f>IFERROR(VLOOKUP(Pronalaženjeučenika,Prisustvovanjeudecembru[],19,FALSE),"")</f>
        <v/>
      </c>
      <c r="T25" s="100" t="str">
        <f>IFERROR(VLOOKUP(Pronalaženjeučenika,Prisustvovanjeudecembru[],20,FALSE),"")</f>
        <v/>
      </c>
      <c r="U25" s="100" t="str">
        <f>IFERROR(VLOOKUP(Pronalaženjeučenika,Prisustvovanjeudecembru[],21,FALSE),"")</f>
        <v/>
      </c>
      <c r="V25" s="100" t="str">
        <f>IFERROR(VLOOKUP(Pronalaženjeučenika,Prisustvovanjeudecembru[],22,FALSE),"")</f>
        <v/>
      </c>
      <c r="W25" s="100" t="str">
        <f>IFERROR(VLOOKUP(Pronalaženjeučenika,Prisustvovanjeudecembru[],23,FALSE),"")</f>
        <v/>
      </c>
      <c r="X25" s="100" t="str">
        <f>IFERROR(VLOOKUP(Pronalaženjeučenika,Prisustvovanjeudecembru[],24,FALSE),"")</f>
        <v/>
      </c>
      <c r="Y25" s="100" t="str">
        <f>IFERROR(VLOOKUP(Pronalaženjeučenika,Prisustvovanjeudecembru[],25,FALSE),"")</f>
        <v/>
      </c>
      <c r="Z25" s="100" t="str">
        <f>IFERROR(VLOOKUP(Pronalaženjeučenika,Prisustvovanjeudecembru[],26,FALSE),"")</f>
        <v/>
      </c>
      <c r="AA25" s="100" t="str">
        <f>IFERROR(VLOOKUP(Pronalaženjeučenika,Prisustvovanjeudecembru[],27,FALSE),"")</f>
        <v/>
      </c>
      <c r="AB25" s="100" t="str">
        <f>IFERROR(VLOOKUP(Pronalaženjeučenika,Prisustvovanjeudecembru[],28,FALSE),"")</f>
        <v/>
      </c>
      <c r="AC25" s="100" t="str">
        <f>IFERROR(VLOOKUP(Pronalaženjeučenika,Prisustvovanjeudecembru[],29,FALSE),"")</f>
        <v/>
      </c>
      <c r="AD25" s="100" t="str">
        <f>IFERROR(VLOOKUP(Pronalaženjeučenika,Prisustvovanjeudecembru[],30,FALSE),"")</f>
        <v/>
      </c>
      <c r="AE25" s="100" t="str">
        <f>IFERROR(VLOOKUP(Pronalaženjeučenika,Prisustvovanjeudecembru[],31,FALSE),"")</f>
        <v/>
      </c>
      <c r="AF25" s="100" t="str">
        <f>IFERROR(VLOOKUP(Pronalaženjeučenika,Prisustvovanjeudecembru[],32,FALSE),"")</f>
        <v/>
      </c>
      <c r="AG25" s="100" t="str">
        <f>IFERROR(VLOOKUP(Pronalaženjeučenika,Prisustvovanjeudecembru[],33,FALSE),"")</f>
        <v/>
      </c>
      <c r="AH25" s="134"/>
      <c r="AI25" s="134"/>
      <c r="AJ25" s="134"/>
      <c r="AK25" s="134"/>
    </row>
    <row r="26" spans="2:37" ht="14.25" x14ac:dyDescent="0.25">
      <c r="B26" s="133" t="s">
        <v>61</v>
      </c>
      <c r="C26" s="101">
        <v>1</v>
      </c>
      <c r="D26" s="101">
        <v>2</v>
      </c>
      <c r="E26" s="101">
        <v>3</v>
      </c>
      <c r="F26" s="101">
        <v>4</v>
      </c>
      <c r="G26" s="101">
        <v>5</v>
      </c>
      <c r="H26" s="101">
        <v>6</v>
      </c>
      <c r="I26" s="101">
        <v>7</v>
      </c>
      <c r="J26" s="101">
        <v>8</v>
      </c>
      <c r="K26" s="101">
        <v>9</v>
      </c>
      <c r="L26" s="101">
        <v>10</v>
      </c>
      <c r="M26" s="101">
        <v>11</v>
      </c>
      <c r="N26" s="101">
        <v>12</v>
      </c>
      <c r="O26" s="101">
        <v>13</v>
      </c>
      <c r="P26" s="101">
        <v>14</v>
      </c>
      <c r="Q26" s="101">
        <v>15</v>
      </c>
      <c r="R26" s="101">
        <v>16</v>
      </c>
      <c r="S26" s="101">
        <v>17</v>
      </c>
      <c r="T26" s="101">
        <v>18</v>
      </c>
      <c r="U26" s="101">
        <v>19</v>
      </c>
      <c r="V26" s="101">
        <v>20</v>
      </c>
      <c r="W26" s="101">
        <v>21</v>
      </c>
      <c r="X26" s="101">
        <v>22</v>
      </c>
      <c r="Y26" s="101">
        <v>23</v>
      </c>
      <c r="Z26" s="101">
        <v>24</v>
      </c>
      <c r="AA26" s="101">
        <v>25</v>
      </c>
      <c r="AB26" s="101">
        <v>26</v>
      </c>
      <c r="AC26" s="101">
        <v>27</v>
      </c>
      <c r="AD26" s="101">
        <v>28</v>
      </c>
      <c r="AE26" s="101">
        <v>29</v>
      </c>
      <c r="AF26" s="101">
        <v>30</v>
      </c>
      <c r="AG26" s="101">
        <v>31</v>
      </c>
      <c r="AH26" s="134">
        <f>COUNTIF($D27:$AH27,Šifra1)</f>
        <v>0</v>
      </c>
      <c r="AI26" s="134">
        <f>COUNTIF($D27:$AH27,Šifra2)</f>
        <v>0</v>
      </c>
      <c r="AJ26" s="134">
        <f>COUNTIF($D27:$AH27,Šifra3)</f>
        <v>0</v>
      </c>
      <c r="AK26" s="134">
        <f>COUNTIF($D27:$AH27,Šifra4)</f>
        <v>0</v>
      </c>
    </row>
    <row r="27" spans="2:37" ht="14.25" x14ac:dyDescent="0.25">
      <c r="B27" s="133"/>
      <c r="C27" s="100" t="str">
        <f>IFERROR(VLOOKUP(Pronalaženjeučenika,Prisustvovanjeujanuaru[],3,FALSE),"")</f>
        <v/>
      </c>
      <c r="D27" s="100" t="str">
        <f>IFERROR(VLOOKUP(Pronalaženjeučenika,Prisustvovanjeujanuaru[],4,FALSE),"")</f>
        <v/>
      </c>
      <c r="E27" s="100" t="str">
        <f>IFERROR(VLOOKUP(Pronalaženjeučenika,Prisustvovanjeujanuaru[],5,FALSE),"")</f>
        <v/>
      </c>
      <c r="F27" s="100" t="str">
        <f>IFERROR(VLOOKUP(Pronalaženjeučenika,Prisustvovanjeujanuaru[],6,FALSE),"")</f>
        <v/>
      </c>
      <c r="G27" s="100" t="str">
        <f>IFERROR(VLOOKUP(Pronalaženjeučenika,Prisustvovanjeujanuaru[],7,FALSE),"")</f>
        <v/>
      </c>
      <c r="H27" s="100" t="str">
        <f>IFERROR(VLOOKUP(Pronalaženjeučenika,Prisustvovanjeujanuaru[],8,FALSE),"")</f>
        <v/>
      </c>
      <c r="I27" s="100" t="str">
        <f>IFERROR(VLOOKUP(Pronalaženjeučenika,Prisustvovanjeujanuaru[],9,FALSE),"")</f>
        <v/>
      </c>
      <c r="J27" s="100" t="str">
        <f>IFERROR(VLOOKUP(Pronalaženjeučenika,Prisustvovanjeujanuaru[],10,FALSE),"")</f>
        <v/>
      </c>
      <c r="K27" s="100" t="str">
        <f>IFERROR(VLOOKUP(Pronalaženjeučenika,Prisustvovanjeujanuaru[],11,FALSE),"")</f>
        <v/>
      </c>
      <c r="L27" s="100" t="str">
        <f>IFERROR(VLOOKUP(Pronalaženjeučenika,Prisustvovanjeujanuaru[],12,FALSE),"")</f>
        <v/>
      </c>
      <c r="M27" s="100" t="str">
        <f>IFERROR(VLOOKUP(Pronalaženjeučenika,Prisustvovanjeujanuaru[],13,FALSE),"")</f>
        <v/>
      </c>
      <c r="N27" s="100" t="str">
        <f>IFERROR(VLOOKUP(Pronalaženjeučenika,Prisustvovanjeujanuaru[],14,FALSE),"")</f>
        <v/>
      </c>
      <c r="O27" s="100" t="str">
        <f>IFERROR(VLOOKUP(Pronalaženjeučenika,Prisustvovanjeujanuaru[],15,FALSE),"")</f>
        <v/>
      </c>
      <c r="P27" s="100" t="str">
        <f>IFERROR(VLOOKUP(Pronalaženjeučenika,Prisustvovanjeujanuaru[],16,FALSE),"")</f>
        <v/>
      </c>
      <c r="Q27" s="100" t="str">
        <f>IFERROR(VLOOKUP(Pronalaženjeučenika,Prisustvovanjeujanuaru[],17,FALSE),"")</f>
        <v/>
      </c>
      <c r="R27" s="100" t="str">
        <f>IFERROR(VLOOKUP(Pronalaženjeučenika,Prisustvovanjeujanuaru[],18,FALSE),"")</f>
        <v/>
      </c>
      <c r="S27" s="100" t="str">
        <f>IFERROR(VLOOKUP(Pronalaženjeučenika,Prisustvovanjeujanuaru[],19,FALSE),"")</f>
        <v/>
      </c>
      <c r="T27" s="100" t="str">
        <f>IFERROR(VLOOKUP(Pronalaženjeučenika,Prisustvovanjeujanuaru[],20,FALSE),"")</f>
        <v/>
      </c>
      <c r="U27" s="100" t="str">
        <f>IFERROR(VLOOKUP(Pronalaženjeučenika,Prisustvovanjeujanuaru[],21,FALSE),"")</f>
        <v/>
      </c>
      <c r="V27" s="100" t="str">
        <f>IFERROR(VLOOKUP(Pronalaženjeučenika,Prisustvovanjeujanuaru[],22,FALSE),"")</f>
        <v/>
      </c>
      <c r="W27" s="100" t="str">
        <f>IFERROR(VLOOKUP(Pronalaženjeučenika,Prisustvovanjeujanuaru[],23,FALSE),"")</f>
        <v/>
      </c>
      <c r="X27" s="100" t="str">
        <f>IFERROR(VLOOKUP(Pronalaženjeučenika,Prisustvovanjeujanuaru[],24,FALSE),"")</f>
        <v/>
      </c>
      <c r="Y27" s="100" t="str">
        <f>IFERROR(VLOOKUP(Pronalaženjeučenika,Prisustvovanjeujanuaru[],25,FALSE),"")</f>
        <v/>
      </c>
      <c r="Z27" s="100" t="str">
        <f>IFERROR(VLOOKUP(Pronalaženjeučenika,Prisustvovanjeujanuaru[],26,FALSE),"")</f>
        <v/>
      </c>
      <c r="AA27" s="100" t="str">
        <f>IFERROR(VLOOKUP(Pronalaženjeučenika,Prisustvovanjeujanuaru[],27,FALSE),"")</f>
        <v/>
      </c>
      <c r="AB27" s="100" t="str">
        <f>IFERROR(VLOOKUP(Pronalaženjeučenika,Prisustvovanjeujanuaru[],28,FALSE),"")</f>
        <v/>
      </c>
      <c r="AC27" s="100" t="str">
        <f>IFERROR(VLOOKUP(Pronalaženjeučenika,Prisustvovanjeujanuaru[],29,FALSE),"")</f>
        <v/>
      </c>
      <c r="AD27" s="100" t="str">
        <f>IFERROR(VLOOKUP(Pronalaženjeučenika,Prisustvovanjeujanuaru[],30,FALSE),"")</f>
        <v/>
      </c>
      <c r="AE27" s="100" t="str">
        <f>IFERROR(VLOOKUP(Pronalaženjeučenika,Prisustvovanjeujanuaru[],31,FALSE),"")</f>
        <v/>
      </c>
      <c r="AF27" s="100" t="str">
        <f>IFERROR(VLOOKUP(Pronalaženjeučenika,Prisustvovanjeujanuaru[],32,FALSE),"")</f>
        <v/>
      </c>
      <c r="AG27" s="100" t="str">
        <f>IFERROR(VLOOKUP(Pronalaženjeučenika,Prisustvovanjeujanuaru[],33,FALSE),"")</f>
        <v/>
      </c>
      <c r="AH27" s="134"/>
      <c r="AI27" s="134"/>
      <c r="AJ27" s="134"/>
      <c r="AK27" s="134"/>
    </row>
    <row r="28" spans="2:37" ht="14.25" x14ac:dyDescent="0.25">
      <c r="B28" s="133" t="s">
        <v>62</v>
      </c>
      <c r="C28" s="101">
        <v>1</v>
      </c>
      <c r="D28" s="101">
        <v>2</v>
      </c>
      <c r="E28" s="101">
        <v>3</v>
      </c>
      <c r="F28" s="101">
        <v>4</v>
      </c>
      <c r="G28" s="101">
        <v>5</v>
      </c>
      <c r="H28" s="101">
        <v>6</v>
      </c>
      <c r="I28" s="101">
        <v>7</v>
      </c>
      <c r="J28" s="101">
        <v>8</v>
      </c>
      <c r="K28" s="101">
        <v>9</v>
      </c>
      <c r="L28" s="101">
        <v>10</v>
      </c>
      <c r="M28" s="101">
        <v>11</v>
      </c>
      <c r="N28" s="101">
        <v>12</v>
      </c>
      <c r="O28" s="101">
        <v>13</v>
      </c>
      <c r="P28" s="101">
        <v>14</v>
      </c>
      <c r="Q28" s="101">
        <v>15</v>
      </c>
      <c r="R28" s="101">
        <v>16</v>
      </c>
      <c r="S28" s="101">
        <v>17</v>
      </c>
      <c r="T28" s="101">
        <v>18</v>
      </c>
      <c r="U28" s="101">
        <v>19</v>
      </c>
      <c r="V28" s="101">
        <v>20</v>
      </c>
      <c r="W28" s="101">
        <v>21</v>
      </c>
      <c r="X28" s="101">
        <v>22</v>
      </c>
      <c r="Y28" s="101">
        <v>23</v>
      </c>
      <c r="Z28" s="101">
        <v>24</v>
      </c>
      <c r="AA28" s="101">
        <v>25</v>
      </c>
      <c r="AB28" s="101">
        <v>26</v>
      </c>
      <c r="AC28" s="101">
        <v>27</v>
      </c>
      <c r="AD28" s="101">
        <v>28</v>
      </c>
      <c r="AE28" s="101">
        <v>29</v>
      </c>
      <c r="AF28" s="101"/>
      <c r="AG28" s="101"/>
      <c r="AH28" s="134">
        <f>COUNTIF($D29:$AH29,Šifra1)</f>
        <v>0</v>
      </c>
      <c r="AI28" s="134">
        <f>COUNTIF($D29:$AH29,Šifra2)</f>
        <v>0</v>
      </c>
      <c r="AJ28" s="134">
        <f>COUNTIF($D29:$AH29,Šifra3)</f>
        <v>0</v>
      </c>
      <c r="AK28" s="134">
        <f>COUNTIF($D29:$AH29,Šifra4)</f>
        <v>0</v>
      </c>
    </row>
    <row r="29" spans="2:37" ht="14.25" x14ac:dyDescent="0.25">
      <c r="B29" s="133"/>
      <c r="C29" s="100" t="str">
        <f>IFERROR(VLOOKUP(Pronalaženjeučenika,Prisustvovanjeufebruaru[],3,FALSE),"")</f>
        <v/>
      </c>
      <c r="D29" s="100" t="str">
        <f>IFERROR(VLOOKUP(Pronalaženjeučenika,Prisustvovanjeufebruaru[],4,FALSE),"")</f>
        <v/>
      </c>
      <c r="E29" s="100" t="str">
        <f>IFERROR(VLOOKUP(Pronalaženjeučenika,Prisustvovanjeufebruaru[],5,FALSE),"")</f>
        <v/>
      </c>
      <c r="F29" s="100" t="str">
        <f>IFERROR(VLOOKUP(Pronalaženjeučenika,Prisustvovanjeufebruaru[],6,FALSE),"")</f>
        <v/>
      </c>
      <c r="G29" s="100" t="str">
        <f>IFERROR(VLOOKUP(Pronalaženjeučenika,Prisustvovanjeufebruaru[],7,FALSE),"")</f>
        <v/>
      </c>
      <c r="H29" s="100" t="str">
        <f>IFERROR(VLOOKUP(Pronalaženjeučenika,Prisustvovanjeufebruaru[],8,FALSE),"")</f>
        <v/>
      </c>
      <c r="I29" s="100" t="str">
        <f>IFERROR(VLOOKUP(Pronalaženjeučenika,Prisustvovanjeufebruaru[],9,FALSE),"")</f>
        <v/>
      </c>
      <c r="J29" s="100" t="str">
        <f>IFERROR(VLOOKUP(Pronalaženjeučenika,Prisustvovanjeufebruaru[],10,FALSE),"")</f>
        <v/>
      </c>
      <c r="K29" s="100" t="str">
        <f>IFERROR(VLOOKUP(Pronalaženjeučenika,Prisustvovanjeufebruaru[],11,FALSE),"")</f>
        <v/>
      </c>
      <c r="L29" s="100" t="str">
        <f>IFERROR(VLOOKUP(Pronalaženjeučenika,Prisustvovanjeufebruaru[],12,FALSE),"")</f>
        <v/>
      </c>
      <c r="M29" s="100" t="str">
        <f>IFERROR(VLOOKUP(Pronalaženjeučenika,Prisustvovanjeufebruaru[],13,FALSE),"")</f>
        <v/>
      </c>
      <c r="N29" s="100" t="str">
        <f>IFERROR(VLOOKUP(Pronalaženjeučenika,Prisustvovanjeufebruaru[],14,FALSE),"")</f>
        <v/>
      </c>
      <c r="O29" s="100" t="str">
        <f>IFERROR(VLOOKUP(Pronalaženjeučenika,Prisustvovanjeufebruaru[],15,FALSE),"")</f>
        <v/>
      </c>
      <c r="P29" s="100" t="str">
        <f>IFERROR(VLOOKUP(Pronalaženjeučenika,Prisustvovanjeufebruaru[],16,FALSE),"")</f>
        <v/>
      </c>
      <c r="Q29" s="100" t="str">
        <f>IFERROR(VLOOKUP(Pronalaženjeučenika,Prisustvovanjeufebruaru[],17,FALSE),"")</f>
        <v/>
      </c>
      <c r="R29" s="100" t="str">
        <f>IFERROR(VLOOKUP(Pronalaženjeučenika,Prisustvovanjeufebruaru[],18,FALSE),"")</f>
        <v/>
      </c>
      <c r="S29" s="100" t="str">
        <f>IFERROR(VLOOKUP(Pronalaženjeučenika,Prisustvovanjeufebruaru[],19,FALSE),"")</f>
        <v/>
      </c>
      <c r="T29" s="100" t="str">
        <f>IFERROR(VLOOKUP(Pronalaženjeučenika,Prisustvovanjeufebruaru[],20,FALSE),"")</f>
        <v/>
      </c>
      <c r="U29" s="100" t="str">
        <f>IFERROR(VLOOKUP(Pronalaženjeučenika,Prisustvovanjeufebruaru[],21,FALSE),"")</f>
        <v/>
      </c>
      <c r="V29" s="100" t="str">
        <f>IFERROR(VLOOKUP(Pronalaženjeučenika,Prisustvovanjeufebruaru[],22,FALSE),"")</f>
        <v/>
      </c>
      <c r="W29" s="100" t="str">
        <f>IFERROR(VLOOKUP(Pronalaženjeučenika,Prisustvovanjeufebruaru[],23,FALSE),"")</f>
        <v/>
      </c>
      <c r="X29" s="100" t="str">
        <f>IFERROR(VLOOKUP(Pronalaženjeučenika,Prisustvovanjeufebruaru[],24,FALSE),"")</f>
        <v/>
      </c>
      <c r="Y29" s="100" t="str">
        <f>IFERROR(VLOOKUP(Pronalaženjeučenika,Prisustvovanjeufebruaru[],25,FALSE),"")</f>
        <v/>
      </c>
      <c r="Z29" s="100" t="str">
        <f>IFERROR(VLOOKUP(Pronalaženjeučenika,Prisustvovanjeufebruaru[],26,FALSE),"")</f>
        <v/>
      </c>
      <c r="AA29" s="100" t="str">
        <f>IFERROR(VLOOKUP(Pronalaženjeučenika,Prisustvovanjeufebruaru[],27,FALSE),"")</f>
        <v/>
      </c>
      <c r="AB29" s="100" t="str">
        <f>IFERROR(VLOOKUP(Pronalaženjeučenika,Prisustvovanjeufebruaru[],28,FALSE),"")</f>
        <v/>
      </c>
      <c r="AC29" s="100" t="str">
        <f>IFERROR(VLOOKUP(Pronalaženjeučenika,Prisustvovanjeufebruaru[],29,FALSE),"")</f>
        <v/>
      </c>
      <c r="AD29" s="100" t="str">
        <f>IFERROR(VLOOKUP(Pronalaženjeučenika,Prisustvovanjeufebruaru[],30,FALSE),"")</f>
        <v/>
      </c>
      <c r="AE29" s="100" t="str">
        <f>IFERROR(VLOOKUP(Pronalaženjeučenika,Prisustvovanjeufebruaru[],31,FALSE),"")</f>
        <v/>
      </c>
      <c r="AF29" s="100"/>
      <c r="AG29" s="100"/>
      <c r="AH29" s="134"/>
      <c r="AI29" s="134"/>
      <c r="AJ29" s="134"/>
      <c r="AK29" s="134"/>
    </row>
    <row r="30" spans="2:37" ht="14.25" x14ac:dyDescent="0.25">
      <c r="B30" s="133" t="s">
        <v>63</v>
      </c>
      <c r="C30" s="101">
        <v>1</v>
      </c>
      <c r="D30" s="101">
        <v>2</v>
      </c>
      <c r="E30" s="101">
        <v>3</v>
      </c>
      <c r="F30" s="101">
        <v>4</v>
      </c>
      <c r="G30" s="101">
        <v>5</v>
      </c>
      <c r="H30" s="101">
        <v>6</v>
      </c>
      <c r="I30" s="101">
        <v>7</v>
      </c>
      <c r="J30" s="101">
        <v>8</v>
      </c>
      <c r="K30" s="101">
        <v>9</v>
      </c>
      <c r="L30" s="101">
        <v>10</v>
      </c>
      <c r="M30" s="101">
        <v>11</v>
      </c>
      <c r="N30" s="101">
        <v>12</v>
      </c>
      <c r="O30" s="101">
        <v>13</v>
      </c>
      <c r="P30" s="101">
        <v>14</v>
      </c>
      <c r="Q30" s="101">
        <v>15</v>
      </c>
      <c r="R30" s="101">
        <v>16</v>
      </c>
      <c r="S30" s="101">
        <v>17</v>
      </c>
      <c r="T30" s="101">
        <v>18</v>
      </c>
      <c r="U30" s="101">
        <v>19</v>
      </c>
      <c r="V30" s="101">
        <v>20</v>
      </c>
      <c r="W30" s="101">
        <v>21</v>
      </c>
      <c r="X30" s="101">
        <v>22</v>
      </c>
      <c r="Y30" s="101">
        <v>23</v>
      </c>
      <c r="Z30" s="101">
        <v>24</v>
      </c>
      <c r="AA30" s="101">
        <v>25</v>
      </c>
      <c r="AB30" s="101">
        <v>26</v>
      </c>
      <c r="AC30" s="101">
        <v>27</v>
      </c>
      <c r="AD30" s="101">
        <v>28</v>
      </c>
      <c r="AE30" s="101">
        <v>29</v>
      </c>
      <c r="AF30" s="101">
        <v>30</v>
      </c>
      <c r="AG30" s="101">
        <v>31</v>
      </c>
      <c r="AH30" s="134">
        <f>COUNTIF($D31:$AH31,Šifra1)</f>
        <v>0</v>
      </c>
      <c r="AI30" s="134">
        <f>COUNTIF($D31:$AH31,Šifra2)</f>
        <v>0</v>
      </c>
      <c r="AJ30" s="134">
        <f>COUNTIF($D31:$AH31,Šifra3)</f>
        <v>0</v>
      </c>
      <c r="AK30" s="134">
        <f>COUNTIF($D31:$AH31,Šifra4)</f>
        <v>0</v>
      </c>
    </row>
    <row r="31" spans="2:37" ht="14.25" x14ac:dyDescent="0.25">
      <c r="B31" s="133"/>
      <c r="C31" s="100" t="str">
        <f>IFERROR(VLOOKUP(Pronalaženjeučenika,Prisustvovanjeumartu[],3,FALSE),"")</f>
        <v/>
      </c>
      <c r="D31" s="100" t="str">
        <f>IFERROR(VLOOKUP(Pronalaženjeučenika,Prisustvovanjeumartu[],4,FALSE),"")</f>
        <v/>
      </c>
      <c r="E31" s="100" t="str">
        <f>IFERROR(VLOOKUP(Pronalaženjeučenika,Prisustvovanjeumartu[],5,FALSE),"")</f>
        <v/>
      </c>
      <c r="F31" s="100" t="str">
        <f>IFERROR(VLOOKUP(Pronalaženjeučenika,Prisustvovanjeumartu[],6,FALSE),"")</f>
        <v/>
      </c>
      <c r="G31" s="100" t="str">
        <f>IFERROR(VLOOKUP(Pronalaženjeučenika,Prisustvovanjeumartu[],7,FALSE),"")</f>
        <v/>
      </c>
      <c r="H31" s="100" t="str">
        <f>IFERROR(VLOOKUP(Pronalaženjeučenika,Prisustvovanjeumartu[],8,FALSE),"")</f>
        <v/>
      </c>
      <c r="I31" s="100" t="str">
        <f>IFERROR(VLOOKUP(Pronalaženjeučenika,Prisustvovanjeumartu[],9,FALSE),"")</f>
        <v/>
      </c>
      <c r="J31" s="100" t="str">
        <f>IFERROR(VLOOKUP(Pronalaženjeučenika,Prisustvovanjeumartu[],10,FALSE),"")</f>
        <v/>
      </c>
      <c r="K31" s="100" t="str">
        <f>IFERROR(VLOOKUP(Pronalaženjeučenika,Prisustvovanjeumartu[],11,FALSE),"")</f>
        <v/>
      </c>
      <c r="L31" s="100" t="str">
        <f>IFERROR(VLOOKUP(Pronalaženjeučenika,Prisustvovanjeumartu[],12,FALSE),"")</f>
        <v/>
      </c>
      <c r="M31" s="100" t="str">
        <f>IFERROR(VLOOKUP(Pronalaženjeučenika,Prisustvovanjeumartu[],13,FALSE),"")</f>
        <v/>
      </c>
      <c r="N31" s="100" t="str">
        <f>IFERROR(VLOOKUP(Pronalaženjeučenika,Prisustvovanjeumartu[],14,FALSE),"")</f>
        <v/>
      </c>
      <c r="O31" s="100" t="str">
        <f>IFERROR(VLOOKUP(Pronalaženjeučenika,Prisustvovanjeumartu[],15,FALSE),"")</f>
        <v/>
      </c>
      <c r="P31" s="100" t="str">
        <f>IFERROR(VLOOKUP(Pronalaženjeučenika,Prisustvovanjeumartu[],16,FALSE),"")</f>
        <v/>
      </c>
      <c r="Q31" s="100" t="str">
        <f>IFERROR(VLOOKUP(Pronalaženjeučenika,Prisustvovanjeumartu[],17,FALSE),"")</f>
        <v/>
      </c>
      <c r="R31" s="100" t="str">
        <f>IFERROR(VLOOKUP(Pronalaženjeučenika,Prisustvovanjeumartu[],18,FALSE),"")</f>
        <v/>
      </c>
      <c r="S31" s="100" t="str">
        <f>IFERROR(VLOOKUP(Pronalaženjeučenika,Prisustvovanjeumartu[],19,FALSE),"")</f>
        <v/>
      </c>
      <c r="T31" s="100" t="str">
        <f>IFERROR(VLOOKUP(Pronalaženjeučenika,Prisustvovanjeumartu[],20,FALSE),"")</f>
        <v/>
      </c>
      <c r="U31" s="100" t="str">
        <f>IFERROR(VLOOKUP(Pronalaženjeučenika,Prisustvovanjeumartu[],21,FALSE),"")</f>
        <v/>
      </c>
      <c r="V31" s="100" t="str">
        <f>IFERROR(VLOOKUP(Pronalaženjeučenika,Prisustvovanjeumartu[],22,FALSE),"")</f>
        <v/>
      </c>
      <c r="W31" s="100" t="str">
        <f>IFERROR(VLOOKUP(Pronalaženjeučenika,Prisustvovanjeumartu[],23,FALSE),"")</f>
        <v/>
      </c>
      <c r="X31" s="100" t="str">
        <f>IFERROR(VLOOKUP(Pronalaženjeučenika,Prisustvovanjeumartu[],24,FALSE),"")</f>
        <v/>
      </c>
      <c r="Y31" s="100" t="str">
        <f>IFERROR(VLOOKUP(Pronalaženjeučenika,Prisustvovanjeumartu[],25,FALSE),"")</f>
        <v/>
      </c>
      <c r="Z31" s="100" t="str">
        <f>IFERROR(VLOOKUP(Pronalaženjeučenika,Prisustvovanjeumartu[],26,FALSE),"")</f>
        <v/>
      </c>
      <c r="AA31" s="100" t="str">
        <f>IFERROR(VLOOKUP(Pronalaženjeučenika,Prisustvovanjeumartu[],27,FALSE),"")</f>
        <v/>
      </c>
      <c r="AB31" s="100" t="str">
        <f>IFERROR(VLOOKUP(Pronalaženjeučenika,Prisustvovanjeumartu[],28,FALSE),"")</f>
        <v/>
      </c>
      <c r="AC31" s="100" t="str">
        <f>IFERROR(VLOOKUP(Pronalaženjeučenika,Prisustvovanjeumartu[],29,FALSE),"")</f>
        <v/>
      </c>
      <c r="AD31" s="100" t="str">
        <f>IFERROR(VLOOKUP(Pronalaženjeučenika,Prisustvovanjeumartu[],30,FALSE),"")</f>
        <v/>
      </c>
      <c r="AE31" s="100" t="str">
        <f>IFERROR(VLOOKUP(Pronalaženjeučenika,Prisustvovanjeumartu[],31,FALSE),"")</f>
        <v/>
      </c>
      <c r="AF31" s="100" t="str">
        <f>IFERROR(VLOOKUP(Pronalaženjeučenika,Prisustvovanjeumartu[],32,FALSE),"")</f>
        <v/>
      </c>
      <c r="AG31" s="100" t="str">
        <f>IFERROR(VLOOKUP(Pronalaženjeučenika,Prisustvovanjeumartu[],33,FALSE),"")</f>
        <v/>
      </c>
      <c r="AH31" s="134"/>
      <c r="AI31" s="134"/>
      <c r="AJ31" s="134"/>
      <c r="AK31" s="134"/>
    </row>
    <row r="32" spans="2:37" ht="14.25" x14ac:dyDescent="0.25">
      <c r="B32" s="133" t="s">
        <v>64</v>
      </c>
      <c r="C32" s="101">
        <v>1</v>
      </c>
      <c r="D32" s="101">
        <v>2</v>
      </c>
      <c r="E32" s="101">
        <v>3</v>
      </c>
      <c r="F32" s="101">
        <v>4</v>
      </c>
      <c r="G32" s="101">
        <v>5</v>
      </c>
      <c r="H32" s="101">
        <v>6</v>
      </c>
      <c r="I32" s="101">
        <v>7</v>
      </c>
      <c r="J32" s="101">
        <v>8</v>
      </c>
      <c r="K32" s="101">
        <v>9</v>
      </c>
      <c r="L32" s="101">
        <v>10</v>
      </c>
      <c r="M32" s="101">
        <v>11</v>
      </c>
      <c r="N32" s="101">
        <v>12</v>
      </c>
      <c r="O32" s="101">
        <v>13</v>
      </c>
      <c r="P32" s="101">
        <v>14</v>
      </c>
      <c r="Q32" s="101">
        <v>15</v>
      </c>
      <c r="R32" s="101">
        <v>16</v>
      </c>
      <c r="S32" s="101">
        <v>17</v>
      </c>
      <c r="T32" s="101">
        <v>18</v>
      </c>
      <c r="U32" s="101">
        <v>19</v>
      </c>
      <c r="V32" s="101">
        <v>20</v>
      </c>
      <c r="W32" s="101">
        <v>21</v>
      </c>
      <c r="X32" s="101">
        <v>22</v>
      </c>
      <c r="Y32" s="101">
        <v>23</v>
      </c>
      <c r="Z32" s="101">
        <v>24</v>
      </c>
      <c r="AA32" s="101">
        <v>25</v>
      </c>
      <c r="AB32" s="101">
        <v>26</v>
      </c>
      <c r="AC32" s="101">
        <v>27</v>
      </c>
      <c r="AD32" s="101">
        <v>28</v>
      </c>
      <c r="AE32" s="101">
        <v>29</v>
      </c>
      <c r="AF32" s="101">
        <v>30</v>
      </c>
      <c r="AG32" s="101"/>
      <c r="AH32" s="134">
        <f>COUNTIF($D33:$AH33,Šifra1)</f>
        <v>0</v>
      </c>
      <c r="AI32" s="134">
        <f>COUNTIF($D33:$AH33,Šifra2)</f>
        <v>0</v>
      </c>
      <c r="AJ32" s="134">
        <f>COUNTIF($D33:$AH33,Šifra3)</f>
        <v>0</v>
      </c>
      <c r="AK32" s="134">
        <f>COUNTIF($D33:$AH33,Šifra4)</f>
        <v>0</v>
      </c>
    </row>
    <row r="33" spans="2:37" ht="14.25" x14ac:dyDescent="0.25">
      <c r="B33" s="133"/>
      <c r="C33" s="100" t="str">
        <f>IFERROR(VLOOKUP(Pronalaženjeučenika,Prisustvovanjeuaprilu[],3,FALSE),"")</f>
        <v/>
      </c>
      <c r="D33" s="100" t="str">
        <f>IFERROR(VLOOKUP(Pronalaženjeučenika,Prisustvovanjeuaprilu[],4,FALSE),"")</f>
        <v/>
      </c>
      <c r="E33" s="100" t="str">
        <f>IFERROR(VLOOKUP(Pronalaženjeučenika,Prisustvovanjeuaprilu[],5,FALSE),"")</f>
        <v/>
      </c>
      <c r="F33" s="100" t="str">
        <f>IFERROR(VLOOKUP(Pronalaženjeučenika,Prisustvovanjeuaprilu[],6,FALSE),"")</f>
        <v/>
      </c>
      <c r="G33" s="100" t="str">
        <f>IFERROR(VLOOKUP(Pronalaženjeučenika,Prisustvovanjeuaprilu[],7,FALSE),"")</f>
        <v/>
      </c>
      <c r="H33" s="100" t="str">
        <f>IFERROR(VLOOKUP(Pronalaženjeučenika,Prisustvovanjeuaprilu[],8,FALSE),"")</f>
        <v/>
      </c>
      <c r="I33" s="100" t="str">
        <f>IFERROR(VLOOKUP(Pronalaženjeučenika,Prisustvovanjeuaprilu[],9,FALSE),"")</f>
        <v/>
      </c>
      <c r="J33" s="100" t="str">
        <f>IFERROR(VLOOKUP(Pronalaženjeučenika,Prisustvovanjeuaprilu[],10,FALSE),"")</f>
        <v/>
      </c>
      <c r="K33" s="100" t="str">
        <f>IFERROR(VLOOKUP(Pronalaženjeučenika,Prisustvovanjeuaprilu[],11,FALSE),"")</f>
        <v/>
      </c>
      <c r="L33" s="100" t="str">
        <f>IFERROR(VLOOKUP(Pronalaženjeučenika,Prisustvovanjeuaprilu[],12,FALSE),"")</f>
        <v/>
      </c>
      <c r="M33" s="100" t="str">
        <f>IFERROR(VLOOKUP(Pronalaženjeučenika,Prisustvovanjeuaprilu[],13,FALSE),"")</f>
        <v/>
      </c>
      <c r="N33" s="100" t="str">
        <f>IFERROR(VLOOKUP(Pronalaženjeučenika,Prisustvovanjeuaprilu[],14,FALSE),"")</f>
        <v/>
      </c>
      <c r="O33" s="100" t="str">
        <f>IFERROR(VLOOKUP(Pronalaženjeučenika,Prisustvovanjeuaprilu[],15,FALSE),"")</f>
        <v/>
      </c>
      <c r="P33" s="100" t="str">
        <f>IFERROR(VLOOKUP(Pronalaženjeučenika,Prisustvovanjeuaprilu[],16,FALSE),"")</f>
        <v/>
      </c>
      <c r="Q33" s="100" t="str">
        <f>IFERROR(VLOOKUP(Pronalaženjeučenika,Prisustvovanjeuaprilu[],17,FALSE),"")</f>
        <v/>
      </c>
      <c r="R33" s="100" t="str">
        <f>IFERROR(VLOOKUP(Pronalaženjeučenika,Prisustvovanjeuaprilu[],18,FALSE),"")</f>
        <v/>
      </c>
      <c r="S33" s="100" t="str">
        <f>IFERROR(VLOOKUP(Pronalaženjeučenika,Prisustvovanjeuaprilu[],19,FALSE),"")</f>
        <v/>
      </c>
      <c r="T33" s="100" t="str">
        <f>IFERROR(VLOOKUP(Pronalaženjeučenika,Prisustvovanjeuaprilu[],20,FALSE),"")</f>
        <v/>
      </c>
      <c r="U33" s="100" t="str">
        <f>IFERROR(VLOOKUP(Pronalaženjeučenika,Prisustvovanjeuaprilu[],21,FALSE),"")</f>
        <v/>
      </c>
      <c r="V33" s="100" t="str">
        <f>IFERROR(VLOOKUP(Pronalaženjeučenika,Prisustvovanjeuaprilu[],22,FALSE),"")</f>
        <v/>
      </c>
      <c r="W33" s="100" t="str">
        <f>IFERROR(VLOOKUP(Pronalaženjeučenika,Prisustvovanjeuaprilu[],23,FALSE),"")</f>
        <v/>
      </c>
      <c r="X33" s="100" t="str">
        <f>IFERROR(VLOOKUP(Pronalaženjeučenika,Prisustvovanjeuaprilu[],24,FALSE),"")</f>
        <v/>
      </c>
      <c r="Y33" s="100" t="str">
        <f>IFERROR(VLOOKUP(Pronalaženjeučenika,Prisustvovanjeuaprilu[],25,FALSE),"")</f>
        <v/>
      </c>
      <c r="Z33" s="100" t="str">
        <f>IFERROR(VLOOKUP(Pronalaženjeučenika,Prisustvovanjeuaprilu[],26,FALSE),"")</f>
        <v/>
      </c>
      <c r="AA33" s="100" t="str">
        <f>IFERROR(VLOOKUP(Pronalaženjeučenika,Prisustvovanjeuaprilu[],27,FALSE),"")</f>
        <v/>
      </c>
      <c r="AB33" s="100" t="str">
        <f>IFERROR(VLOOKUP(Pronalaženjeučenika,Prisustvovanjeuaprilu[],28,FALSE),"")</f>
        <v/>
      </c>
      <c r="AC33" s="100" t="str">
        <f>IFERROR(VLOOKUP(Pronalaženjeučenika,Prisustvovanjeuaprilu[],29,FALSE),"")</f>
        <v/>
      </c>
      <c r="AD33" s="100" t="str">
        <f>IFERROR(VLOOKUP(Pronalaženjeučenika,Prisustvovanjeuaprilu[],30,FALSE),"")</f>
        <v/>
      </c>
      <c r="AE33" s="100" t="str">
        <f>IFERROR(VLOOKUP(Pronalaženjeučenika,Prisustvovanjeuaprilu[],31,FALSE),"")</f>
        <v/>
      </c>
      <c r="AF33" s="100" t="str">
        <f>IFERROR(VLOOKUP(Pronalaženjeučenika,Prisustvovanjeuaprilu[],32,FALSE),"")</f>
        <v/>
      </c>
      <c r="AG33" s="100"/>
      <c r="AH33" s="134"/>
      <c r="AI33" s="134"/>
      <c r="AJ33" s="134"/>
      <c r="AK33" s="134"/>
    </row>
    <row r="34" spans="2:37" ht="14.25" x14ac:dyDescent="0.25">
      <c r="B34" s="133" t="s">
        <v>65</v>
      </c>
      <c r="C34" s="101">
        <v>1</v>
      </c>
      <c r="D34" s="101">
        <v>2</v>
      </c>
      <c r="E34" s="101">
        <v>3</v>
      </c>
      <c r="F34" s="101">
        <v>4</v>
      </c>
      <c r="G34" s="101">
        <v>5</v>
      </c>
      <c r="H34" s="101">
        <v>6</v>
      </c>
      <c r="I34" s="101">
        <v>7</v>
      </c>
      <c r="J34" s="101">
        <v>8</v>
      </c>
      <c r="K34" s="101">
        <v>9</v>
      </c>
      <c r="L34" s="101">
        <v>10</v>
      </c>
      <c r="M34" s="101">
        <v>11</v>
      </c>
      <c r="N34" s="101">
        <v>12</v>
      </c>
      <c r="O34" s="101">
        <v>13</v>
      </c>
      <c r="P34" s="101">
        <v>14</v>
      </c>
      <c r="Q34" s="101">
        <v>15</v>
      </c>
      <c r="R34" s="101">
        <v>16</v>
      </c>
      <c r="S34" s="101">
        <v>17</v>
      </c>
      <c r="T34" s="101">
        <v>18</v>
      </c>
      <c r="U34" s="101">
        <v>19</v>
      </c>
      <c r="V34" s="101">
        <v>20</v>
      </c>
      <c r="W34" s="101">
        <v>21</v>
      </c>
      <c r="X34" s="101">
        <v>22</v>
      </c>
      <c r="Y34" s="101">
        <v>23</v>
      </c>
      <c r="Z34" s="101">
        <v>24</v>
      </c>
      <c r="AA34" s="101">
        <v>25</v>
      </c>
      <c r="AB34" s="101">
        <v>26</v>
      </c>
      <c r="AC34" s="101">
        <v>27</v>
      </c>
      <c r="AD34" s="101">
        <v>28</v>
      </c>
      <c r="AE34" s="101">
        <v>29</v>
      </c>
      <c r="AF34" s="101">
        <v>30</v>
      </c>
      <c r="AG34" s="101">
        <v>31</v>
      </c>
      <c r="AH34" s="134">
        <f>COUNTIF($D35:$AH35,Šifra1)</f>
        <v>0</v>
      </c>
      <c r="AI34" s="134">
        <f>COUNTIF($D35:$AH35,Šifra2)</f>
        <v>0</v>
      </c>
      <c r="AJ34" s="134">
        <f>COUNTIF($D35:$AH35,Šifra3)</f>
        <v>0</v>
      </c>
      <c r="AK34" s="134">
        <f>COUNTIF($D35:$AH35,Šifra4)</f>
        <v>0</v>
      </c>
    </row>
    <row r="35" spans="2:37" ht="14.25" x14ac:dyDescent="0.25">
      <c r="B35" s="133"/>
      <c r="C35" s="100" t="str">
        <f>IFERROR(VLOOKUP(Pronalaženjeučenika,Prisustvovanjeumaju[],3,FALSE),"")</f>
        <v/>
      </c>
      <c r="D35" s="100" t="str">
        <f>IFERROR(VLOOKUP(Pronalaženjeučenika,Prisustvovanjeumaju[],4,FALSE),"")</f>
        <v/>
      </c>
      <c r="E35" s="100" t="str">
        <f>IFERROR(VLOOKUP(Pronalaženjeučenika,Prisustvovanjeumaju[],5,FALSE),"")</f>
        <v/>
      </c>
      <c r="F35" s="100" t="str">
        <f>IFERROR(VLOOKUP(Pronalaženjeučenika,Prisustvovanjeumaju[],6,FALSE),"")</f>
        <v/>
      </c>
      <c r="G35" s="100" t="str">
        <f>IFERROR(VLOOKUP(Pronalaženjeučenika,Prisustvovanjeumaju[],7,FALSE),"")</f>
        <v/>
      </c>
      <c r="H35" s="100" t="str">
        <f>IFERROR(VLOOKUP(Pronalaženjeučenika,Prisustvovanjeumaju[],8,FALSE),"")</f>
        <v/>
      </c>
      <c r="I35" s="100" t="str">
        <f>IFERROR(VLOOKUP(Pronalaženjeučenika,Prisustvovanjeumaju[],9,FALSE),"")</f>
        <v/>
      </c>
      <c r="J35" s="100" t="str">
        <f>IFERROR(VLOOKUP(Pronalaženjeučenika,Prisustvovanjeumaju[],10,FALSE),"")</f>
        <v/>
      </c>
      <c r="K35" s="100" t="str">
        <f>IFERROR(VLOOKUP(Pronalaženjeučenika,Prisustvovanjeumaju[],11,FALSE),"")</f>
        <v/>
      </c>
      <c r="L35" s="100" t="str">
        <f>IFERROR(VLOOKUP(Pronalaženjeučenika,Prisustvovanjeumaju[],12,FALSE),"")</f>
        <v/>
      </c>
      <c r="M35" s="100" t="str">
        <f>IFERROR(VLOOKUP(Pronalaženjeučenika,Prisustvovanjeumaju[],13,FALSE),"")</f>
        <v/>
      </c>
      <c r="N35" s="100" t="str">
        <f>IFERROR(VLOOKUP(Pronalaženjeučenika,Prisustvovanjeumaju[],14,FALSE),"")</f>
        <v/>
      </c>
      <c r="O35" s="100" t="str">
        <f>IFERROR(VLOOKUP(Pronalaženjeučenika,Prisustvovanjeumaju[],15,FALSE),"")</f>
        <v/>
      </c>
      <c r="P35" s="100" t="str">
        <f>IFERROR(VLOOKUP(Pronalaženjeučenika,Prisustvovanjeumaju[],16,FALSE),"")</f>
        <v/>
      </c>
      <c r="Q35" s="100" t="str">
        <f>IFERROR(VLOOKUP(Pronalaženjeučenika,Prisustvovanjeumaju[],17,FALSE),"")</f>
        <v/>
      </c>
      <c r="R35" s="100" t="str">
        <f>IFERROR(VLOOKUP(Pronalaženjeučenika,Prisustvovanjeumaju[],18,FALSE),"")</f>
        <v/>
      </c>
      <c r="S35" s="100" t="str">
        <f>IFERROR(VLOOKUP(Pronalaženjeučenika,Prisustvovanjeumaju[],19,FALSE),"")</f>
        <v/>
      </c>
      <c r="T35" s="100" t="str">
        <f>IFERROR(VLOOKUP(Pronalaženjeučenika,Prisustvovanjeumaju[],20,FALSE),"")</f>
        <v/>
      </c>
      <c r="U35" s="100" t="str">
        <f>IFERROR(VLOOKUP(Pronalaženjeučenika,Prisustvovanjeumaju[],21,FALSE),"")</f>
        <v/>
      </c>
      <c r="V35" s="100" t="str">
        <f>IFERROR(VLOOKUP(Pronalaženjeučenika,Prisustvovanjeumaju[],22,FALSE),"")</f>
        <v/>
      </c>
      <c r="W35" s="100" t="str">
        <f>IFERROR(VLOOKUP(Pronalaženjeučenika,Prisustvovanjeumaju[],23,FALSE),"")</f>
        <v/>
      </c>
      <c r="X35" s="100" t="str">
        <f>IFERROR(VLOOKUP(Pronalaženjeučenika,Prisustvovanjeumaju[],24,FALSE),"")</f>
        <v/>
      </c>
      <c r="Y35" s="100" t="str">
        <f>IFERROR(VLOOKUP(Pronalaženjeučenika,Prisustvovanjeumaju[],25,FALSE),"")</f>
        <v/>
      </c>
      <c r="Z35" s="100" t="str">
        <f>IFERROR(VLOOKUP(Pronalaženjeučenika,Prisustvovanjeumaju[],26,FALSE),"")</f>
        <v/>
      </c>
      <c r="AA35" s="100" t="str">
        <f>IFERROR(VLOOKUP(Pronalaženjeučenika,Prisustvovanjeumaju[],27,FALSE),"")</f>
        <v/>
      </c>
      <c r="AB35" s="100" t="str">
        <f>IFERROR(VLOOKUP(Pronalaženjeučenika,Prisustvovanjeumaju[],28,FALSE),"")</f>
        <v/>
      </c>
      <c r="AC35" s="100" t="str">
        <f>IFERROR(VLOOKUP(Pronalaženjeučenika,Prisustvovanjeumaju[],29,FALSE),"")</f>
        <v/>
      </c>
      <c r="AD35" s="100" t="str">
        <f>IFERROR(VLOOKUP(Pronalaženjeučenika,Prisustvovanjeumaju[],30,FALSE),"")</f>
        <v/>
      </c>
      <c r="AE35" s="100" t="str">
        <f>IFERROR(VLOOKUP(Pronalaženjeučenika,Prisustvovanjeumaju[],31,FALSE),"")</f>
        <v/>
      </c>
      <c r="AF35" s="100" t="str">
        <f>IFERROR(VLOOKUP(Pronalaženjeučenika,Prisustvovanjeumaju[],32,FALSE),"")</f>
        <v/>
      </c>
      <c r="AG35" s="100" t="str">
        <f>IFERROR(VLOOKUP(Pronalaženjeučenika,Prisustvovanjeumaju[],33,FALSE),"")</f>
        <v/>
      </c>
      <c r="AH35" s="134"/>
      <c r="AI35" s="134"/>
      <c r="AJ35" s="134"/>
      <c r="AK35" s="134"/>
    </row>
    <row r="36" spans="2:37" ht="14.25" x14ac:dyDescent="0.25">
      <c r="B36" s="135" t="s">
        <v>66</v>
      </c>
      <c r="C36" s="101">
        <v>1</v>
      </c>
      <c r="D36" s="101">
        <v>2</v>
      </c>
      <c r="E36" s="101">
        <v>3</v>
      </c>
      <c r="F36" s="101">
        <v>4</v>
      </c>
      <c r="G36" s="101">
        <v>5</v>
      </c>
      <c r="H36" s="101">
        <v>6</v>
      </c>
      <c r="I36" s="101">
        <v>7</v>
      </c>
      <c r="J36" s="101">
        <v>8</v>
      </c>
      <c r="K36" s="101">
        <v>9</v>
      </c>
      <c r="L36" s="101">
        <v>10</v>
      </c>
      <c r="M36" s="101">
        <v>11</v>
      </c>
      <c r="N36" s="101">
        <v>12</v>
      </c>
      <c r="O36" s="101">
        <v>13</v>
      </c>
      <c r="P36" s="101">
        <v>14</v>
      </c>
      <c r="Q36" s="101">
        <v>15</v>
      </c>
      <c r="R36" s="101">
        <v>16</v>
      </c>
      <c r="S36" s="101">
        <v>17</v>
      </c>
      <c r="T36" s="101">
        <v>18</v>
      </c>
      <c r="U36" s="101">
        <v>19</v>
      </c>
      <c r="V36" s="101">
        <v>20</v>
      </c>
      <c r="W36" s="101">
        <v>21</v>
      </c>
      <c r="X36" s="101">
        <v>22</v>
      </c>
      <c r="Y36" s="101">
        <v>23</v>
      </c>
      <c r="Z36" s="101">
        <v>24</v>
      </c>
      <c r="AA36" s="101">
        <v>25</v>
      </c>
      <c r="AB36" s="101">
        <v>26</v>
      </c>
      <c r="AC36" s="101">
        <v>27</v>
      </c>
      <c r="AD36" s="101">
        <v>28</v>
      </c>
      <c r="AE36" s="101">
        <v>29</v>
      </c>
      <c r="AF36" s="101">
        <v>30</v>
      </c>
      <c r="AG36" s="101"/>
      <c r="AH36" s="130">
        <f>COUNTIF($D37:$AH37,Šifra1)</f>
        <v>0</v>
      </c>
      <c r="AI36" s="130">
        <f>COUNTIF($D37:$AH37,Šifra2)</f>
        <v>0</v>
      </c>
      <c r="AJ36" s="130">
        <f>COUNTIF($D37:$AH37,Šifra3)</f>
        <v>0</v>
      </c>
      <c r="AK36" s="130">
        <f>COUNTIF($D37:$AH37,Šifra4)</f>
        <v>0</v>
      </c>
    </row>
    <row r="37" spans="2:37" ht="14.25" x14ac:dyDescent="0.25">
      <c r="B37" s="136"/>
      <c r="C37" s="100" t="str">
        <f>IFERROR(VLOOKUP(Pronalaženjeučenika,Prisustvovanjeujunu[],3,FALSE),"")</f>
        <v/>
      </c>
      <c r="D37" s="100" t="str">
        <f>IFERROR(VLOOKUP(Pronalaženjeučenika,Prisustvovanjeujunu[],4,FALSE),"")</f>
        <v/>
      </c>
      <c r="E37" s="100" t="str">
        <f>IFERROR(VLOOKUP(Pronalaženjeučenika,Prisustvovanjeujunu[],5,FALSE),"")</f>
        <v/>
      </c>
      <c r="F37" s="100" t="str">
        <f>IFERROR(VLOOKUP(Pronalaženjeučenika,Prisustvovanjeujunu[],6,FALSE),"")</f>
        <v/>
      </c>
      <c r="G37" s="100" t="str">
        <f>IFERROR(VLOOKUP(Pronalaženjeučenika,Prisustvovanjeujunu[],7,FALSE),"")</f>
        <v/>
      </c>
      <c r="H37" s="100" t="str">
        <f>IFERROR(VLOOKUP(Pronalaženjeučenika,Prisustvovanjeujunu[],8,FALSE),"")</f>
        <v/>
      </c>
      <c r="I37" s="100" t="str">
        <f>IFERROR(VLOOKUP(Pronalaženjeučenika,Prisustvovanjeujunu[],9,FALSE),"")</f>
        <v/>
      </c>
      <c r="J37" s="100" t="str">
        <f>IFERROR(VLOOKUP(Pronalaženjeučenika,Prisustvovanjeujunu[],10,FALSE),"")</f>
        <v/>
      </c>
      <c r="K37" s="100" t="str">
        <f>IFERROR(VLOOKUP(Pronalaženjeučenika,Prisustvovanjeujunu[],11,FALSE),"")</f>
        <v/>
      </c>
      <c r="L37" s="100" t="str">
        <f>IFERROR(VLOOKUP(Pronalaženjeučenika,Prisustvovanjeujunu[],12,FALSE),"")</f>
        <v/>
      </c>
      <c r="M37" s="100" t="str">
        <f>IFERROR(VLOOKUP(Pronalaženjeučenika,Prisustvovanjeujunu[],13,FALSE),"")</f>
        <v/>
      </c>
      <c r="N37" s="100" t="str">
        <f>IFERROR(VLOOKUP(Pronalaženjeučenika,Prisustvovanjeujunu[],14,FALSE),"")</f>
        <v/>
      </c>
      <c r="O37" s="100" t="str">
        <f>IFERROR(VLOOKUP(Pronalaženjeučenika,Prisustvovanjeujunu[],15,FALSE),"")</f>
        <v/>
      </c>
      <c r="P37" s="100" t="str">
        <f>IFERROR(VLOOKUP(Pronalaženjeučenika,Prisustvovanjeujunu[],16,FALSE),"")</f>
        <v/>
      </c>
      <c r="Q37" s="100" t="str">
        <f>IFERROR(VLOOKUP(Pronalaženjeučenika,Prisustvovanjeujunu[],17,FALSE),"")</f>
        <v/>
      </c>
      <c r="R37" s="100" t="str">
        <f>IFERROR(VLOOKUP(Pronalaženjeučenika,Prisustvovanjeujunu[],18,FALSE),"")</f>
        <v/>
      </c>
      <c r="S37" s="100" t="str">
        <f>IFERROR(VLOOKUP(Pronalaženjeučenika,Prisustvovanjeujunu[],19,FALSE),"")</f>
        <v/>
      </c>
      <c r="T37" s="100" t="str">
        <f>IFERROR(VLOOKUP(Pronalaženjeučenika,Prisustvovanjeujunu[],20,FALSE),"")</f>
        <v/>
      </c>
      <c r="U37" s="100" t="str">
        <f>IFERROR(VLOOKUP(Pronalaženjeučenika,Prisustvovanjeujunu[],21,FALSE),"")</f>
        <v/>
      </c>
      <c r="V37" s="100" t="str">
        <f>IFERROR(VLOOKUP(Pronalaženjeučenika,Prisustvovanjeujunu[],22,FALSE),"")</f>
        <v/>
      </c>
      <c r="W37" s="100" t="str">
        <f>IFERROR(VLOOKUP(Pronalaženjeučenika,Prisustvovanjeujunu[],23,FALSE),"")</f>
        <v/>
      </c>
      <c r="X37" s="100" t="str">
        <f>IFERROR(VLOOKUP(Pronalaženjeučenika,Prisustvovanjeujunu[],24,FALSE),"")</f>
        <v/>
      </c>
      <c r="Y37" s="100" t="str">
        <f>IFERROR(VLOOKUP(Pronalaženjeučenika,Prisustvovanjeujunu[],25,FALSE),"")</f>
        <v/>
      </c>
      <c r="Z37" s="100" t="str">
        <f>IFERROR(VLOOKUP(Pronalaženjeučenika,Prisustvovanjeujunu[],26,FALSE),"")</f>
        <v/>
      </c>
      <c r="AA37" s="100" t="str">
        <f>IFERROR(VLOOKUP(Pronalaženjeučenika,Prisustvovanjeujunu[],27,FALSE),"")</f>
        <v/>
      </c>
      <c r="AB37" s="100" t="str">
        <f>IFERROR(VLOOKUP(Pronalaženjeučenika,Prisustvovanjeujunu[],28,FALSE),"")</f>
        <v/>
      </c>
      <c r="AC37" s="100" t="str">
        <f>IFERROR(VLOOKUP(Pronalaženjeučenika,Prisustvovanjeujunu[],29,FALSE),"")</f>
        <v/>
      </c>
      <c r="AD37" s="100" t="str">
        <f>IFERROR(VLOOKUP(Pronalaženjeučenika,Prisustvovanjeujunu[],30,FALSE),"")</f>
        <v/>
      </c>
      <c r="AE37" s="100" t="str">
        <f>IFERROR(VLOOKUP(Pronalaženjeučenika,Prisustvovanjeujunu[],31,FALSE),"")</f>
        <v/>
      </c>
      <c r="AF37" s="100" t="str">
        <f>IFERROR(VLOOKUP(Pronalaženjeučenika,Prisustvovanjeujunu[],32,FALSE),"")</f>
        <v/>
      </c>
      <c r="AG37" s="100"/>
      <c r="AH37" s="131"/>
      <c r="AI37" s="131"/>
      <c r="AJ37" s="131"/>
      <c r="AK37" s="131"/>
    </row>
    <row r="38" spans="2:37" ht="14.25" x14ac:dyDescent="0.25">
      <c r="B38" s="135" t="s">
        <v>67</v>
      </c>
      <c r="C38" s="101">
        <v>1</v>
      </c>
      <c r="D38" s="101">
        <v>2</v>
      </c>
      <c r="E38" s="101">
        <v>3</v>
      </c>
      <c r="F38" s="101">
        <v>4</v>
      </c>
      <c r="G38" s="101">
        <v>5</v>
      </c>
      <c r="H38" s="101">
        <v>6</v>
      </c>
      <c r="I38" s="101">
        <v>7</v>
      </c>
      <c r="J38" s="101">
        <v>8</v>
      </c>
      <c r="K38" s="101">
        <v>9</v>
      </c>
      <c r="L38" s="101">
        <v>10</v>
      </c>
      <c r="M38" s="101">
        <v>11</v>
      </c>
      <c r="N38" s="101">
        <v>12</v>
      </c>
      <c r="O38" s="101">
        <v>13</v>
      </c>
      <c r="P38" s="101">
        <v>14</v>
      </c>
      <c r="Q38" s="101">
        <v>15</v>
      </c>
      <c r="R38" s="101">
        <v>16</v>
      </c>
      <c r="S38" s="101">
        <v>17</v>
      </c>
      <c r="T38" s="101">
        <v>18</v>
      </c>
      <c r="U38" s="101">
        <v>19</v>
      </c>
      <c r="V38" s="101">
        <v>20</v>
      </c>
      <c r="W38" s="101">
        <v>21</v>
      </c>
      <c r="X38" s="101">
        <v>22</v>
      </c>
      <c r="Y38" s="101">
        <v>23</v>
      </c>
      <c r="Z38" s="101">
        <v>24</v>
      </c>
      <c r="AA38" s="101">
        <v>25</v>
      </c>
      <c r="AB38" s="101">
        <v>26</v>
      </c>
      <c r="AC38" s="101">
        <v>27</v>
      </c>
      <c r="AD38" s="101">
        <v>28</v>
      </c>
      <c r="AE38" s="101">
        <v>29</v>
      </c>
      <c r="AF38" s="101">
        <v>30</v>
      </c>
      <c r="AG38" s="101">
        <v>31</v>
      </c>
      <c r="AH38" s="130">
        <f>COUNTIF($D39:$AH39,Šifra1)</f>
        <v>0</v>
      </c>
      <c r="AI38" s="130">
        <f>COUNTIF($D39:$AH39,Šifra2)</f>
        <v>0</v>
      </c>
      <c r="AJ38" s="130">
        <f>COUNTIF($D39:$AH39,Šifra3)</f>
        <v>0</v>
      </c>
      <c r="AK38" s="130">
        <f>COUNTIF($D39:$AH39,Šifra4)</f>
        <v>0</v>
      </c>
    </row>
    <row r="39" spans="2:37" ht="14.25" x14ac:dyDescent="0.25">
      <c r="B39" s="136"/>
      <c r="C39" s="100" t="str">
        <f>IFERROR(VLOOKUP(Pronalaženjeučenika,Prisustvovanjeujulu[],3,FALSE),"")</f>
        <v/>
      </c>
      <c r="D39" s="100" t="str">
        <f>IFERROR(VLOOKUP(Pronalaženjeučenika,Prisustvovanjeujulu[],4,FALSE),"")</f>
        <v/>
      </c>
      <c r="E39" s="100" t="str">
        <f>IFERROR(VLOOKUP(Pronalaženjeučenika,Prisustvovanjeujulu[],5,FALSE),"")</f>
        <v/>
      </c>
      <c r="F39" s="100" t="str">
        <f>IFERROR(VLOOKUP(Pronalaženjeučenika,Prisustvovanjeujulu[],6,FALSE),"")</f>
        <v/>
      </c>
      <c r="G39" s="100" t="str">
        <f>IFERROR(VLOOKUP(Pronalaženjeučenika,Prisustvovanjeujulu[],7,FALSE),"")</f>
        <v/>
      </c>
      <c r="H39" s="100" t="str">
        <f>IFERROR(VLOOKUP(Pronalaženjeučenika,Prisustvovanjeujulu[],8,FALSE),"")</f>
        <v/>
      </c>
      <c r="I39" s="100" t="str">
        <f>IFERROR(VLOOKUP(Pronalaženjeučenika,Prisustvovanjeujulu[],9,FALSE),"")</f>
        <v/>
      </c>
      <c r="J39" s="100" t="str">
        <f>IFERROR(VLOOKUP(Pronalaženjeučenika,Prisustvovanjeujulu[],10,FALSE),"")</f>
        <v/>
      </c>
      <c r="K39" s="100" t="str">
        <f>IFERROR(VLOOKUP(Pronalaženjeučenika,Prisustvovanjeujulu[],11,FALSE),"")</f>
        <v/>
      </c>
      <c r="L39" s="100" t="str">
        <f>IFERROR(VLOOKUP(Pronalaženjeučenika,Prisustvovanjeujulu[],12,FALSE),"")</f>
        <v/>
      </c>
      <c r="M39" s="100" t="str">
        <f>IFERROR(VLOOKUP(Pronalaženjeučenika,Prisustvovanjeujulu[],13,FALSE),"")</f>
        <v/>
      </c>
      <c r="N39" s="100" t="str">
        <f>IFERROR(VLOOKUP(Pronalaženjeučenika,Prisustvovanjeujulu[],14,FALSE),"")</f>
        <v/>
      </c>
      <c r="O39" s="100" t="str">
        <f>IFERROR(VLOOKUP(Pronalaženjeučenika,Prisustvovanjeujulu[],15,FALSE),"")</f>
        <v/>
      </c>
      <c r="P39" s="100" t="str">
        <f>IFERROR(VLOOKUP(Pronalaženjeučenika,Prisustvovanjeujulu[],16,FALSE),"")</f>
        <v/>
      </c>
      <c r="Q39" s="100" t="str">
        <f>IFERROR(VLOOKUP(Pronalaženjeučenika,Prisustvovanjeujulu[],17,FALSE),"")</f>
        <v/>
      </c>
      <c r="R39" s="100" t="str">
        <f>IFERROR(VLOOKUP(Pronalaženjeučenika,Prisustvovanjeujulu[],18,FALSE),"")</f>
        <v/>
      </c>
      <c r="S39" s="100" t="str">
        <f>IFERROR(VLOOKUP(Pronalaženjeučenika,Prisustvovanjeujulu[],19,FALSE),"")</f>
        <v/>
      </c>
      <c r="T39" s="100" t="str">
        <f>IFERROR(VLOOKUP(Pronalaženjeučenika,Prisustvovanjeujulu[],20,FALSE),"")</f>
        <v/>
      </c>
      <c r="U39" s="100" t="str">
        <f>IFERROR(VLOOKUP(Pronalaženjeučenika,Prisustvovanjeujulu[],21,FALSE),"")</f>
        <v/>
      </c>
      <c r="V39" s="100" t="str">
        <f>IFERROR(VLOOKUP(Pronalaženjeučenika,Prisustvovanjeujulu[],22,FALSE),"")</f>
        <v/>
      </c>
      <c r="W39" s="100" t="str">
        <f>IFERROR(VLOOKUP(Pronalaženjeučenika,Prisustvovanjeujulu[],23,FALSE),"")</f>
        <v/>
      </c>
      <c r="X39" s="100" t="str">
        <f>IFERROR(VLOOKUP(Pronalaženjeučenika,Prisustvovanjeujulu[],24,FALSE),"")</f>
        <v/>
      </c>
      <c r="Y39" s="100" t="str">
        <f>IFERROR(VLOOKUP(Pronalaženjeučenika,Prisustvovanjeujulu[],25,FALSE),"")</f>
        <v/>
      </c>
      <c r="Z39" s="100" t="str">
        <f>IFERROR(VLOOKUP(Pronalaženjeučenika,Prisustvovanjeujulu[],26,FALSE),"")</f>
        <v/>
      </c>
      <c r="AA39" s="100" t="str">
        <f>IFERROR(VLOOKUP(Pronalaženjeučenika,Prisustvovanjeujulu[],27,FALSE),"")</f>
        <v/>
      </c>
      <c r="AB39" s="100" t="str">
        <f>IFERROR(VLOOKUP(Pronalaženjeučenika,Prisustvovanjeujulu[],28,FALSE),"")</f>
        <v/>
      </c>
      <c r="AC39" s="100" t="str">
        <f>IFERROR(VLOOKUP(Pronalaženjeučenika,Prisustvovanjeujulu[],29,FALSE),"")</f>
        <v/>
      </c>
      <c r="AD39" s="100" t="str">
        <f>IFERROR(VLOOKUP(Pronalaženjeučenika,Prisustvovanjeujulu[],30,FALSE),"")</f>
        <v/>
      </c>
      <c r="AE39" s="100" t="str">
        <f>IFERROR(VLOOKUP(Pronalaženjeučenika,Prisustvovanjeujulu[],31,FALSE),"")</f>
        <v/>
      </c>
      <c r="AF39" s="100" t="str">
        <f>IFERROR(VLOOKUP(Pronalaženjeučenika,Prisustvovanjeujulu[],32,FALSE),"")</f>
        <v/>
      </c>
      <c r="AG39" s="100" t="str">
        <f>IFERROR(VLOOKUP(Pronalaženjeučenika,Prisustvovanjeujulu[],33,FALSE),"")</f>
        <v/>
      </c>
      <c r="AH39" s="131"/>
      <c r="AI39" s="131"/>
      <c r="AJ39" s="131"/>
      <c r="AK39" s="131"/>
    </row>
    <row r="40" spans="2:37" ht="26.25" customHeight="1" x14ac:dyDescent="0.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32" t="s">
        <v>38</v>
      </c>
      <c r="AF40" s="132"/>
      <c r="AG40" s="132"/>
      <c r="AH40" s="104">
        <f>SUM(AH16:AH39)</f>
        <v>2</v>
      </c>
      <c r="AI40" s="104">
        <f>SUM(AI16:AI39)</f>
        <v>1</v>
      </c>
      <c r="AJ40" s="104">
        <f>SUM(AJ16:AJ39)</f>
        <v>0</v>
      </c>
      <c r="AK40" s="104">
        <f>SUM(AK16:AK39)</f>
        <v>19</v>
      </c>
    </row>
  </sheetData>
  <sheetProtection sheet="1" objects="1" scenarios="1" formatColumns="0" formatRows="0" selectLockedCells="1"/>
  <mergeCells count="100">
    <mergeCell ref="AE5:AK5"/>
    <mergeCell ref="B6:J6"/>
    <mergeCell ref="K6:V6"/>
    <mergeCell ref="W6:AD6"/>
    <mergeCell ref="AE6:AK6"/>
    <mergeCell ref="B5:J5"/>
    <mergeCell ref="K5:V5"/>
    <mergeCell ref="B7:J7"/>
    <mergeCell ref="K7:V7"/>
    <mergeCell ref="W7:AD7"/>
    <mergeCell ref="AE7:AK7"/>
    <mergeCell ref="B8:J8"/>
    <mergeCell ref="K8:V8"/>
    <mergeCell ref="W8:AD8"/>
    <mergeCell ref="AE8:AK8"/>
    <mergeCell ref="P3:R3"/>
    <mergeCell ref="S3:V3"/>
    <mergeCell ref="W3:AD3"/>
    <mergeCell ref="W5:AD5"/>
    <mergeCell ref="P4:R4"/>
    <mergeCell ref="S4:V4"/>
    <mergeCell ref="W4:AD4"/>
    <mergeCell ref="B4:C4"/>
    <mergeCell ref="D4:O4"/>
    <mergeCell ref="D3:O3"/>
    <mergeCell ref="B14:AG15"/>
    <mergeCell ref="AE3:AF3"/>
    <mergeCell ref="AE4:AF4"/>
    <mergeCell ref="AG3:AJ3"/>
    <mergeCell ref="AG4:AJ4"/>
    <mergeCell ref="B9:J9"/>
    <mergeCell ref="K9:V9"/>
    <mergeCell ref="W9:AD9"/>
    <mergeCell ref="AE9:AK9"/>
    <mergeCell ref="B10:J10"/>
    <mergeCell ref="K10:V10"/>
    <mergeCell ref="W10:AD10"/>
    <mergeCell ref="AE10:AK10"/>
    <mergeCell ref="AH14:AK14"/>
    <mergeCell ref="B16:B17"/>
    <mergeCell ref="AH16:AH17"/>
    <mergeCell ref="AI16:AI17"/>
    <mergeCell ref="AJ16:AJ17"/>
    <mergeCell ref="AK16:AK17"/>
    <mergeCell ref="B20:B21"/>
    <mergeCell ref="AH20:AH21"/>
    <mergeCell ref="AI20:AI21"/>
    <mergeCell ref="AJ20:AJ21"/>
    <mergeCell ref="AK20:AK21"/>
    <mergeCell ref="B18:B19"/>
    <mergeCell ref="AH18:AH19"/>
    <mergeCell ref="AI18:AI19"/>
    <mergeCell ref="AJ18:AJ19"/>
    <mergeCell ref="AK18:AK19"/>
    <mergeCell ref="B24:B25"/>
    <mergeCell ref="AH24:AH25"/>
    <mergeCell ref="AI24:AI25"/>
    <mergeCell ref="AJ24:AJ25"/>
    <mergeCell ref="AK24:AK25"/>
    <mergeCell ref="B22:B23"/>
    <mergeCell ref="AH22:AH23"/>
    <mergeCell ref="AI22:AI23"/>
    <mergeCell ref="AJ22:AJ23"/>
    <mergeCell ref="AK22:AK23"/>
    <mergeCell ref="B28:B29"/>
    <mergeCell ref="AH28:AH29"/>
    <mergeCell ref="AI28:AI29"/>
    <mergeCell ref="AJ28:AJ29"/>
    <mergeCell ref="AK28:AK29"/>
    <mergeCell ref="B26:B27"/>
    <mergeCell ref="AH26:AH27"/>
    <mergeCell ref="AI26:AI27"/>
    <mergeCell ref="AJ26:AJ27"/>
    <mergeCell ref="AK26:AK27"/>
    <mergeCell ref="B32:B33"/>
    <mergeCell ref="AH32:AH33"/>
    <mergeCell ref="AI32:AI33"/>
    <mergeCell ref="AJ32:AJ33"/>
    <mergeCell ref="AK32:AK33"/>
    <mergeCell ref="B30:B31"/>
    <mergeCell ref="AH30:AH31"/>
    <mergeCell ref="AI30:AI31"/>
    <mergeCell ref="AJ30:AJ31"/>
    <mergeCell ref="AK30:AK31"/>
    <mergeCell ref="AK38:AK39"/>
    <mergeCell ref="AE40:AG40"/>
    <mergeCell ref="B34:B35"/>
    <mergeCell ref="AH34:AH35"/>
    <mergeCell ref="AI34:AI35"/>
    <mergeCell ref="AJ34:AJ35"/>
    <mergeCell ref="B38:B39"/>
    <mergeCell ref="AH38:AH39"/>
    <mergeCell ref="AI38:AI39"/>
    <mergeCell ref="AJ38:AJ39"/>
    <mergeCell ref="AK34:AK35"/>
    <mergeCell ref="B36:B37"/>
    <mergeCell ref="AH36:AH37"/>
    <mergeCell ref="AI36:AI37"/>
    <mergeCell ref="AJ36:AJ37"/>
    <mergeCell ref="AK36:AK37"/>
  </mergeCells>
  <conditionalFormatting sqref="C17:AG17 C21:AG21 C23:AF23 C25:AG25 C27:AG27 C31:AG31 C33:AF33 C35:AG35 C37:AG37 C39:AG39 C29:AG29 C19:AG19">
    <cfRule type="expression" dxfId="5" priority="150">
      <formula>C17=Šifra1</formula>
    </cfRule>
  </conditionalFormatting>
  <conditionalFormatting sqref="C17:AG17 C21:AG21 C23:AF23 C25:AG25 C27:AG27 C31:AG31 C33:AF33 C35:AG35 C37:AG37 C39:AG39 C29:AG29 C19:AG19">
    <cfRule type="expression" dxfId="4" priority="162">
      <formula>C17=Šifra2</formula>
    </cfRule>
  </conditionalFormatting>
  <conditionalFormatting sqref="C17:AG17 C21:AG21 C23:AF23 C25:AG25 C27:AG27 C31:AG31 C33:AF33 C35:AG35 C37:AG37 C39:AG39 C29:AG29 C19:AG19">
    <cfRule type="expression" dxfId="3" priority="174">
      <formula>C17=Šifra3</formula>
    </cfRule>
  </conditionalFormatting>
  <conditionalFormatting sqref="C17:AG17 C21:AG21 C23:AF23 C25:AG25 C27:AG27 C31:AG31 C33:AF33 C35:AG35 C37:AG37 C39:AG39 C29:AG29 C19:AG19">
    <cfRule type="expression" dxfId="2" priority="186">
      <formula>C17=Šifra4</formula>
    </cfRule>
  </conditionalFormatting>
  <conditionalFormatting sqref="C17:AG17 C21:AG21 C23:AF23 C25:AG25 C27:AG27 C31:AG31 C33:AF33 C35:AG35 C37:AG37 C39:AG39 C29:AG29 C19:AG19">
    <cfRule type="expression" dxfId="1" priority="199">
      <formula>C17=Šifra5</formula>
    </cfRule>
  </conditionalFormatting>
  <conditionalFormatting sqref="AE28">
    <cfRule type="expression" dxfId="0" priority="200">
      <formula>DATE(Kalendarskagodina+1,2,AE28)&gt;EOMONTH(DATE(Kalendarskagodina+1,1,1),1)</formula>
    </cfRule>
  </conditionalFormatting>
  <dataValidations count="2">
    <dataValidation type="list" errorStyle="warning" allowBlank="1" showInputMessage="1" showErrorMessage="1" errorTitle="Ups!" error="Da biste videli detalje prisustvovanja za određenog učenika, sa padajuće liste morate izabrati ID učenika ID#. Možete kliknuti na dugme „Da“ da biste koristili sviju stavku, ali će većina detalja o učeniku i prisustvovanje biti prazna." sqref="B4:C4">
      <formula1>IDučenika</formula1>
    </dataValidation>
    <dataValidation allowBlank="1" showInputMessage="1" showErrorMessage="1" errorTitle="Unknown Student Name" error="Please select student from list. You can add or remove names from this list on the Student List worksheet." sqref="D4"/>
  </dataValidations>
  <printOptions horizontalCentered="1"/>
  <pageMargins left="0.25" right="0.25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</sheetPr>
  <dimension ref="A1:S24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3" sqref="I3"/>
    </sheetView>
  </sheetViews>
  <sheetFormatPr defaultRowHeight="13.5" x14ac:dyDescent="0.25"/>
  <cols>
    <col min="1" max="1" width="2.7109375" customWidth="1"/>
    <col min="2" max="2" width="14.42578125" customWidth="1"/>
    <col min="3" max="3" width="22.42578125" customWidth="1"/>
    <col min="4" max="4" width="18" customWidth="1"/>
    <col min="5" max="5" width="12.7109375" customWidth="1"/>
    <col min="6" max="6" width="22.7109375" customWidth="1"/>
    <col min="7" max="7" width="22.42578125" customWidth="1"/>
    <col min="8" max="8" width="20.5703125" customWidth="1"/>
    <col min="9" max="9" width="25.85546875" customWidth="1"/>
    <col min="10" max="10" width="22" customWidth="1"/>
    <col min="11" max="11" width="22.5703125" customWidth="1"/>
    <col min="12" max="13" width="20.5703125" customWidth="1"/>
    <col min="14" max="14" width="22.42578125" customWidth="1"/>
    <col min="15" max="16" width="20.5703125" customWidth="1"/>
    <col min="17" max="17" width="25.42578125" customWidth="1"/>
    <col min="18" max="18" width="25.85546875" customWidth="1"/>
    <col min="19" max="19" width="22.140625" customWidth="1"/>
  </cols>
  <sheetData>
    <row r="1" spans="1:19" ht="42" customHeight="1" x14ac:dyDescent="0.3">
      <c r="A1" s="94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39"/>
    </row>
    <row r="3" spans="1:19" s="14" customFormat="1" ht="36" customHeight="1" thickBot="1" x14ac:dyDescent="0.3">
      <c r="B3" s="114" t="s">
        <v>34</v>
      </c>
      <c r="C3" s="115" t="s">
        <v>32</v>
      </c>
      <c r="D3" s="115" t="s">
        <v>33</v>
      </c>
      <c r="E3" s="114" t="s">
        <v>39</v>
      </c>
      <c r="F3" s="81" t="s">
        <v>40</v>
      </c>
      <c r="G3" s="82" t="s">
        <v>71</v>
      </c>
      <c r="H3" s="81" t="s">
        <v>72</v>
      </c>
      <c r="I3" s="81" t="s">
        <v>115</v>
      </c>
      <c r="J3" s="81" t="s">
        <v>73</v>
      </c>
      <c r="K3" s="81" t="s">
        <v>77</v>
      </c>
      <c r="L3" s="81" t="s">
        <v>74</v>
      </c>
      <c r="M3" s="81" t="s">
        <v>75</v>
      </c>
      <c r="N3" s="81" t="s">
        <v>76</v>
      </c>
      <c r="O3" s="82" t="s">
        <v>48</v>
      </c>
      <c r="P3" s="81" t="s">
        <v>50</v>
      </c>
      <c r="Q3" s="81" t="s">
        <v>51</v>
      </c>
      <c r="R3" s="81" t="s">
        <v>52</v>
      </c>
      <c r="S3" s="82" t="s">
        <v>53</v>
      </c>
    </row>
    <row r="4" spans="1:19" ht="15.75" customHeight="1" x14ac:dyDescent="0.25">
      <c r="B4" s="116" t="s">
        <v>89</v>
      </c>
      <c r="C4" s="117" t="s">
        <v>87</v>
      </c>
      <c r="D4" s="116" t="s">
        <v>88</v>
      </c>
      <c r="E4" s="118" t="s">
        <v>49</v>
      </c>
      <c r="F4" s="15">
        <v>35517</v>
      </c>
      <c r="G4" s="13" t="s">
        <v>90</v>
      </c>
      <c r="H4" s="13" t="s">
        <v>88</v>
      </c>
      <c r="I4" s="18">
        <v>1235550134</v>
      </c>
      <c r="J4" s="18">
        <v>2345550134</v>
      </c>
      <c r="K4" s="16" t="s">
        <v>91</v>
      </c>
      <c r="L4" s="16" t="s">
        <v>70</v>
      </c>
      <c r="M4" s="18">
        <v>1235550134</v>
      </c>
      <c r="N4" s="18">
        <v>2345550134</v>
      </c>
      <c r="O4" s="13" t="s">
        <v>98</v>
      </c>
      <c r="P4" s="13" t="s">
        <v>54</v>
      </c>
      <c r="Q4" s="18">
        <v>7895550189</v>
      </c>
      <c r="R4" s="18">
        <v>7895550134</v>
      </c>
      <c r="S4" t="str">
        <f>Listaučenika[[#This Row],[Ime učenika]]&amp;" "&amp;Listaučenika[[#This Row],[Prezime učenika]]</f>
        <v>David Aleksić</v>
      </c>
    </row>
    <row r="5" spans="1:19" ht="15.75" customHeight="1" x14ac:dyDescent="0.25">
      <c r="B5" s="119" t="s">
        <v>92</v>
      </c>
      <c r="C5" s="120" t="s">
        <v>35</v>
      </c>
      <c r="D5" s="119">
        <v>2</v>
      </c>
      <c r="E5" s="121"/>
      <c r="F5" s="15"/>
      <c r="G5" s="13"/>
      <c r="H5" s="13"/>
      <c r="I5" s="18"/>
      <c r="J5" s="18"/>
      <c r="K5" s="16"/>
      <c r="L5" s="16"/>
      <c r="M5" s="18"/>
      <c r="N5" s="18"/>
      <c r="O5" s="13"/>
      <c r="P5" s="13"/>
      <c r="Q5" s="18"/>
      <c r="R5" s="18"/>
      <c r="S5" t="str">
        <f>Listaučenika[[#This Row],[Ime učenika]]&amp;" "&amp;Listaučenika[[#This Row],[Prezime učenika]]</f>
        <v>Učenik 2</v>
      </c>
    </row>
    <row r="6" spans="1:19" ht="15.75" customHeight="1" x14ac:dyDescent="0.25">
      <c r="B6" s="116" t="s">
        <v>93</v>
      </c>
      <c r="C6" s="117" t="s">
        <v>35</v>
      </c>
      <c r="D6" s="116">
        <v>3</v>
      </c>
      <c r="E6" s="118"/>
      <c r="F6" s="15"/>
      <c r="G6" s="13"/>
      <c r="H6" s="13"/>
      <c r="I6" s="18"/>
      <c r="J6" s="18"/>
      <c r="K6" s="16"/>
      <c r="L6" s="16"/>
      <c r="M6" s="18"/>
      <c r="N6" s="18"/>
      <c r="O6" s="13"/>
      <c r="P6" s="13"/>
      <c r="Q6" s="18"/>
      <c r="R6" s="18"/>
      <c r="S6" t="str">
        <f>Listaučenika[[#This Row],[Ime učenika]]&amp;" "&amp;Listaučenika[[#This Row],[Prezime učenika]]</f>
        <v>Učenik 3</v>
      </c>
    </row>
    <row r="7" spans="1:19" ht="15.75" customHeight="1" x14ac:dyDescent="0.25">
      <c r="B7" s="119" t="s">
        <v>94</v>
      </c>
      <c r="C7" s="120" t="s">
        <v>35</v>
      </c>
      <c r="D7" s="119">
        <v>4</v>
      </c>
      <c r="E7" s="121"/>
      <c r="F7" s="15"/>
      <c r="G7" s="13"/>
      <c r="H7" s="13"/>
      <c r="I7" s="18"/>
      <c r="J7" s="18"/>
      <c r="K7" s="16"/>
      <c r="L7" s="16"/>
      <c r="M7" s="18"/>
      <c r="N7" s="18"/>
      <c r="O7" s="13"/>
      <c r="P7" s="13"/>
      <c r="Q7" s="18"/>
      <c r="R7" s="18"/>
      <c r="S7" t="str">
        <f>Listaučenika[[#This Row],[Ime učenika]]&amp;" "&amp;Listaučenika[[#This Row],[Prezime učenika]]</f>
        <v>Učenik 4</v>
      </c>
    </row>
    <row r="8" spans="1:19" ht="15.75" customHeight="1" x14ac:dyDescent="0.25">
      <c r="B8" s="116" t="s">
        <v>95</v>
      </c>
      <c r="C8" s="117" t="s">
        <v>35</v>
      </c>
      <c r="D8" s="116">
        <v>5</v>
      </c>
      <c r="E8" s="118"/>
      <c r="F8" s="15"/>
      <c r="G8" s="13"/>
      <c r="H8" s="13"/>
      <c r="I8" s="18"/>
      <c r="J8" s="18"/>
      <c r="K8" s="16"/>
      <c r="L8" s="16"/>
      <c r="M8" s="18"/>
      <c r="N8" s="18"/>
      <c r="O8" s="13"/>
      <c r="P8" s="13"/>
      <c r="Q8" s="18"/>
      <c r="R8" s="18"/>
      <c r="S8" t="str">
        <f>Listaučenika[[#This Row],[Ime učenika]]&amp;" "&amp;Listaučenika[[#This Row],[Prezime učenika]]</f>
        <v>Učenik 5</v>
      </c>
    </row>
    <row r="9" spans="1:19" ht="15.75" customHeight="1" x14ac:dyDescent="0.25"/>
    <row r="10" spans="1:19" ht="15.75" customHeight="1" x14ac:dyDescent="0.25"/>
    <row r="11" spans="1:19" ht="15.75" customHeight="1" x14ac:dyDescent="0.25"/>
    <row r="12" spans="1:19" ht="15.75" customHeight="1" x14ac:dyDescent="0.25"/>
    <row r="13" spans="1:19" ht="15.75" customHeight="1" x14ac:dyDescent="0.25"/>
    <row r="14" spans="1:19" ht="15.75" customHeight="1" x14ac:dyDescent="0.25"/>
    <row r="15" spans="1:19" ht="15.75" customHeight="1" x14ac:dyDescent="0.25"/>
    <row r="16" spans="1:19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</sheetData>
  <pageMargins left="0.25" right="0.25" top="0.75" bottom="0.75" header="0.3" footer="0.3"/>
  <pageSetup paperSize="9" scale="85" fitToWidth="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-0.499984740745262"/>
    <pageSetUpPr fitToPage="1"/>
  </sheetPr>
  <dimension ref="A1:AN346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customHeight="1" x14ac:dyDescent="0.25"/>
  <cols>
    <col min="1" max="1" width="2.7109375" style="11" customWidth="1"/>
    <col min="2" max="2" width="10.85546875" style="11" customWidth="1"/>
    <col min="3" max="3" width="28.85546875" style="12" customWidth="1"/>
    <col min="4" max="34" width="5" style="10" customWidth="1"/>
    <col min="35" max="35" width="4.7109375" style="9" customWidth="1"/>
    <col min="36" max="36" width="4.7109375" style="10" customWidth="1"/>
    <col min="37" max="38" width="4.7109375" style="11" customWidth="1"/>
    <col min="39" max="39" width="19.7109375" style="11" bestFit="1" customWidth="1"/>
    <col min="40" max="16384" width="9.140625" style="11"/>
  </cols>
  <sheetData>
    <row r="1" spans="1:40" s="1" customFormat="1" ht="42" customHeight="1" x14ac:dyDescent="0.25">
      <c r="A1" s="110" t="s">
        <v>86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6"/>
      <c r="AH1" s="34"/>
      <c r="AI1" s="34"/>
      <c r="AJ1" s="37"/>
      <c r="AK1" s="34"/>
      <c r="AL1" s="53" t="s">
        <v>69</v>
      </c>
      <c r="AM1" s="54">
        <v>2012</v>
      </c>
    </row>
    <row r="2" spans="1:40" customFormat="1" ht="13.5" x14ac:dyDescent="0.25"/>
    <row r="3" spans="1:40" s="28" customFormat="1" ht="12.75" customHeight="1" x14ac:dyDescent="0.25">
      <c r="C3" s="40" t="s">
        <v>109</v>
      </c>
      <c r="D3" s="47" t="s">
        <v>127</v>
      </c>
      <c r="E3" s="64" t="s">
        <v>80</v>
      </c>
      <c r="F3" s="55"/>
      <c r="H3" s="48" t="s">
        <v>128</v>
      </c>
      <c r="I3" s="52" t="s">
        <v>81</v>
      </c>
      <c r="L3" s="49" t="s">
        <v>129</v>
      </c>
      <c r="M3" s="52" t="s">
        <v>82</v>
      </c>
      <c r="P3" s="50" t="s">
        <v>31</v>
      </c>
      <c r="Q3" s="52" t="s">
        <v>83</v>
      </c>
      <c r="T3" s="51" t="s">
        <v>68</v>
      </c>
      <c r="U3" s="52" t="s">
        <v>84</v>
      </c>
      <c r="W3"/>
      <c r="X3"/>
      <c r="Y3"/>
      <c r="AD3" s="27"/>
      <c r="AE3" s="27"/>
      <c r="AH3" s="29"/>
      <c r="AI3" s="30"/>
      <c r="AK3" s="31"/>
    </row>
    <row r="4" spans="1:40" customFormat="1" ht="16.5" customHeight="1" x14ac:dyDescent="0.25"/>
    <row r="5" spans="1:40" s="2" customFormat="1" ht="18" customHeight="1" x14ac:dyDescent="0.3">
      <c r="B5" s="57">
        <f>DATE(Kalendarskagodina,8,1)</f>
        <v>41122</v>
      </c>
      <c r="C5" s="56"/>
      <c r="D5" s="38" t="str">
        <f>TEXT(WEEKDAY(DATE(Kalendarskagodina,8,1),1),"aaa")</f>
        <v>sre</v>
      </c>
      <c r="E5" s="38" t="str">
        <f>TEXT(WEEKDAY(DATE(Kalendarskagodina,8,2),1),"aaa")</f>
        <v>čet</v>
      </c>
      <c r="F5" s="38" t="str">
        <f>TEXT(WEEKDAY(DATE(Kalendarskagodina,8,3),1),"aaa")</f>
        <v>pet</v>
      </c>
      <c r="G5" s="38" t="str">
        <f>TEXT(WEEKDAY(DATE(Kalendarskagodina,8,4),1),"aaa")</f>
        <v>sub</v>
      </c>
      <c r="H5" s="38" t="str">
        <f>TEXT(WEEKDAY(DATE(Kalendarskagodina,8,5),1),"aaa")</f>
        <v>ned</v>
      </c>
      <c r="I5" s="38" t="str">
        <f>TEXT(WEEKDAY(DATE(Kalendarskagodina,8,6),1),"aaa")</f>
        <v>pon</v>
      </c>
      <c r="J5" s="38" t="str">
        <f>TEXT(WEEKDAY(DATE(Kalendarskagodina,8,7),1),"aaa")</f>
        <v>uto</v>
      </c>
      <c r="K5" s="38" t="str">
        <f>TEXT(WEEKDAY(DATE(Kalendarskagodina,8,8),1),"aaa")</f>
        <v>sre</v>
      </c>
      <c r="L5" s="38" t="str">
        <f>TEXT(WEEKDAY(DATE(Kalendarskagodina,8,9),1),"aaa")</f>
        <v>čet</v>
      </c>
      <c r="M5" s="38" t="str">
        <f>TEXT(WEEKDAY(DATE(Kalendarskagodina,8,10),1),"aaa")</f>
        <v>pet</v>
      </c>
      <c r="N5" s="38" t="str">
        <f>TEXT(WEEKDAY(DATE(Kalendarskagodina,8,11),1),"aaa")</f>
        <v>sub</v>
      </c>
      <c r="O5" s="38" t="str">
        <f>TEXT(WEEKDAY(DATE(Kalendarskagodina,8,12),1),"aaa")</f>
        <v>ned</v>
      </c>
      <c r="P5" s="38" t="str">
        <f>TEXT(WEEKDAY(DATE(Kalendarskagodina,8,13),1),"aaa")</f>
        <v>pon</v>
      </c>
      <c r="Q5" s="38" t="str">
        <f>TEXT(WEEKDAY(DATE(Kalendarskagodina,8,14),1),"aaa")</f>
        <v>uto</v>
      </c>
      <c r="R5" s="38" t="str">
        <f>TEXT(WEEKDAY(DATE(Kalendarskagodina,8,15),1),"aaa")</f>
        <v>sre</v>
      </c>
      <c r="S5" s="38" t="str">
        <f>TEXT(WEEKDAY(DATE(Kalendarskagodina,8,16),1),"aaa")</f>
        <v>čet</v>
      </c>
      <c r="T5" s="38" t="str">
        <f>TEXT(WEEKDAY(DATE(Kalendarskagodina,8,17),1),"aaa")</f>
        <v>pet</v>
      </c>
      <c r="U5" s="38" t="str">
        <f>TEXT(WEEKDAY(DATE(Kalendarskagodina,8,18),1),"aaa")</f>
        <v>sub</v>
      </c>
      <c r="V5" s="38" t="str">
        <f>TEXT(WEEKDAY(DATE(Kalendarskagodina,8,19),1),"aaa")</f>
        <v>ned</v>
      </c>
      <c r="W5" s="38" t="str">
        <f>TEXT(WEEKDAY(DATE(Kalendarskagodina,8,20),1),"aaa")</f>
        <v>pon</v>
      </c>
      <c r="X5" s="38" t="str">
        <f>TEXT(WEEKDAY(DATE(Kalendarskagodina,8,21),1),"aaa")</f>
        <v>uto</v>
      </c>
      <c r="Y5" s="38" t="str">
        <f>TEXT(WEEKDAY(DATE(Kalendarskagodina,8,22),1),"aaa")</f>
        <v>sre</v>
      </c>
      <c r="Z5" s="38" t="str">
        <f>TEXT(WEEKDAY(DATE(Kalendarskagodina,8,23),1),"aaa")</f>
        <v>čet</v>
      </c>
      <c r="AA5" s="38" t="str">
        <f>TEXT(WEEKDAY(DATE(Kalendarskagodina,8,24),1),"aaa")</f>
        <v>pet</v>
      </c>
      <c r="AB5" s="38" t="str">
        <f>TEXT(WEEKDAY(DATE(Kalendarskagodina,8,25),1),"aaa")</f>
        <v>sub</v>
      </c>
      <c r="AC5" s="38" t="str">
        <f>TEXT(WEEKDAY(DATE(Kalendarskagodina,8,26),1),"aaa")</f>
        <v>ned</v>
      </c>
      <c r="AD5" s="38" t="str">
        <f>TEXT(WEEKDAY(DATE(Kalendarskagodina,8,27),1),"aaa")</f>
        <v>pon</v>
      </c>
      <c r="AE5" s="38" t="str">
        <f>TEXT(WEEKDAY(DATE(Kalendarskagodina,8,28),1),"aaa")</f>
        <v>uto</v>
      </c>
      <c r="AF5" s="38" t="str">
        <f>TEXT(WEEKDAY(DATE(Kalendarskagodina,8,29),1),"aaa")</f>
        <v>sre</v>
      </c>
      <c r="AG5" s="38" t="str">
        <f>TEXT(WEEKDAY(DATE(Kalendarskagodina,8,30),1),"aaa")</f>
        <v>čet</v>
      </c>
      <c r="AH5" s="38" t="str">
        <f>TEXT(WEEKDAY(DATE(Kalendarskagodina,8,31),1),"aaa")</f>
        <v>pet</v>
      </c>
      <c r="AI5" s="126" t="s">
        <v>38</v>
      </c>
      <c r="AJ5" s="127"/>
      <c r="AK5" s="127"/>
      <c r="AL5" s="127"/>
      <c r="AM5" s="128"/>
    </row>
    <row r="6" spans="1:40" s="5" customFormat="1" ht="14.25" customHeight="1" x14ac:dyDescent="0.25">
      <c r="B6" s="41" t="s">
        <v>34</v>
      </c>
      <c r="C6" s="42" t="s">
        <v>36</v>
      </c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17</v>
      </c>
      <c r="V6" s="3" t="s">
        <v>18</v>
      </c>
      <c r="W6" s="3" t="s">
        <v>19</v>
      </c>
      <c r="X6" s="3" t="s">
        <v>20</v>
      </c>
      <c r="Y6" s="3" t="s">
        <v>21</v>
      </c>
      <c r="Z6" s="3" t="s">
        <v>22</v>
      </c>
      <c r="AA6" s="3" t="s">
        <v>23</v>
      </c>
      <c r="AB6" s="3" t="s">
        <v>24</v>
      </c>
      <c r="AC6" s="3" t="s">
        <v>25</v>
      </c>
      <c r="AD6" s="3" t="s">
        <v>26</v>
      </c>
      <c r="AE6" s="3" t="s">
        <v>27</v>
      </c>
      <c r="AF6" s="3" t="s">
        <v>28</v>
      </c>
      <c r="AG6" s="3" t="s">
        <v>29</v>
      </c>
      <c r="AH6" s="3" t="s">
        <v>30</v>
      </c>
      <c r="AI6" s="89" t="s">
        <v>127</v>
      </c>
      <c r="AJ6" s="65" t="s">
        <v>128</v>
      </c>
      <c r="AK6" s="66" t="s">
        <v>129</v>
      </c>
      <c r="AL6" s="67" t="s">
        <v>31</v>
      </c>
      <c r="AM6" s="46" t="s">
        <v>37</v>
      </c>
      <c r="AN6" s="4"/>
    </row>
    <row r="7" spans="1:40" s="5" customFormat="1" ht="16.5" customHeight="1" x14ac:dyDescent="0.25">
      <c r="B7" s="43" t="s">
        <v>89</v>
      </c>
      <c r="C7" t="str">
        <f>IFERROR(VLOOKUP(Prisustvovanjeuavgustu[[#This Row],[ID učenika]],Listaučenika[],18,FALSE),"")</f>
        <v>David Aleksić</v>
      </c>
      <c r="D7" s="20" t="s">
        <v>31</v>
      </c>
      <c r="E7" s="20" t="s">
        <v>31</v>
      </c>
      <c r="F7" s="20" t="s">
        <v>127</v>
      </c>
      <c r="G7" s="20" t="s">
        <v>127</v>
      </c>
      <c r="H7" s="20" t="s">
        <v>31</v>
      </c>
      <c r="I7" s="20" t="s">
        <v>68</v>
      </c>
      <c r="J7" s="20" t="s">
        <v>68</v>
      </c>
      <c r="K7" s="20" t="s">
        <v>31</v>
      </c>
      <c r="L7" s="20" t="s">
        <v>31</v>
      </c>
      <c r="M7" s="20" t="s">
        <v>128</v>
      </c>
      <c r="N7" s="20" t="s">
        <v>31</v>
      </c>
      <c r="O7" s="20" t="s">
        <v>31</v>
      </c>
      <c r="P7" s="20" t="s">
        <v>68</v>
      </c>
      <c r="Q7" s="20" t="s">
        <v>68</v>
      </c>
      <c r="R7" s="20" t="s">
        <v>31</v>
      </c>
      <c r="S7" s="20" t="s">
        <v>31</v>
      </c>
      <c r="T7" s="20" t="s">
        <v>31</v>
      </c>
      <c r="U7" s="20" t="s">
        <v>31</v>
      </c>
      <c r="V7" s="20" t="s">
        <v>31</v>
      </c>
      <c r="W7" s="20" t="s">
        <v>68</v>
      </c>
      <c r="X7" s="20" t="s">
        <v>68</v>
      </c>
      <c r="Y7" s="20" t="s">
        <v>31</v>
      </c>
      <c r="Z7" s="20" t="s">
        <v>31</v>
      </c>
      <c r="AA7" s="20" t="s">
        <v>31</v>
      </c>
      <c r="AB7" s="20" t="s">
        <v>31</v>
      </c>
      <c r="AC7" s="20" t="s">
        <v>31</v>
      </c>
      <c r="AD7" s="20" t="s">
        <v>68</v>
      </c>
      <c r="AE7" s="20" t="s">
        <v>68</v>
      </c>
      <c r="AF7" s="20" t="s">
        <v>31</v>
      </c>
      <c r="AG7" s="20" t="s">
        <v>31</v>
      </c>
      <c r="AH7" s="20" t="s">
        <v>31</v>
      </c>
      <c r="AI7" s="6">
        <f>COUNTIF(Prisustvovanjeuavgustu[[#This Row],[1]:[31]],Šifra1)</f>
        <v>2</v>
      </c>
      <c r="AJ7" s="45">
        <f>COUNTIF(Prisustvovanjeuavgustu[[#This Row],[1]:[31]],Šifra2)</f>
        <v>1</v>
      </c>
      <c r="AK7" s="45">
        <f>COUNTIF(Prisustvovanjeuavgustu[[#This Row],[1]:[31]],Šifra3)</f>
        <v>0</v>
      </c>
      <c r="AL7" s="45">
        <f>COUNTIF(Prisustvovanjeuavgustu[[#This Row],[1]:[31]],Šifra4)</f>
        <v>20</v>
      </c>
      <c r="AM7" s="6">
        <f>SUM(Prisustvovanjeuavgustu[[#This Row],[O]:[Ne]])</f>
        <v>1</v>
      </c>
      <c r="AN7" s="4"/>
    </row>
    <row r="8" spans="1:40" s="5" customFormat="1" ht="16.5" customHeight="1" x14ac:dyDescent="0.25">
      <c r="B8" s="43" t="s">
        <v>92</v>
      </c>
      <c r="C8" t="str">
        <f>IFERROR(VLOOKUP(Prisustvovanjeuavgustu[[#This Row],[ID učenika]],Listaučenika[],18,FALSE),"")</f>
        <v>Učenik 2</v>
      </c>
      <c r="D8" s="20" t="s">
        <v>31</v>
      </c>
      <c r="E8" s="20" t="s">
        <v>129</v>
      </c>
      <c r="F8" s="20" t="s">
        <v>31</v>
      </c>
      <c r="G8" s="20" t="s">
        <v>31</v>
      </c>
      <c r="H8" s="20" t="s">
        <v>31</v>
      </c>
      <c r="I8" s="20" t="s">
        <v>68</v>
      </c>
      <c r="J8" s="20" t="s">
        <v>68</v>
      </c>
      <c r="K8" s="20" t="s">
        <v>31</v>
      </c>
      <c r="L8" s="20" t="s">
        <v>128</v>
      </c>
      <c r="M8" s="20" t="s">
        <v>128</v>
      </c>
      <c r="N8" s="20" t="s">
        <v>128</v>
      </c>
      <c r="O8" s="20" t="s">
        <v>128</v>
      </c>
      <c r="P8" s="20" t="s">
        <v>68</v>
      </c>
      <c r="Q8" s="20" t="s">
        <v>68</v>
      </c>
      <c r="R8" s="20" t="s">
        <v>31</v>
      </c>
      <c r="S8" s="20" t="s">
        <v>31</v>
      </c>
      <c r="T8" s="20" t="s">
        <v>31</v>
      </c>
      <c r="U8" s="20" t="s">
        <v>31</v>
      </c>
      <c r="V8" s="20" t="s">
        <v>31</v>
      </c>
      <c r="W8" s="20" t="s">
        <v>68</v>
      </c>
      <c r="X8" s="20" t="s">
        <v>68</v>
      </c>
      <c r="Y8" s="20" t="s">
        <v>31</v>
      </c>
      <c r="Z8" s="20" t="s">
        <v>31</v>
      </c>
      <c r="AA8" s="20" t="s">
        <v>31</v>
      </c>
      <c r="AB8" s="20" t="s">
        <v>127</v>
      </c>
      <c r="AC8" s="20" t="s">
        <v>127</v>
      </c>
      <c r="AD8" s="20" t="s">
        <v>68</v>
      </c>
      <c r="AE8" s="20" t="s">
        <v>68</v>
      </c>
      <c r="AF8" s="20" t="s">
        <v>31</v>
      </c>
      <c r="AG8" s="20" t="s">
        <v>31</v>
      </c>
      <c r="AH8" s="20" t="s">
        <v>31</v>
      </c>
      <c r="AI8" s="6">
        <f>COUNTIF(Prisustvovanjeuavgustu[[#This Row],[1]:[31]],Šifra1)</f>
        <v>2</v>
      </c>
      <c r="AJ8" s="45">
        <f>COUNTIF(Prisustvovanjeuavgustu[[#This Row],[1]:[31]],Šifra2)</f>
        <v>4</v>
      </c>
      <c r="AK8" s="45">
        <f>COUNTIF(Prisustvovanjeuavgustu[[#This Row],[1]:[31]],Šifra3)</f>
        <v>1</v>
      </c>
      <c r="AL8" s="45">
        <f>COUNTIF(Prisustvovanjeuavgustu[[#This Row],[1]:[31]],Šifra4)</f>
        <v>16</v>
      </c>
      <c r="AM8" s="6">
        <f>SUM(Prisustvovanjeuavgustu[[#This Row],[O]:[Ne]])</f>
        <v>5</v>
      </c>
      <c r="AN8" s="4"/>
    </row>
    <row r="9" spans="1:40" s="8" customFormat="1" ht="16.5" customHeight="1" x14ac:dyDescent="0.25">
      <c r="B9" s="43" t="s">
        <v>93</v>
      </c>
      <c r="C9" t="str">
        <f>IFERROR(VLOOKUP(Prisustvovanjeuavgustu[[#This Row],[ID učenika]],Listaučenika[],18,FALSE),"")</f>
        <v>Učenik 3</v>
      </c>
      <c r="D9" s="20" t="s">
        <v>31</v>
      </c>
      <c r="E9" s="20" t="s">
        <v>128</v>
      </c>
      <c r="F9" s="20" t="s">
        <v>31</v>
      </c>
      <c r="G9" s="20" t="s">
        <v>31</v>
      </c>
      <c r="H9" s="20" t="s">
        <v>31</v>
      </c>
      <c r="I9" s="20" t="s">
        <v>68</v>
      </c>
      <c r="J9" s="20" t="s">
        <v>68</v>
      </c>
      <c r="K9" s="20" t="s">
        <v>31</v>
      </c>
      <c r="L9" s="20" t="s">
        <v>31</v>
      </c>
      <c r="M9" s="20" t="s">
        <v>129</v>
      </c>
      <c r="N9" s="20" t="s">
        <v>31</v>
      </c>
      <c r="O9" s="20" t="s">
        <v>31</v>
      </c>
      <c r="P9" s="20" t="s">
        <v>68</v>
      </c>
      <c r="Q9" s="20" t="s">
        <v>68</v>
      </c>
      <c r="R9" s="20" t="s">
        <v>31</v>
      </c>
      <c r="S9" s="20" t="s">
        <v>31</v>
      </c>
      <c r="T9" s="20" t="s">
        <v>31</v>
      </c>
      <c r="U9" s="20" t="s">
        <v>31</v>
      </c>
      <c r="V9" s="20" t="s">
        <v>31</v>
      </c>
      <c r="W9" s="20" t="s">
        <v>68</v>
      </c>
      <c r="X9" s="20" t="s">
        <v>68</v>
      </c>
      <c r="Y9" s="20" t="s">
        <v>31</v>
      </c>
      <c r="Z9" s="20" t="s">
        <v>31</v>
      </c>
      <c r="AA9" s="20" t="s">
        <v>128</v>
      </c>
      <c r="AB9" s="20" t="s">
        <v>128</v>
      </c>
      <c r="AC9" s="20" t="s">
        <v>31</v>
      </c>
      <c r="AD9" s="20" t="s">
        <v>68</v>
      </c>
      <c r="AE9" s="20" t="s">
        <v>68</v>
      </c>
      <c r="AF9" s="20" t="s">
        <v>31</v>
      </c>
      <c r="AG9" s="20" t="s">
        <v>31</v>
      </c>
      <c r="AH9" s="20" t="s">
        <v>31</v>
      </c>
      <c r="AI9" s="6">
        <f>COUNTIF(Prisustvovanjeuavgustu[[#This Row],[1]:[31]],Šifra1)</f>
        <v>0</v>
      </c>
      <c r="AJ9" s="45">
        <f>COUNTIF(Prisustvovanjeuavgustu[[#This Row],[1]:[31]],Šifra2)</f>
        <v>3</v>
      </c>
      <c r="AK9" s="45">
        <f>COUNTIF(Prisustvovanjeuavgustu[[#This Row],[1]:[31]],Šifra3)</f>
        <v>1</v>
      </c>
      <c r="AL9" s="45">
        <f>COUNTIF(Prisustvovanjeuavgustu[[#This Row],[1]:[31]],Šifra4)</f>
        <v>19</v>
      </c>
      <c r="AM9" s="6">
        <f>SUM(Prisustvovanjeuavgustu[[#This Row],[O]:[Ne]])</f>
        <v>4</v>
      </c>
      <c r="AN9" s="7"/>
    </row>
    <row r="10" spans="1:40" ht="16.5" customHeight="1" x14ac:dyDescent="0.25">
      <c r="B10" s="43" t="s">
        <v>94</v>
      </c>
      <c r="C10" t="str">
        <f>IFERROR(VLOOKUP(Prisustvovanjeuavgustu[[#This Row],[ID učenika]],Listaučenika[],18,FALSE),"")</f>
        <v>Učenik 4</v>
      </c>
      <c r="D10" s="20" t="s">
        <v>31</v>
      </c>
      <c r="E10" s="20" t="s">
        <v>31</v>
      </c>
      <c r="F10" s="20" t="s">
        <v>31</v>
      </c>
      <c r="G10" s="20" t="s">
        <v>31</v>
      </c>
      <c r="H10" s="20" t="s">
        <v>31</v>
      </c>
      <c r="I10" s="20" t="s">
        <v>68</v>
      </c>
      <c r="J10" s="20" t="s">
        <v>68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 t="s">
        <v>68</v>
      </c>
      <c r="Q10" s="20" t="s">
        <v>68</v>
      </c>
      <c r="R10" s="20" t="s">
        <v>31</v>
      </c>
      <c r="S10" s="20" t="s">
        <v>31</v>
      </c>
      <c r="T10" s="20" t="s">
        <v>31</v>
      </c>
      <c r="U10" s="20" t="s">
        <v>31</v>
      </c>
      <c r="V10" s="20" t="s">
        <v>31</v>
      </c>
      <c r="W10" s="20" t="s">
        <v>68</v>
      </c>
      <c r="X10" s="20" t="s">
        <v>68</v>
      </c>
      <c r="Y10" s="20" t="s">
        <v>31</v>
      </c>
      <c r="Z10" s="20" t="s">
        <v>129</v>
      </c>
      <c r="AA10" s="20" t="s">
        <v>31</v>
      </c>
      <c r="AB10" s="20" t="s">
        <v>31</v>
      </c>
      <c r="AC10" s="20" t="s">
        <v>128</v>
      </c>
      <c r="AD10" s="20" t="s">
        <v>68</v>
      </c>
      <c r="AE10" s="20" t="s">
        <v>68</v>
      </c>
      <c r="AF10" s="20" t="s">
        <v>31</v>
      </c>
      <c r="AG10" s="20" t="s">
        <v>128</v>
      </c>
      <c r="AH10" s="20" t="s">
        <v>31</v>
      </c>
      <c r="AI10" s="6">
        <f>COUNTIF(Prisustvovanjeuavgustu[[#This Row],[1]:[31]],Šifra1)</f>
        <v>0</v>
      </c>
      <c r="AJ10" s="45">
        <f>COUNTIF(Prisustvovanjeuavgustu[[#This Row],[1]:[31]],Šifra2)</f>
        <v>2</v>
      </c>
      <c r="AK10" s="45">
        <f>COUNTIF(Prisustvovanjeuavgustu[[#This Row],[1]:[31]],Šifra3)</f>
        <v>1</v>
      </c>
      <c r="AL10" s="45">
        <f>COUNTIF(Prisustvovanjeuavgustu[[#This Row],[1]:[31]],Šifra4)</f>
        <v>20</v>
      </c>
      <c r="AM10" s="6">
        <f>SUM(Prisustvovanjeuavgustu[[#This Row],[O]:[Ne]])</f>
        <v>3</v>
      </c>
      <c r="AN10" s="10"/>
    </row>
    <row r="11" spans="1:40" ht="16.5" customHeight="1" x14ac:dyDescent="0.25">
      <c r="B11" s="43" t="s">
        <v>95</v>
      </c>
      <c r="C11" t="str">
        <f>IFERROR(VLOOKUP(Prisustvovanjeuavgustu[[#This Row],[ID učenika]],Listaučenika[],18,FALSE),"")</f>
        <v>Učenik 5</v>
      </c>
      <c r="D11" s="20" t="s">
        <v>31</v>
      </c>
      <c r="E11" s="20" t="s">
        <v>31</v>
      </c>
      <c r="F11" s="20" t="s">
        <v>31</v>
      </c>
      <c r="G11" s="20" t="s">
        <v>31</v>
      </c>
      <c r="H11" s="20" t="s">
        <v>31</v>
      </c>
      <c r="I11" s="20" t="s">
        <v>68</v>
      </c>
      <c r="J11" s="20" t="s">
        <v>68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 t="s">
        <v>68</v>
      </c>
      <c r="Q11" s="20" t="s">
        <v>68</v>
      </c>
      <c r="R11" s="20" t="s">
        <v>31</v>
      </c>
      <c r="S11" s="20" t="s">
        <v>31</v>
      </c>
      <c r="T11" s="20" t="s">
        <v>31</v>
      </c>
      <c r="U11" s="20" t="s">
        <v>31</v>
      </c>
      <c r="V11" s="20" t="s">
        <v>31</v>
      </c>
      <c r="W11" s="20" t="s">
        <v>68</v>
      </c>
      <c r="X11" s="20" t="s">
        <v>68</v>
      </c>
      <c r="Y11" s="20" t="s">
        <v>31</v>
      </c>
      <c r="Z11" s="20" t="s">
        <v>31</v>
      </c>
      <c r="AA11" s="20" t="s">
        <v>31</v>
      </c>
      <c r="AB11" s="20" t="s">
        <v>31</v>
      </c>
      <c r="AC11" s="20" t="s">
        <v>31</v>
      </c>
      <c r="AD11" s="20" t="s">
        <v>68</v>
      </c>
      <c r="AE11" s="20" t="s">
        <v>68</v>
      </c>
      <c r="AF11" s="20" t="s">
        <v>31</v>
      </c>
      <c r="AG11" s="20" t="s">
        <v>31</v>
      </c>
      <c r="AH11" s="20" t="s">
        <v>31</v>
      </c>
      <c r="AI11" s="6">
        <f>COUNTIF(Prisustvovanjeuavgustu[[#This Row],[1]:[31]],Šifra1)</f>
        <v>0</v>
      </c>
      <c r="AJ11" s="45">
        <f>COUNTIF(Prisustvovanjeuavgustu[[#This Row],[1]:[31]],Šifra2)</f>
        <v>0</v>
      </c>
      <c r="AK11" s="45">
        <f>COUNTIF(Prisustvovanjeuavgustu[[#This Row],[1]:[31]],Šifra3)</f>
        <v>0</v>
      </c>
      <c r="AL11" s="45">
        <f>COUNTIF(Prisustvovanjeuavgustu[[#This Row],[1]:[31]],Šifra4)</f>
        <v>23</v>
      </c>
      <c r="AM11" s="6">
        <f>SUM(Prisustvovanjeuavgustu[[#This Row],[O]:[Ne]])</f>
        <v>0</v>
      </c>
      <c r="AN11" s="10"/>
    </row>
    <row r="12" spans="1:40" ht="16.5" customHeight="1" x14ac:dyDescent="0.25">
      <c r="B12" s="111"/>
      <c r="C12" s="112" t="s">
        <v>117</v>
      </c>
      <c r="D12" s="113">
        <f>COUNTIF(Prisustvovanjeuavgustu[1],"Ne")+COUNTIF(Prisustvovanjeuavgustu[1],"O")</f>
        <v>0</v>
      </c>
      <c r="E12" s="113">
        <f>COUNTIF(Prisustvovanjeuavgustu[2],"Ne")+COUNTIF(Prisustvovanjeuavgustu[2],"O")</f>
        <v>2</v>
      </c>
      <c r="F12" s="113">
        <f>COUNTIF(Prisustvovanjeuavgustu[3],"Ne")+COUNTIF(Prisustvovanjeuavgustu[3],"O")</f>
        <v>0</v>
      </c>
      <c r="G12" s="113">
        <f>COUNTIF(Prisustvovanjeuavgustu[4],"Ne")+COUNTIF(Prisustvovanjeuavgustu[4],"O")</f>
        <v>0</v>
      </c>
      <c r="H12" s="113">
        <f>COUNTIF(Prisustvovanjeuavgustu[5],"Ne")+COUNTIF(Prisustvovanjeuavgustu[5],"O")</f>
        <v>0</v>
      </c>
      <c r="I12" s="113">
        <f>COUNTIF(Prisustvovanjeuavgustu[6],"Ne")+COUNTIF(Prisustvovanjeuavgustu[6],"O")</f>
        <v>0</v>
      </c>
      <c r="J12" s="113">
        <f>COUNTIF(Prisustvovanjeuavgustu[7],"Ne")+COUNTIF(Prisustvovanjeuavgustu[7],"O")</f>
        <v>0</v>
      </c>
      <c r="K12" s="113">
        <f>COUNTIF(Prisustvovanjeuavgustu[8],"Ne")+COUNTIF(Prisustvovanjeuavgustu[8],"O")</f>
        <v>0</v>
      </c>
      <c r="L12" s="113">
        <f>COUNTIF(Prisustvovanjeuavgustu[9],"Ne")+COUNTIF(Prisustvovanjeuavgustu[9],"O")</f>
        <v>1</v>
      </c>
      <c r="M12" s="113">
        <f>COUNTIF(Prisustvovanjeuavgustu[10],"Ne")+COUNTIF(Prisustvovanjeuavgustu[10],"O")</f>
        <v>3</v>
      </c>
      <c r="N12" s="113">
        <f>COUNTIF(Prisustvovanjeuavgustu[11],"Ne")+COUNTIF(Prisustvovanjeuavgustu[11],"O")</f>
        <v>1</v>
      </c>
      <c r="O12" s="113">
        <f>COUNTIF(Prisustvovanjeuavgustu[12],"Ne")+COUNTIF(Prisustvovanjeuavgustu[12],"O")</f>
        <v>1</v>
      </c>
      <c r="P12" s="113">
        <f>COUNTIF(Prisustvovanjeuavgustu[13],"Ne")+COUNTIF(Prisustvovanjeuavgustu[13],"O")</f>
        <v>0</v>
      </c>
      <c r="Q12" s="113">
        <f>COUNTIF(Prisustvovanjeuavgustu[14],"Ne")+COUNTIF(Prisustvovanjeuavgustu[14],"O")</f>
        <v>0</v>
      </c>
      <c r="R12" s="113">
        <f>COUNTIF(Prisustvovanjeuavgustu[15],"Ne")+COUNTIF(Prisustvovanjeuavgustu[15],"O")</f>
        <v>0</v>
      </c>
      <c r="S12" s="113">
        <f>COUNTIF(Prisustvovanjeuavgustu[16],"Ne")+COUNTIF(Prisustvovanjeuavgustu[16],"O")</f>
        <v>0</v>
      </c>
      <c r="T12" s="113">
        <f>COUNTIF(Prisustvovanjeuavgustu[17],"Ne")+COUNTIF(Prisustvovanjeuavgustu[17],"O")</f>
        <v>0</v>
      </c>
      <c r="U12" s="113">
        <f>COUNTIF(Prisustvovanjeuavgustu[18],"Ne")+COUNTIF(Prisustvovanjeuavgustu[18],"O")</f>
        <v>0</v>
      </c>
      <c r="V12" s="113">
        <f>COUNTIF(Prisustvovanjeuavgustu[19],"Ne")+COUNTIF(Prisustvovanjeuavgustu[19],"O")</f>
        <v>0</v>
      </c>
      <c r="W12" s="113">
        <f>COUNTIF(Prisustvovanjeuavgustu[20],"Ne")+COUNTIF(Prisustvovanjeuavgustu[20],"O")</f>
        <v>0</v>
      </c>
      <c r="X12" s="113">
        <f>COUNTIF(Prisustvovanjeuavgustu[21],"Ne")+COUNTIF(Prisustvovanjeuavgustu[21],"O")</f>
        <v>0</v>
      </c>
      <c r="Y12" s="113">
        <f>COUNTIF(Prisustvovanjeuavgustu[22],"Ne")+COUNTIF(Prisustvovanjeuavgustu[22],"O")</f>
        <v>0</v>
      </c>
      <c r="Z12" s="113">
        <f>COUNTIF(Prisustvovanjeuavgustu[23],"Ne")+COUNTIF(Prisustvovanjeuavgustu[23],"O")</f>
        <v>1</v>
      </c>
      <c r="AA12" s="113">
        <f>COUNTIF(Prisustvovanjeuavgustu[24],"Ne")+COUNTIF(Prisustvovanjeuavgustu[24],"O")</f>
        <v>1</v>
      </c>
      <c r="AB12" s="113">
        <f>COUNTIF(Prisustvovanjeuavgustu[25],"Ne")+COUNTIF(Prisustvovanjeuavgustu[25],"O")</f>
        <v>1</v>
      </c>
      <c r="AC12" s="113">
        <f>COUNTIF(Prisustvovanjeuavgustu[26],"Ne")+COUNTIF(Prisustvovanjeuavgustu[26],"O")</f>
        <v>1</v>
      </c>
      <c r="AD12" s="113">
        <f>COUNTIF(Prisustvovanjeuavgustu[27],"Ne")+COUNTIF(Prisustvovanjeuavgustu[27],"O")</f>
        <v>0</v>
      </c>
      <c r="AE12" s="113">
        <f>COUNTIF(Prisustvovanjeuavgustu[28],"Ne")+COUNTIF(Prisustvovanjeuavgustu[28],"O")</f>
        <v>0</v>
      </c>
      <c r="AF12" s="113">
        <f>COUNTIF(Prisustvovanjeuavgustu[29],"Ne")+COUNTIF(Prisustvovanjeuavgustu[29],"O")</f>
        <v>0</v>
      </c>
      <c r="AG12" s="113">
        <f>COUNTIF(Prisustvovanjeuavgustu[30],"Ne")+COUNTIF(Prisustvovanjeuavgustu[30],"O")</f>
        <v>1</v>
      </c>
      <c r="AH12" s="113">
        <f>COUNTIF(Prisustvovanjeuavgustu[31],"Ne")+COUNTIF(Prisustvovanjeuavgustu[31],"O")</f>
        <v>0</v>
      </c>
      <c r="AI12" s="113">
        <f>SUBTOTAL(109,Prisustvovanjeuavgustu[Z])</f>
        <v>4</v>
      </c>
      <c r="AJ12" s="113">
        <f>SUBTOTAL(109,Prisustvovanjeuavgustu[O])</f>
        <v>10</v>
      </c>
      <c r="AK12" s="113">
        <f>SUBTOTAL(109,Prisustvovanjeuavgustu[Ne])</f>
        <v>3</v>
      </c>
      <c r="AL12" s="113">
        <f>SUBTOTAL(109,Prisustvovanjeuavgustu[P])</f>
        <v>98</v>
      </c>
      <c r="AM12" s="113">
        <f>SUBTOTAL(109,Prisustvovanjeuavgustu[Dani odsustvovanja])</f>
        <v>13</v>
      </c>
    </row>
    <row r="14" spans="1:40" ht="16.5" customHeight="1" x14ac:dyDescent="0.25"/>
    <row r="15" spans="1:40" ht="16.5" customHeight="1" x14ac:dyDescent="0.25"/>
    <row r="16" spans="1:40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I5:AM5"/>
  </mergeCells>
  <conditionalFormatting sqref="D7:AI11">
    <cfRule type="expression" dxfId="968" priority="137" stopIfTrue="1">
      <formula>D7=Šifra2</formula>
    </cfRule>
  </conditionalFormatting>
  <conditionalFormatting sqref="D7:AH11">
    <cfRule type="expression" dxfId="967" priority="146" stopIfTrue="1">
      <formula>D7=Šifra5</formula>
    </cfRule>
    <cfRule type="expression" dxfId="966" priority="147" stopIfTrue="1">
      <formula>D7=Šifra4</formula>
    </cfRule>
    <cfRule type="expression" dxfId="965" priority="148" stopIfTrue="1">
      <formula>D7=Šifra3</formula>
    </cfRule>
    <cfRule type="expression" dxfId="964" priority="149" stopIfTrue="1">
      <formula>D7=Šifra1</formula>
    </cfRule>
  </conditionalFormatting>
  <conditionalFormatting sqref="AM7:AM11">
    <cfRule type="dataBar" priority="202">
      <dataBar>
        <cfvo type="min"/>
        <cfvo type="num" val="31"/>
        <color theme="4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">
    <dataValidation type="list" errorStyle="warning" allowBlank="1" showInputMessage="1" showErrorMessage="1" errorTitle="Ups!" error="ID učenika koji ste uneli nije na listu „Lista učenika“. Možete kliknuti na „Da“ da biste koristili ono što ste uneli, ali taj ID učenika neće biti dostupan na listu „Izveštaj o prisustvovanju učenika“." sqref="B7:B11">
      <formula1>IDučenika</formula1>
    </dataValidation>
  </dataValidations>
  <printOptions horizontalCentered="1"/>
  <pageMargins left="0.5" right="0.5" top="0.75" bottom="0.75" header="0.3" footer="0.3"/>
  <pageSetup paperSize="9"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Potenciometar 1">
              <controlPr defaultSize="0" print="0" autoPict="0" altText="Calendar Year Spinner. Click the spinner to change the school calendar year or type the year in cell AM.">
                <anchor moveWithCells="1" sizeWithCells="1">
                  <from>
                    <xdr:col>39</xdr:col>
                    <xdr:colOff>38100</xdr:colOff>
                    <xdr:row>0</xdr:row>
                    <xdr:rowOff>104775</xdr:rowOff>
                  </from>
                  <to>
                    <xdr:col>39</xdr:col>
                    <xdr:colOff>209550</xdr:colOff>
                    <xdr:row>0</xdr:row>
                    <xdr:rowOff>419100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 border="1" negativeBarBorderColorSameAsPositive="0">
              <x14:cfvo type="autoMin"/>
              <x14:cfvo type="num">
                <xm:f>31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AM7:AM11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N346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customHeight="1" x14ac:dyDescent="0.25"/>
  <cols>
    <col min="1" max="1" width="2.7109375" style="11" customWidth="1"/>
    <col min="2" max="2" width="10.85546875" style="11" customWidth="1"/>
    <col min="3" max="3" width="28.85546875" style="12" customWidth="1"/>
    <col min="4" max="34" width="5" style="10" customWidth="1"/>
    <col min="35" max="35" width="4.7109375" style="9" customWidth="1"/>
    <col min="36" max="36" width="4.7109375" style="10" customWidth="1"/>
    <col min="37" max="38" width="4.7109375" style="11" customWidth="1"/>
    <col min="39" max="39" width="19.7109375" style="11" bestFit="1" customWidth="1"/>
    <col min="40" max="16384" width="9.140625" style="11"/>
  </cols>
  <sheetData>
    <row r="1" spans="1:40" s="1" customFormat="1" ht="42" customHeight="1" x14ac:dyDescent="0.25">
      <c r="A1" s="33" t="s">
        <v>86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6"/>
      <c r="AH1" s="34"/>
      <c r="AI1" s="34"/>
      <c r="AJ1" s="37"/>
      <c r="AK1" s="34"/>
      <c r="AL1" s="53" t="s">
        <v>69</v>
      </c>
      <c r="AM1" s="54">
        <f>Kalendarskagodina</f>
        <v>2012</v>
      </c>
    </row>
    <row r="2" spans="1:40" customFormat="1" ht="13.5" x14ac:dyDescent="0.25"/>
    <row r="3" spans="1:40" s="28" customFormat="1" ht="12.75" customHeight="1" x14ac:dyDescent="0.25">
      <c r="C3" s="40" t="str">
        <f>Teksthromakija</f>
        <v xml:space="preserve">HROMA KI </v>
      </c>
      <c r="D3" s="47" t="str">
        <f>Šifra1</f>
        <v>Z</v>
      </c>
      <c r="E3" s="64" t="str">
        <f>Tekstšifre1</f>
        <v>Zakasnio</v>
      </c>
      <c r="F3" s="55"/>
      <c r="H3" s="48" t="str">
        <f>Šifra2</f>
        <v>O</v>
      </c>
      <c r="I3" s="52" t="str">
        <f>Tekstšifre2</f>
        <v>Opravdan</v>
      </c>
      <c r="L3" s="49" t="str">
        <f>Šifra3</f>
        <v>Ne</v>
      </c>
      <c r="M3" s="52" t="str">
        <f>Tekstšifre3</f>
        <v>Neopravdan</v>
      </c>
      <c r="P3" s="50" t="str">
        <f>Šifra4</f>
        <v>P</v>
      </c>
      <c r="Q3" s="52" t="str">
        <f>Tekstšifre4</f>
        <v>Prisutan</v>
      </c>
      <c r="T3" s="51" t="str">
        <f>Šifra5</f>
        <v>N</v>
      </c>
      <c r="U3" s="52" t="str">
        <f>Tekstšifre5</f>
        <v>Nema škole</v>
      </c>
      <c r="W3"/>
      <c r="X3"/>
      <c r="Y3"/>
      <c r="AD3" s="27"/>
      <c r="AE3" s="27"/>
      <c r="AH3" s="29"/>
      <c r="AI3" s="30"/>
      <c r="AK3" s="31"/>
    </row>
    <row r="4" spans="1:40" customFormat="1" ht="16.5" customHeight="1" x14ac:dyDescent="0.25"/>
    <row r="5" spans="1:40" s="2" customFormat="1" ht="18" customHeight="1" x14ac:dyDescent="0.3">
      <c r="B5" s="57">
        <f>DATE(Kalendarskagodina,9,1)</f>
        <v>41153</v>
      </c>
      <c r="C5" s="56"/>
      <c r="D5" s="38" t="str">
        <f>TEXT(WEEKDAY(DATE(Kalendarskagodina,9,1),1),"aaa")</f>
        <v>sub</v>
      </c>
      <c r="E5" s="38" t="str">
        <f>TEXT(WEEKDAY(DATE(Kalendarskagodina,9,2),1),"aaa")</f>
        <v>ned</v>
      </c>
      <c r="F5" s="38" t="str">
        <f>TEXT(WEEKDAY(DATE(Kalendarskagodina,9,3),1),"aaa")</f>
        <v>pon</v>
      </c>
      <c r="G5" s="38" t="str">
        <f>TEXT(WEEKDAY(DATE(Kalendarskagodina,9,4),1),"aaa")</f>
        <v>uto</v>
      </c>
      <c r="H5" s="38" t="str">
        <f>TEXT(WEEKDAY(DATE(Kalendarskagodina,9,5),1),"aaa")</f>
        <v>sre</v>
      </c>
      <c r="I5" s="38" t="str">
        <f>TEXT(WEEKDAY(DATE(Kalendarskagodina,9,6),1),"aaa")</f>
        <v>čet</v>
      </c>
      <c r="J5" s="38" t="str">
        <f>TEXT(WEEKDAY(DATE(Kalendarskagodina,9,7),1),"aaa")</f>
        <v>pet</v>
      </c>
      <c r="K5" s="38" t="str">
        <f>TEXT(WEEKDAY(DATE(Kalendarskagodina,9,8),1),"aaa")</f>
        <v>sub</v>
      </c>
      <c r="L5" s="38" t="str">
        <f>TEXT(WEEKDAY(DATE(Kalendarskagodina,9,9),1),"aaa")</f>
        <v>ned</v>
      </c>
      <c r="M5" s="38" t="str">
        <f>TEXT(WEEKDAY(DATE(Kalendarskagodina,9,10),1),"aaa")</f>
        <v>pon</v>
      </c>
      <c r="N5" s="38" t="str">
        <f>TEXT(WEEKDAY(DATE(Kalendarskagodina,9,11),1),"aaa")</f>
        <v>uto</v>
      </c>
      <c r="O5" s="38" t="str">
        <f>TEXT(WEEKDAY(DATE(Kalendarskagodina,9,12),1),"aaa")</f>
        <v>sre</v>
      </c>
      <c r="P5" s="38" t="str">
        <f>TEXT(WEEKDAY(DATE(Kalendarskagodina,9,13),1),"aaa")</f>
        <v>čet</v>
      </c>
      <c r="Q5" s="38" t="str">
        <f>TEXT(WEEKDAY(DATE(Kalendarskagodina,9,14),1),"aaa")</f>
        <v>pet</v>
      </c>
      <c r="R5" s="38" t="str">
        <f>TEXT(WEEKDAY(DATE(Kalendarskagodina,9,15),1),"aaa")</f>
        <v>sub</v>
      </c>
      <c r="S5" s="38" t="str">
        <f>TEXT(WEEKDAY(DATE(Kalendarskagodina,9,16),1),"aaa")</f>
        <v>ned</v>
      </c>
      <c r="T5" s="38" t="str">
        <f>TEXT(WEEKDAY(DATE(Kalendarskagodina,9,17),1),"aaa")</f>
        <v>pon</v>
      </c>
      <c r="U5" s="38" t="str">
        <f>TEXT(WEEKDAY(DATE(Kalendarskagodina,9,18),1),"aaa")</f>
        <v>uto</v>
      </c>
      <c r="V5" s="38" t="str">
        <f>TEXT(WEEKDAY(DATE(Kalendarskagodina,9,19),1),"aaa")</f>
        <v>sre</v>
      </c>
      <c r="W5" s="38" t="str">
        <f>TEXT(WEEKDAY(DATE(Kalendarskagodina,9,20),1),"aaa")</f>
        <v>čet</v>
      </c>
      <c r="X5" s="38" t="str">
        <f>TEXT(WEEKDAY(DATE(Kalendarskagodina,9,21),1),"aaa")</f>
        <v>pet</v>
      </c>
      <c r="Y5" s="38" t="str">
        <f>TEXT(WEEKDAY(DATE(Kalendarskagodina,9,22),1),"aaa")</f>
        <v>sub</v>
      </c>
      <c r="Z5" s="38" t="str">
        <f>TEXT(WEEKDAY(DATE(Kalendarskagodina,9,23),1),"aaa")</f>
        <v>ned</v>
      </c>
      <c r="AA5" s="38" t="str">
        <f>TEXT(WEEKDAY(DATE(Kalendarskagodina,9,24),1),"aaa")</f>
        <v>pon</v>
      </c>
      <c r="AB5" s="38" t="str">
        <f>TEXT(WEEKDAY(DATE(Kalendarskagodina,9,25),1),"aaa")</f>
        <v>uto</v>
      </c>
      <c r="AC5" s="38" t="str">
        <f>TEXT(WEEKDAY(DATE(Kalendarskagodina,9,26),1),"aaa")</f>
        <v>sre</v>
      </c>
      <c r="AD5" s="38" t="str">
        <f>TEXT(WEEKDAY(DATE(Kalendarskagodina,9,27),1),"aaa")</f>
        <v>čet</v>
      </c>
      <c r="AE5" s="38" t="str">
        <f>TEXT(WEEKDAY(DATE(Kalendarskagodina,9,28),1),"aaa")</f>
        <v>pet</v>
      </c>
      <c r="AF5" s="38" t="str">
        <f>TEXT(WEEKDAY(DATE(Kalendarskagodina,9,29),1),"aaa")</f>
        <v>sub</v>
      </c>
      <c r="AG5" s="38" t="str">
        <f>TEXT(WEEKDAY(DATE(Kalendarskagodina,9,30),1),"aaa")</f>
        <v>ned</v>
      </c>
      <c r="AH5" s="38"/>
      <c r="AI5" s="126" t="s">
        <v>38</v>
      </c>
      <c r="AJ5" s="127"/>
      <c r="AK5" s="127"/>
      <c r="AL5" s="127"/>
      <c r="AM5" s="128"/>
    </row>
    <row r="6" spans="1:40" s="5" customFormat="1" ht="14.25" customHeight="1" x14ac:dyDescent="0.25">
      <c r="B6" s="41" t="s">
        <v>34</v>
      </c>
      <c r="C6" s="42" t="s">
        <v>36</v>
      </c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17</v>
      </c>
      <c r="V6" s="3" t="s">
        <v>18</v>
      </c>
      <c r="W6" s="3" t="s">
        <v>19</v>
      </c>
      <c r="X6" s="3" t="s">
        <v>20</v>
      </c>
      <c r="Y6" s="3" t="s">
        <v>21</v>
      </c>
      <c r="Z6" s="3" t="s">
        <v>22</v>
      </c>
      <c r="AA6" s="3" t="s">
        <v>23</v>
      </c>
      <c r="AB6" s="3" t="s">
        <v>24</v>
      </c>
      <c r="AC6" s="3" t="s">
        <v>25</v>
      </c>
      <c r="AD6" s="3" t="s">
        <v>26</v>
      </c>
      <c r="AE6" s="3" t="s">
        <v>27</v>
      </c>
      <c r="AF6" s="3" t="s">
        <v>28</v>
      </c>
      <c r="AG6" s="3" t="s">
        <v>29</v>
      </c>
      <c r="AH6" s="3" t="s">
        <v>116</v>
      </c>
      <c r="AI6" s="89" t="s">
        <v>127</v>
      </c>
      <c r="AJ6" s="65" t="s">
        <v>128</v>
      </c>
      <c r="AK6" s="66" t="s">
        <v>129</v>
      </c>
      <c r="AL6" s="67" t="s">
        <v>31</v>
      </c>
      <c r="AM6" s="46" t="s">
        <v>37</v>
      </c>
      <c r="AN6" s="4"/>
    </row>
    <row r="7" spans="1:40" s="5" customFormat="1" ht="16.5" customHeight="1" x14ac:dyDescent="0.25">
      <c r="B7" s="43"/>
      <c r="C7" s="44" t="str">
        <f>IFERROR(VLOOKUP(Prisustvovanjeuseptembru[[#This Row],[ID učenika]],Listaučenika[],18,FALSE),"")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20"/>
      <c r="AH7" s="20"/>
      <c r="AI7" s="6">
        <f>COUNTIF(Prisustvovanjeuseptembru[[#This Row],[1]:[ ]],Šifra1)</f>
        <v>0</v>
      </c>
      <c r="AJ7" s="45">
        <f>COUNTIF(Prisustvovanjeuseptembru[[#This Row],[1]:[ ]],Šifra2)</f>
        <v>0</v>
      </c>
      <c r="AK7" s="45">
        <f>COUNTIF(Prisustvovanjeuseptembru[[#This Row],[1]:[ ]],Šifra3)</f>
        <v>0</v>
      </c>
      <c r="AL7" s="45">
        <f>COUNTIF(Prisustvovanjeuseptembru[[#This Row],[1]:[ ]],Šifra4)</f>
        <v>0</v>
      </c>
      <c r="AM7" s="6">
        <f>SUM(Prisustvovanjeuseptembru[[#This Row],[O]:[Ne]])</f>
        <v>0</v>
      </c>
      <c r="AN7" s="4"/>
    </row>
    <row r="8" spans="1:40" s="5" customFormat="1" ht="16.5" customHeight="1" x14ac:dyDescent="0.25">
      <c r="B8" s="43"/>
      <c r="C8" s="44" t="str">
        <f>IFERROR(VLOOKUP(Prisustvovanjeuseptembru[[#This Row],[ID učenika]],Listaučenika[],18,FALSE),"")</f>
        <v/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20"/>
      <c r="AH8" s="20"/>
      <c r="AI8" s="6">
        <f>COUNTIF(Prisustvovanjeuseptembru[[#This Row],[1]:[ ]],Šifra1)</f>
        <v>0</v>
      </c>
      <c r="AJ8" s="45">
        <f>COUNTIF(Prisustvovanjeuseptembru[[#This Row],[1]:[ ]],Šifra2)</f>
        <v>0</v>
      </c>
      <c r="AK8" s="45">
        <f>COUNTIF(Prisustvovanjeuseptembru[[#This Row],[1]:[ ]],Šifra3)</f>
        <v>0</v>
      </c>
      <c r="AL8" s="45">
        <f>COUNTIF(Prisustvovanjeuseptembru[[#This Row],[1]:[ ]],Šifra4)</f>
        <v>0</v>
      </c>
      <c r="AM8" s="6">
        <f>SUM(Prisustvovanjeuseptembru[[#This Row],[O]:[Ne]])</f>
        <v>0</v>
      </c>
      <c r="AN8" s="4"/>
    </row>
    <row r="9" spans="1:40" s="8" customFormat="1" ht="16.5" customHeight="1" x14ac:dyDescent="0.25">
      <c r="B9" s="43"/>
      <c r="C9" s="44" t="str">
        <f>IFERROR(VLOOKUP(Prisustvovanjeuseptembru[[#This Row],[ID učenika]],Listaučenika[],18,FALSE),"")</f>
        <v/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20"/>
      <c r="AH9" s="20"/>
      <c r="AI9" s="6">
        <f>COUNTIF(Prisustvovanjeuseptembru[[#This Row],[1]:[ ]],Šifra1)</f>
        <v>0</v>
      </c>
      <c r="AJ9" s="45">
        <f>COUNTIF(Prisustvovanjeuseptembru[[#This Row],[1]:[ ]],Šifra2)</f>
        <v>0</v>
      </c>
      <c r="AK9" s="45">
        <f>COUNTIF(Prisustvovanjeuseptembru[[#This Row],[1]:[ ]],Šifra3)</f>
        <v>0</v>
      </c>
      <c r="AL9" s="45">
        <f>COUNTIF(Prisustvovanjeuseptembru[[#This Row],[1]:[ ]],Šifra4)</f>
        <v>0</v>
      </c>
      <c r="AM9" s="6">
        <f>SUM(Prisustvovanjeuseptembru[[#This Row],[O]:[Ne]])</f>
        <v>0</v>
      </c>
      <c r="AN9" s="7"/>
    </row>
    <row r="10" spans="1:40" ht="16.5" customHeight="1" x14ac:dyDescent="0.25">
      <c r="B10" s="43"/>
      <c r="C10" s="44" t="str">
        <f>IFERROR(VLOOKUP(Prisustvovanjeuseptembru[[#This Row],[ID učenika]],Listaučenika[],18,FALSE),"")</f>
        <v/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20"/>
      <c r="AH10" s="20"/>
      <c r="AI10" s="6">
        <f>COUNTIF(Prisustvovanjeuseptembru[[#This Row],[1]:[ ]],Šifra1)</f>
        <v>0</v>
      </c>
      <c r="AJ10" s="45">
        <f>COUNTIF(Prisustvovanjeuseptembru[[#This Row],[1]:[ ]],Šifra2)</f>
        <v>0</v>
      </c>
      <c r="AK10" s="45">
        <f>COUNTIF(Prisustvovanjeuseptembru[[#This Row],[1]:[ ]],Šifra3)</f>
        <v>0</v>
      </c>
      <c r="AL10" s="45">
        <f>COUNTIF(Prisustvovanjeuseptembru[[#This Row],[1]:[ ]],Šifra4)</f>
        <v>0</v>
      </c>
      <c r="AM10" s="6">
        <f>SUM(Prisustvovanjeuseptembru[[#This Row],[O]:[Ne]])</f>
        <v>0</v>
      </c>
      <c r="AN10" s="10"/>
    </row>
    <row r="11" spans="1:40" ht="16.5" customHeight="1" x14ac:dyDescent="0.25">
      <c r="B11" s="43"/>
      <c r="C11" s="44" t="str">
        <f>IFERROR(VLOOKUP(Prisustvovanjeuseptembru[[#This Row],[ID učenika]],Listaučenika[],18,FALSE),"")</f>
        <v/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20"/>
      <c r="AH11" s="20"/>
      <c r="AI11" s="6">
        <f>COUNTIF(Prisustvovanjeuseptembru[[#This Row],[1]:[ ]],Šifra1)</f>
        <v>0</v>
      </c>
      <c r="AJ11" s="45">
        <f>COUNTIF(Prisustvovanjeuseptembru[[#This Row],[1]:[ ]],Šifra2)</f>
        <v>0</v>
      </c>
      <c r="AK11" s="45">
        <f>COUNTIF(Prisustvovanjeuseptembru[[#This Row],[1]:[ ]],Šifra3)</f>
        <v>0</v>
      </c>
      <c r="AL11" s="45">
        <f>COUNTIF(Prisustvovanjeuseptembru[[#This Row],[1]:[ ]],Šifra4)</f>
        <v>0</v>
      </c>
      <c r="AM11" s="6">
        <f>SUM(Prisustvovanjeuseptembru[[#This Row],[O]:[Ne]])</f>
        <v>0</v>
      </c>
      <c r="AN11" s="10"/>
    </row>
    <row r="12" spans="1:40" ht="16.5" customHeight="1" x14ac:dyDescent="0.25">
      <c r="B12" s="111"/>
      <c r="C12" s="112" t="s">
        <v>117</v>
      </c>
      <c r="D12" s="113">
        <f>COUNTIF(Prisustvovanjeuseptembru[1],"Ne")+COUNTIF(Prisustvovanjeuseptembru[1],"O")</f>
        <v>0</v>
      </c>
      <c r="E12" s="113">
        <f>COUNTIF(Prisustvovanjeuseptembru[2],"Ne")+COUNTIF(Prisustvovanjeuseptembru[2],"O")</f>
        <v>0</v>
      </c>
      <c r="F12" s="113">
        <f>COUNTIF(Prisustvovanjeuseptembru[3],"Ne")+COUNTIF(Prisustvovanjeuseptembru[3],"O")</f>
        <v>0</v>
      </c>
      <c r="G12" s="113">
        <f>COUNTIF(Prisustvovanjeuseptembru[4],"Ne")+COUNTIF(Prisustvovanjeuseptembru[4],"O")</f>
        <v>0</v>
      </c>
      <c r="H12" s="113">
        <f>COUNTIF(Prisustvovanjeuseptembru[5],"Ne")+COUNTIF(Prisustvovanjeuseptembru[5],"O")</f>
        <v>0</v>
      </c>
      <c r="I12" s="113">
        <f>COUNTIF(Prisustvovanjeuseptembru[6],"Ne")+COUNTIF(Prisustvovanjeuseptembru[6],"O")</f>
        <v>0</v>
      </c>
      <c r="J12" s="113">
        <f>COUNTIF(Prisustvovanjeuseptembru[7],"Ne")+COUNTIF(Prisustvovanjeuseptembru[7],"O")</f>
        <v>0</v>
      </c>
      <c r="K12" s="113">
        <f>COUNTIF(Prisustvovanjeuseptembru[8],"Ne")+COUNTIF(Prisustvovanjeuseptembru[8],"O")</f>
        <v>0</v>
      </c>
      <c r="L12" s="113">
        <f>COUNTIF(Prisustvovanjeuseptembru[9],"Ne")+COUNTIF(Prisustvovanjeuseptembru[9],"O")</f>
        <v>0</v>
      </c>
      <c r="M12" s="113">
        <f>COUNTIF(Prisustvovanjeuseptembru[10],"Ne")+COUNTIF(Prisustvovanjeuseptembru[10],"O")</f>
        <v>0</v>
      </c>
      <c r="N12" s="113">
        <f>COUNTIF(Prisustvovanjeuseptembru[11],"Ne")+COUNTIF(Prisustvovanjeuseptembru[11],"O")</f>
        <v>0</v>
      </c>
      <c r="O12" s="113">
        <f>COUNTIF(Prisustvovanjeuseptembru[12],"Ne")+COUNTIF(Prisustvovanjeuseptembru[12],"O")</f>
        <v>0</v>
      </c>
      <c r="P12" s="113">
        <f>COUNTIF(Prisustvovanjeuseptembru[13],"Ne")+COUNTIF(Prisustvovanjeuseptembru[13],"O")</f>
        <v>0</v>
      </c>
      <c r="Q12" s="113">
        <f>COUNTIF(Prisustvovanjeuseptembru[14],"Ne")+COUNTIF(Prisustvovanjeuseptembru[14],"O")</f>
        <v>0</v>
      </c>
      <c r="R12" s="113">
        <f>COUNTIF(Prisustvovanjeuseptembru[15],"Ne")+COUNTIF(Prisustvovanjeuseptembru[15],"O")</f>
        <v>0</v>
      </c>
      <c r="S12" s="113">
        <f>COUNTIF(Prisustvovanjeuseptembru[16],"Ne")+COUNTIF(Prisustvovanjeuseptembru[16],"O")</f>
        <v>0</v>
      </c>
      <c r="T12" s="113">
        <f>COUNTIF(Prisustvovanjeuseptembru[17],"Ne")+COUNTIF(Prisustvovanjeuseptembru[17],"O")</f>
        <v>0</v>
      </c>
      <c r="U12" s="113">
        <f>COUNTIF(Prisustvovanjeuseptembru[18],"Ne")+COUNTIF(Prisustvovanjeuseptembru[18],"O")</f>
        <v>0</v>
      </c>
      <c r="V12" s="113">
        <f>COUNTIF(Prisustvovanjeuseptembru[19],"Ne")+COUNTIF(Prisustvovanjeuseptembru[19],"O")</f>
        <v>0</v>
      </c>
      <c r="W12" s="113">
        <f>COUNTIF(Prisustvovanjeuseptembru[20],"Ne")+COUNTIF(Prisustvovanjeuseptembru[20],"O")</f>
        <v>0</v>
      </c>
      <c r="X12" s="113">
        <f>COUNTIF(Prisustvovanjeuseptembru[21],"Ne")+COUNTIF(Prisustvovanjeuseptembru[21],"O")</f>
        <v>0</v>
      </c>
      <c r="Y12" s="113">
        <f>COUNTIF(Prisustvovanjeuseptembru[22],"Ne")+COUNTIF(Prisustvovanjeuseptembru[22],"O")</f>
        <v>0</v>
      </c>
      <c r="Z12" s="113">
        <f>COUNTIF(Prisustvovanjeuseptembru[23],"Ne")+COUNTIF(Prisustvovanjeuseptembru[23],"O")</f>
        <v>0</v>
      </c>
      <c r="AA12" s="113">
        <f>COUNTIF(Prisustvovanjeuseptembru[24],"Ne")+COUNTIF(Prisustvovanjeuseptembru[24],"O")</f>
        <v>0</v>
      </c>
      <c r="AB12" s="113">
        <f>COUNTIF(Prisustvovanjeuseptembru[25],"Ne")+COUNTIF(Prisustvovanjeuseptembru[25],"O")</f>
        <v>0</v>
      </c>
      <c r="AC12" s="113">
        <f>COUNTIF(Prisustvovanjeuseptembru[26],"Ne")+COUNTIF(Prisustvovanjeuseptembru[26],"O")</f>
        <v>0</v>
      </c>
      <c r="AD12" s="113">
        <f>COUNTIF(Prisustvovanjeuseptembru[27],"Ne")+COUNTIF(Prisustvovanjeuseptembru[27],"O")</f>
        <v>0</v>
      </c>
      <c r="AE12" s="113">
        <f>COUNTIF(Prisustvovanjeuseptembru[28],"Ne")+COUNTIF(Prisustvovanjeuseptembru[28],"O")</f>
        <v>0</v>
      </c>
      <c r="AF12" s="113">
        <f>COUNTIF(Prisustvovanjeuseptembru[29],"Ne")+COUNTIF(Prisustvovanjeuseptembru[29],"O")</f>
        <v>0</v>
      </c>
      <c r="AG12" s="113">
        <f>COUNTIF(Prisustvovanjeuseptembru[30],"Ne")+COUNTIF(Prisustvovanjeuseptembru[30],"O")</f>
        <v>0</v>
      </c>
      <c r="AH12" s="113">
        <f>COUNTIF(Prisustvovanjeuseptembru[[ ]],"Ne")+COUNTIF(Prisustvovanjeuseptembru[[ ]],"O")</f>
        <v>0</v>
      </c>
      <c r="AI12" s="113">
        <f>SUBTOTAL(109,Prisustvovanjeuseptembru[Z])</f>
        <v>0</v>
      </c>
      <c r="AJ12" s="113">
        <f>SUBTOTAL(109,Prisustvovanjeuseptembru[O])</f>
        <v>0</v>
      </c>
      <c r="AK12" s="113">
        <f>SUBTOTAL(109,Prisustvovanjeuseptembru[Ne])</f>
        <v>0</v>
      </c>
      <c r="AL12" s="113">
        <f>SUBTOTAL(109,Prisustvovanjeuseptembru[P])</f>
        <v>0</v>
      </c>
      <c r="AM12" s="113">
        <f>SUBTOTAL(109,Prisustvovanjeuseptembru[Dani odsustvovanja])</f>
        <v>0</v>
      </c>
    </row>
    <row r="14" spans="1:40" ht="16.5" customHeight="1" x14ac:dyDescent="0.25"/>
    <row r="15" spans="1:40" ht="16.5" customHeight="1" x14ac:dyDescent="0.25"/>
    <row r="16" spans="1:40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I5:AM5"/>
  </mergeCells>
  <conditionalFormatting sqref="AM7:AM11">
    <cfRule type="dataBar" priority="6">
      <dataBar>
        <cfvo type="min"/>
        <cfvo type="num" val="31"/>
        <color theme="4"/>
      </dataBar>
      <extLst>
        <ext xmlns:x14="http://schemas.microsoft.com/office/spreadsheetml/2009/9/main" uri="{B025F937-C7B1-47D3-B67F-A62EFF666E3E}">
          <x14:id>{FCDE13DD-578E-4A81-A4F7-3A892C41EF0D}</x14:id>
        </ext>
      </extLst>
    </cfRule>
  </conditionalFormatting>
  <conditionalFormatting sqref="AG7:AI11">
    <cfRule type="expression" dxfId="920" priority="7" stopIfTrue="1">
      <formula>AG7=Šifra2</formula>
    </cfRule>
  </conditionalFormatting>
  <conditionalFormatting sqref="AG7:AH11">
    <cfRule type="expression" dxfId="919" priority="8" stopIfTrue="1">
      <formula>AG7=Šifra5</formula>
    </cfRule>
    <cfRule type="expression" dxfId="918" priority="9" stopIfTrue="1">
      <formula>AG7=Šifra4</formula>
    </cfRule>
    <cfRule type="expression" dxfId="917" priority="10" stopIfTrue="1">
      <formula>AG7=Šifra3</formula>
    </cfRule>
    <cfRule type="expression" dxfId="916" priority="11" stopIfTrue="1">
      <formula>AG7=Šifra1</formula>
    </cfRule>
  </conditionalFormatting>
  <conditionalFormatting sqref="D7:AF11">
    <cfRule type="expression" dxfId="915" priority="1" stopIfTrue="1">
      <formula>D7=Šifra2</formula>
    </cfRule>
  </conditionalFormatting>
  <conditionalFormatting sqref="D7:AF11">
    <cfRule type="expression" dxfId="914" priority="2" stopIfTrue="1">
      <formula>D7=Šifra5</formula>
    </cfRule>
    <cfRule type="expression" dxfId="913" priority="3" stopIfTrue="1">
      <formula>D7=Šifra4</formula>
    </cfRule>
    <cfRule type="expression" dxfId="912" priority="4" stopIfTrue="1">
      <formula>D7=Šifra3</formula>
    </cfRule>
    <cfRule type="expression" dxfId="911" priority="5" stopIfTrue="1">
      <formula>D7=Šifra1</formula>
    </cfRule>
  </conditionalFormatting>
  <dataValidations count="1">
    <dataValidation type="list" errorStyle="warning" allowBlank="1" showInputMessage="1" showErrorMessage="1" errorTitle="Ups!" error="ID učenika koji ste uneli nije na listu „Lista učenika“. Možete kliknuti na „Da“ da biste koristili ono što ste uneli, ali taj ID učenika neće biti dostupan na listu „Izveštaj o prisustvovanju učenika“." sqref="B7:B11">
      <formula1>IDučenika</formula1>
    </dataValidation>
  </dataValidations>
  <printOptions horizontalCentered="1"/>
  <pageMargins left="0.5" right="0.5" top="0.75" bottom="0.75" header="0.3" footer="0.3"/>
  <pageSetup paperSize="9" scale="5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DE13DD-578E-4A81-A4F7-3A892C41EF0D}">
            <x14:dataBar minLength="0" maxLength="100" border="1" negativeBarBorderColorSameAsPositive="0">
              <x14:cfvo type="autoMin"/>
              <x14:cfvo type="num">
                <xm:f>31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AM7:AM11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N346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customHeight="1" x14ac:dyDescent="0.25"/>
  <cols>
    <col min="1" max="1" width="2.7109375" style="11" customWidth="1"/>
    <col min="2" max="2" width="10.85546875" style="11" customWidth="1"/>
    <col min="3" max="3" width="28.85546875" style="12" customWidth="1"/>
    <col min="4" max="34" width="5" style="10" customWidth="1"/>
    <col min="35" max="35" width="4.7109375" style="9" customWidth="1"/>
    <col min="36" max="36" width="4.7109375" style="10" customWidth="1"/>
    <col min="37" max="38" width="4.7109375" style="11" customWidth="1"/>
    <col min="39" max="39" width="19.7109375" style="11" bestFit="1" customWidth="1"/>
    <col min="40" max="16384" width="9.140625" style="11"/>
  </cols>
  <sheetData>
    <row r="1" spans="1:40" s="1" customFormat="1" ht="42" customHeight="1" x14ac:dyDescent="0.25">
      <c r="A1" s="33" t="s">
        <v>86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6"/>
      <c r="AH1" s="34"/>
      <c r="AI1" s="34"/>
      <c r="AJ1" s="37"/>
      <c r="AK1" s="34"/>
      <c r="AL1" s="53" t="s">
        <v>69</v>
      </c>
      <c r="AM1" s="54">
        <f>Kalendarskagodina</f>
        <v>2012</v>
      </c>
    </row>
    <row r="2" spans="1:40" customFormat="1" ht="13.5" x14ac:dyDescent="0.25"/>
    <row r="3" spans="1:40" s="28" customFormat="1" ht="12.75" customHeight="1" x14ac:dyDescent="0.25">
      <c r="C3" s="40" t="str">
        <f>Teksthromakija</f>
        <v xml:space="preserve">HROMA KI </v>
      </c>
      <c r="D3" s="47" t="str">
        <f>Šifra1</f>
        <v>Z</v>
      </c>
      <c r="E3" s="64" t="str">
        <f>Tekstšifre1</f>
        <v>Zakasnio</v>
      </c>
      <c r="F3" s="55"/>
      <c r="H3" s="48" t="str">
        <f>Šifra2</f>
        <v>O</v>
      </c>
      <c r="I3" s="52" t="str">
        <f>Tekstšifre2</f>
        <v>Opravdan</v>
      </c>
      <c r="L3" s="49" t="str">
        <f>Šifra3</f>
        <v>Ne</v>
      </c>
      <c r="M3" s="52" t="str">
        <f>Tekstšifre3</f>
        <v>Neopravdan</v>
      </c>
      <c r="P3" s="50" t="str">
        <f>Šifra4</f>
        <v>P</v>
      </c>
      <c r="Q3" s="52" t="str">
        <f>Tekstšifre4</f>
        <v>Prisutan</v>
      </c>
      <c r="T3" s="51" t="str">
        <f>Šifra5</f>
        <v>N</v>
      </c>
      <c r="U3" s="52" t="str">
        <f>Tekstšifre5</f>
        <v>Nema škole</v>
      </c>
      <c r="W3"/>
      <c r="X3"/>
      <c r="Y3"/>
      <c r="AD3" s="27"/>
      <c r="AE3" s="27"/>
      <c r="AH3" s="29"/>
      <c r="AI3" s="30"/>
      <c r="AK3" s="31"/>
    </row>
    <row r="4" spans="1:40" customFormat="1" ht="16.5" customHeight="1" x14ac:dyDescent="0.25"/>
    <row r="5" spans="1:40" s="2" customFormat="1" ht="18" customHeight="1" x14ac:dyDescent="0.3">
      <c r="B5" s="57">
        <f>DATE(Kalendarskagodina,10,1)</f>
        <v>41183</v>
      </c>
      <c r="C5" s="56"/>
      <c r="D5" s="38" t="str">
        <f>TEXT(WEEKDAY(DATE(Kalendarskagodina,10,1),1),"aaa")</f>
        <v>pon</v>
      </c>
      <c r="E5" s="38" t="str">
        <f>TEXT(WEEKDAY(DATE(Kalendarskagodina,10,2),1),"aaa")</f>
        <v>uto</v>
      </c>
      <c r="F5" s="38" t="str">
        <f>TEXT(WEEKDAY(DATE(Kalendarskagodina,10,3),1),"aaa")</f>
        <v>sre</v>
      </c>
      <c r="G5" s="38" t="str">
        <f>TEXT(WEEKDAY(DATE(Kalendarskagodina,10,4),1),"aaa")</f>
        <v>čet</v>
      </c>
      <c r="H5" s="38" t="str">
        <f>TEXT(WEEKDAY(DATE(Kalendarskagodina,10,5),1),"aaa")</f>
        <v>pet</v>
      </c>
      <c r="I5" s="38" t="str">
        <f>TEXT(WEEKDAY(DATE(Kalendarskagodina,10,6),1),"aaa")</f>
        <v>sub</v>
      </c>
      <c r="J5" s="38" t="str">
        <f>TEXT(WEEKDAY(DATE(Kalendarskagodina,10,7),1),"aaa")</f>
        <v>ned</v>
      </c>
      <c r="K5" s="38" t="str">
        <f>TEXT(WEEKDAY(DATE(Kalendarskagodina,10,8),1),"aaa")</f>
        <v>pon</v>
      </c>
      <c r="L5" s="38" t="str">
        <f>TEXT(WEEKDAY(DATE(Kalendarskagodina,10,9),1),"aaa")</f>
        <v>uto</v>
      </c>
      <c r="M5" s="38" t="str">
        <f>TEXT(WEEKDAY(DATE(Kalendarskagodina,10,10),1),"aaa")</f>
        <v>sre</v>
      </c>
      <c r="N5" s="38" t="str">
        <f>TEXT(WEEKDAY(DATE(Kalendarskagodina,10,11),1),"aaa")</f>
        <v>čet</v>
      </c>
      <c r="O5" s="38" t="str">
        <f>TEXT(WEEKDAY(DATE(Kalendarskagodina,10,12),1),"aaa")</f>
        <v>pet</v>
      </c>
      <c r="P5" s="38" t="str">
        <f>TEXT(WEEKDAY(DATE(Kalendarskagodina,10,13),1),"aaa")</f>
        <v>sub</v>
      </c>
      <c r="Q5" s="38" t="str">
        <f>TEXT(WEEKDAY(DATE(Kalendarskagodina,10,14),1),"aaa")</f>
        <v>ned</v>
      </c>
      <c r="R5" s="38" t="str">
        <f>TEXT(WEEKDAY(DATE(Kalendarskagodina,10,15),1),"aaa")</f>
        <v>pon</v>
      </c>
      <c r="S5" s="38" t="str">
        <f>TEXT(WEEKDAY(DATE(Kalendarskagodina,10,16),1),"aaa")</f>
        <v>uto</v>
      </c>
      <c r="T5" s="38" t="str">
        <f>TEXT(WEEKDAY(DATE(Kalendarskagodina,10,17),1),"aaa")</f>
        <v>sre</v>
      </c>
      <c r="U5" s="38" t="str">
        <f>TEXT(WEEKDAY(DATE(Kalendarskagodina,10,18),1),"aaa")</f>
        <v>čet</v>
      </c>
      <c r="V5" s="38" t="str">
        <f>TEXT(WEEKDAY(DATE(Kalendarskagodina,10,19),1),"aaa")</f>
        <v>pet</v>
      </c>
      <c r="W5" s="38" t="str">
        <f>TEXT(WEEKDAY(DATE(Kalendarskagodina,10,20),1),"aaa")</f>
        <v>sub</v>
      </c>
      <c r="X5" s="38" t="str">
        <f>TEXT(WEEKDAY(DATE(Kalendarskagodina,10,21),1),"aaa")</f>
        <v>ned</v>
      </c>
      <c r="Y5" s="38" t="str">
        <f>TEXT(WEEKDAY(DATE(Kalendarskagodina,10,22),1),"aaa")</f>
        <v>pon</v>
      </c>
      <c r="Z5" s="38" t="str">
        <f>TEXT(WEEKDAY(DATE(Kalendarskagodina,10,23),1),"aaa")</f>
        <v>uto</v>
      </c>
      <c r="AA5" s="38" t="str">
        <f>TEXT(WEEKDAY(DATE(Kalendarskagodina,10,24),1),"aaa")</f>
        <v>sre</v>
      </c>
      <c r="AB5" s="38" t="str">
        <f>TEXT(WEEKDAY(DATE(Kalendarskagodina,10,25),1),"aaa")</f>
        <v>čet</v>
      </c>
      <c r="AC5" s="38" t="str">
        <f>TEXT(WEEKDAY(DATE(Kalendarskagodina,10,26),1),"aaa")</f>
        <v>pet</v>
      </c>
      <c r="AD5" s="38" t="str">
        <f>TEXT(WEEKDAY(DATE(Kalendarskagodina,10,27),1),"aaa")</f>
        <v>sub</v>
      </c>
      <c r="AE5" s="38" t="str">
        <f>TEXT(WEEKDAY(DATE(Kalendarskagodina,10,28),1),"aaa")</f>
        <v>ned</v>
      </c>
      <c r="AF5" s="38" t="str">
        <f>TEXT(WEEKDAY(DATE(Kalendarskagodina,10,29),1),"aaa")</f>
        <v>pon</v>
      </c>
      <c r="AG5" s="38" t="str">
        <f>TEXT(WEEKDAY(DATE(Kalendarskagodina,10,30),1),"aaa")</f>
        <v>uto</v>
      </c>
      <c r="AH5" s="38" t="str">
        <f>TEXT(WEEKDAY(DATE(Kalendarskagodina,10,31),1),"aaa")</f>
        <v>sre</v>
      </c>
      <c r="AI5" s="126" t="s">
        <v>38</v>
      </c>
      <c r="AJ5" s="127"/>
      <c r="AK5" s="127"/>
      <c r="AL5" s="127"/>
      <c r="AM5" s="128"/>
    </row>
    <row r="6" spans="1:40" s="5" customFormat="1" ht="14.25" customHeight="1" x14ac:dyDescent="0.25">
      <c r="B6" s="41" t="s">
        <v>34</v>
      </c>
      <c r="C6" s="42" t="s">
        <v>36</v>
      </c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17</v>
      </c>
      <c r="V6" s="3" t="s">
        <v>18</v>
      </c>
      <c r="W6" s="3" t="s">
        <v>19</v>
      </c>
      <c r="X6" s="3" t="s">
        <v>20</v>
      </c>
      <c r="Y6" s="3" t="s">
        <v>21</v>
      </c>
      <c r="Z6" s="3" t="s">
        <v>22</v>
      </c>
      <c r="AA6" s="3" t="s">
        <v>23</v>
      </c>
      <c r="AB6" s="3" t="s">
        <v>24</v>
      </c>
      <c r="AC6" s="3" t="s">
        <v>25</v>
      </c>
      <c r="AD6" s="3" t="s">
        <v>26</v>
      </c>
      <c r="AE6" s="3" t="s">
        <v>27</v>
      </c>
      <c r="AF6" s="3" t="s">
        <v>28</v>
      </c>
      <c r="AG6" s="3" t="s">
        <v>29</v>
      </c>
      <c r="AH6" s="3" t="s">
        <v>30</v>
      </c>
      <c r="AI6" s="89" t="s">
        <v>127</v>
      </c>
      <c r="AJ6" s="65" t="s">
        <v>128</v>
      </c>
      <c r="AK6" s="66" t="s">
        <v>129</v>
      </c>
      <c r="AL6" s="67" t="s">
        <v>31</v>
      </c>
      <c r="AM6" s="46" t="s">
        <v>37</v>
      </c>
      <c r="AN6" s="4"/>
    </row>
    <row r="7" spans="1:40" s="5" customFormat="1" ht="16.5" customHeight="1" x14ac:dyDescent="0.25">
      <c r="B7" s="43"/>
      <c r="C7" s="44" t="str">
        <f>IFERROR(VLOOKUP(Prisustvovanjeuoktobru[[#This Row],[ID učenika]],Listaučenika[],18,FALSE),"")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20"/>
      <c r="AH7" s="20"/>
      <c r="AI7" s="6">
        <f>COUNTIF(Prisustvovanjeuoktobru[[#This Row],[1]:[31]],Šifra1)</f>
        <v>0</v>
      </c>
      <c r="AJ7" s="45">
        <f>COUNTIF(Prisustvovanjeuoktobru[[#This Row],[1]:[31]],Šifra2)</f>
        <v>0</v>
      </c>
      <c r="AK7" s="45">
        <f>COUNTIF(Prisustvovanjeuoktobru[[#This Row],[1]:[31]],Šifra3)</f>
        <v>0</v>
      </c>
      <c r="AL7" s="45">
        <f>COUNTIF(Prisustvovanjeuoktobru[[#This Row],[1]:[31]],Šifra4)</f>
        <v>0</v>
      </c>
      <c r="AM7" s="6">
        <f>SUM(Prisustvovanjeuseptembru[[#This Row],[O]:[Ne]])</f>
        <v>0</v>
      </c>
      <c r="AN7" s="4"/>
    </row>
    <row r="8" spans="1:40" s="5" customFormat="1" ht="16.5" customHeight="1" x14ac:dyDescent="0.25">
      <c r="B8" s="43"/>
      <c r="C8" s="44" t="str">
        <f>IFERROR(VLOOKUP(Prisustvovanjeuoktobru[[#This Row],[ID učenika]],Listaučenika[],18,FALSE),"")</f>
        <v/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20"/>
      <c r="AH8" s="20"/>
      <c r="AI8" s="6">
        <f>COUNTIF(Prisustvovanjeuoktobru[[#This Row],[1]:[31]],Šifra1)</f>
        <v>0</v>
      </c>
      <c r="AJ8" s="45">
        <f>COUNTIF(Prisustvovanjeuoktobru[[#This Row],[1]:[31]],Šifra2)</f>
        <v>0</v>
      </c>
      <c r="AK8" s="45">
        <f>COUNTIF(Prisustvovanjeuoktobru[[#This Row],[1]:[31]],Šifra3)</f>
        <v>0</v>
      </c>
      <c r="AL8" s="45">
        <f>COUNTIF(Prisustvovanjeuoktobru[[#This Row],[1]:[31]],Šifra4)</f>
        <v>0</v>
      </c>
      <c r="AM8" s="6">
        <f>SUM(Prisustvovanjeuseptembru[[#This Row],[O]:[Ne]])</f>
        <v>0</v>
      </c>
      <c r="AN8" s="4"/>
    </row>
    <row r="9" spans="1:40" s="8" customFormat="1" ht="16.5" customHeight="1" x14ac:dyDescent="0.25">
      <c r="B9" s="43"/>
      <c r="C9" s="44" t="str">
        <f>IFERROR(VLOOKUP(Prisustvovanjeuoktobru[[#This Row],[ID učenika]],Listaučenika[],18,FALSE),"")</f>
        <v/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20"/>
      <c r="AH9" s="20"/>
      <c r="AI9" s="6">
        <f>COUNTIF(Prisustvovanjeuoktobru[[#This Row],[1]:[31]],Šifra1)</f>
        <v>0</v>
      </c>
      <c r="AJ9" s="45">
        <f>COUNTIF(Prisustvovanjeuoktobru[[#This Row],[1]:[31]],Šifra2)</f>
        <v>0</v>
      </c>
      <c r="AK9" s="45">
        <f>COUNTIF(Prisustvovanjeuoktobru[[#This Row],[1]:[31]],Šifra3)</f>
        <v>0</v>
      </c>
      <c r="AL9" s="45">
        <f>COUNTIF(Prisustvovanjeuoktobru[[#This Row],[1]:[31]],Šifra4)</f>
        <v>0</v>
      </c>
      <c r="AM9" s="6">
        <f>SUM(Prisustvovanjeuseptembru[[#This Row],[O]:[Ne]])</f>
        <v>0</v>
      </c>
      <c r="AN9" s="7"/>
    </row>
    <row r="10" spans="1:40" ht="16.5" customHeight="1" x14ac:dyDescent="0.25">
      <c r="B10" s="43"/>
      <c r="C10" s="44" t="str">
        <f>IFERROR(VLOOKUP(Prisustvovanjeuoktobru[[#This Row],[ID učenika]],Listaučenika[],18,FALSE),"")</f>
        <v/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20"/>
      <c r="AH10" s="20"/>
      <c r="AI10" s="6">
        <f>COUNTIF(Prisustvovanjeuoktobru[[#This Row],[1]:[31]],Šifra1)</f>
        <v>0</v>
      </c>
      <c r="AJ10" s="45">
        <f>COUNTIF(Prisustvovanjeuoktobru[[#This Row],[1]:[31]],Šifra2)</f>
        <v>0</v>
      </c>
      <c r="AK10" s="45">
        <f>COUNTIF(Prisustvovanjeuoktobru[[#This Row],[1]:[31]],Šifra3)</f>
        <v>0</v>
      </c>
      <c r="AL10" s="45">
        <f>COUNTIF(Prisustvovanjeuoktobru[[#This Row],[1]:[31]],Šifra4)</f>
        <v>0</v>
      </c>
      <c r="AM10" s="6">
        <f>SUM(Prisustvovanjeuseptembru[[#This Row],[O]:[Ne]])</f>
        <v>0</v>
      </c>
      <c r="AN10" s="10"/>
    </row>
    <row r="11" spans="1:40" ht="16.5" customHeight="1" x14ac:dyDescent="0.25">
      <c r="B11" s="43"/>
      <c r="C11" s="44" t="str">
        <f>IFERROR(VLOOKUP(Prisustvovanjeuoktobru[[#This Row],[ID učenika]],Listaučenika[],18,FALSE),"")</f>
        <v/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20"/>
      <c r="AH11" s="20"/>
      <c r="AI11" s="6">
        <f>COUNTIF(Prisustvovanjeuoktobru[[#This Row],[1]:[31]],Šifra1)</f>
        <v>0</v>
      </c>
      <c r="AJ11" s="45">
        <f>COUNTIF(Prisustvovanjeuoktobru[[#This Row],[1]:[31]],Šifra2)</f>
        <v>0</v>
      </c>
      <c r="AK11" s="45">
        <f>COUNTIF(Prisustvovanjeuoktobru[[#This Row],[1]:[31]],Šifra3)</f>
        <v>0</v>
      </c>
      <c r="AL11" s="45">
        <f>COUNTIF(Prisustvovanjeuoktobru[[#This Row],[1]:[31]],Šifra4)</f>
        <v>0</v>
      </c>
      <c r="AM11" s="6">
        <f>SUM(Prisustvovanjeuseptembru[[#This Row],[O]:[Ne]])</f>
        <v>0</v>
      </c>
      <c r="AN11" s="10"/>
    </row>
    <row r="12" spans="1:40" ht="16.5" customHeight="1" x14ac:dyDescent="0.25">
      <c r="B12" s="111"/>
      <c r="C12" s="112" t="s">
        <v>117</v>
      </c>
      <c r="D12" s="113">
        <f>COUNTIF(Prisustvovanjeuoktobru[1],"Ne")+COUNTIF(Prisustvovanjeuoktobru[1],"O")</f>
        <v>0</v>
      </c>
      <c r="E12" s="113">
        <f>COUNTIF(Prisustvovanjeuoktobru[2],"Ne")+COUNTIF(Prisustvovanjeuoktobru[2],"O")</f>
        <v>0</v>
      </c>
      <c r="F12" s="113">
        <f>COUNTIF(Prisustvovanjeuoktobru[3],"Ne")+COUNTIF(Prisustvovanjeuoktobru[3],"O")</f>
        <v>0</v>
      </c>
      <c r="G12" s="113">
        <f>COUNTIF(Prisustvovanjeuoktobru[4],"Ne")+COUNTIF(Prisustvovanjeuoktobru[4],"O")</f>
        <v>0</v>
      </c>
      <c r="H12" s="113">
        <f>COUNTIF(Prisustvovanjeuoktobru[5],"Ne")+COUNTIF(Prisustvovanjeuoktobru[5],"O")</f>
        <v>0</v>
      </c>
      <c r="I12" s="113">
        <f>COUNTIF(Prisustvovanjeuoktobru[6],"Ne")+COUNTIF(Prisustvovanjeuoktobru[6],"O")</f>
        <v>0</v>
      </c>
      <c r="J12" s="113">
        <f>COUNTIF(Prisustvovanjeuoktobru[7],"Ne")+COUNTIF(Prisustvovanjeuoktobru[7],"O")</f>
        <v>0</v>
      </c>
      <c r="K12" s="113">
        <f>COUNTIF(Prisustvovanjeuoktobru[8],"Ne")+COUNTIF(Prisustvovanjeuoktobru[8],"O")</f>
        <v>0</v>
      </c>
      <c r="L12" s="113">
        <f>COUNTIF(Prisustvovanjeuoktobru[9],"Ne")+COUNTIF(Prisustvovanjeuoktobru[9],"O")</f>
        <v>0</v>
      </c>
      <c r="M12" s="113">
        <f>COUNTIF(Prisustvovanjeuoktobru[10],"Ne")+COUNTIF(Prisustvovanjeuoktobru[10],"O")</f>
        <v>0</v>
      </c>
      <c r="N12" s="113">
        <f>COUNTIF(Prisustvovanjeuoktobru[11],"Ne")+COUNTIF(Prisustvovanjeuoktobru[11],"O")</f>
        <v>0</v>
      </c>
      <c r="O12" s="113">
        <f>COUNTIF(Prisustvovanjeuoktobru[12],"Ne")+COUNTIF(Prisustvovanjeuoktobru[12],"O")</f>
        <v>0</v>
      </c>
      <c r="P12" s="113">
        <f>COUNTIF(Prisustvovanjeuoktobru[13],"Ne")+COUNTIF(Prisustvovanjeuoktobru[13],"O")</f>
        <v>0</v>
      </c>
      <c r="Q12" s="113">
        <f>COUNTIF(Prisustvovanjeuoktobru[14],"Ne")+COUNTIF(Prisustvovanjeuoktobru[14],"O")</f>
        <v>0</v>
      </c>
      <c r="R12" s="113">
        <f>COUNTIF(Prisustvovanjeuoktobru[15],"Ne")+COUNTIF(Prisustvovanjeuoktobru[15],"O")</f>
        <v>0</v>
      </c>
      <c r="S12" s="113">
        <f>COUNTIF(Prisustvovanjeuoktobru[16],"Ne")+COUNTIF(Prisustvovanjeuoktobru[16],"O")</f>
        <v>0</v>
      </c>
      <c r="T12" s="113">
        <f>COUNTIF(Prisustvovanjeuoktobru[17],"Ne")+COUNTIF(Prisustvovanjeuoktobru[17],"O")</f>
        <v>0</v>
      </c>
      <c r="U12" s="113">
        <f>COUNTIF(Prisustvovanjeuoktobru[18],"Ne")+COUNTIF(Prisustvovanjeuoktobru[18],"O")</f>
        <v>0</v>
      </c>
      <c r="V12" s="113">
        <f>COUNTIF(Prisustvovanjeuoktobru[19],"Ne")+COUNTIF(Prisustvovanjeuoktobru[19],"O")</f>
        <v>0</v>
      </c>
      <c r="W12" s="113">
        <f>COUNTIF(Prisustvovanjeuoktobru[20],"Ne")+COUNTIF(Prisustvovanjeuoktobru[20],"O")</f>
        <v>0</v>
      </c>
      <c r="X12" s="113">
        <f>COUNTIF(Prisustvovanjeuoktobru[21],"Ne")+COUNTIF(Prisustvovanjeuoktobru[21],"O")</f>
        <v>0</v>
      </c>
      <c r="Y12" s="113">
        <f>COUNTIF(Prisustvovanjeuoktobru[22],"Ne")+COUNTIF(Prisustvovanjeuoktobru[22],"O")</f>
        <v>0</v>
      </c>
      <c r="Z12" s="113">
        <f>COUNTIF(Prisustvovanjeuoktobru[23],"Ne")+COUNTIF(Prisustvovanjeuoktobru[23],"O")</f>
        <v>0</v>
      </c>
      <c r="AA12" s="113">
        <f>COUNTIF(Prisustvovanjeuoktobru[24],"Ne")+COUNTIF(Prisustvovanjeuoktobru[24],"O")</f>
        <v>0</v>
      </c>
      <c r="AB12" s="113">
        <f>COUNTIF(Prisustvovanjeuoktobru[25],"Ne")+COUNTIF(Prisustvovanjeuoktobru[25],"O")</f>
        <v>0</v>
      </c>
      <c r="AC12" s="113">
        <f>COUNTIF(Prisustvovanjeuoktobru[26],"Ne")+COUNTIF(Prisustvovanjeuoktobru[26],"O")</f>
        <v>0</v>
      </c>
      <c r="AD12" s="113">
        <f>COUNTIF(Prisustvovanjeuoktobru[27],"Ne")+COUNTIF(Prisustvovanjeuoktobru[27],"O")</f>
        <v>0</v>
      </c>
      <c r="AE12" s="113">
        <f>COUNTIF(Prisustvovanjeuoktobru[28],"Ne")+COUNTIF(Prisustvovanjeuoktobru[28],"O")</f>
        <v>0</v>
      </c>
      <c r="AF12" s="113">
        <f>COUNTIF(Prisustvovanjeuoktobru[29],"Ne")+COUNTIF(Prisustvovanjeuoktobru[29],"O")</f>
        <v>0</v>
      </c>
      <c r="AG12" s="113">
        <f>COUNTIF(Prisustvovanjeuoktobru[30],"Ne")+COUNTIF(Prisustvovanjeuoktobru[30],"O")</f>
        <v>0</v>
      </c>
      <c r="AH12" s="113">
        <f>COUNTIF(Prisustvovanjeuoktobru[31],"Ne")+COUNTIF(Prisustvovanjeuoktobru[31],"O")</f>
        <v>0</v>
      </c>
      <c r="AI12" s="113">
        <f>SUBTOTAL(109,Prisustvovanjeuoktobru[Z])</f>
        <v>0</v>
      </c>
      <c r="AJ12" s="113">
        <f>SUBTOTAL(109,Prisustvovanjeuoktobru[O])</f>
        <v>0</v>
      </c>
      <c r="AK12" s="113">
        <f>SUBTOTAL(109,Prisustvovanjeuoktobru[Ne])</f>
        <v>0</v>
      </c>
      <c r="AL12" s="113">
        <f>SUBTOTAL(109,Prisustvovanjeuoktobru[P])</f>
        <v>0</v>
      </c>
      <c r="AM12" s="113">
        <f>SUBTOTAL(109,Prisustvovanjeuoktobru[Dani odsustvovanja])</f>
        <v>0</v>
      </c>
    </row>
    <row r="14" spans="1:40" ht="16.5" customHeight="1" x14ac:dyDescent="0.25"/>
    <row r="15" spans="1:40" ht="16.5" customHeight="1" x14ac:dyDescent="0.25"/>
    <row r="16" spans="1:40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I5:AM5"/>
  </mergeCells>
  <conditionalFormatting sqref="AM7:AM11">
    <cfRule type="dataBar" priority="6">
      <dataBar>
        <cfvo type="min"/>
        <cfvo type="num" val="31"/>
        <color theme="4"/>
      </dataBar>
      <extLst>
        <ext xmlns:x14="http://schemas.microsoft.com/office/spreadsheetml/2009/9/main" uri="{B025F937-C7B1-47D3-B67F-A62EFF666E3E}">
          <x14:id>{6EA17848-2AAC-40C7-98F3-52AFCDA9173D}</x14:id>
        </ext>
      </extLst>
    </cfRule>
  </conditionalFormatting>
  <conditionalFormatting sqref="AG7:AI11">
    <cfRule type="expression" dxfId="837" priority="7" stopIfTrue="1">
      <formula>AG7=Šifra2</formula>
    </cfRule>
  </conditionalFormatting>
  <conditionalFormatting sqref="AG7:AH11">
    <cfRule type="expression" dxfId="836" priority="8" stopIfTrue="1">
      <formula>AG7=Šifra5</formula>
    </cfRule>
    <cfRule type="expression" dxfId="835" priority="9" stopIfTrue="1">
      <formula>AG7=Šifra4</formula>
    </cfRule>
    <cfRule type="expression" dxfId="834" priority="10" stopIfTrue="1">
      <formula>AG7=Šifra3</formula>
    </cfRule>
    <cfRule type="expression" dxfId="833" priority="11" stopIfTrue="1">
      <formula>AG7=Šifra1</formula>
    </cfRule>
  </conditionalFormatting>
  <conditionalFormatting sqref="D7:AF11">
    <cfRule type="expression" dxfId="832" priority="1" stopIfTrue="1">
      <formula>D7=Šifra2</formula>
    </cfRule>
  </conditionalFormatting>
  <conditionalFormatting sqref="D7:AF11">
    <cfRule type="expression" dxfId="831" priority="2" stopIfTrue="1">
      <formula>D7=Šifra5</formula>
    </cfRule>
    <cfRule type="expression" dxfId="830" priority="3" stopIfTrue="1">
      <formula>D7=Šifra4</formula>
    </cfRule>
    <cfRule type="expression" dxfId="829" priority="4" stopIfTrue="1">
      <formula>D7=Šifra3</formula>
    </cfRule>
    <cfRule type="expression" dxfId="828" priority="5" stopIfTrue="1">
      <formula>D7=Šifra1</formula>
    </cfRule>
  </conditionalFormatting>
  <dataValidations count="1">
    <dataValidation type="list" errorStyle="warning" allowBlank="1" showInputMessage="1" showErrorMessage="1" errorTitle="Ups!" error="ID učenika koji ste uneli nije na listu „Lista učenika“. Možete kliknuti na „Da“ da biste koristili ono što ste uneli, ali taj ID učenika neće biti dostupan na listu „Izveštaj o prisustvovanju učenika“." sqref="B7:B11">
      <formula1>IDučenika</formula1>
    </dataValidation>
  </dataValidations>
  <printOptions horizontalCentered="1"/>
  <pageMargins left="0.5" right="0.5" top="0.75" bottom="0.75" header="0.3" footer="0.3"/>
  <pageSetup paperSize="9" scale="5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A17848-2AAC-40C7-98F3-52AFCDA9173D}">
            <x14:dataBar minLength="0" maxLength="100" border="1" negativeBarBorderColorSameAsPositive="0">
              <x14:cfvo type="autoMin"/>
              <x14:cfvo type="num">
                <xm:f>31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AM7:AM11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AN346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customHeight="1" x14ac:dyDescent="0.25"/>
  <cols>
    <col min="1" max="1" width="2.7109375" style="11" customWidth="1"/>
    <col min="2" max="2" width="10.85546875" style="11" customWidth="1"/>
    <col min="3" max="3" width="28.85546875" style="12" customWidth="1"/>
    <col min="4" max="34" width="5" style="10" customWidth="1"/>
    <col min="35" max="35" width="4.7109375" style="9" customWidth="1"/>
    <col min="36" max="36" width="4.7109375" style="10" customWidth="1"/>
    <col min="37" max="38" width="4.7109375" style="11" customWidth="1"/>
    <col min="39" max="39" width="19.7109375" style="11" bestFit="1" customWidth="1"/>
    <col min="40" max="16384" width="9.140625" style="11"/>
  </cols>
  <sheetData>
    <row r="1" spans="1:40" s="1" customFormat="1" ht="42" customHeight="1" x14ac:dyDescent="0.25">
      <c r="A1" s="33" t="s">
        <v>86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6"/>
      <c r="AH1" s="34"/>
      <c r="AI1" s="34"/>
      <c r="AJ1" s="37"/>
      <c r="AK1" s="34"/>
      <c r="AL1" s="53" t="s">
        <v>69</v>
      </c>
      <c r="AM1" s="54">
        <f>Kalendarskagodina</f>
        <v>2012</v>
      </c>
    </row>
    <row r="2" spans="1:40" customFormat="1" ht="13.5" x14ac:dyDescent="0.25"/>
    <row r="3" spans="1:40" s="28" customFormat="1" ht="12.75" customHeight="1" x14ac:dyDescent="0.25">
      <c r="C3" s="40" t="str">
        <f>Teksthromakija</f>
        <v xml:space="preserve">HROMA KI </v>
      </c>
      <c r="D3" s="47" t="str">
        <f>Šifra1</f>
        <v>Z</v>
      </c>
      <c r="E3" s="64" t="str">
        <f>Tekstšifre1</f>
        <v>Zakasnio</v>
      </c>
      <c r="F3" s="55"/>
      <c r="H3" s="48" t="str">
        <f>Šifra2</f>
        <v>O</v>
      </c>
      <c r="I3" s="52" t="str">
        <f>Tekstšifre2</f>
        <v>Opravdan</v>
      </c>
      <c r="L3" s="49" t="str">
        <f>Šifra3</f>
        <v>Ne</v>
      </c>
      <c r="M3" s="52" t="str">
        <f>Tekstšifre3</f>
        <v>Neopravdan</v>
      </c>
      <c r="P3" s="50" t="str">
        <f>Šifra4</f>
        <v>P</v>
      </c>
      <c r="Q3" s="52" t="str">
        <f>Tekstšifre4</f>
        <v>Prisutan</v>
      </c>
      <c r="T3" s="51" t="str">
        <f>Šifra5</f>
        <v>N</v>
      </c>
      <c r="U3" s="52" t="str">
        <f>Tekstšifre5</f>
        <v>Nema škole</v>
      </c>
      <c r="W3"/>
      <c r="X3"/>
      <c r="Y3"/>
      <c r="AD3" s="27"/>
      <c r="AE3" s="27"/>
      <c r="AH3" s="29"/>
      <c r="AI3" s="30"/>
      <c r="AK3" s="31"/>
    </row>
    <row r="4" spans="1:40" customFormat="1" ht="16.5" customHeight="1" x14ac:dyDescent="0.25"/>
    <row r="5" spans="1:40" s="2" customFormat="1" ht="18" customHeight="1" x14ac:dyDescent="0.3">
      <c r="B5" s="57">
        <f>DATE(Kalendarskagodina,11,1)</f>
        <v>41214</v>
      </c>
      <c r="C5" s="56"/>
      <c r="D5" s="38" t="str">
        <f>TEXT(WEEKDAY(DATE(Kalendarskagodina,11,1),1),"aaa")</f>
        <v>čet</v>
      </c>
      <c r="E5" s="38" t="str">
        <f>TEXT(WEEKDAY(DATE(Kalendarskagodina,11,2),1),"aaa")</f>
        <v>pet</v>
      </c>
      <c r="F5" s="38" t="str">
        <f>TEXT(WEEKDAY(DATE(Kalendarskagodina,11,3),1),"aaa")</f>
        <v>sub</v>
      </c>
      <c r="G5" s="38" t="str">
        <f>TEXT(WEEKDAY(DATE(Kalendarskagodina,11,4),1),"aaa")</f>
        <v>ned</v>
      </c>
      <c r="H5" s="38" t="str">
        <f>TEXT(WEEKDAY(DATE(Kalendarskagodina,11,5),1),"aaa")</f>
        <v>pon</v>
      </c>
      <c r="I5" s="38" t="str">
        <f>TEXT(WEEKDAY(DATE(Kalendarskagodina,11,6),1),"aaa")</f>
        <v>uto</v>
      </c>
      <c r="J5" s="38" t="str">
        <f>TEXT(WEEKDAY(DATE(Kalendarskagodina,11,7),1),"aaa")</f>
        <v>sre</v>
      </c>
      <c r="K5" s="38" t="str">
        <f>TEXT(WEEKDAY(DATE(Kalendarskagodina,11,8),1),"aaa")</f>
        <v>čet</v>
      </c>
      <c r="L5" s="38" t="str">
        <f>TEXT(WEEKDAY(DATE(Kalendarskagodina,11,9),1),"aaa")</f>
        <v>pet</v>
      </c>
      <c r="M5" s="38" t="str">
        <f>TEXT(WEEKDAY(DATE(Kalendarskagodina,11,10),1),"aaa")</f>
        <v>sub</v>
      </c>
      <c r="N5" s="38" t="str">
        <f>TEXT(WEEKDAY(DATE(Kalendarskagodina,11,11),1),"aaa")</f>
        <v>ned</v>
      </c>
      <c r="O5" s="38" t="str">
        <f>TEXT(WEEKDAY(DATE(Kalendarskagodina,11,12),1),"aaa")</f>
        <v>pon</v>
      </c>
      <c r="P5" s="38" t="str">
        <f>TEXT(WEEKDAY(DATE(Kalendarskagodina,11,13),1),"aaa")</f>
        <v>uto</v>
      </c>
      <c r="Q5" s="38" t="str">
        <f>TEXT(WEEKDAY(DATE(Kalendarskagodina,11,14),1),"aaa")</f>
        <v>sre</v>
      </c>
      <c r="R5" s="38" t="str">
        <f>TEXT(WEEKDAY(DATE(Kalendarskagodina,11,15),1),"aaa")</f>
        <v>čet</v>
      </c>
      <c r="S5" s="38" t="str">
        <f>TEXT(WEEKDAY(DATE(Kalendarskagodina,11,16),1),"aaa")</f>
        <v>pet</v>
      </c>
      <c r="T5" s="38" t="str">
        <f>TEXT(WEEKDAY(DATE(Kalendarskagodina,11,17),1),"aaa")</f>
        <v>sub</v>
      </c>
      <c r="U5" s="38" t="str">
        <f>TEXT(WEEKDAY(DATE(Kalendarskagodina,11,18),1),"aaa")</f>
        <v>ned</v>
      </c>
      <c r="V5" s="38" t="str">
        <f>TEXT(WEEKDAY(DATE(Kalendarskagodina,11,19),1),"aaa")</f>
        <v>pon</v>
      </c>
      <c r="W5" s="38" t="str">
        <f>TEXT(WEEKDAY(DATE(Kalendarskagodina,11,20),1),"aaa")</f>
        <v>uto</v>
      </c>
      <c r="X5" s="38" t="str">
        <f>TEXT(WEEKDAY(DATE(Kalendarskagodina,11,21),1),"aaa")</f>
        <v>sre</v>
      </c>
      <c r="Y5" s="38" t="str">
        <f>TEXT(WEEKDAY(DATE(Kalendarskagodina,11,22),1),"aaa")</f>
        <v>čet</v>
      </c>
      <c r="Z5" s="38" t="str">
        <f>TEXT(WEEKDAY(DATE(Kalendarskagodina,11,23),1),"aaa")</f>
        <v>pet</v>
      </c>
      <c r="AA5" s="38" t="str">
        <f>TEXT(WEEKDAY(DATE(Kalendarskagodina,11,24),1),"aaa")</f>
        <v>sub</v>
      </c>
      <c r="AB5" s="38" t="str">
        <f>TEXT(WEEKDAY(DATE(Kalendarskagodina,11,25),1),"aaa")</f>
        <v>ned</v>
      </c>
      <c r="AC5" s="38" t="str">
        <f>TEXT(WEEKDAY(DATE(Kalendarskagodina,11,26),1),"aaa")</f>
        <v>pon</v>
      </c>
      <c r="AD5" s="38" t="str">
        <f>TEXT(WEEKDAY(DATE(Kalendarskagodina,11,27),1),"aaa")</f>
        <v>uto</v>
      </c>
      <c r="AE5" s="38" t="str">
        <f>TEXT(WEEKDAY(DATE(Kalendarskagodina,11,28),1),"aaa")</f>
        <v>sre</v>
      </c>
      <c r="AF5" s="38" t="str">
        <f>TEXT(WEEKDAY(DATE(Kalendarskagodina,11,29),1),"aaa")</f>
        <v>čet</v>
      </c>
      <c r="AG5" s="38" t="str">
        <f>TEXT(WEEKDAY(DATE(Kalendarskagodina,11,30),1),"aaa")</f>
        <v>pet</v>
      </c>
      <c r="AH5" s="38"/>
      <c r="AI5" s="126" t="s">
        <v>38</v>
      </c>
      <c r="AJ5" s="127"/>
      <c r="AK5" s="127"/>
      <c r="AL5" s="127"/>
      <c r="AM5" s="128"/>
    </row>
    <row r="6" spans="1:40" s="5" customFormat="1" ht="14.25" customHeight="1" x14ac:dyDescent="0.25">
      <c r="B6" s="41" t="s">
        <v>34</v>
      </c>
      <c r="C6" s="42" t="s">
        <v>36</v>
      </c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17</v>
      </c>
      <c r="V6" s="3" t="s">
        <v>18</v>
      </c>
      <c r="W6" s="3" t="s">
        <v>19</v>
      </c>
      <c r="X6" s="3" t="s">
        <v>20</v>
      </c>
      <c r="Y6" s="3" t="s">
        <v>21</v>
      </c>
      <c r="Z6" s="3" t="s">
        <v>22</v>
      </c>
      <c r="AA6" s="3" t="s">
        <v>23</v>
      </c>
      <c r="AB6" s="3" t="s">
        <v>24</v>
      </c>
      <c r="AC6" s="3" t="s">
        <v>25</v>
      </c>
      <c r="AD6" s="3" t="s">
        <v>26</v>
      </c>
      <c r="AE6" s="3" t="s">
        <v>27</v>
      </c>
      <c r="AF6" s="3" t="s">
        <v>28</v>
      </c>
      <c r="AG6" s="3" t="s">
        <v>29</v>
      </c>
      <c r="AH6" s="3" t="s">
        <v>116</v>
      </c>
      <c r="AI6" s="89" t="s">
        <v>127</v>
      </c>
      <c r="AJ6" s="65" t="s">
        <v>128</v>
      </c>
      <c r="AK6" s="66" t="s">
        <v>129</v>
      </c>
      <c r="AL6" s="67" t="s">
        <v>31</v>
      </c>
      <c r="AM6" s="46" t="s">
        <v>37</v>
      </c>
      <c r="AN6" s="4"/>
    </row>
    <row r="7" spans="1:40" s="5" customFormat="1" ht="16.5" customHeight="1" x14ac:dyDescent="0.25">
      <c r="B7" s="43"/>
      <c r="C7" s="44" t="str">
        <f>IFERROR(VLOOKUP(Prisustvovanjeunovembru[[#This Row],[ID učenika]],Listaučenika[],18,FALSE),"")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20"/>
      <c r="AH7" s="20"/>
      <c r="AI7" s="6">
        <f>COUNTIF(Prisustvovanjeunovembru[[#This Row],[1]:[ ]],Šifra1)</f>
        <v>0</v>
      </c>
      <c r="AJ7" s="45">
        <f>COUNTIF(Prisustvovanjeunovembru[[#This Row],[1]:[ ]],Šifra2)</f>
        <v>0</v>
      </c>
      <c r="AK7" s="45">
        <f>COUNTIF(Prisustvovanjeunovembru[[#This Row],[1]:[ ]],Šifra3)</f>
        <v>0</v>
      </c>
      <c r="AL7" s="45">
        <f>COUNTIF(Prisustvovanjeunovembru[[#This Row],[1]:[ ]],Šifra4)</f>
        <v>0</v>
      </c>
      <c r="AM7" s="6">
        <f>SUM(Prisustvovanjeuseptembru[[#This Row],[O]:[Ne]])</f>
        <v>0</v>
      </c>
      <c r="AN7" s="4"/>
    </row>
    <row r="8" spans="1:40" s="5" customFormat="1" ht="16.5" customHeight="1" x14ac:dyDescent="0.25">
      <c r="B8" s="43"/>
      <c r="C8" s="44" t="str">
        <f>IFERROR(VLOOKUP(Prisustvovanjeunovembru[[#This Row],[ID učenika]],Listaučenika[],18,FALSE),"")</f>
        <v/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20"/>
      <c r="AH8" s="20"/>
      <c r="AI8" s="6">
        <f>COUNTIF(Prisustvovanjeunovembru[[#This Row],[1]:[ ]],Šifra1)</f>
        <v>0</v>
      </c>
      <c r="AJ8" s="45">
        <f>COUNTIF(Prisustvovanjeunovembru[[#This Row],[1]:[ ]],Šifra2)</f>
        <v>0</v>
      </c>
      <c r="AK8" s="45">
        <f>COUNTIF(Prisustvovanjeunovembru[[#This Row],[1]:[ ]],Šifra3)</f>
        <v>0</v>
      </c>
      <c r="AL8" s="45">
        <f>COUNTIF(Prisustvovanjeunovembru[[#This Row],[1]:[ ]],Šifra4)</f>
        <v>0</v>
      </c>
      <c r="AM8" s="6">
        <f>SUM(Prisustvovanjeuseptembru[[#This Row],[O]:[Ne]])</f>
        <v>0</v>
      </c>
      <c r="AN8" s="4"/>
    </row>
    <row r="9" spans="1:40" s="8" customFormat="1" ht="16.5" customHeight="1" x14ac:dyDescent="0.25">
      <c r="B9" s="43"/>
      <c r="C9" s="44" t="str">
        <f>IFERROR(VLOOKUP(Prisustvovanjeunovembru[[#This Row],[ID učenika]],Listaučenika[],18,FALSE),"")</f>
        <v/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20"/>
      <c r="AH9" s="20"/>
      <c r="AI9" s="6">
        <f>COUNTIF(Prisustvovanjeunovembru[[#This Row],[1]:[ ]],Šifra1)</f>
        <v>0</v>
      </c>
      <c r="AJ9" s="45">
        <f>COUNTIF(Prisustvovanjeunovembru[[#This Row],[1]:[ ]],Šifra2)</f>
        <v>0</v>
      </c>
      <c r="AK9" s="45">
        <f>COUNTIF(Prisustvovanjeunovembru[[#This Row],[1]:[ ]],Šifra3)</f>
        <v>0</v>
      </c>
      <c r="AL9" s="45">
        <f>COUNTIF(Prisustvovanjeunovembru[[#This Row],[1]:[ ]],Šifra4)</f>
        <v>0</v>
      </c>
      <c r="AM9" s="6">
        <f>SUM(Prisustvovanjeuseptembru[[#This Row],[O]:[Ne]])</f>
        <v>0</v>
      </c>
      <c r="AN9" s="7"/>
    </row>
    <row r="10" spans="1:40" ht="16.5" customHeight="1" x14ac:dyDescent="0.25">
      <c r="B10" s="43"/>
      <c r="C10" s="44" t="str">
        <f>IFERROR(VLOOKUP(Prisustvovanjeunovembru[[#This Row],[ID učenika]],Listaučenika[],18,FALSE),"")</f>
        <v/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20"/>
      <c r="AH10" s="20"/>
      <c r="AI10" s="6">
        <f>COUNTIF(Prisustvovanjeunovembru[[#This Row],[1]:[ ]],Šifra1)</f>
        <v>0</v>
      </c>
      <c r="AJ10" s="45">
        <f>COUNTIF(Prisustvovanjeunovembru[[#This Row],[1]:[ ]],Šifra2)</f>
        <v>0</v>
      </c>
      <c r="AK10" s="45">
        <f>COUNTIF(Prisustvovanjeunovembru[[#This Row],[1]:[ ]],Šifra3)</f>
        <v>0</v>
      </c>
      <c r="AL10" s="45">
        <f>COUNTIF(Prisustvovanjeunovembru[[#This Row],[1]:[ ]],Šifra4)</f>
        <v>0</v>
      </c>
      <c r="AM10" s="6">
        <f>SUM(Prisustvovanjeuseptembru[[#This Row],[O]:[Ne]])</f>
        <v>0</v>
      </c>
      <c r="AN10" s="10"/>
    </row>
    <row r="11" spans="1:40" ht="16.5" customHeight="1" x14ac:dyDescent="0.25">
      <c r="B11" s="43"/>
      <c r="C11" s="44" t="str">
        <f>IFERROR(VLOOKUP(Prisustvovanjeunovembru[[#This Row],[ID učenika]],Listaučenika[],18,FALSE),"")</f>
        <v/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20"/>
      <c r="AH11" s="20"/>
      <c r="AI11" s="6">
        <f>COUNTIF(Prisustvovanjeunovembru[[#This Row],[1]:[ ]],Šifra1)</f>
        <v>0</v>
      </c>
      <c r="AJ11" s="45">
        <f>COUNTIF(Prisustvovanjeunovembru[[#This Row],[1]:[ ]],Šifra2)</f>
        <v>0</v>
      </c>
      <c r="AK11" s="45">
        <f>COUNTIF(Prisustvovanjeunovembru[[#This Row],[1]:[ ]],Šifra3)</f>
        <v>0</v>
      </c>
      <c r="AL11" s="45">
        <f>COUNTIF(Prisustvovanjeunovembru[[#This Row],[1]:[ ]],Šifra4)</f>
        <v>0</v>
      </c>
      <c r="AM11" s="6">
        <f>SUM(Prisustvovanjeuseptembru[[#This Row],[O]:[Ne]])</f>
        <v>0</v>
      </c>
      <c r="AN11" s="10"/>
    </row>
    <row r="12" spans="1:40" ht="16.5" customHeight="1" x14ac:dyDescent="0.25">
      <c r="B12" s="111"/>
      <c r="C12" s="112" t="s">
        <v>117</v>
      </c>
      <c r="D12" s="113">
        <f>COUNTIF(Prisustvovanjeunovembru[1],"Ne")+COUNTIF(Prisustvovanjeunovembru[1],"O")</f>
        <v>0</v>
      </c>
      <c r="E12" s="113">
        <f>COUNTIF(Prisustvovanjeunovembru[2],"Ne")+COUNTIF(Prisustvovanjeunovembru[2],"O")</f>
        <v>0</v>
      </c>
      <c r="F12" s="113">
        <f>COUNTIF(Prisustvovanjeunovembru[3],"Ne")+COUNTIF(Prisustvovanjeunovembru[3],"O")</f>
        <v>0</v>
      </c>
      <c r="G12" s="113">
        <f>COUNTIF(Prisustvovanjeunovembru[4],"Ne")+COUNTIF(Prisustvovanjeunovembru[4],"O")</f>
        <v>0</v>
      </c>
      <c r="H12" s="113">
        <f>COUNTIF(Prisustvovanjeunovembru[5],"Ne")+COUNTIF(Prisustvovanjeunovembru[5],"O")</f>
        <v>0</v>
      </c>
      <c r="I12" s="113">
        <f>COUNTIF(Prisustvovanjeunovembru[6],"Ne")+COUNTIF(Prisustvovanjeunovembru[6],"O")</f>
        <v>0</v>
      </c>
      <c r="J12" s="113">
        <f>COUNTIF(Prisustvovanjeunovembru[7],"Ne")+COUNTIF(Prisustvovanjeunovembru[7],"O")</f>
        <v>0</v>
      </c>
      <c r="K12" s="113">
        <f>COUNTIF(Prisustvovanjeunovembru[8],"Ne")+COUNTIF(Prisustvovanjeunovembru[8],"O")</f>
        <v>0</v>
      </c>
      <c r="L12" s="113">
        <f>COUNTIF(Prisustvovanjeunovembru[9],"Ne")+COUNTIF(Prisustvovanjeunovembru[9],"O")</f>
        <v>0</v>
      </c>
      <c r="M12" s="113">
        <f>COUNTIF(Prisustvovanjeunovembru[10],"Ne")+COUNTIF(Prisustvovanjeunovembru[10],"O")</f>
        <v>0</v>
      </c>
      <c r="N12" s="113">
        <f>COUNTIF(Prisustvovanjeunovembru[11],"Ne")+COUNTIF(Prisustvovanjeunovembru[11],"O")</f>
        <v>0</v>
      </c>
      <c r="O12" s="113">
        <f>COUNTIF(Prisustvovanjeunovembru[12],"Ne")+COUNTIF(Prisustvovanjeunovembru[12],"O")</f>
        <v>0</v>
      </c>
      <c r="P12" s="113">
        <f>COUNTIF(Prisustvovanjeunovembru[13],"Ne")+COUNTIF(Prisustvovanjeunovembru[13],"O")</f>
        <v>0</v>
      </c>
      <c r="Q12" s="113">
        <f>COUNTIF(Prisustvovanjeunovembru[14],"Ne")+COUNTIF(Prisustvovanjeunovembru[14],"O")</f>
        <v>0</v>
      </c>
      <c r="R12" s="113">
        <f>COUNTIF(Prisustvovanjeunovembru[15],"Ne")+COUNTIF(Prisustvovanjeunovembru[15],"O")</f>
        <v>0</v>
      </c>
      <c r="S12" s="113">
        <f>COUNTIF(Prisustvovanjeunovembru[16],"Ne")+COUNTIF(Prisustvovanjeunovembru[16],"O")</f>
        <v>0</v>
      </c>
      <c r="T12" s="113">
        <f>COUNTIF(Prisustvovanjeunovembru[17],"Ne")+COUNTIF(Prisustvovanjeunovembru[17],"O")</f>
        <v>0</v>
      </c>
      <c r="U12" s="113">
        <f>COUNTIF(Prisustvovanjeunovembru[18],"Ne")+COUNTIF(Prisustvovanjeunovembru[18],"O")</f>
        <v>0</v>
      </c>
      <c r="V12" s="113">
        <f>COUNTIF(Prisustvovanjeunovembru[19],"Ne")+COUNTIF(Prisustvovanjeunovembru[19],"O")</f>
        <v>0</v>
      </c>
      <c r="W12" s="113">
        <f>COUNTIF(Prisustvovanjeunovembru[20],"Ne")+COUNTIF(Prisustvovanjeunovembru[20],"O")</f>
        <v>0</v>
      </c>
      <c r="X12" s="113">
        <f>COUNTIF(Prisustvovanjeunovembru[21],"Ne")+COUNTIF(Prisustvovanjeunovembru[21],"O")</f>
        <v>0</v>
      </c>
      <c r="Y12" s="113">
        <f>COUNTIF(Prisustvovanjeunovembru[22],"Ne")+COUNTIF(Prisustvovanjeunovembru[22],"O")</f>
        <v>0</v>
      </c>
      <c r="Z12" s="113">
        <f>COUNTIF(Prisustvovanjeunovembru[23],"Ne")+COUNTIF(Prisustvovanjeunovembru[23],"O")</f>
        <v>0</v>
      </c>
      <c r="AA12" s="113">
        <f>COUNTIF(Prisustvovanjeunovembru[24],"Ne")+COUNTIF(Prisustvovanjeunovembru[24],"O")</f>
        <v>0</v>
      </c>
      <c r="AB12" s="113">
        <f>COUNTIF(Prisustvovanjeunovembru[25],"Ne")+COUNTIF(Prisustvovanjeunovembru[25],"O")</f>
        <v>0</v>
      </c>
      <c r="AC12" s="113">
        <f>COUNTIF(Prisustvovanjeunovembru[26],"Ne")+COUNTIF(Prisustvovanjeunovembru[26],"O")</f>
        <v>0</v>
      </c>
      <c r="AD12" s="113">
        <f>COUNTIF(Prisustvovanjeunovembru[27],"Ne")+COUNTIF(Prisustvovanjeunovembru[27],"O")</f>
        <v>0</v>
      </c>
      <c r="AE12" s="113">
        <f>COUNTIF(Prisustvovanjeunovembru[28],"Ne")+COUNTIF(Prisustvovanjeunovembru[28],"O")</f>
        <v>0</v>
      </c>
      <c r="AF12" s="113">
        <f>COUNTIF(Prisustvovanjeunovembru[29],"Ne")+COUNTIF(Prisustvovanjeunovembru[29],"O")</f>
        <v>0</v>
      </c>
      <c r="AG12" s="113">
        <f>COUNTIF(Prisustvovanjeunovembru[30],"Ne")+COUNTIF(Prisustvovanjeunovembru[30],"O")</f>
        <v>0</v>
      </c>
      <c r="AH12" s="113">
        <f>COUNTIF(Prisustvovanjeunovembru[[ ]],"Ne")+COUNTIF(Prisustvovanjeunovembru[[ ]],"O")</f>
        <v>0</v>
      </c>
      <c r="AI12" s="113">
        <f>SUBTOTAL(109,Prisustvovanjeunovembru[Z])</f>
        <v>0</v>
      </c>
      <c r="AJ12" s="113">
        <f>SUBTOTAL(109,Prisustvovanjeunovembru[O])</f>
        <v>0</v>
      </c>
      <c r="AK12" s="113">
        <f>SUBTOTAL(109,Prisustvovanjeunovembru[Ne])</f>
        <v>0</v>
      </c>
      <c r="AL12" s="113">
        <f>SUBTOTAL(109,Prisustvovanjeunovembru[P])</f>
        <v>0</v>
      </c>
      <c r="AM12" s="113">
        <f>SUBTOTAL(109,Prisustvovanjeunovembru[Dani odsustvovanja])</f>
        <v>0</v>
      </c>
    </row>
    <row r="14" spans="1:40" ht="16.5" customHeight="1" x14ac:dyDescent="0.25"/>
    <row r="15" spans="1:40" ht="16.5" customHeight="1" x14ac:dyDescent="0.25"/>
    <row r="16" spans="1:40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I5:AM5"/>
  </mergeCells>
  <conditionalFormatting sqref="AM7:AM11">
    <cfRule type="dataBar" priority="6">
      <dataBar>
        <cfvo type="min"/>
        <cfvo type="num" val="31"/>
        <color theme="4"/>
      </dataBar>
      <extLst>
        <ext xmlns:x14="http://schemas.microsoft.com/office/spreadsheetml/2009/9/main" uri="{B025F937-C7B1-47D3-B67F-A62EFF666E3E}">
          <x14:id>{4EF7D5CF-EA6D-4C42-92A1-96F3633946CC}</x14:id>
        </ext>
      </extLst>
    </cfRule>
  </conditionalFormatting>
  <conditionalFormatting sqref="AG7:AI11">
    <cfRule type="expression" dxfId="754" priority="7" stopIfTrue="1">
      <formula>AG7=Šifra2</formula>
    </cfRule>
  </conditionalFormatting>
  <conditionalFormatting sqref="AG7:AH11">
    <cfRule type="expression" dxfId="753" priority="8" stopIfTrue="1">
      <formula>AG7=Šifra5</formula>
    </cfRule>
    <cfRule type="expression" dxfId="752" priority="9" stopIfTrue="1">
      <formula>AG7=Šifra4</formula>
    </cfRule>
    <cfRule type="expression" dxfId="751" priority="10" stopIfTrue="1">
      <formula>AG7=Šifra3</formula>
    </cfRule>
    <cfRule type="expression" dxfId="750" priority="11" stopIfTrue="1">
      <formula>AG7=Šifra1</formula>
    </cfRule>
  </conditionalFormatting>
  <conditionalFormatting sqref="D7:AF11">
    <cfRule type="expression" dxfId="749" priority="1" stopIfTrue="1">
      <formula>D7=Šifra2</formula>
    </cfRule>
  </conditionalFormatting>
  <conditionalFormatting sqref="D7:AF11">
    <cfRule type="expression" dxfId="748" priority="2" stopIfTrue="1">
      <formula>D7=Šifra5</formula>
    </cfRule>
    <cfRule type="expression" dxfId="747" priority="3" stopIfTrue="1">
      <formula>D7=Šifra4</formula>
    </cfRule>
    <cfRule type="expression" dxfId="746" priority="4" stopIfTrue="1">
      <formula>D7=Šifra3</formula>
    </cfRule>
    <cfRule type="expression" dxfId="745" priority="5" stopIfTrue="1">
      <formula>D7=Šifra1</formula>
    </cfRule>
  </conditionalFormatting>
  <dataValidations count="1">
    <dataValidation type="list" errorStyle="warning" allowBlank="1" showInputMessage="1" showErrorMessage="1" errorTitle="Ups!" error="ID učenika koji ste uneli nije na listu „Lista učenika“. Možete kliknuti na „Da“ da biste koristili ono što ste uneli, ali taj ID učenika neće biti dostupan na listu „Izveštaj o prisustvovanju učenika“." sqref="B7:B11">
      <formula1>IDučenika</formula1>
    </dataValidation>
  </dataValidations>
  <printOptions horizontalCentered="1"/>
  <pageMargins left="0.5" right="0.5" top="0.75" bottom="0.75" header="0.3" footer="0.3"/>
  <pageSetup paperSize="9" scale="5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F7D5CF-EA6D-4C42-92A1-96F3633946CC}">
            <x14:dataBar minLength="0" maxLength="100" border="1" negativeBarBorderColorSameAsPositive="0">
              <x14:cfvo type="autoMin"/>
              <x14:cfvo type="num">
                <xm:f>31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AM7:AM11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N346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customHeight="1" x14ac:dyDescent="0.25"/>
  <cols>
    <col min="1" max="1" width="2.7109375" style="11" customWidth="1"/>
    <col min="2" max="2" width="10.85546875" style="11" customWidth="1"/>
    <col min="3" max="3" width="28.85546875" style="12" customWidth="1"/>
    <col min="4" max="34" width="5" style="10" customWidth="1"/>
    <col min="35" max="35" width="4.7109375" style="9" customWidth="1"/>
    <col min="36" max="36" width="4.7109375" style="10" customWidth="1"/>
    <col min="37" max="38" width="4.7109375" style="11" customWidth="1"/>
    <col min="39" max="39" width="19.7109375" style="11" bestFit="1" customWidth="1"/>
    <col min="40" max="16384" width="9.140625" style="11"/>
  </cols>
  <sheetData>
    <row r="1" spans="1:40" s="1" customFormat="1" ht="42" customHeight="1" x14ac:dyDescent="0.25">
      <c r="A1" s="33" t="s">
        <v>86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6"/>
      <c r="AH1" s="34"/>
      <c r="AI1" s="34"/>
      <c r="AJ1" s="37"/>
      <c r="AK1" s="34"/>
      <c r="AL1" s="53" t="s">
        <v>69</v>
      </c>
      <c r="AM1" s="54">
        <f>Kalendarskagodina</f>
        <v>2012</v>
      </c>
    </row>
    <row r="2" spans="1:40" customFormat="1" ht="13.5" x14ac:dyDescent="0.25"/>
    <row r="3" spans="1:40" s="28" customFormat="1" ht="12.75" customHeight="1" x14ac:dyDescent="0.25">
      <c r="C3" s="40" t="str">
        <f>Teksthromakija</f>
        <v xml:space="preserve">HROMA KI </v>
      </c>
      <c r="D3" s="47" t="str">
        <f>Šifra1</f>
        <v>Z</v>
      </c>
      <c r="E3" s="64" t="str">
        <f>Tekstšifre1</f>
        <v>Zakasnio</v>
      </c>
      <c r="F3" s="55"/>
      <c r="H3" s="48" t="str">
        <f>Šifra2</f>
        <v>O</v>
      </c>
      <c r="I3" s="52" t="str">
        <f>Tekstšifre2</f>
        <v>Opravdan</v>
      </c>
      <c r="L3" s="49" t="str">
        <f>Šifra3</f>
        <v>Ne</v>
      </c>
      <c r="M3" s="52" t="str">
        <f>Tekstšifre3</f>
        <v>Neopravdan</v>
      </c>
      <c r="P3" s="50" t="str">
        <f>Šifra4</f>
        <v>P</v>
      </c>
      <c r="Q3" s="52" t="str">
        <f>Tekstšifre4</f>
        <v>Prisutan</v>
      </c>
      <c r="T3" s="51" t="str">
        <f>Šifra5</f>
        <v>N</v>
      </c>
      <c r="U3" s="52" t="str">
        <f>Tekstšifre5</f>
        <v>Nema škole</v>
      </c>
      <c r="W3"/>
      <c r="X3"/>
      <c r="Y3"/>
      <c r="AD3" s="27"/>
      <c r="AE3" s="27"/>
      <c r="AH3" s="29"/>
      <c r="AI3" s="30"/>
      <c r="AK3" s="31"/>
    </row>
    <row r="4" spans="1:40" customFormat="1" ht="16.5" customHeight="1" x14ac:dyDescent="0.25"/>
    <row r="5" spans="1:40" s="2" customFormat="1" ht="18" customHeight="1" x14ac:dyDescent="0.3">
      <c r="B5" s="57">
        <f>DATE(Kalendarskagodina,12,1)</f>
        <v>41244</v>
      </c>
      <c r="C5" s="56"/>
      <c r="D5" s="38" t="str">
        <f>TEXT(WEEKDAY(DATE(Kalendarskagodina,12,1),1),"aaa")</f>
        <v>sub</v>
      </c>
      <c r="E5" s="38" t="str">
        <f>TEXT(WEEKDAY(DATE(Kalendarskagodina,12,2),1),"aaa")</f>
        <v>ned</v>
      </c>
      <c r="F5" s="38" t="str">
        <f>TEXT(WEEKDAY(DATE(Kalendarskagodina,12,3),1),"aaa")</f>
        <v>pon</v>
      </c>
      <c r="G5" s="38" t="str">
        <f>TEXT(WEEKDAY(DATE(Kalendarskagodina,12,4),1),"aaa")</f>
        <v>uto</v>
      </c>
      <c r="H5" s="38" t="str">
        <f>TEXT(WEEKDAY(DATE(Kalendarskagodina,12,5),1),"aaa")</f>
        <v>sre</v>
      </c>
      <c r="I5" s="38" t="str">
        <f>TEXT(WEEKDAY(DATE(Kalendarskagodina,12,6),1),"aaa")</f>
        <v>čet</v>
      </c>
      <c r="J5" s="38" t="str">
        <f>TEXT(WEEKDAY(DATE(Kalendarskagodina,12,7),1),"aaa")</f>
        <v>pet</v>
      </c>
      <c r="K5" s="38" t="str">
        <f>TEXT(WEEKDAY(DATE(Kalendarskagodina,12,8),1),"aaa")</f>
        <v>sub</v>
      </c>
      <c r="L5" s="38" t="str">
        <f>TEXT(WEEKDAY(DATE(Kalendarskagodina,12,9),1),"aaa")</f>
        <v>ned</v>
      </c>
      <c r="M5" s="38" t="str">
        <f>TEXT(WEEKDAY(DATE(Kalendarskagodina,12,10),1),"aaa")</f>
        <v>pon</v>
      </c>
      <c r="N5" s="38" t="str">
        <f>TEXT(WEEKDAY(DATE(Kalendarskagodina,12,11),1),"aaa")</f>
        <v>uto</v>
      </c>
      <c r="O5" s="38" t="str">
        <f>TEXT(WEEKDAY(DATE(Kalendarskagodina,12,12),1),"aaa")</f>
        <v>sre</v>
      </c>
      <c r="P5" s="38" t="str">
        <f>TEXT(WEEKDAY(DATE(Kalendarskagodina,12,13),1),"aaa")</f>
        <v>čet</v>
      </c>
      <c r="Q5" s="38" t="str">
        <f>TEXT(WEEKDAY(DATE(Kalendarskagodina,12,14),1),"aaa")</f>
        <v>pet</v>
      </c>
      <c r="R5" s="38" t="str">
        <f>TEXT(WEEKDAY(DATE(Kalendarskagodina,12,15),1),"aaa")</f>
        <v>sub</v>
      </c>
      <c r="S5" s="38" t="str">
        <f>TEXT(WEEKDAY(DATE(Kalendarskagodina,12,16),1),"aaa")</f>
        <v>ned</v>
      </c>
      <c r="T5" s="38" t="str">
        <f>TEXT(WEEKDAY(DATE(Kalendarskagodina,12,17),1),"aaa")</f>
        <v>pon</v>
      </c>
      <c r="U5" s="38" t="str">
        <f>TEXT(WEEKDAY(DATE(Kalendarskagodina,12,18),1),"aaa")</f>
        <v>uto</v>
      </c>
      <c r="V5" s="38" t="str">
        <f>TEXT(WEEKDAY(DATE(Kalendarskagodina,12,19),1),"aaa")</f>
        <v>sre</v>
      </c>
      <c r="W5" s="38" t="str">
        <f>TEXT(WEEKDAY(DATE(Kalendarskagodina,12,20),1),"aaa")</f>
        <v>čet</v>
      </c>
      <c r="X5" s="38" t="str">
        <f>TEXT(WEEKDAY(DATE(Kalendarskagodina,12,21),1),"aaa")</f>
        <v>pet</v>
      </c>
      <c r="Y5" s="38" t="str">
        <f>TEXT(WEEKDAY(DATE(Kalendarskagodina,12,22),1),"aaa")</f>
        <v>sub</v>
      </c>
      <c r="Z5" s="38" t="str">
        <f>TEXT(WEEKDAY(DATE(Kalendarskagodina,12,23),1),"aaa")</f>
        <v>ned</v>
      </c>
      <c r="AA5" s="38" t="str">
        <f>TEXT(WEEKDAY(DATE(Kalendarskagodina,12,24),1),"aaa")</f>
        <v>pon</v>
      </c>
      <c r="AB5" s="38" t="str">
        <f>TEXT(WEEKDAY(DATE(Kalendarskagodina,12,25),1),"aaa")</f>
        <v>uto</v>
      </c>
      <c r="AC5" s="38" t="str">
        <f>TEXT(WEEKDAY(DATE(Kalendarskagodina,12,26),1),"aaa")</f>
        <v>sre</v>
      </c>
      <c r="AD5" s="38" t="str">
        <f>TEXT(WEEKDAY(DATE(Kalendarskagodina,12,27),1),"aaa")</f>
        <v>čet</v>
      </c>
      <c r="AE5" s="38" t="str">
        <f>TEXT(WEEKDAY(DATE(Kalendarskagodina,12,28),1),"aaa")</f>
        <v>pet</v>
      </c>
      <c r="AF5" s="38" t="str">
        <f>TEXT(WEEKDAY(DATE(Kalendarskagodina,12,29),1),"aaa")</f>
        <v>sub</v>
      </c>
      <c r="AG5" s="38" t="str">
        <f>TEXT(WEEKDAY(DATE(Kalendarskagodina,12,30),1),"aaa")</f>
        <v>ned</v>
      </c>
      <c r="AH5" s="38" t="str">
        <f>TEXT(WEEKDAY(DATE(Kalendarskagodina,12,31),1),"aaa")</f>
        <v>pon</v>
      </c>
      <c r="AI5" s="126" t="s">
        <v>38</v>
      </c>
      <c r="AJ5" s="127"/>
      <c r="AK5" s="127"/>
      <c r="AL5" s="127"/>
      <c r="AM5" s="128"/>
    </row>
    <row r="6" spans="1:40" s="5" customFormat="1" ht="14.25" customHeight="1" x14ac:dyDescent="0.25">
      <c r="B6" s="41" t="s">
        <v>34</v>
      </c>
      <c r="C6" s="42" t="s">
        <v>36</v>
      </c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17</v>
      </c>
      <c r="V6" s="3" t="s">
        <v>18</v>
      </c>
      <c r="W6" s="3" t="s">
        <v>19</v>
      </c>
      <c r="X6" s="3" t="s">
        <v>20</v>
      </c>
      <c r="Y6" s="3" t="s">
        <v>21</v>
      </c>
      <c r="Z6" s="3" t="s">
        <v>22</v>
      </c>
      <c r="AA6" s="3" t="s">
        <v>23</v>
      </c>
      <c r="AB6" s="3" t="s">
        <v>24</v>
      </c>
      <c r="AC6" s="3" t="s">
        <v>25</v>
      </c>
      <c r="AD6" s="3" t="s">
        <v>26</v>
      </c>
      <c r="AE6" s="3" t="s">
        <v>27</v>
      </c>
      <c r="AF6" s="3" t="s">
        <v>28</v>
      </c>
      <c r="AG6" s="3" t="s">
        <v>29</v>
      </c>
      <c r="AH6" s="3" t="s">
        <v>30</v>
      </c>
      <c r="AI6" s="89" t="s">
        <v>127</v>
      </c>
      <c r="AJ6" s="65" t="s">
        <v>128</v>
      </c>
      <c r="AK6" s="66" t="s">
        <v>129</v>
      </c>
      <c r="AL6" s="67" t="s">
        <v>31</v>
      </c>
      <c r="AM6" s="46" t="s">
        <v>37</v>
      </c>
      <c r="AN6" s="4"/>
    </row>
    <row r="7" spans="1:40" s="5" customFormat="1" ht="16.5" customHeight="1" x14ac:dyDescent="0.25">
      <c r="B7" s="43"/>
      <c r="C7" s="44" t="str">
        <f>IFERROR(VLOOKUP(Prisustvovanjeudecembru[[#This Row],[ID učenika]],Listaučenika[],18,FALSE),"")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20"/>
      <c r="AH7" s="20"/>
      <c r="AI7" s="6">
        <f>COUNTIF(Prisustvovanjeudecembru[[#This Row],[1]:[31]],Šifra1)</f>
        <v>0</v>
      </c>
      <c r="AJ7" s="45">
        <f>COUNTIF(Prisustvovanjeudecembru[[#This Row],[1]:[31]],Šifra2)</f>
        <v>0</v>
      </c>
      <c r="AK7" s="45">
        <f>COUNTIF(Prisustvovanjeudecembru[[#This Row],[1]:[31]],Šifra3)</f>
        <v>0</v>
      </c>
      <c r="AL7" s="45">
        <f>COUNTIF(Prisustvovanjeudecembru[[#This Row],[1]:[31]],Šifra4)</f>
        <v>0</v>
      </c>
      <c r="AM7" s="6">
        <f>SUM(Prisustvovanjeuseptembru[[#This Row],[O]:[Ne]])</f>
        <v>0</v>
      </c>
      <c r="AN7" s="4"/>
    </row>
    <row r="8" spans="1:40" s="5" customFormat="1" ht="16.5" customHeight="1" x14ac:dyDescent="0.25">
      <c r="B8" s="43"/>
      <c r="C8" s="44" t="str">
        <f>IFERROR(VLOOKUP(Prisustvovanjeudecembru[[#This Row],[ID učenika]],Listaučenika[],18,FALSE),"")</f>
        <v/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20"/>
      <c r="AH8" s="20"/>
      <c r="AI8" s="6">
        <f>COUNTIF(Prisustvovanjeudecembru[[#This Row],[1]:[31]],Šifra1)</f>
        <v>0</v>
      </c>
      <c r="AJ8" s="45">
        <f>COUNTIF(Prisustvovanjeudecembru[[#This Row],[1]:[31]],Šifra2)</f>
        <v>0</v>
      </c>
      <c r="AK8" s="45">
        <f>COUNTIF(Prisustvovanjeudecembru[[#This Row],[1]:[31]],Šifra3)</f>
        <v>0</v>
      </c>
      <c r="AL8" s="45">
        <f>COUNTIF(Prisustvovanjeudecembru[[#This Row],[1]:[31]],Šifra4)</f>
        <v>0</v>
      </c>
      <c r="AM8" s="6">
        <f>SUM(Prisustvovanjeuseptembru[[#This Row],[O]:[Ne]])</f>
        <v>0</v>
      </c>
      <c r="AN8" s="4"/>
    </row>
    <row r="9" spans="1:40" s="8" customFormat="1" ht="16.5" customHeight="1" x14ac:dyDescent="0.25">
      <c r="B9" s="43"/>
      <c r="C9" s="44" t="str">
        <f>IFERROR(VLOOKUP(Prisustvovanjeudecembru[[#This Row],[ID učenika]],Listaučenika[],18,FALSE),"")</f>
        <v/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20"/>
      <c r="AH9" s="20"/>
      <c r="AI9" s="6">
        <f>COUNTIF(Prisustvovanjeudecembru[[#This Row],[1]:[31]],Šifra1)</f>
        <v>0</v>
      </c>
      <c r="AJ9" s="45">
        <f>COUNTIF(Prisustvovanjeudecembru[[#This Row],[1]:[31]],Šifra2)</f>
        <v>0</v>
      </c>
      <c r="AK9" s="45">
        <f>COUNTIF(Prisustvovanjeudecembru[[#This Row],[1]:[31]],Šifra3)</f>
        <v>0</v>
      </c>
      <c r="AL9" s="45">
        <f>COUNTIF(Prisustvovanjeudecembru[[#This Row],[1]:[31]],Šifra4)</f>
        <v>0</v>
      </c>
      <c r="AM9" s="6">
        <f>SUM(Prisustvovanjeuseptembru[[#This Row],[O]:[Ne]])</f>
        <v>0</v>
      </c>
      <c r="AN9" s="7"/>
    </row>
    <row r="10" spans="1:40" ht="16.5" customHeight="1" x14ac:dyDescent="0.25">
      <c r="B10" s="43"/>
      <c r="C10" s="44" t="str">
        <f>IFERROR(VLOOKUP(Prisustvovanjeudecembru[[#This Row],[ID učenika]],Listaučenika[],18,FALSE),"")</f>
        <v/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20"/>
      <c r="AH10" s="20"/>
      <c r="AI10" s="6">
        <f>COUNTIF(Prisustvovanjeudecembru[[#This Row],[1]:[31]],Šifra1)</f>
        <v>0</v>
      </c>
      <c r="AJ10" s="45">
        <f>COUNTIF(Prisustvovanjeudecembru[[#This Row],[1]:[31]],Šifra2)</f>
        <v>0</v>
      </c>
      <c r="AK10" s="45">
        <f>COUNTIF(Prisustvovanjeudecembru[[#This Row],[1]:[31]],Šifra3)</f>
        <v>0</v>
      </c>
      <c r="AL10" s="45">
        <f>COUNTIF(Prisustvovanjeudecembru[[#This Row],[1]:[31]],Šifra4)</f>
        <v>0</v>
      </c>
      <c r="AM10" s="6">
        <f>SUM(Prisustvovanjeuseptembru[[#This Row],[O]:[Ne]])</f>
        <v>0</v>
      </c>
      <c r="AN10" s="10"/>
    </row>
    <row r="11" spans="1:40" ht="16.5" customHeight="1" x14ac:dyDescent="0.25">
      <c r="B11" s="43"/>
      <c r="C11" s="44" t="str">
        <f>IFERROR(VLOOKUP(Prisustvovanjeudecembru[[#This Row],[ID učenika]],Listaučenika[],18,FALSE),"")</f>
        <v/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20"/>
      <c r="AH11" s="20"/>
      <c r="AI11" s="6">
        <f>COUNTIF(Prisustvovanjeudecembru[[#This Row],[1]:[31]],Šifra1)</f>
        <v>0</v>
      </c>
      <c r="AJ11" s="45">
        <f>COUNTIF(Prisustvovanjeudecembru[[#This Row],[1]:[31]],Šifra2)</f>
        <v>0</v>
      </c>
      <c r="AK11" s="45">
        <f>COUNTIF(Prisustvovanjeudecembru[[#This Row],[1]:[31]],Šifra3)</f>
        <v>0</v>
      </c>
      <c r="AL11" s="45">
        <f>COUNTIF(Prisustvovanjeudecembru[[#This Row],[1]:[31]],Šifra4)</f>
        <v>0</v>
      </c>
      <c r="AM11" s="6">
        <f>SUM(Prisustvovanjeuseptembru[[#This Row],[O]:[Ne]])</f>
        <v>0</v>
      </c>
      <c r="AN11" s="10"/>
    </row>
    <row r="12" spans="1:40" ht="16.5" customHeight="1" x14ac:dyDescent="0.25">
      <c r="B12" s="111"/>
      <c r="C12" s="112" t="s">
        <v>117</v>
      </c>
      <c r="D12" s="113">
        <f>COUNTIF(Prisustvovanjeudecembru[1],"Ne")+COUNTIF(Prisustvovanjeudecembru[1],"O")</f>
        <v>0</v>
      </c>
      <c r="E12" s="113">
        <f>COUNTIF(Prisustvovanjeudecembru[2],"Ne")+COUNTIF(Prisustvovanjeudecembru[2],"O")</f>
        <v>0</v>
      </c>
      <c r="F12" s="113">
        <f>COUNTIF(Prisustvovanjeudecembru[3],"Ne")+COUNTIF(Prisustvovanjeudecembru[3],"O")</f>
        <v>0</v>
      </c>
      <c r="G12" s="113">
        <f>COUNTIF(Prisustvovanjeudecembru[4],"Ne")+COUNTIF(Prisustvovanjeudecembru[4],"O")</f>
        <v>0</v>
      </c>
      <c r="H12" s="113">
        <f>COUNTIF(Prisustvovanjeudecembru[5],"Ne")+COUNTIF(Prisustvovanjeudecembru[5],"O")</f>
        <v>0</v>
      </c>
      <c r="I12" s="113">
        <f>COUNTIF(Prisustvovanjeudecembru[6],"Ne")+COUNTIF(Prisustvovanjeudecembru[6],"O")</f>
        <v>0</v>
      </c>
      <c r="J12" s="113">
        <f>COUNTIF(Prisustvovanjeudecembru[7],"Ne")+COUNTIF(Prisustvovanjeudecembru[7],"O")</f>
        <v>0</v>
      </c>
      <c r="K12" s="113">
        <f>COUNTIF(Prisustvovanjeudecembru[8],"Ne")+COUNTIF(Prisustvovanjeudecembru[8],"O")</f>
        <v>0</v>
      </c>
      <c r="L12" s="113">
        <f>COUNTIF(Prisustvovanjeudecembru[9],"Ne")+COUNTIF(Prisustvovanjeudecembru[9],"O")</f>
        <v>0</v>
      </c>
      <c r="M12" s="113">
        <f>COUNTIF(Prisustvovanjeudecembru[10],"Ne")+COUNTIF(Prisustvovanjeudecembru[10],"O")</f>
        <v>0</v>
      </c>
      <c r="N12" s="113">
        <f>COUNTIF(Prisustvovanjeudecembru[11],"Ne")+COUNTIF(Prisustvovanjeudecembru[11],"O")</f>
        <v>0</v>
      </c>
      <c r="O12" s="113">
        <f>COUNTIF(Prisustvovanjeudecembru[12],"Ne")+COUNTIF(Prisustvovanjeudecembru[12],"O")</f>
        <v>0</v>
      </c>
      <c r="P12" s="113">
        <f>COUNTIF(Prisustvovanjeudecembru[13],"Ne")+COUNTIF(Prisustvovanjeudecembru[13],"O")</f>
        <v>0</v>
      </c>
      <c r="Q12" s="113">
        <f>COUNTIF(Prisustvovanjeudecembru[14],"Ne")+COUNTIF(Prisustvovanjeudecembru[14],"O")</f>
        <v>0</v>
      </c>
      <c r="R12" s="113">
        <f>COUNTIF(Prisustvovanjeudecembru[15],"Ne")+COUNTIF(Prisustvovanjeudecembru[15],"O")</f>
        <v>0</v>
      </c>
      <c r="S12" s="113">
        <f>COUNTIF(Prisustvovanjeudecembru[16],"Ne")+COUNTIF(Prisustvovanjeudecembru[16],"O")</f>
        <v>0</v>
      </c>
      <c r="T12" s="113">
        <f>COUNTIF(Prisustvovanjeudecembru[17],"Ne")+COUNTIF(Prisustvovanjeudecembru[17],"O")</f>
        <v>0</v>
      </c>
      <c r="U12" s="113">
        <f>COUNTIF(Prisustvovanjeudecembru[18],"Ne")+COUNTIF(Prisustvovanjeudecembru[18],"O")</f>
        <v>0</v>
      </c>
      <c r="V12" s="113">
        <f>COUNTIF(Prisustvovanjeudecembru[19],"Ne")+COUNTIF(Prisustvovanjeudecembru[19],"O")</f>
        <v>0</v>
      </c>
      <c r="W12" s="113">
        <f>COUNTIF(Prisustvovanjeudecembru[20],"Ne")+COUNTIF(Prisustvovanjeudecembru[20],"O")</f>
        <v>0</v>
      </c>
      <c r="X12" s="113">
        <f>COUNTIF(Prisustvovanjeudecembru[21],"Ne")+COUNTIF(Prisustvovanjeudecembru[21],"O")</f>
        <v>0</v>
      </c>
      <c r="Y12" s="113">
        <f>COUNTIF(Prisustvovanjeudecembru[22],"Ne")+COUNTIF(Prisustvovanjeudecembru[22],"O")</f>
        <v>0</v>
      </c>
      <c r="Z12" s="113">
        <f>COUNTIF(Prisustvovanjeudecembru[23],"Ne")+COUNTIF(Prisustvovanjeudecembru[23],"O")</f>
        <v>0</v>
      </c>
      <c r="AA12" s="113">
        <f>COUNTIF(Prisustvovanjeudecembru[24],"Ne")+COUNTIF(Prisustvovanjeudecembru[24],"O")</f>
        <v>0</v>
      </c>
      <c r="AB12" s="113">
        <f>COUNTIF(Prisustvovanjeudecembru[25],"Ne")+COUNTIF(Prisustvovanjeudecembru[25],"O")</f>
        <v>0</v>
      </c>
      <c r="AC12" s="113">
        <f>COUNTIF(Prisustvovanjeudecembru[26],"Ne")+COUNTIF(Prisustvovanjeudecembru[26],"O")</f>
        <v>0</v>
      </c>
      <c r="AD12" s="113">
        <f>COUNTIF(Prisustvovanjeudecembru[27],"Ne")+COUNTIF(Prisustvovanjeudecembru[27],"O")</f>
        <v>0</v>
      </c>
      <c r="AE12" s="113">
        <f>COUNTIF(Prisustvovanjeudecembru[28],"Ne")+COUNTIF(Prisustvovanjeudecembru[28],"O")</f>
        <v>0</v>
      </c>
      <c r="AF12" s="113">
        <f>COUNTIF(Prisustvovanjeudecembru[29],"Ne")+COUNTIF(Prisustvovanjeudecembru[29],"O")</f>
        <v>0</v>
      </c>
      <c r="AG12" s="113">
        <f>COUNTIF(Prisustvovanjeudecembru[30],"Ne")+COUNTIF(Prisustvovanjeudecembru[30],"O")</f>
        <v>0</v>
      </c>
      <c r="AH12" s="113">
        <f>COUNTIF(Prisustvovanjeudecembru[31],"Ne")+COUNTIF(Prisustvovanjeudecembru[31],"O")</f>
        <v>0</v>
      </c>
      <c r="AI12" s="113">
        <f>SUBTOTAL(109,Prisustvovanjeudecembru[Z])</f>
        <v>0</v>
      </c>
      <c r="AJ12" s="113">
        <f>SUBTOTAL(109,Prisustvovanjeudecembru[O])</f>
        <v>0</v>
      </c>
      <c r="AK12" s="113">
        <f>SUBTOTAL(109,Prisustvovanjeudecembru[Ne])</f>
        <v>0</v>
      </c>
      <c r="AL12" s="113">
        <f>SUBTOTAL(109,Prisustvovanjeudecembru[P])</f>
        <v>0</v>
      </c>
      <c r="AM12" s="113">
        <f>SUBTOTAL(109,Prisustvovanjeudecembru[Dani odsustvovanja])</f>
        <v>0</v>
      </c>
    </row>
    <row r="14" spans="1:40" ht="16.5" customHeight="1" x14ac:dyDescent="0.25"/>
    <row r="15" spans="1:40" ht="16.5" customHeight="1" x14ac:dyDescent="0.25"/>
    <row r="16" spans="1:40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I5:AM5"/>
  </mergeCells>
  <conditionalFormatting sqref="AM7:AM11">
    <cfRule type="dataBar" priority="6">
      <dataBar>
        <cfvo type="min"/>
        <cfvo type="num" val="31"/>
        <color theme="4"/>
      </dataBar>
      <extLst>
        <ext xmlns:x14="http://schemas.microsoft.com/office/spreadsheetml/2009/9/main" uri="{B025F937-C7B1-47D3-B67F-A62EFF666E3E}">
          <x14:id>{F1B3F415-3C3C-4616-B9AA-9BBD8C09A1CE}</x14:id>
        </ext>
      </extLst>
    </cfRule>
  </conditionalFormatting>
  <conditionalFormatting sqref="AG7:AI11">
    <cfRule type="expression" dxfId="671" priority="7" stopIfTrue="1">
      <formula>AG7=Šifra2</formula>
    </cfRule>
  </conditionalFormatting>
  <conditionalFormatting sqref="AG7:AH11">
    <cfRule type="expression" dxfId="670" priority="8" stopIfTrue="1">
      <formula>AG7=Šifra5</formula>
    </cfRule>
    <cfRule type="expression" dxfId="669" priority="9" stopIfTrue="1">
      <formula>AG7=Šifra4</formula>
    </cfRule>
    <cfRule type="expression" dxfId="668" priority="10" stopIfTrue="1">
      <formula>AG7=Šifra3</formula>
    </cfRule>
    <cfRule type="expression" dxfId="667" priority="11" stopIfTrue="1">
      <formula>AG7=Šifra1</formula>
    </cfRule>
  </conditionalFormatting>
  <conditionalFormatting sqref="D7:AF11">
    <cfRule type="expression" dxfId="666" priority="1" stopIfTrue="1">
      <formula>D7=Šifra2</formula>
    </cfRule>
  </conditionalFormatting>
  <conditionalFormatting sqref="D7:AF11">
    <cfRule type="expression" dxfId="665" priority="2" stopIfTrue="1">
      <formula>D7=Šifra5</formula>
    </cfRule>
    <cfRule type="expression" dxfId="664" priority="3" stopIfTrue="1">
      <formula>D7=Šifra4</formula>
    </cfRule>
    <cfRule type="expression" dxfId="663" priority="4" stopIfTrue="1">
      <formula>D7=Šifra3</formula>
    </cfRule>
    <cfRule type="expression" dxfId="662" priority="5" stopIfTrue="1">
      <formula>D7=Šifra1</formula>
    </cfRule>
  </conditionalFormatting>
  <dataValidations count="1">
    <dataValidation type="list" errorStyle="warning" allowBlank="1" showInputMessage="1" showErrorMessage="1" errorTitle="Ups!" error="ID učenika koji ste uneli nije na listu „Lista učenika“. Možete kliknuti na „Da“ da biste koristili ono što ste uneli, ali taj ID učenika neće biti dostupan na listu „Izveštaj o prisustvovanju učenika“." sqref="B7:B11">
      <formula1>IDučenika</formula1>
    </dataValidation>
  </dataValidations>
  <printOptions horizontalCentered="1"/>
  <pageMargins left="0.5" right="0.5" top="0.75" bottom="0.75" header="0.3" footer="0.3"/>
  <pageSetup paperSize="9" scale="5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B3F415-3C3C-4616-B9AA-9BBD8C09A1CE}">
            <x14:dataBar minLength="0" maxLength="100" border="1" negativeBarBorderColorSameAsPositive="0">
              <x14:cfvo type="autoMin"/>
              <x14:cfvo type="num">
                <xm:f>31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AM7:AM11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M264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customHeight="1" x14ac:dyDescent="0.25"/>
  <cols>
    <col min="1" max="1" width="2.7109375" style="11" customWidth="1"/>
    <col min="2" max="2" width="10.85546875" style="11" customWidth="1"/>
    <col min="3" max="3" width="28.85546875" style="12" customWidth="1"/>
    <col min="4" max="34" width="5" style="10" customWidth="1"/>
    <col min="35" max="35" width="4.7109375" style="9" customWidth="1"/>
    <col min="36" max="36" width="4.7109375" style="10" customWidth="1"/>
    <col min="37" max="38" width="4.7109375" style="11" customWidth="1"/>
    <col min="39" max="39" width="19.7109375" style="11" bestFit="1" customWidth="1"/>
    <col min="40" max="16384" width="9.140625" style="11"/>
  </cols>
  <sheetData>
    <row r="1" spans="1:39" s="1" customFormat="1" ht="42" customHeight="1" x14ac:dyDescent="0.25">
      <c r="A1" s="33" t="s">
        <v>86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6"/>
      <c r="AH1" s="34"/>
      <c r="AI1" s="34"/>
      <c r="AJ1" s="37"/>
      <c r="AK1" s="34"/>
      <c r="AL1" s="53" t="s">
        <v>69</v>
      </c>
      <c r="AM1" s="54">
        <f>Kalendarskagodina</f>
        <v>2012</v>
      </c>
    </row>
    <row r="2" spans="1:39" customFormat="1" ht="13.5" x14ac:dyDescent="0.25"/>
    <row r="3" spans="1:39" s="28" customFormat="1" ht="12.75" customHeight="1" x14ac:dyDescent="0.25">
      <c r="C3" s="40" t="str">
        <f>Teksthromakija</f>
        <v xml:space="preserve">HROMA KI </v>
      </c>
      <c r="D3" s="47" t="str">
        <f>Šifra1</f>
        <v>Z</v>
      </c>
      <c r="E3" s="64" t="str">
        <f>Tekstšifre1</f>
        <v>Zakasnio</v>
      </c>
      <c r="F3" s="55"/>
      <c r="H3" s="48" t="str">
        <f>Šifra2</f>
        <v>O</v>
      </c>
      <c r="I3" s="52" t="str">
        <f>Tekstšifre2</f>
        <v>Opravdan</v>
      </c>
      <c r="L3" s="49" t="str">
        <f>Šifra3</f>
        <v>Ne</v>
      </c>
      <c r="M3" s="52" t="str">
        <f>Tekstšifre3</f>
        <v>Neopravdan</v>
      </c>
      <c r="P3" s="50" t="str">
        <f>Šifra4</f>
        <v>P</v>
      </c>
      <c r="Q3" s="52" t="str">
        <f>Tekstšifre4</f>
        <v>Prisutan</v>
      </c>
      <c r="T3" s="51" t="str">
        <f>Šifra5</f>
        <v>N</v>
      </c>
      <c r="U3" s="52" t="str">
        <f>Tekstšifre5</f>
        <v>Nema škole</v>
      </c>
      <c r="W3"/>
      <c r="X3"/>
      <c r="Y3"/>
      <c r="AD3" s="27"/>
      <c r="AE3" s="27"/>
      <c r="AH3" s="29"/>
      <c r="AI3" s="30"/>
      <c r="AK3" s="31"/>
    </row>
    <row r="4" spans="1:39" customFormat="1" ht="16.5" customHeight="1" x14ac:dyDescent="0.25"/>
    <row r="5" spans="1:39" s="2" customFormat="1" ht="18" customHeight="1" x14ac:dyDescent="0.3">
      <c r="B5" s="57">
        <f>DATE(Kalendarskagodina+1,1,1)</f>
        <v>41275</v>
      </c>
      <c r="C5" s="56"/>
      <c r="D5" s="38" t="str">
        <f>TEXT(WEEKDAY(DATE(Kalendarskagodina+1,1,1),1),"aaa")</f>
        <v>uto</v>
      </c>
      <c r="E5" s="38" t="str">
        <f>TEXT(WEEKDAY(DATE(Kalendarskagodina+1,1,2),1),"aaa")</f>
        <v>sre</v>
      </c>
      <c r="F5" s="38" t="str">
        <f>TEXT(WEEKDAY(DATE(Kalendarskagodina+1,1,3),1),"aaa")</f>
        <v>čet</v>
      </c>
      <c r="G5" s="38" t="str">
        <f>TEXT(WEEKDAY(DATE(Kalendarskagodina+1,1,4),1),"aaa")</f>
        <v>pet</v>
      </c>
      <c r="H5" s="38" t="str">
        <f>TEXT(WEEKDAY(DATE(Kalendarskagodina+1,1,5),1),"aaa")</f>
        <v>sub</v>
      </c>
      <c r="I5" s="38" t="str">
        <f>TEXT(WEEKDAY(DATE(Kalendarskagodina+1,1,6),1),"aaa")</f>
        <v>ned</v>
      </c>
      <c r="J5" s="38" t="str">
        <f>TEXT(WEEKDAY(DATE(Kalendarskagodina+1,1,7),1),"aaa")</f>
        <v>pon</v>
      </c>
      <c r="K5" s="38" t="str">
        <f>TEXT(WEEKDAY(DATE(Kalendarskagodina+1,1,8),1),"aaa")</f>
        <v>uto</v>
      </c>
      <c r="L5" s="38" t="str">
        <f>TEXT(WEEKDAY(DATE(Kalendarskagodina+1,1,9),1),"aaa")</f>
        <v>sre</v>
      </c>
      <c r="M5" s="38" t="str">
        <f>TEXT(WEEKDAY(DATE(Kalendarskagodina+1,1,10),1),"aaa")</f>
        <v>čet</v>
      </c>
      <c r="N5" s="38" t="str">
        <f>TEXT(WEEKDAY(DATE(Kalendarskagodina+1,1,11),1),"aaa")</f>
        <v>pet</v>
      </c>
      <c r="O5" s="38" t="str">
        <f>TEXT(WEEKDAY(DATE(Kalendarskagodina+1,1,12),1),"aaa")</f>
        <v>sub</v>
      </c>
      <c r="P5" s="38" t="str">
        <f>TEXT(WEEKDAY(DATE(Kalendarskagodina+1,1,13),1),"aaa")</f>
        <v>ned</v>
      </c>
      <c r="Q5" s="38" t="str">
        <f>TEXT(WEEKDAY(DATE(Kalendarskagodina+1,1,14),1),"aaa")</f>
        <v>pon</v>
      </c>
      <c r="R5" s="38" t="str">
        <f>TEXT(WEEKDAY(DATE(Kalendarskagodina+1,1,15),1),"aaa")</f>
        <v>uto</v>
      </c>
      <c r="S5" s="38" t="str">
        <f>TEXT(WEEKDAY(DATE(Kalendarskagodina+1,1,16),1),"aaa")</f>
        <v>sre</v>
      </c>
      <c r="T5" s="38" t="str">
        <f>TEXT(WEEKDAY(DATE(Kalendarskagodina+1,1,17),1),"aaa")</f>
        <v>čet</v>
      </c>
      <c r="U5" s="38" t="str">
        <f>TEXT(WEEKDAY(DATE(Kalendarskagodina+1,1,18),1),"aaa")</f>
        <v>pet</v>
      </c>
      <c r="V5" s="38" t="str">
        <f>TEXT(WEEKDAY(DATE(Kalendarskagodina+1,1,19),1),"aaa")</f>
        <v>sub</v>
      </c>
      <c r="W5" s="38" t="str">
        <f>TEXT(WEEKDAY(DATE(Kalendarskagodina+1,1,20),1),"aaa")</f>
        <v>ned</v>
      </c>
      <c r="X5" s="38" t="str">
        <f>TEXT(WEEKDAY(DATE(Kalendarskagodina+1,1,21),1),"aaa")</f>
        <v>pon</v>
      </c>
      <c r="Y5" s="38" t="str">
        <f>TEXT(WEEKDAY(DATE(Kalendarskagodina+1,1,22),1),"aaa")</f>
        <v>uto</v>
      </c>
      <c r="Z5" s="38" t="str">
        <f>TEXT(WEEKDAY(DATE(Kalendarskagodina+1,1,23),1),"aaa")</f>
        <v>sre</v>
      </c>
      <c r="AA5" s="38" t="str">
        <f>TEXT(WEEKDAY(DATE(Kalendarskagodina+1,1,24),1),"aaa")</f>
        <v>čet</v>
      </c>
      <c r="AB5" s="38" t="str">
        <f>TEXT(WEEKDAY(DATE(Kalendarskagodina+1,1,25),1),"aaa")</f>
        <v>pet</v>
      </c>
      <c r="AC5" s="38" t="str">
        <f>TEXT(WEEKDAY(DATE(Kalendarskagodina+1,1,26),1),"aaa")</f>
        <v>sub</v>
      </c>
      <c r="AD5" s="38" t="str">
        <f>TEXT(WEEKDAY(DATE(Kalendarskagodina+1,1,27),1),"aaa")</f>
        <v>ned</v>
      </c>
      <c r="AE5" s="38" t="str">
        <f>TEXT(WEEKDAY(DATE(Kalendarskagodina+1,1,28),1),"aaa")</f>
        <v>pon</v>
      </c>
      <c r="AF5" s="38" t="str">
        <f>TEXT(WEEKDAY(DATE(Kalendarskagodina+1,1,29),1),"aaa")</f>
        <v>uto</v>
      </c>
      <c r="AG5" s="38" t="str">
        <f>TEXT(WEEKDAY(DATE(Kalendarskagodina+1,1,30),1),"aaa")</f>
        <v>sre</v>
      </c>
      <c r="AH5" s="38" t="str">
        <f>TEXT(WEEKDAY(DATE(Kalendarskagodina+1,1,31),1),"aaa")</f>
        <v>čet</v>
      </c>
      <c r="AI5" s="129" t="s">
        <v>38</v>
      </c>
      <c r="AJ5" s="129"/>
      <c r="AK5" s="129"/>
      <c r="AL5" s="129"/>
      <c r="AM5" s="129"/>
    </row>
    <row r="6" spans="1:39" ht="14.25" customHeight="1" x14ac:dyDescent="0.25">
      <c r="B6" s="24" t="s">
        <v>34</v>
      </c>
      <c r="C6" s="25" t="s">
        <v>36</v>
      </c>
      <c r="D6" s="26" t="s">
        <v>0</v>
      </c>
      <c r="E6" s="26" t="s">
        <v>1</v>
      </c>
      <c r="F6" s="26" t="s">
        <v>2</v>
      </c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26" t="s">
        <v>15</v>
      </c>
      <c r="T6" s="26" t="s">
        <v>16</v>
      </c>
      <c r="U6" s="26" t="s">
        <v>17</v>
      </c>
      <c r="V6" s="26" t="s">
        <v>18</v>
      </c>
      <c r="W6" s="26" t="s">
        <v>19</v>
      </c>
      <c r="X6" s="26" t="s">
        <v>20</v>
      </c>
      <c r="Y6" s="26" t="s">
        <v>21</v>
      </c>
      <c r="Z6" s="26" t="s">
        <v>22</v>
      </c>
      <c r="AA6" s="26" t="s">
        <v>23</v>
      </c>
      <c r="AB6" s="26" t="s">
        <v>24</v>
      </c>
      <c r="AC6" s="26" t="s">
        <v>25</v>
      </c>
      <c r="AD6" s="26" t="s">
        <v>26</v>
      </c>
      <c r="AE6" s="26" t="s">
        <v>27</v>
      </c>
      <c r="AF6" s="26" t="s">
        <v>28</v>
      </c>
      <c r="AG6" s="26" t="s">
        <v>29</v>
      </c>
      <c r="AH6" s="26" t="s">
        <v>30</v>
      </c>
      <c r="AI6" s="89" t="s">
        <v>127</v>
      </c>
      <c r="AJ6" s="65" t="s">
        <v>128</v>
      </c>
      <c r="AK6" s="66" t="s">
        <v>129</v>
      </c>
      <c r="AL6" s="67" t="s">
        <v>31</v>
      </c>
      <c r="AM6" t="s">
        <v>37</v>
      </c>
    </row>
    <row r="7" spans="1:39" ht="16.5" customHeight="1" x14ac:dyDescent="0.25">
      <c r="B7" s="23"/>
      <c r="C7" s="19" t="str">
        <f>IFERROR(VLOOKUP(Prisustvovanjeujanuaru[[#This Row],[ID učenika]],Listaučenika[],18,FALSE),"")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3"/>
      <c r="AH7" s="3"/>
      <c r="AI7" s="32">
        <f>COUNTIF(Prisustvovanjeujanuaru[[#This Row],[1]:[31]],Šifra1)</f>
        <v>0</v>
      </c>
      <c r="AJ7" s="32">
        <f>COUNTIF(Prisustvovanjeujanuaru[[#This Row],[1]:[31]],Šifra2)</f>
        <v>0</v>
      </c>
      <c r="AK7" s="32">
        <f>COUNTIF(Prisustvovanjeujanuaru[[#This Row],[1]:[31]],Šifra3)</f>
        <v>0</v>
      </c>
      <c r="AL7" s="32">
        <f>COUNTIF(Prisustvovanjeujanuaru[[#This Row],[1]:[31]],Šifra4)</f>
        <v>0</v>
      </c>
      <c r="AM7" s="6">
        <f>SUM(Prisustvovanjeuseptembru[[#This Row],[O]:[Ne]])</f>
        <v>0</v>
      </c>
    </row>
    <row r="8" spans="1:39" ht="16.5" customHeight="1" x14ac:dyDescent="0.25">
      <c r="B8" s="23"/>
      <c r="C8" s="19" t="str">
        <f>IFERROR(VLOOKUP(Prisustvovanjeujanuaru[[#This Row],[ID učenika]],Listaučenika[],18,FALSE),"")</f>
        <v/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3"/>
      <c r="AH8" s="3"/>
      <c r="AI8" s="32">
        <f>COUNTIF(Prisustvovanjeujanuaru[[#This Row],[1]:[31]],Šifra1)</f>
        <v>0</v>
      </c>
      <c r="AJ8" s="32">
        <f>COUNTIF(Prisustvovanjeujanuaru[[#This Row],[1]:[31]],Šifra2)</f>
        <v>0</v>
      </c>
      <c r="AK8" s="32">
        <f>COUNTIF(Prisustvovanjeujanuaru[[#This Row],[1]:[31]],Šifra3)</f>
        <v>0</v>
      </c>
      <c r="AL8" s="32">
        <f>COUNTIF(Prisustvovanjeujanuaru[[#This Row],[1]:[31]],Šifra4)</f>
        <v>0</v>
      </c>
      <c r="AM8" s="6">
        <f>SUM(Prisustvovanjeuseptembru[[#This Row],[O]:[Ne]])</f>
        <v>0</v>
      </c>
    </row>
    <row r="9" spans="1:39" ht="16.5" customHeight="1" x14ac:dyDescent="0.25">
      <c r="B9" s="23"/>
      <c r="C9" s="19" t="str">
        <f>IFERROR(VLOOKUP(Prisustvovanjeujanuaru[[#This Row],[ID učenika]],Listaučenika[],18,FALSE),"")</f>
        <v/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3"/>
      <c r="AH9" s="3"/>
      <c r="AI9" s="32">
        <f>COUNTIF(Prisustvovanjeujanuaru[[#This Row],[1]:[31]],Šifra1)</f>
        <v>0</v>
      </c>
      <c r="AJ9" s="32">
        <f>COUNTIF(Prisustvovanjeujanuaru[[#This Row],[1]:[31]],Šifra2)</f>
        <v>0</v>
      </c>
      <c r="AK9" s="32">
        <f>COUNTIF(Prisustvovanjeujanuaru[[#This Row],[1]:[31]],Šifra3)</f>
        <v>0</v>
      </c>
      <c r="AL9" s="32">
        <f>COUNTIF(Prisustvovanjeujanuaru[[#This Row],[1]:[31]],Šifra4)</f>
        <v>0</v>
      </c>
      <c r="AM9" s="6">
        <f>SUM(Prisustvovanjeuseptembru[[#This Row],[O]:[Ne]])</f>
        <v>0</v>
      </c>
    </row>
    <row r="10" spans="1:39" ht="16.5" customHeight="1" x14ac:dyDescent="0.25">
      <c r="B10" s="23"/>
      <c r="C10" s="19" t="str">
        <f>IFERROR(VLOOKUP(Prisustvovanjeujanuaru[[#This Row],[ID učenika]],Listaučenika[],18,FALSE),"")</f>
        <v/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3"/>
      <c r="AH10" s="3"/>
      <c r="AI10" s="32">
        <f>COUNTIF(Prisustvovanjeujanuaru[[#This Row],[1]:[31]],Šifra1)</f>
        <v>0</v>
      </c>
      <c r="AJ10" s="32">
        <f>COUNTIF(Prisustvovanjeujanuaru[[#This Row],[1]:[31]],Šifra2)</f>
        <v>0</v>
      </c>
      <c r="AK10" s="32">
        <f>COUNTIF(Prisustvovanjeujanuaru[[#This Row],[1]:[31]],Šifra3)</f>
        <v>0</v>
      </c>
      <c r="AL10" s="32">
        <f>COUNTIF(Prisustvovanjeujanuaru[[#This Row],[1]:[31]],Šifra4)</f>
        <v>0</v>
      </c>
      <c r="AM10" s="6">
        <f>SUM(Prisustvovanjeuseptembru[[#This Row],[O]:[Ne]])</f>
        <v>0</v>
      </c>
    </row>
    <row r="11" spans="1:39" ht="16.5" customHeight="1" x14ac:dyDescent="0.25">
      <c r="B11" s="23"/>
      <c r="C11" s="19" t="str">
        <f>IFERROR(VLOOKUP(Prisustvovanjeujanuaru[[#This Row],[ID učenika]],Listaučenika[],18,FALSE),"")</f>
        <v/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3"/>
      <c r="AH11" s="3"/>
      <c r="AI11" s="32">
        <f>COUNTIF(Prisustvovanjeujanuaru[[#This Row],[1]:[31]],Šifra1)</f>
        <v>0</v>
      </c>
      <c r="AJ11" s="32">
        <f>COUNTIF(Prisustvovanjeujanuaru[[#This Row],[1]:[31]],Šifra2)</f>
        <v>0</v>
      </c>
      <c r="AK11" s="32">
        <f>COUNTIF(Prisustvovanjeujanuaru[[#This Row],[1]:[31]],Šifra3)</f>
        <v>0</v>
      </c>
      <c r="AL11" s="32">
        <f>COUNTIF(Prisustvovanjeujanuaru[[#This Row],[1]:[31]],Šifra4)</f>
        <v>0</v>
      </c>
      <c r="AM11" s="6">
        <f>SUM(Prisustvovanjeuseptembru[[#This Row],[O]:[Ne]])</f>
        <v>0</v>
      </c>
    </row>
    <row r="12" spans="1:39" ht="16.5" customHeight="1" x14ac:dyDescent="0.25">
      <c r="B12" s="111"/>
      <c r="C12" s="112" t="s">
        <v>117</v>
      </c>
      <c r="D12" s="113">
        <f>COUNTIF(Prisustvovanjeujanuaru[1],"Ne")+COUNTIF(Prisustvovanjeujanuaru[1],"O")</f>
        <v>0</v>
      </c>
      <c r="E12" s="113">
        <f>COUNTIF(Prisustvovanjeujanuaru[2],"Ne")+COUNTIF(Prisustvovanjeujanuaru[2],"O")</f>
        <v>0</v>
      </c>
      <c r="F12" s="113">
        <f>COUNTIF(Prisustvovanjeujanuaru[3],"Ne")+COUNTIF(Prisustvovanjeujanuaru[3],"O")</f>
        <v>0</v>
      </c>
      <c r="G12" s="113">
        <f>COUNTIF(Prisustvovanjeujanuaru[4],"Ne")+COUNTIF(Prisustvovanjeujanuaru[4],"O")</f>
        <v>0</v>
      </c>
      <c r="H12" s="113">
        <f>COUNTIF(Prisustvovanjeujanuaru[5],"Ne")+COUNTIF(Prisustvovanjeujanuaru[5],"O")</f>
        <v>0</v>
      </c>
      <c r="I12" s="113">
        <f>COUNTIF(Prisustvovanjeujanuaru[6],"Ne")+COUNTIF(Prisustvovanjeujanuaru[6],"O")</f>
        <v>0</v>
      </c>
      <c r="J12" s="113">
        <f>COUNTIF(Prisustvovanjeujanuaru[7],"Ne")+COUNTIF(Prisustvovanjeujanuaru[7],"O")</f>
        <v>0</v>
      </c>
      <c r="K12" s="113">
        <f>COUNTIF(Prisustvovanjeujanuaru[8],"Ne")+COUNTIF(Prisustvovanjeujanuaru[8],"O")</f>
        <v>0</v>
      </c>
      <c r="L12" s="113">
        <f>COUNTIF(Prisustvovanjeujanuaru[9],"Ne")+COUNTIF(Prisustvovanjeujanuaru[9],"O")</f>
        <v>0</v>
      </c>
      <c r="M12" s="113">
        <f>COUNTIF(Prisustvovanjeujanuaru[10],"Ne")+COUNTIF(Prisustvovanjeujanuaru[10],"O")</f>
        <v>0</v>
      </c>
      <c r="N12" s="113">
        <f>COUNTIF(Prisustvovanjeujanuaru[11],"Ne")+COUNTIF(Prisustvovanjeujanuaru[11],"O")</f>
        <v>0</v>
      </c>
      <c r="O12" s="113">
        <f>COUNTIF(Prisustvovanjeujanuaru[12],"Ne")+COUNTIF(Prisustvovanjeujanuaru[12],"O")</f>
        <v>0</v>
      </c>
      <c r="P12" s="113">
        <f>COUNTIF(Prisustvovanjeujanuaru[13],"Ne")+COUNTIF(Prisustvovanjeujanuaru[13],"O")</f>
        <v>0</v>
      </c>
      <c r="Q12" s="113">
        <f>COUNTIF(Prisustvovanjeujanuaru[14],"Ne")+COUNTIF(Prisustvovanjeujanuaru[14],"O")</f>
        <v>0</v>
      </c>
      <c r="R12" s="113">
        <f>COUNTIF(Prisustvovanjeujanuaru[15],"Ne")+COUNTIF(Prisustvovanjeujanuaru[15],"O")</f>
        <v>0</v>
      </c>
      <c r="S12" s="113">
        <f>COUNTIF(Prisustvovanjeujanuaru[16],"Ne")+COUNTIF(Prisustvovanjeujanuaru[16],"O")</f>
        <v>0</v>
      </c>
      <c r="T12" s="113">
        <f>COUNTIF(Prisustvovanjeujanuaru[17],"Ne")+COUNTIF(Prisustvovanjeujanuaru[17],"O")</f>
        <v>0</v>
      </c>
      <c r="U12" s="113">
        <f>COUNTIF(Prisustvovanjeujanuaru[18],"Ne")+COUNTIF(Prisustvovanjeujanuaru[18],"O")</f>
        <v>0</v>
      </c>
      <c r="V12" s="113">
        <f>COUNTIF(Prisustvovanjeujanuaru[19],"Ne")+COUNTIF(Prisustvovanjeujanuaru[19],"O")</f>
        <v>0</v>
      </c>
      <c r="W12" s="113">
        <f>COUNTIF(Prisustvovanjeujanuaru[20],"Ne")+COUNTIF(Prisustvovanjeujanuaru[20],"O")</f>
        <v>0</v>
      </c>
      <c r="X12" s="113">
        <f>COUNTIF(Prisustvovanjeujanuaru[21],"Ne")+COUNTIF(Prisustvovanjeujanuaru[21],"O")</f>
        <v>0</v>
      </c>
      <c r="Y12" s="113">
        <f>COUNTIF(Prisustvovanjeujanuaru[22],"Ne")+COUNTIF(Prisustvovanjeujanuaru[22],"O")</f>
        <v>0</v>
      </c>
      <c r="Z12" s="113">
        <f>COUNTIF(Prisustvovanjeujanuaru[23],"Ne")+COUNTIF(Prisustvovanjeujanuaru[23],"O")</f>
        <v>0</v>
      </c>
      <c r="AA12" s="113">
        <f>COUNTIF(Prisustvovanjeujanuaru[24],"Ne")+COUNTIF(Prisustvovanjeujanuaru[24],"O")</f>
        <v>0</v>
      </c>
      <c r="AB12" s="113">
        <f>COUNTIF(Prisustvovanjeujanuaru[25],"Ne")+COUNTIF(Prisustvovanjeujanuaru[25],"O")</f>
        <v>0</v>
      </c>
      <c r="AC12" s="113">
        <f>COUNTIF(Prisustvovanjeujanuaru[26],"Ne")+COUNTIF(Prisustvovanjeujanuaru[26],"O")</f>
        <v>0</v>
      </c>
      <c r="AD12" s="113">
        <f>COUNTIF(Prisustvovanjeujanuaru[27],"Ne")+COUNTIF(Prisustvovanjeujanuaru[27],"O")</f>
        <v>0</v>
      </c>
      <c r="AE12" s="113">
        <f>COUNTIF(Prisustvovanjeujanuaru[28],"Ne")+COUNTIF(Prisustvovanjeujanuaru[28],"O")</f>
        <v>0</v>
      </c>
      <c r="AF12" s="113">
        <f>COUNTIF(Prisustvovanjeujanuaru[29],"Ne")+COUNTIF(Prisustvovanjeujanuaru[29],"O")</f>
        <v>0</v>
      </c>
      <c r="AG12" s="113">
        <f>COUNTIF(Prisustvovanjeujanuaru[30],"Ne")+COUNTIF(Prisustvovanjeujanuaru[30],"O")</f>
        <v>0</v>
      </c>
      <c r="AH12" s="113">
        <f>COUNTIF(Prisustvovanjeujanuaru[31],"Ne")+COUNTIF(Prisustvovanjeujanuaru[31],"O")</f>
        <v>0</v>
      </c>
      <c r="AI12" s="113">
        <f>SUBTOTAL(109,Prisustvovanjeujanuaru[Z])</f>
        <v>0</v>
      </c>
      <c r="AJ12" s="113">
        <f>SUBTOTAL(109,Prisustvovanjeujanuaru[O])</f>
        <v>0</v>
      </c>
      <c r="AK12" s="113">
        <f>SUBTOTAL(109,Prisustvovanjeujanuaru[Ne])</f>
        <v>0</v>
      </c>
      <c r="AL12" s="113">
        <f>SUBTOTAL(109,Prisustvovanjeujanuaru[P])</f>
        <v>0</v>
      </c>
      <c r="AM12" s="113">
        <f>SUBTOTAL(109,Prisustvovanjeujanuaru[Dani odsustvovanja])</f>
        <v>0</v>
      </c>
    </row>
    <row r="14" spans="1:39" ht="16.5" customHeight="1" x14ac:dyDescent="0.25"/>
    <row r="15" spans="1:39" ht="16.5" customHeight="1" x14ac:dyDescent="0.25"/>
    <row r="16" spans="1:3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I5:AM5"/>
  </mergeCells>
  <conditionalFormatting sqref="AM7:AM11">
    <cfRule type="dataBar" priority="3">
      <dataBar>
        <cfvo type="min"/>
        <cfvo type="num" val="DATEDIF(DATE(Kalendarskagodina,2,1),DATE(Kalendarskagodina,3,1),&quot;d&quot;)"/>
        <color theme="4"/>
      </dataBar>
      <extLst>
        <ext xmlns:x14="http://schemas.microsoft.com/office/spreadsheetml/2009/9/main" uri="{B025F937-C7B1-47D3-B67F-A62EFF666E3E}">
          <x14:id>{14404821-1BA2-401A-A36D-E7C5CA142FF7}</x14:id>
        </ext>
      </extLst>
    </cfRule>
  </conditionalFormatting>
  <conditionalFormatting sqref="D7:AF11">
    <cfRule type="expression" dxfId="588" priority="4" stopIfTrue="1">
      <formula>D7=Šifra2</formula>
    </cfRule>
  </conditionalFormatting>
  <conditionalFormatting sqref="D7:AF11">
    <cfRule type="expression" dxfId="587" priority="5" stopIfTrue="1">
      <formula>D7=Šifra5</formula>
    </cfRule>
    <cfRule type="expression" dxfId="586" priority="6" stopIfTrue="1">
      <formula>D7=Šifra4</formula>
    </cfRule>
    <cfRule type="expression" dxfId="585" priority="7" stopIfTrue="1">
      <formula>D7=Šifra3</formula>
    </cfRule>
    <cfRule type="expression" dxfId="584" priority="8" stopIfTrue="1">
      <formula>D7=Šifra1</formula>
    </cfRule>
  </conditionalFormatting>
  <dataValidations count="1">
    <dataValidation type="list" errorStyle="warning" allowBlank="1" showInputMessage="1" showErrorMessage="1" errorTitle="Ups!" error="ID učenika koji ste uneli nije na listu „Lista učenika“. Možete kliknuti na „Da“ da biste koristili ono što ste uneli, ali taj ID učenika neće biti dostupan na listu „Izveštaj o prisustvovanju učenika“." sqref="B7:B11">
      <formula1>IDučenika</formula1>
    </dataValidation>
  </dataValidations>
  <printOptions horizontalCentered="1"/>
  <pageMargins left="0.5" right="0.5" top="0.75" bottom="0.75" header="0.3" footer="0.3"/>
  <pageSetup paperSize="9" scale="58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404821-1BA2-401A-A36D-E7C5CA142FF7}">
            <x14:dataBar minLength="0" maxLength="100" border="1" negativeBarBorderColorSameAsPositive="0">
              <x14:cfvo type="autoMin"/>
              <x14:cfvo type="num">
                <xm:f>DATEDIF(DATE(Kalendarskagodina,2,1),DATE(Kalendarskagodina,3,1),"d")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AM7:AM11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M264"/>
  <sheetViews>
    <sheetView showGridLines="0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customHeight="1" x14ac:dyDescent="0.25"/>
  <cols>
    <col min="1" max="1" width="2.7109375" style="11" customWidth="1"/>
    <col min="2" max="2" width="10.85546875" style="11" customWidth="1"/>
    <col min="3" max="3" width="28.85546875" style="12" customWidth="1"/>
    <col min="4" max="34" width="5" style="10" customWidth="1"/>
    <col min="35" max="35" width="4.7109375" style="9" customWidth="1"/>
    <col min="36" max="36" width="4.7109375" style="10" customWidth="1"/>
    <col min="37" max="38" width="4.7109375" style="11" customWidth="1"/>
    <col min="39" max="39" width="19.7109375" style="11" bestFit="1" customWidth="1"/>
    <col min="40" max="16384" width="9.140625" style="11"/>
  </cols>
  <sheetData>
    <row r="1" spans="1:39" s="1" customFormat="1" ht="42" customHeight="1" x14ac:dyDescent="0.25">
      <c r="A1" s="33" t="s">
        <v>86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6"/>
      <c r="AH1" s="34"/>
      <c r="AI1" s="34"/>
      <c r="AJ1" s="37"/>
      <c r="AK1" s="34"/>
      <c r="AL1" s="53" t="s">
        <v>69</v>
      </c>
      <c r="AM1" s="54">
        <f>Kalendarskagodina</f>
        <v>2012</v>
      </c>
    </row>
    <row r="2" spans="1:39" customFormat="1" ht="13.5" x14ac:dyDescent="0.25"/>
    <row r="3" spans="1:39" s="28" customFormat="1" ht="12.75" customHeight="1" x14ac:dyDescent="0.25">
      <c r="C3" s="40" t="str">
        <f>Teksthromakija</f>
        <v xml:space="preserve">HROMA KI </v>
      </c>
      <c r="D3" s="47" t="str">
        <f>Šifra1</f>
        <v>Z</v>
      </c>
      <c r="E3" s="64" t="str">
        <f>Tekstšifre1</f>
        <v>Zakasnio</v>
      </c>
      <c r="F3" s="55"/>
      <c r="H3" s="48" t="str">
        <f>Šifra2</f>
        <v>O</v>
      </c>
      <c r="I3" s="52" t="str">
        <f>Tekstšifre2</f>
        <v>Opravdan</v>
      </c>
      <c r="L3" s="49" t="str">
        <f>Šifra3</f>
        <v>Ne</v>
      </c>
      <c r="M3" s="52" t="str">
        <f>Tekstšifre3</f>
        <v>Neopravdan</v>
      </c>
      <c r="P3" s="50" t="str">
        <f>Šifra4</f>
        <v>P</v>
      </c>
      <c r="Q3" s="52" t="str">
        <f>Tekstšifre4</f>
        <v>Prisutan</v>
      </c>
      <c r="T3" s="51" t="str">
        <f>Šifra5</f>
        <v>N</v>
      </c>
      <c r="U3" s="52" t="str">
        <f>Tekstšifre5</f>
        <v>Nema škole</v>
      </c>
      <c r="W3"/>
      <c r="X3"/>
      <c r="Y3"/>
      <c r="AD3" s="27"/>
      <c r="AE3" s="27"/>
      <c r="AH3" s="29"/>
      <c r="AI3" s="30"/>
      <c r="AK3" s="31"/>
    </row>
    <row r="4" spans="1:39" customFormat="1" ht="16.5" customHeight="1" x14ac:dyDescent="0.25"/>
    <row r="5" spans="1:39" s="2" customFormat="1" ht="18" customHeight="1" x14ac:dyDescent="0.3">
      <c r="B5" s="57">
        <f>DATE(Kalendarskagodina+1,2,1)</f>
        <v>41306</v>
      </c>
      <c r="C5" s="56"/>
      <c r="D5" s="38" t="str">
        <f>TEXT(WEEKDAY(DATE(Kalendarskagodina+1,2,1),1),"aaa")</f>
        <v>pet</v>
      </c>
      <c r="E5" s="38" t="str">
        <f>TEXT(WEEKDAY(DATE(Kalendarskagodina+1,2,2),1),"aaa")</f>
        <v>sub</v>
      </c>
      <c r="F5" s="38" t="str">
        <f>TEXT(WEEKDAY(DATE(Kalendarskagodina+1,2,3),1),"aaa")</f>
        <v>ned</v>
      </c>
      <c r="G5" s="38" t="str">
        <f>TEXT(WEEKDAY(DATE(Kalendarskagodina+1,2,4),1),"aaa")</f>
        <v>pon</v>
      </c>
      <c r="H5" s="38" t="str">
        <f>TEXT(WEEKDAY(DATE(Kalendarskagodina+1,2,5),1),"aaa")</f>
        <v>uto</v>
      </c>
      <c r="I5" s="38" t="str">
        <f>TEXT(WEEKDAY(DATE(Kalendarskagodina+1,2,6),1),"aaa")</f>
        <v>sre</v>
      </c>
      <c r="J5" s="38" t="str">
        <f>TEXT(WEEKDAY(DATE(Kalendarskagodina+1,2,7),1),"aaa")</f>
        <v>čet</v>
      </c>
      <c r="K5" s="38" t="str">
        <f>TEXT(WEEKDAY(DATE(Kalendarskagodina+1,2,8),1),"aaa")</f>
        <v>pet</v>
      </c>
      <c r="L5" s="38" t="str">
        <f>TEXT(WEEKDAY(DATE(Kalendarskagodina+1,2,9),1),"aaa")</f>
        <v>sub</v>
      </c>
      <c r="M5" s="38" t="str">
        <f>TEXT(WEEKDAY(DATE(Kalendarskagodina+1,2,10),1),"aaa")</f>
        <v>ned</v>
      </c>
      <c r="N5" s="38" t="str">
        <f>TEXT(WEEKDAY(DATE(Kalendarskagodina+1,2,11),1),"aaa")</f>
        <v>pon</v>
      </c>
      <c r="O5" s="38" t="str">
        <f>TEXT(WEEKDAY(DATE(Kalendarskagodina+1,2,12),1),"aaa")</f>
        <v>uto</v>
      </c>
      <c r="P5" s="38" t="str">
        <f>TEXT(WEEKDAY(DATE(Kalendarskagodina+1,2,13),1),"aaa")</f>
        <v>sre</v>
      </c>
      <c r="Q5" s="38" t="str">
        <f>TEXT(WEEKDAY(DATE(Kalendarskagodina+1,2,14),1),"aaa")</f>
        <v>čet</v>
      </c>
      <c r="R5" s="38" t="str">
        <f>TEXT(WEEKDAY(DATE(Kalendarskagodina+1,2,15),1),"aaa")</f>
        <v>pet</v>
      </c>
      <c r="S5" s="38" t="str">
        <f>TEXT(WEEKDAY(DATE(Kalendarskagodina+1,2,16),1),"aaa")</f>
        <v>sub</v>
      </c>
      <c r="T5" s="38" t="str">
        <f>TEXT(WEEKDAY(DATE(Kalendarskagodina+1,2,17),1),"aaa")</f>
        <v>ned</v>
      </c>
      <c r="U5" s="38" t="str">
        <f>TEXT(WEEKDAY(DATE(Kalendarskagodina+1,2,18),1),"aaa")</f>
        <v>pon</v>
      </c>
      <c r="V5" s="38" t="str">
        <f>TEXT(WEEKDAY(DATE(Kalendarskagodina+1,2,19),1),"aaa")</f>
        <v>uto</v>
      </c>
      <c r="W5" s="38" t="str">
        <f>TEXT(WEEKDAY(DATE(Kalendarskagodina+1,2,20),1),"aaa")</f>
        <v>sre</v>
      </c>
      <c r="X5" s="38" t="str">
        <f>TEXT(WEEKDAY(DATE(Kalendarskagodina+1,2,21),1),"aaa")</f>
        <v>čet</v>
      </c>
      <c r="Y5" s="38" t="str">
        <f>TEXT(WEEKDAY(DATE(Kalendarskagodina+1,2,22),1),"aaa")</f>
        <v>pet</v>
      </c>
      <c r="Z5" s="38" t="str">
        <f>TEXT(WEEKDAY(DATE(Kalendarskagodina+1,2,23),1),"aaa")</f>
        <v>sub</v>
      </c>
      <c r="AA5" s="38" t="str">
        <f>TEXT(WEEKDAY(DATE(Kalendarskagodina+1,2,24),1),"aaa")</f>
        <v>ned</v>
      </c>
      <c r="AB5" s="38" t="str">
        <f>TEXT(WEEKDAY(DATE(Kalendarskagodina+1,2,25),1),"aaa")</f>
        <v>pon</v>
      </c>
      <c r="AC5" s="38" t="str">
        <f>TEXT(WEEKDAY(DATE(Kalendarskagodina+1,2,26),1),"aaa")</f>
        <v>uto</v>
      </c>
      <c r="AD5" s="38" t="str">
        <f>TEXT(WEEKDAY(DATE(Kalendarskagodina+1,2,27),1),"aaa")</f>
        <v>sre</v>
      </c>
      <c r="AE5" s="38" t="str">
        <f>TEXT(WEEKDAY(DATE(Kalendarskagodina+1,2,28),1),"aaa")</f>
        <v>čet</v>
      </c>
      <c r="AF5" s="38" t="str">
        <f>TEXT(WEEKDAY(DATE(Kalendarskagodina+1,2,29),1),"aaa")</f>
        <v>pet</v>
      </c>
      <c r="AG5" s="38"/>
      <c r="AH5" s="38"/>
      <c r="AI5" s="129" t="s">
        <v>38</v>
      </c>
      <c r="AJ5" s="129"/>
      <c r="AK5" s="129"/>
      <c r="AL5" s="129"/>
      <c r="AM5" s="129"/>
    </row>
    <row r="6" spans="1:39" ht="14.25" customHeight="1" x14ac:dyDescent="0.25">
      <c r="B6" s="24" t="s">
        <v>34</v>
      </c>
      <c r="C6" s="25" t="s">
        <v>36</v>
      </c>
      <c r="D6" s="26" t="s">
        <v>0</v>
      </c>
      <c r="E6" s="26" t="s">
        <v>1</v>
      </c>
      <c r="F6" s="26" t="s">
        <v>2</v>
      </c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6" t="s">
        <v>11</v>
      </c>
      <c r="P6" s="26" t="s">
        <v>12</v>
      </c>
      <c r="Q6" s="26" t="s">
        <v>13</v>
      </c>
      <c r="R6" s="26" t="s">
        <v>14</v>
      </c>
      <c r="S6" s="26" t="s">
        <v>15</v>
      </c>
      <c r="T6" s="26" t="s">
        <v>16</v>
      </c>
      <c r="U6" s="26" t="s">
        <v>17</v>
      </c>
      <c r="V6" s="26" t="s">
        <v>18</v>
      </c>
      <c r="W6" s="26" t="s">
        <v>19</v>
      </c>
      <c r="X6" s="26" t="s">
        <v>20</v>
      </c>
      <c r="Y6" s="26" t="s">
        <v>21</v>
      </c>
      <c r="Z6" s="26" t="s">
        <v>22</v>
      </c>
      <c r="AA6" s="26" t="s">
        <v>23</v>
      </c>
      <c r="AB6" s="26" t="s">
        <v>24</v>
      </c>
      <c r="AC6" s="26" t="s">
        <v>25</v>
      </c>
      <c r="AD6" s="26" t="s">
        <v>26</v>
      </c>
      <c r="AE6" s="26" t="s">
        <v>27</v>
      </c>
      <c r="AF6" s="26" t="s">
        <v>28</v>
      </c>
      <c r="AG6" s="26" t="s">
        <v>29</v>
      </c>
      <c r="AH6" s="26" t="s">
        <v>30</v>
      </c>
      <c r="AI6" s="89" t="s">
        <v>127</v>
      </c>
      <c r="AJ6" s="65" t="s">
        <v>128</v>
      </c>
      <c r="AK6" s="66" t="s">
        <v>129</v>
      </c>
      <c r="AL6" s="67" t="s">
        <v>31</v>
      </c>
      <c r="AM6" t="s">
        <v>37</v>
      </c>
    </row>
    <row r="7" spans="1:39" ht="16.5" customHeight="1" x14ac:dyDescent="0.25">
      <c r="B7" s="23"/>
      <c r="C7" s="19" t="str">
        <f>IFERROR(VLOOKUP(Prisustvovanjeufebruaru[[#This Row],[ID učenika]],Listaučenika[],18,FALSE),"")</f>
        <v/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2"/>
      <c r="AG7" s="3"/>
      <c r="AH7" s="3"/>
      <c r="AI7" s="32">
        <f>COUNTIF(Prisustvovanjeufebruaru[[#This Row],[1]:[31]],Šifra1)</f>
        <v>0</v>
      </c>
      <c r="AJ7" s="32">
        <f>COUNTIF(Prisustvovanjeufebruaru[[#This Row],[1]:[31]],Šifra2)</f>
        <v>0</v>
      </c>
      <c r="AK7" s="32">
        <f>COUNTIF(Prisustvovanjeufebruaru[[#This Row],[1]:[31]],Šifra3)</f>
        <v>0</v>
      </c>
      <c r="AL7" s="32">
        <f>COUNTIF(Prisustvovanjeufebruaru[[#This Row],[1]:[31]],Šifra4)</f>
        <v>0</v>
      </c>
      <c r="AM7" s="6">
        <f>SUM(Prisustvovanjeuseptembru[[#This Row],[O]:[Ne]])</f>
        <v>0</v>
      </c>
    </row>
    <row r="8" spans="1:39" ht="16.5" customHeight="1" x14ac:dyDescent="0.25">
      <c r="B8" s="23"/>
      <c r="C8" s="19" t="str">
        <f>IFERROR(VLOOKUP(Prisustvovanjeufebruaru[[#This Row],[ID učenika]],Listaučenika[],18,FALSE),"")</f>
        <v/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3"/>
      <c r="AH8" s="3"/>
      <c r="AI8" s="32">
        <f>COUNTIF(Prisustvovanjeufebruaru[[#This Row],[1]:[31]],Šifra1)</f>
        <v>0</v>
      </c>
      <c r="AJ8" s="32">
        <f>COUNTIF(Prisustvovanjeufebruaru[[#This Row],[1]:[31]],Šifra2)</f>
        <v>0</v>
      </c>
      <c r="AK8" s="32">
        <f>COUNTIF(Prisustvovanjeufebruaru[[#This Row],[1]:[31]],Šifra3)</f>
        <v>0</v>
      </c>
      <c r="AL8" s="32">
        <f>COUNTIF(Prisustvovanjeufebruaru[[#This Row],[1]:[31]],Šifra4)</f>
        <v>0</v>
      </c>
      <c r="AM8" s="6">
        <f>SUM(Prisustvovanjeuseptembru[[#This Row],[O]:[Ne]])</f>
        <v>0</v>
      </c>
    </row>
    <row r="9" spans="1:39" ht="16.5" customHeight="1" x14ac:dyDescent="0.25">
      <c r="B9" s="23"/>
      <c r="C9" s="19" t="str">
        <f>IFERROR(VLOOKUP(Prisustvovanjeufebruaru[[#This Row],[ID učenika]],Listaučenika[],18,FALSE),"")</f>
        <v/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  <c r="AG9" s="3"/>
      <c r="AH9" s="3"/>
      <c r="AI9" s="32">
        <f>COUNTIF(Prisustvovanjeufebruaru[[#This Row],[1]:[31]],Šifra1)</f>
        <v>0</v>
      </c>
      <c r="AJ9" s="32">
        <f>COUNTIF(Prisustvovanjeufebruaru[[#This Row],[1]:[31]],Šifra2)</f>
        <v>0</v>
      </c>
      <c r="AK9" s="32">
        <f>COUNTIF(Prisustvovanjeufebruaru[[#This Row],[1]:[31]],Šifra3)</f>
        <v>0</v>
      </c>
      <c r="AL9" s="32">
        <f>COUNTIF(Prisustvovanjeufebruaru[[#This Row],[1]:[31]],Šifra4)</f>
        <v>0</v>
      </c>
      <c r="AM9" s="6">
        <f>SUM(Prisustvovanjeuseptembru[[#This Row],[O]:[Ne]])</f>
        <v>0</v>
      </c>
    </row>
    <row r="10" spans="1:39" ht="16.5" customHeight="1" x14ac:dyDescent="0.25">
      <c r="B10" s="23"/>
      <c r="C10" s="19" t="str">
        <f>IFERROR(VLOOKUP(Prisustvovanjeufebruaru[[#This Row],[ID učenika]],Listaučenika[],18,FALSE),"")</f>
        <v/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  <c r="AG10" s="3"/>
      <c r="AH10" s="3"/>
      <c r="AI10" s="32">
        <f>COUNTIF(Prisustvovanjeufebruaru[[#This Row],[1]:[31]],Šifra1)</f>
        <v>0</v>
      </c>
      <c r="AJ10" s="32">
        <f>COUNTIF(Prisustvovanjeufebruaru[[#This Row],[1]:[31]],Šifra2)</f>
        <v>0</v>
      </c>
      <c r="AK10" s="32">
        <f>COUNTIF(Prisustvovanjeufebruaru[[#This Row],[1]:[31]],Šifra3)</f>
        <v>0</v>
      </c>
      <c r="AL10" s="32">
        <f>COUNTIF(Prisustvovanjeufebruaru[[#This Row],[1]:[31]],Šifra4)</f>
        <v>0</v>
      </c>
      <c r="AM10" s="6">
        <f>SUM(Prisustvovanjeuseptembru[[#This Row],[O]:[Ne]])</f>
        <v>0</v>
      </c>
    </row>
    <row r="11" spans="1:39" ht="16.5" customHeight="1" x14ac:dyDescent="0.25">
      <c r="B11" s="23"/>
      <c r="C11" s="19" t="str">
        <f>IFERROR(VLOOKUP(Prisustvovanjeufebruaru[[#This Row],[ID učenika]],Listaučenika[],18,FALSE),"")</f>
        <v/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2"/>
      <c r="AG11" s="3"/>
      <c r="AH11" s="3"/>
      <c r="AI11" s="32">
        <f>COUNTIF(Prisustvovanjeufebruaru[[#This Row],[1]:[31]],Šifra1)</f>
        <v>0</v>
      </c>
      <c r="AJ11" s="32">
        <f>COUNTIF(Prisustvovanjeufebruaru[[#This Row],[1]:[31]],Šifra2)</f>
        <v>0</v>
      </c>
      <c r="AK11" s="32">
        <f>COUNTIF(Prisustvovanjeufebruaru[[#This Row],[1]:[31]],Šifra3)</f>
        <v>0</v>
      </c>
      <c r="AL11" s="32">
        <f>COUNTIF(Prisustvovanjeufebruaru[[#This Row],[1]:[31]],Šifra4)</f>
        <v>0</v>
      </c>
      <c r="AM11" s="6">
        <f>SUM(Prisustvovanjeuseptembru[[#This Row],[O]:[Ne]])</f>
        <v>0</v>
      </c>
    </row>
    <row r="12" spans="1:39" ht="16.5" customHeight="1" x14ac:dyDescent="0.25">
      <c r="B12" s="111"/>
      <c r="C12" s="112" t="s">
        <v>117</v>
      </c>
      <c r="D12" s="113">
        <f>COUNTIF(Prisustvovanjeufebruaru[1],"Ne")+COUNTIF(Prisustvovanjeufebruaru[1],"O")</f>
        <v>0</v>
      </c>
      <c r="E12" s="113">
        <f>COUNTIF(Prisustvovanjeufebruaru[2],"Ne")+COUNTIF(Prisustvovanjeufebruaru[2],"O")</f>
        <v>0</v>
      </c>
      <c r="F12" s="113">
        <f>COUNTIF(Prisustvovanjeufebruaru[3],"Ne")+COUNTIF(Prisustvovanjeufebruaru[3],"O")</f>
        <v>0</v>
      </c>
      <c r="G12" s="113">
        <f>COUNTIF(Prisustvovanjeufebruaru[4],"Ne")+COUNTIF(Prisustvovanjeufebruaru[4],"O")</f>
        <v>0</v>
      </c>
      <c r="H12" s="113">
        <f>COUNTIF(Prisustvovanjeufebruaru[5],"Ne")+COUNTIF(Prisustvovanjeufebruaru[5],"O")</f>
        <v>0</v>
      </c>
      <c r="I12" s="113">
        <f>COUNTIF(Prisustvovanjeufebruaru[6],"Ne")+COUNTIF(Prisustvovanjeufebruaru[6],"O")</f>
        <v>0</v>
      </c>
      <c r="J12" s="113">
        <f>COUNTIF(Prisustvovanjeufebruaru[7],"Ne")+COUNTIF(Prisustvovanjeufebruaru[7],"O")</f>
        <v>0</v>
      </c>
      <c r="K12" s="113">
        <f>COUNTIF(Prisustvovanjeufebruaru[8],"Ne")+COUNTIF(Prisustvovanjeufebruaru[8],"O")</f>
        <v>0</v>
      </c>
      <c r="L12" s="113">
        <f>COUNTIF(Prisustvovanjeufebruaru[9],"Ne")+COUNTIF(Prisustvovanjeufebruaru[9],"O")</f>
        <v>0</v>
      </c>
      <c r="M12" s="113">
        <f>COUNTIF(Prisustvovanjeufebruaru[10],"Ne")+COUNTIF(Prisustvovanjeufebruaru[10],"O")</f>
        <v>0</v>
      </c>
      <c r="N12" s="113">
        <f>COUNTIF(Prisustvovanjeufebruaru[11],"Ne")+COUNTIF(Prisustvovanjeufebruaru[11],"O")</f>
        <v>0</v>
      </c>
      <c r="O12" s="113">
        <f>COUNTIF(Prisustvovanjeufebruaru[12],"Ne")+COUNTIF(Prisustvovanjeufebruaru[12],"O")</f>
        <v>0</v>
      </c>
      <c r="P12" s="113">
        <f>COUNTIF(Prisustvovanjeufebruaru[13],"Ne")+COUNTIF(Prisustvovanjeufebruaru[13],"O")</f>
        <v>0</v>
      </c>
      <c r="Q12" s="113">
        <f>COUNTIF(Prisustvovanjeufebruaru[14],"Ne")+COUNTIF(Prisustvovanjeufebruaru[14],"O")</f>
        <v>0</v>
      </c>
      <c r="R12" s="113">
        <f>COUNTIF(Prisustvovanjeufebruaru[15],"Ne")+COUNTIF(Prisustvovanjeufebruaru[15],"O")</f>
        <v>0</v>
      </c>
      <c r="S12" s="113">
        <f>COUNTIF(Prisustvovanjeufebruaru[16],"Ne")+COUNTIF(Prisustvovanjeufebruaru[16],"O")</f>
        <v>0</v>
      </c>
      <c r="T12" s="113">
        <f>COUNTIF(Prisustvovanjeufebruaru[17],"Ne")+COUNTIF(Prisustvovanjeufebruaru[17],"O")</f>
        <v>0</v>
      </c>
      <c r="U12" s="113">
        <f>COUNTIF(Prisustvovanjeufebruaru[18],"Ne")+COUNTIF(Prisustvovanjeufebruaru[18],"O")</f>
        <v>0</v>
      </c>
      <c r="V12" s="113">
        <f>COUNTIF(Prisustvovanjeufebruaru[19],"Ne")+COUNTIF(Prisustvovanjeufebruaru[19],"O")</f>
        <v>0</v>
      </c>
      <c r="W12" s="113">
        <f>COUNTIF(Prisustvovanjeufebruaru[20],"Ne")+COUNTIF(Prisustvovanjeufebruaru[20],"O")</f>
        <v>0</v>
      </c>
      <c r="X12" s="113">
        <f>COUNTIF(Prisustvovanjeufebruaru[21],"Ne")+COUNTIF(Prisustvovanjeufebruaru[21],"O")</f>
        <v>0</v>
      </c>
      <c r="Y12" s="113">
        <f>COUNTIF(Prisustvovanjeufebruaru[22],"Ne")+COUNTIF(Prisustvovanjeufebruaru[22],"O")</f>
        <v>0</v>
      </c>
      <c r="Z12" s="113">
        <f>COUNTIF(Prisustvovanjeufebruaru[23],"Ne")+COUNTIF(Prisustvovanjeufebruaru[23],"O")</f>
        <v>0</v>
      </c>
      <c r="AA12" s="113">
        <f>COUNTIF(Prisustvovanjeufebruaru[24],"Ne")+COUNTIF(Prisustvovanjeufebruaru[24],"O")</f>
        <v>0</v>
      </c>
      <c r="AB12" s="113">
        <f>COUNTIF(Prisustvovanjeufebruaru[25],"Ne")+COUNTIF(Prisustvovanjeufebruaru[25],"O")</f>
        <v>0</v>
      </c>
      <c r="AC12" s="113">
        <f>COUNTIF(Prisustvovanjeufebruaru[26],"Ne")+COUNTIF(Prisustvovanjeufebruaru[26],"O")</f>
        <v>0</v>
      </c>
      <c r="AD12" s="113">
        <f>COUNTIF(Prisustvovanjeufebruaru[27],"Ne")+COUNTIF(Prisustvovanjeufebruaru[27],"O")</f>
        <v>0</v>
      </c>
      <c r="AE12" s="113">
        <f>COUNTIF(Prisustvovanjeufebruaru[28],"Ne")+COUNTIF(Prisustvovanjeufebruaru[28],"O")</f>
        <v>0</v>
      </c>
      <c r="AF12" s="113">
        <f>COUNTIF(Prisustvovanjeufebruaru[29],"Ne")+COUNTIF(Prisustvovanjeufebruaru[29],"O")</f>
        <v>0</v>
      </c>
      <c r="AG12" s="113">
        <f>COUNTIF(Prisustvovanjeufebruaru[30],"Ne")+COUNTIF(Prisustvovanjeufebruaru[30],"O")</f>
        <v>0</v>
      </c>
      <c r="AH12" s="113">
        <f>COUNTIF(Prisustvovanjeufebruaru[31],"Ne")+COUNTIF(Prisustvovanjeufebruaru[31],"O")</f>
        <v>0</v>
      </c>
      <c r="AI12" s="113">
        <f>SUBTOTAL(109,Prisustvovanjeufebruaru[Z])</f>
        <v>0</v>
      </c>
      <c r="AJ12" s="113">
        <f>SUBTOTAL(109,Prisustvovanjeufebruaru[O])</f>
        <v>0</v>
      </c>
      <c r="AK12" s="113">
        <f>SUBTOTAL(109,Prisustvovanjeufebruaru[Ne])</f>
        <v>0</v>
      </c>
      <c r="AL12" s="113">
        <f>SUBTOTAL(109,Prisustvovanjeufebruaru[P])</f>
        <v>0</v>
      </c>
      <c r="AM12" s="113">
        <f>SUBTOTAL(109,Prisustvovanjeufebruaru[Dani odsustvovanja])</f>
        <v>0</v>
      </c>
    </row>
    <row r="14" spans="1:39" ht="16.5" customHeight="1" x14ac:dyDescent="0.25"/>
    <row r="15" spans="1:39" ht="16.5" customHeight="1" x14ac:dyDescent="0.25"/>
    <row r="16" spans="1:3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16.5" customHeight="1" x14ac:dyDescent="0.25"/>
    <row r="44" ht="16.5" customHeight="1" x14ac:dyDescent="0.25"/>
    <row r="45" ht="16.5" customHeight="1" x14ac:dyDescent="0.25"/>
    <row r="46" ht="16.5" customHeight="1" x14ac:dyDescent="0.25"/>
    <row r="47" ht="16.5" customHeight="1" x14ac:dyDescent="0.25"/>
    <row r="48" ht="16.5" customHeight="1" x14ac:dyDescent="0.25"/>
    <row r="49" ht="16.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I5:AM5"/>
  </mergeCells>
  <conditionalFormatting sqref="AM7:AM11">
    <cfRule type="dataBar" priority="3">
      <dataBar>
        <cfvo type="min"/>
        <cfvo type="num" val="DATEDIF(DATE(Kalendarskagodina,2,1),DATE(Kalendarskagodina,3,1),&quot;d&quot;)"/>
        <color theme="4"/>
      </dataBar>
      <extLst>
        <ext xmlns:x14="http://schemas.microsoft.com/office/spreadsheetml/2009/9/main" uri="{B025F937-C7B1-47D3-B67F-A62EFF666E3E}">
          <x14:id>{AB18F5F5-27F6-438D-8C1C-359FFE3EF7E4}</x14:id>
        </ext>
      </extLst>
    </cfRule>
  </conditionalFormatting>
  <conditionalFormatting sqref="AF5:AH5">
    <cfRule type="expression" dxfId="505" priority="2">
      <formula>DATE(Kalendarskagodina+1,2,AF6)&gt;EOMONTH(DATE(Kalendarskagodina+1,1,1),1)</formula>
    </cfRule>
  </conditionalFormatting>
  <conditionalFormatting sqref="D7:AF11">
    <cfRule type="expression" dxfId="504" priority="5" stopIfTrue="1">
      <formula>D7=Šifra2</formula>
    </cfRule>
  </conditionalFormatting>
  <conditionalFormatting sqref="D7:AF11">
    <cfRule type="expression" dxfId="503" priority="6" stopIfTrue="1">
      <formula>D7=Šifra5</formula>
    </cfRule>
    <cfRule type="expression" dxfId="502" priority="7" stopIfTrue="1">
      <formula>D7=Šifra4</formula>
    </cfRule>
    <cfRule type="expression" dxfId="501" priority="8" stopIfTrue="1">
      <formula>D7=Šifra3</formula>
    </cfRule>
    <cfRule type="expression" dxfId="500" priority="9" stopIfTrue="1">
      <formula>D7=Šifra1</formula>
    </cfRule>
  </conditionalFormatting>
  <conditionalFormatting sqref="AF6:AH6">
    <cfRule type="expression" dxfId="499" priority="1">
      <formula>DATE(Kalendarskagodina+1,2,AF6)&gt;EOMONTH(DATE(Kalendarskagodina+1,1,1),1)</formula>
    </cfRule>
  </conditionalFormatting>
  <dataValidations count="1">
    <dataValidation type="list" errorStyle="warning" allowBlank="1" showInputMessage="1" showErrorMessage="1" errorTitle="Ups!" error="ID učenika koji ste uneli nije na listu „Lista učenika“. Možete kliknuti na „Da“ da biste koristili ono što ste uneli, ali taj ID učenika neće biti dostupan na listu „Izveštaj o prisustvovanju učenika“." sqref="B7:B11">
      <formula1>IDučenika</formula1>
    </dataValidation>
  </dataValidations>
  <printOptions horizontalCentered="1"/>
  <pageMargins left="0.5" right="0.5" top="0.75" bottom="0.75" header="0.3" footer="0.3"/>
  <pageSetup paperSize="9" scale="58" fitToHeight="0" orientation="landscape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18F5F5-27F6-438D-8C1C-359FFE3EF7E4}">
            <x14:dataBar minLength="0" maxLength="100" border="1" negativeBarBorderColorSameAsPositive="0">
              <x14:cfvo type="autoMin"/>
              <x14:cfvo type="num">
                <xm:f>DATEDIF(DATE(Kalendarskagodina,2,1),DATE(Kalendarskagodina,3,1),"d")</xm:f>
              </x14:cfvo>
              <x14:borderColor theme="4"/>
              <x14:negativeFillColor rgb="FFFF0000"/>
              <x14:negativeBorderColor rgb="FFFF0000"/>
              <x14:axisColor rgb="FF000000"/>
            </x14:dataBar>
          </x14:cfRule>
          <xm:sqref>AM7:AM11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7eaa704-8282-4e7f-93d1-7f7bd3a7d29a">english</DirectSourceMarket>
    <ApprovalStatus xmlns="b7eaa704-8282-4e7f-93d1-7f7bd3a7d29a">InProgress</ApprovalStatus>
    <MarketSpecific xmlns="b7eaa704-8282-4e7f-93d1-7f7bd3a7d29a">false</MarketSpecific>
    <LocComments xmlns="b7eaa704-8282-4e7f-93d1-7f7bd3a7d29a" xsi:nil="true"/>
    <ThumbnailAssetId xmlns="b7eaa704-8282-4e7f-93d1-7f7bd3a7d29a" xsi:nil="true"/>
    <PrimaryImageGen xmlns="b7eaa704-8282-4e7f-93d1-7f7bd3a7d29a">true</PrimaryImageGen>
    <LegacyData xmlns="b7eaa704-8282-4e7f-93d1-7f7bd3a7d29a" xsi:nil="true"/>
    <LocRecommendedHandoff xmlns="b7eaa704-8282-4e7f-93d1-7f7bd3a7d29a" xsi:nil="true"/>
    <BusinessGroup xmlns="b7eaa704-8282-4e7f-93d1-7f7bd3a7d29a" xsi:nil="true"/>
    <BlockPublish xmlns="b7eaa704-8282-4e7f-93d1-7f7bd3a7d29a">false</BlockPublish>
    <TPFriendlyName xmlns="b7eaa704-8282-4e7f-93d1-7f7bd3a7d29a" xsi:nil="true"/>
    <NumericId xmlns="b7eaa704-8282-4e7f-93d1-7f7bd3a7d29a" xsi:nil="true"/>
    <APEditor xmlns="b7eaa704-8282-4e7f-93d1-7f7bd3a7d29a">
      <UserInfo>
        <DisplayName/>
        <AccountId xsi:nil="true"/>
        <AccountType/>
      </UserInfo>
    </APEditor>
    <SourceTitle xmlns="b7eaa704-8282-4e7f-93d1-7f7bd3a7d29a" xsi:nil="true"/>
    <OpenTemplate xmlns="b7eaa704-8282-4e7f-93d1-7f7bd3a7d29a">true</OpenTemplate>
    <UALocComments xmlns="b7eaa704-8282-4e7f-93d1-7f7bd3a7d29a" xsi:nil="true"/>
    <ParentAssetId xmlns="b7eaa704-8282-4e7f-93d1-7f7bd3a7d29a" xsi:nil="true"/>
    <IntlLangReviewDate xmlns="b7eaa704-8282-4e7f-93d1-7f7bd3a7d29a" xsi:nil="true"/>
    <FeatureTagsTaxHTField0 xmlns="b7eaa704-8282-4e7f-93d1-7f7bd3a7d29a">
      <Terms xmlns="http://schemas.microsoft.com/office/infopath/2007/PartnerControls"/>
    </FeatureTagsTaxHTField0>
    <PublishStatusLookup xmlns="b7eaa704-8282-4e7f-93d1-7f7bd3a7d29a">
      <Value>207594</Value>
    </PublishStatusLookup>
    <Providers xmlns="b7eaa704-8282-4e7f-93d1-7f7bd3a7d29a" xsi:nil="true"/>
    <MachineTranslated xmlns="b7eaa704-8282-4e7f-93d1-7f7bd3a7d29a">false</MachineTranslated>
    <OriginalSourceMarket xmlns="b7eaa704-8282-4e7f-93d1-7f7bd3a7d29a">english</OriginalSourceMarket>
    <APDescription xmlns="b7eaa704-8282-4e7f-93d1-7f7bd3a7d29a">Teachers can use this handy template to track the attendance of all their students by month and year. Detailed instructions are included.
</APDescription>
    <ClipArtFilename xmlns="b7eaa704-8282-4e7f-93d1-7f7bd3a7d29a" xsi:nil="true"/>
    <ContentItem xmlns="b7eaa704-8282-4e7f-93d1-7f7bd3a7d29a" xsi:nil="true"/>
    <TPInstallLocation xmlns="b7eaa704-8282-4e7f-93d1-7f7bd3a7d29a" xsi:nil="true"/>
    <PublishTargets xmlns="b7eaa704-8282-4e7f-93d1-7f7bd3a7d29a">OfficeOnlineVNext</PublishTargets>
    <TimesCloned xmlns="b7eaa704-8282-4e7f-93d1-7f7bd3a7d29a" xsi:nil="true"/>
    <AssetStart xmlns="b7eaa704-8282-4e7f-93d1-7f7bd3a7d29a">2011-12-15T00:32:00+00:00</AssetStart>
    <Provider xmlns="b7eaa704-8282-4e7f-93d1-7f7bd3a7d29a" xsi:nil="true"/>
    <AcquiredFrom xmlns="b7eaa704-8282-4e7f-93d1-7f7bd3a7d29a">Internal MS</AcquiredFrom>
    <FriendlyTitle xmlns="b7eaa704-8282-4e7f-93d1-7f7bd3a7d29a" xsi:nil="true"/>
    <LastHandOff xmlns="b7eaa704-8282-4e7f-93d1-7f7bd3a7d29a" xsi:nil="true"/>
    <TPClientViewer xmlns="b7eaa704-8282-4e7f-93d1-7f7bd3a7d29a" xsi:nil="true"/>
    <UACurrentWords xmlns="b7eaa704-8282-4e7f-93d1-7f7bd3a7d29a" xsi:nil="true"/>
    <ArtSampleDocs xmlns="b7eaa704-8282-4e7f-93d1-7f7bd3a7d29a" xsi:nil="true"/>
    <UALocRecommendation xmlns="b7eaa704-8282-4e7f-93d1-7f7bd3a7d29a">Localize</UALocRecommendation>
    <Manager xmlns="b7eaa704-8282-4e7f-93d1-7f7bd3a7d29a" xsi:nil="true"/>
    <ShowIn xmlns="b7eaa704-8282-4e7f-93d1-7f7bd3a7d29a">Show everywhere</ShowIn>
    <UANotes xmlns="b7eaa704-8282-4e7f-93d1-7f7bd3a7d29a" xsi:nil="true"/>
    <TemplateStatus xmlns="b7eaa704-8282-4e7f-93d1-7f7bd3a7d29a">Complete</TemplateStatus>
    <InternalTagsTaxHTField0 xmlns="b7eaa704-8282-4e7f-93d1-7f7bd3a7d29a">
      <Terms xmlns="http://schemas.microsoft.com/office/infopath/2007/PartnerControls"/>
    </InternalTagsTaxHTField0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AssetExpire xmlns="b7eaa704-8282-4e7f-93d1-7f7bd3a7d29a">2035-01-01T08:00:00+00:00</AssetExpire>
    <DSATActionTaken xmlns="b7eaa704-8282-4e7f-93d1-7f7bd3a7d29a" xsi:nil="true"/>
    <CSXSubmissionMarket xmlns="b7eaa704-8282-4e7f-93d1-7f7bd3a7d29a" xsi:nil="true"/>
    <TPExecutable xmlns="b7eaa704-8282-4e7f-93d1-7f7bd3a7d29a" xsi:nil="true"/>
    <SubmitterId xmlns="b7eaa704-8282-4e7f-93d1-7f7bd3a7d29a" xsi:nil="true"/>
    <EditorialTags xmlns="b7eaa704-8282-4e7f-93d1-7f7bd3a7d29a" xsi:nil="true"/>
    <ApprovalLog xmlns="b7eaa704-8282-4e7f-93d1-7f7bd3a7d29a" xsi:nil="true"/>
    <AssetType xmlns="b7eaa704-8282-4e7f-93d1-7f7bd3a7d29a">TP</AssetType>
    <BugNumber xmlns="b7eaa704-8282-4e7f-93d1-7f7bd3a7d29a" xsi:nil="true"/>
    <CSXSubmissionDate xmlns="b7eaa704-8282-4e7f-93d1-7f7bd3a7d29a" xsi:nil="true"/>
    <CSXUpdate xmlns="b7eaa704-8282-4e7f-93d1-7f7bd3a7d29a">false</CSXUpdate>
    <Milestone xmlns="b7eaa704-8282-4e7f-93d1-7f7bd3a7d29a" xsi:nil="true"/>
    <RecommendationsModifier xmlns="b7eaa704-8282-4e7f-93d1-7f7bd3a7d29a" xsi:nil="true"/>
    <OriginAsset xmlns="b7eaa704-8282-4e7f-93d1-7f7bd3a7d29a" xsi:nil="true"/>
    <TPComponent xmlns="b7eaa704-8282-4e7f-93d1-7f7bd3a7d29a" xsi:nil="true"/>
    <AssetId xmlns="b7eaa704-8282-4e7f-93d1-7f7bd3a7d29a">TP102802368</AssetId>
    <IntlLocPriority xmlns="b7eaa704-8282-4e7f-93d1-7f7bd3a7d29a" xsi:nil="true"/>
    <PolicheckWords xmlns="b7eaa704-8282-4e7f-93d1-7f7bd3a7d29a" xsi:nil="true"/>
    <TPLaunchHelpLink xmlns="b7eaa704-8282-4e7f-93d1-7f7bd3a7d29a" xsi:nil="true"/>
    <TPApplication xmlns="b7eaa704-8282-4e7f-93d1-7f7bd3a7d29a" xsi:nil="true"/>
    <CrawlForDependencies xmlns="b7eaa704-8282-4e7f-93d1-7f7bd3a7d29a">false</CrawlForDependencies>
    <HandoffToMSDN xmlns="b7eaa704-8282-4e7f-93d1-7f7bd3a7d29a" xsi:nil="true"/>
    <PlannedPubDate xmlns="b7eaa704-8282-4e7f-93d1-7f7bd3a7d29a" xsi:nil="true"/>
    <IntlLangReviewer xmlns="b7eaa704-8282-4e7f-93d1-7f7bd3a7d29a" xsi:nil="true"/>
    <TrustLevel xmlns="b7eaa704-8282-4e7f-93d1-7f7bd3a7d29a">1 Microsoft Managed Content</TrustLevel>
    <LocLastLocAttemptVersionLookup xmlns="b7eaa704-8282-4e7f-93d1-7f7bd3a7d29a">712809</LocLastLocAttemptVersionLookup>
    <IsSearchable xmlns="b7eaa704-8282-4e7f-93d1-7f7bd3a7d29a">true</IsSearchable>
    <TemplateTemplateType xmlns="b7eaa704-8282-4e7f-93d1-7f7bd3a7d29a">Excel 2007 Default</TemplateTemplateType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Markets xmlns="b7eaa704-8282-4e7f-93d1-7f7bd3a7d29a"/>
    <UAProjectedTotalWords xmlns="b7eaa704-8282-4e7f-93d1-7f7bd3a7d29a" xsi:nil="true"/>
    <IntlLangReview xmlns="b7eaa704-8282-4e7f-93d1-7f7bd3a7d29a">false</IntlLangReview>
    <OutputCachingOn xmlns="b7eaa704-8282-4e7f-93d1-7f7bd3a7d29a">false</OutputCachingOn>
    <APAuthor xmlns="b7eaa704-8282-4e7f-93d1-7f7bd3a7d29a">
      <UserInfo>
        <DisplayName>REDMOND\v-aptall</DisplayName>
        <AccountId>2566</AccountId>
        <AccountType/>
      </UserInfo>
    </APAuthor>
    <LocManualTestRequired xmlns="b7eaa704-8282-4e7f-93d1-7f7bd3a7d29a">false</LocManualTestRequired>
    <TPCommandLine xmlns="b7eaa704-8282-4e7f-93d1-7f7bd3a7d29a" xsi:nil="true"/>
    <TPAppVersion xmlns="b7eaa704-8282-4e7f-93d1-7f7bd3a7d29a" xsi:nil="true"/>
    <EditorialStatus xmlns="b7eaa704-8282-4e7f-93d1-7f7bd3a7d29a">Complete</EditorialStatus>
    <LastModifiedDateTime xmlns="b7eaa704-8282-4e7f-93d1-7f7bd3a7d29a" xsi:nil="true"/>
    <ScenarioTagsTaxHTField0 xmlns="b7eaa704-8282-4e7f-93d1-7f7bd3a7d29a">
      <Terms xmlns="http://schemas.microsoft.com/office/infopath/2007/PartnerControls"/>
    </ScenarioTagsTaxHTField0>
    <OriginalRelease xmlns="b7eaa704-8282-4e7f-93d1-7f7bd3a7d29a">14</OriginalRelease>
    <TPLaunchHelpLinkType xmlns="b7eaa704-8282-4e7f-93d1-7f7bd3a7d29a">Template</TPLaunchHelpLinkType>
    <LocalizationTagsTaxHTField0 xmlns="b7eaa704-8282-4e7f-93d1-7f7bd3a7d29a">
      <Terms xmlns="http://schemas.microsoft.com/office/infopath/2007/PartnerControls"/>
    </LocalizationTagsTaxHTField0>
    <LocMarketGroupTiers2 xmlns="b7eaa704-8282-4e7f-93d1-7f7bd3a7d29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CD18CD-13F4-472B-B1AB-DDBE2AC449C0}"/>
</file>

<file path=customXml/itemProps2.xml><?xml version="1.0" encoding="utf-8"?>
<ds:datastoreItem xmlns:ds="http://schemas.openxmlformats.org/officeDocument/2006/customXml" ds:itemID="{E8F49177-07E4-4945-8B2E-E6385401DEBD}"/>
</file>

<file path=customXml/itemProps3.xml><?xml version="1.0" encoding="utf-8"?>
<ds:datastoreItem xmlns:ds="http://schemas.openxmlformats.org/officeDocument/2006/customXml" ds:itemID="{BE5CAC09-523A-4472-B957-65E585319D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15</vt:i4>
      </vt:variant>
      <vt:variant>
        <vt:lpstr>Imenovani opsezi</vt:lpstr>
      </vt:variant>
      <vt:variant>
        <vt:i4>16</vt:i4>
      </vt:variant>
    </vt:vector>
  </HeadingPairs>
  <TitlesOfParts>
    <vt:vector size="31" baseType="lpstr">
      <vt:lpstr>Kako koristiti ovaj predložak</vt:lpstr>
      <vt:lpstr>Lista učenika</vt:lpstr>
      <vt:lpstr>Avgust</vt:lpstr>
      <vt:lpstr>Septembar</vt:lpstr>
      <vt:lpstr>Oktobar</vt:lpstr>
      <vt:lpstr>Novembar</vt:lpstr>
      <vt:lpstr>Decembar</vt:lpstr>
      <vt:lpstr>Januar</vt:lpstr>
      <vt:lpstr>Februar</vt:lpstr>
      <vt:lpstr>Mart</vt:lpstr>
      <vt:lpstr>April</vt:lpstr>
      <vt:lpstr>Maj</vt:lpstr>
      <vt:lpstr>Jun</vt:lpstr>
      <vt:lpstr>Jul</vt:lpstr>
      <vt:lpstr>Izveštaj o prisust. učenika</vt:lpstr>
      <vt:lpstr>IDučenika</vt:lpstr>
      <vt:lpstr>Imeučenika</vt:lpstr>
      <vt:lpstr>Kalendarskagodina</vt:lpstr>
      <vt:lpstr>'Lista učenika'!Odštampaj_naslove</vt:lpstr>
      <vt:lpstr>Pronalaženjeučenika</vt:lpstr>
      <vt:lpstr>Šifra1</vt:lpstr>
      <vt:lpstr>Šifra2</vt:lpstr>
      <vt:lpstr>Šifra3</vt:lpstr>
      <vt:lpstr>Šifra4</vt:lpstr>
      <vt:lpstr>Šifra5</vt:lpstr>
      <vt:lpstr>Teksthromakija</vt:lpstr>
      <vt:lpstr>Tekstšifre1</vt:lpstr>
      <vt:lpstr>Tekstšifre2</vt:lpstr>
      <vt:lpstr>Tekstšifre3</vt:lpstr>
      <vt:lpstr>Tekstšifre4</vt:lpstr>
      <vt:lpstr>Tekstšifre5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2011-04-01T16:06:21Z</dcterms:created>
  <dcterms:modified xsi:type="dcterms:W3CDTF">2012-07-03T05:37:48Z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0x0101003D94015EC833884A9172D1FEF9686517040055434A063F21C84898617D820CDA8502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