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27_FY13_Sep4\06_FromNanjing_CAW2+\SLV\O15 Excel\Templates\"/>
    </mc:Choice>
  </mc:AlternateContent>
  <bookViews>
    <workbookView xWindow="0" yWindow="0" windowWidth="15360" windowHeight="7155"/>
  </bookViews>
  <sheets>
    <sheet name="Dvanajstmesečni denarni tok" sheetId="1" r:id="rId1"/>
    <sheet name="Povzetek denarnega toka" sheetId="8" r:id="rId2"/>
  </sheets>
  <definedNames>
    <definedName name="OznakePodatkov">OFFSET(ZačetekOznakPodatkov,,SkupnePodatkovneTočke-1,1,-SkupnePodatkovneTočke)</definedName>
    <definedName name="PodatkovneVrednostiPrejemkov">OFFSET(ZačetekPrejemkov,,SkupnePodatkovneTočke-1,1,-SkupnePodatkovneTočke)</definedName>
    <definedName name="PodatkovneVrednostiRazpoložljivihSredstev">OFFSET(ZačetekRazpoložljivihSredstev,,SkupnePodatkovneTočke-1,1,-SkupnePodatkovneTočke)</definedName>
    <definedName name="PodatkovneVrednostiZaDenarnaIzplačila">OFFSET(ZačetekDenarnihIzplačil,,SkupnePodatkovneTočke-1,1,-SkupnePodatkovneTočke)</definedName>
    <definedName name="_xlnm.Print_Area" localSheetId="1">'Povzetek denarnega toka'!$A$1:$L$25</definedName>
    <definedName name="PoslovnoLeto">'Dvanajstmesečni denarni tok'!$P$2</definedName>
    <definedName name="SkupnePodatkovneTočke">'Povzetek denarnega toka'!$K$26</definedName>
    <definedName name="_xlnm.Print_Titles" localSheetId="0">'Dvanajstmesečni denarni tok'!$7:$7</definedName>
    <definedName name="ZačetekDenarnihIzplačil">Izplačila[[#Totals],[Stolpec2]]</definedName>
    <definedName name="ZačetekOznakPodatkov">'Dvanajstmesečni denarni tok'!$B$7</definedName>
    <definedName name="ZačetekPrejemkov">Prejemki[[#Totals],[Stolpec2]]</definedName>
    <definedName name="ZačetekRazpoložljivihSredstev">'Dvanajstmesečni denarni tok'!$B$11</definedName>
  </definedNames>
  <calcPr calcId="152511"/>
</workbook>
</file>

<file path=xl/calcChain.xml><?xml version="1.0" encoding="utf-8"?>
<calcChain xmlns="http://schemas.openxmlformats.org/spreadsheetml/2006/main">
  <c r="O37" i="1" l="1"/>
  <c r="O38" i="1"/>
  <c r="O39" i="1"/>
  <c r="O40" i="1"/>
  <c r="O41" i="1"/>
  <c r="O36" i="1"/>
  <c r="O33" i="1"/>
  <c r="O17" i="1"/>
  <c r="O21" i="1"/>
  <c r="O22" i="1"/>
  <c r="O23" i="1"/>
  <c r="O24" i="1"/>
  <c r="O25" i="1"/>
  <c r="O26" i="1"/>
  <c r="O27" i="1"/>
  <c r="O28" i="1"/>
  <c r="O29" i="1"/>
  <c r="O30" i="1"/>
  <c r="O31" i="1"/>
  <c r="O32" i="1"/>
  <c r="O16" i="1"/>
  <c r="O15" i="1"/>
  <c r="O14" i="1"/>
  <c r="O20" i="1"/>
  <c r="O10" i="1"/>
  <c r="O11" i="1"/>
  <c r="O9" i="1"/>
  <c r="D10" i="1"/>
  <c r="C10" i="1"/>
  <c r="H9" i="1"/>
  <c r="H10" i="1" s="1"/>
  <c r="I9" i="1"/>
  <c r="I10" i="1" s="1"/>
  <c r="J9" i="1"/>
  <c r="J10" i="1" s="1"/>
  <c r="K9" i="1"/>
  <c r="K10" i="1" s="1"/>
  <c r="L9" i="1"/>
  <c r="L10" i="1" s="1"/>
  <c r="M9" i="1"/>
  <c r="M10" i="1" s="1"/>
  <c r="N9" i="1"/>
  <c r="N10" i="1" s="1"/>
  <c r="C9" i="1"/>
  <c r="B11" i="1"/>
  <c r="B10" i="1"/>
  <c r="D33" i="1"/>
  <c r="E33" i="1"/>
  <c r="F33" i="1"/>
  <c r="G33" i="1"/>
  <c r="H33" i="1"/>
  <c r="I33" i="1"/>
  <c r="J33" i="1"/>
  <c r="K33" i="1"/>
  <c r="L33" i="1"/>
  <c r="M33" i="1"/>
  <c r="N33" i="1"/>
  <c r="C33" i="1"/>
  <c r="C17" i="1"/>
  <c r="D17" i="1"/>
  <c r="E17" i="1"/>
  <c r="F17" i="1"/>
  <c r="G17" i="1"/>
  <c r="H17" i="1"/>
  <c r="I17" i="1"/>
  <c r="J17" i="1"/>
  <c r="K17" i="1"/>
  <c r="L17" i="1"/>
  <c r="M17" i="1"/>
  <c r="N17" i="1"/>
  <c r="B17" i="1"/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N11" i="1" l="1"/>
  <c r="M11" i="1"/>
  <c r="L11" i="1"/>
  <c r="K11" i="1"/>
  <c r="J11" i="1"/>
  <c r="I11" i="1"/>
  <c r="H11" i="1"/>
  <c r="C11" i="1" l="1"/>
  <c r="D9" i="1" s="1"/>
  <c r="D11" i="1" s="1"/>
  <c r="E9" i="1" s="1"/>
  <c r="E11" i="1" l="1"/>
  <c r="F9" i="1" s="1"/>
  <c r="F10" i="1" s="1"/>
  <c r="E10" i="1"/>
  <c r="F11" i="1"/>
  <c r="G9" i="1" s="1"/>
  <c r="G10" i="1" s="1"/>
  <c r="G11" i="1" l="1"/>
</calcChain>
</file>

<file path=xl/sharedStrings.xml><?xml version="1.0" encoding="utf-8"?>
<sst xmlns="http://schemas.openxmlformats.org/spreadsheetml/2006/main" count="41" uniqueCount="41">
  <si>
    <t>Dvanajstmesečni denarni tok</t>
  </si>
  <si>
    <t>Pregled</t>
  </si>
  <si>
    <t>Gotovinska prodaja</t>
  </si>
  <si>
    <t>Nakupi (določite)</t>
  </si>
  <si>
    <t>Bruto plače (natančen dvig)</t>
  </si>
  <si>
    <t>Zaloge (pisarna in delovanje)</t>
  </si>
  <si>
    <t>Popravila in vzdrževanje</t>
  </si>
  <si>
    <t>Oglaševanje</t>
  </si>
  <si>
    <t>Najemnina</t>
  </si>
  <si>
    <t>Storitve</t>
  </si>
  <si>
    <t>Drugo (določite)</t>
  </si>
  <si>
    <t>Plačilo glavnice posojila</t>
  </si>
  <si>
    <t>Glavni nakup (določite)</t>
  </si>
  <si>
    <t>Drugi začetni stroški</t>
  </si>
  <si>
    <t>Rezerve in/ali garancijska listina</t>
  </si>
  <si>
    <t>Lastnikovi dvigi denarja</t>
  </si>
  <si>
    <t>Posojilo/drugi denarni tokovi</t>
  </si>
  <si>
    <t>Začetek</t>
  </si>
  <si>
    <t>Gotovinski računi</t>
  </si>
  <si>
    <t>Povzetek denarja</t>
  </si>
  <si>
    <t>Izplačan denar</t>
  </si>
  <si>
    <t>Skupna vsota izplačanega denarja</t>
  </si>
  <si>
    <t>Skupna vsota gotovinskih računov</t>
  </si>
  <si>
    <t>Mesečno povprečje</t>
  </si>
  <si>
    <t>Dvigi s kreditnih računov</t>
  </si>
  <si>
    <t>(Povlecite drsnik navzgor, da spremenite skupno število prikazanih podatkovnih točk.)</t>
  </si>
  <si>
    <t>Obseg prodaje (evri)</t>
  </si>
  <si>
    <t>Terjatve</t>
  </si>
  <si>
    <t>Slabi dolgovi (konec meseca)</t>
  </si>
  <si>
    <t>Takoj dobavljiv inventar (eom)</t>
  </si>
  <si>
    <t>Obveznosti (eom)</t>
  </si>
  <si>
    <t>Amortizacija</t>
  </si>
  <si>
    <t>Ime podjetja</t>
  </si>
  <si>
    <t>Telefonska številka, e-pošta, splet</t>
  </si>
  <si>
    <t>Podatkovne točke:</t>
  </si>
  <si>
    <t>Začetek poslovnega leta:</t>
  </si>
  <si>
    <r>
      <rPr>
        <sz val="10"/>
        <color theme="1"/>
        <rFont val="Arial"/>
        <family val="2"/>
        <scheme val="major"/>
      </rPr>
      <t>Gotovina v blagajni</t>
    </r>
    <r>
      <rPr>
        <sz val="10"/>
        <color theme="1"/>
        <rFont val="Arial"/>
        <family val="2"/>
        <scheme val="minor"/>
      </rPr>
      <t xml:space="preserve">
(začetek meseca)</t>
    </r>
  </si>
  <si>
    <r>
      <rPr>
        <sz val="10"/>
        <color theme="1"/>
        <rFont val="Arial"/>
        <family val="2"/>
        <scheme val="major"/>
      </rPr>
      <t>Gotovina na voljo</t>
    </r>
    <r>
      <rPr>
        <sz val="10"/>
        <color theme="1"/>
        <rFont val="Arial"/>
        <family val="2"/>
        <scheme val="minor"/>
      </rPr>
      <t xml:space="preserve">
(takoj dobavljivo + računi, pred izplačilom) </t>
    </r>
  </si>
  <si>
    <r>
      <rPr>
        <sz val="10"/>
        <color theme="1"/>
        <rFont val="Arial"/>
        <family val="2"/>
        <scheme val="major"/>
      </rPr>
      <t>Gotovinsko stanje</t>
    </r>
    <r>
      <rPr>
        <sz val="10"/>
        <color theme="1"/>
        <rFont val="Arial"/>
        <family val="2"/>
        <scheme val="minor"/>
      </rPr>
      <t xml:space="preserve">
(konec meseca)</t>
    </r>
  </si>
  <si>
    <t>Pomembni obratovalni podatki (informacije o negotovinskih denarnih tokovih)</t>
  </si>
  <si>
    <t>Naslov, mesto, država, poštna številka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</si>
</sst>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#,##0_);[Red]\(#,##0\);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22"/>
      <color theme="1" tint="0.24994659260841701"/>
      <name val="Arial"/>
      <family val="2"/>
      <scheme val="major"/>
    </font>
    <font>
      <b/>
      <sz val="12"/>
      <color theme="1" tint="0.24994659260841701"/>
      <name val="Arial"/>
      <family val="2"/>
      <scheme val="minor"/>
    </font>
    <font>
      <b/>
      <sz val="13"/>
      <color theme="1" tint="0.499984740745262"/>
      <name val="Arial"/>
      <family val="2"/>
      <scheme val="minor"/>
    </font>
    <font>
      <sz val="8"/>
      <color theme="0"/>
      <name val="Arial"/>
      <family val="2"/>
      <scheme val="maj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9"/>
      <color theme="0"/>
      <name val="Arial"/>
      <family val="2"/>
      <scheme val="major"/>
    </font>
    <font>
      <b/>
      <sz val="23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b/>
      <sz val="15"/>
      <color theme="3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theme="1"/>
      <name val="Arial"/>
      <family val="2"/>
      <charset val="238"/>
      <scheme val="minor"/>
    </font>
    <font>
      <b/>
      <condense/>
      <extend/>
      <outline/>
      <shadow/>
      <sz val="10"/>
      <color theme="1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</borders>
  <cellStyleXfs count="7">
    <xf numFmtId="0" fontId="0" fillId="0" borderId="0"/>
    <xf numFmtId="0" fontId="5" fillId="0" borderId="1" applyNumberFormat="0" applyFill="0" applyAlignment="0" applyProtection="0"/>
    <xf numFmtId="0" fontId="6" fillId="0" borderId="0" applyNumberFormat="0" applyProtection="0">
      <alignment horizontal="right"/>
    </xf>
    <xf numFmtId="0" fontId="6" fillId="0" borderId="0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Alignment="0" applyProtection="0"/>
  </cellStyleXfs>
  <cellXfs count="45">
    <xf numFmtId="0" fontId="0" fillId="0" borderId="0" xfId="0"/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0" fillId="4" borderId="0" xfId="0" applyFill="1"/>
    <xf numFmtId="0" fontId="0" fillId="4" borderId="0" xfId="0" applyFill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4" fillId="0" borderId="0" xfId="4" applyFill="1" applyBorder="1" applyAlignment="1">
      <alignment horizontal="left" vertical="center"/>
    </xf>
    <xf numFmtId="0" fontId="4" fillId="0" borderId="0" xfId="4" applyFill="1" applyBorder="1"/>
    <xf numFmtId="0" fontId="4" fillId="0" borderId="0" xfId="4" applyFill="1" applyBorder="1" applyAlignment="1">
      <alignment horizontal="right"/>
    </xf>
    <xf numFmtId="17" fontId="4" fillId="0" borderId="0" xfId="4" applyNumberFormat="1" applyFill="1" applyBorder="1" applyAlignment="1">
      <alignment horizontal="center"/>
    </xf>
    <xf numFmtId="0" fontId="5" fillId="0" borderId="0" xfId="1" applyFill="1" applyBorder="1" applyAlignment="1"/>
    <xf numFmtId="0" fontId="5" fillId="0" borderId="0" xfId="1" applyFill="1" applyBorder="1"/>
    <xf numFmtId="0" fontId="3" fillId="0" borderId="0" xfId="4" applyFont="1" applyFill="1" applyBorder="1" applyAlignment="1">
      <alignment vertical="center"/>
    </xf>
    <xf numFmtId="0" fontId="6" fillId="0" borderId="0" xfId="3" applyBorder="1"/>
    <xf numFmtId="0" fontId="6" fillId="0" borderId="0" xfId="3" applyBorder="1" applyAlignment="1"/>
    <xf numFmtId="0" fontId="8" fillId="0" borderId="0" xfId="0" applyFont="1" applyFill="1" applyBorder="1"/>
    <xf numFmtId="3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8" fillId="5" borderId="0" xfId="2" applyFont="1" applyFill="1" applyBorder="1" applyAlignment="1">
      <alignment horizontal="right" vertical="center"/>
    </xf>
    <xf numFmtId="0" fontId="1" fillId="4" borderId="0" xfId="0" applyFont="1" applyFill="1" applyAlignment="1"/>
    <xf numFmtId="0" fontId="2" fillId="5" borderId="0" xfId="0" applyFont="1" applyFill="1" applyBorder="1"/>
    <xf numFmtId="14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49" fontId="7" fillId="0" borderId="0" xfId="3" applyNumberFormat="1" applyFont="1" applyFill="1" applyBorder="1" applyAlignment="1">
      <alignment horizontal="right" vertical="center"/>
    </xf>
    <xf numFmtId="0" fontId="11" fillId="5" borderId="0" xfId="2" applyFont="1" applyFill="1" applyBorder="1" applyAlignment="1">
      <alignment horizontal="right" vertical="center"/>
    </xf>
    <xf numFmtId="164" fontId="11" fillId="5" borderId="0" xfId="2" applyNumberFormat="1" applyFont="1" applyFill="1" applyBorder="1" applyAlignment="1">
      <alignment horizontal="right" vertical="center" wrapText="1"/>
    </xf>
    <xf numFmtId="164" fontId="11" fillId="5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9" fillId="0" borderId="0" xfId="4" applyFont="1" applyFill="1" applyBorder="1" applyAlignment="1">
      <alignment horizontal="left" vertical="center" indent="1"/>
    </xf>
    <xf numFmtId="0" fontId="1" fillId="0" borderId="0" xfId="4" applyFont="1" applyFill="1" applyBorder="1" applyAlignment="1">
      <alignment horizontal="left" vertical="center" indent="1"/>
    </xf>
    <xf numFmtId="0" fontId="6" fillId="0" borderId="0" xfId="3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3" applyFont="1" applyBorder="1" applyAlignment="1"/>
    <xf numFmtId="165" fontId="0" fillId="0" borderId="0" xfId="0" applyNumberFormat="1" applyFont="1" applyFill="1" applyBorder="1" applyAlignment="1">
      <alignment vertical="center"/>
    </xf>
    <xf numFmtId="0" fontId="15" fillId="4" borderId="0" xfId="0" applyFont="1" applyFill="1" applyAlignment="1">
      <alignment horizontal="left" indent="1"/>
    </xf>
    <xf numFmtId="0" fontId="6" fillId="0" borderId="0" xfId="3" applyAlignment="1">
      <alignment horizontal="left" indent="2"/>
    </xf>
    <xf numFmtId="0" fontId="0" fillId="0" borderId="0" xfId="4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wrapText="1" indent="2"/>
    </xf>
    <xf numFmtId="165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 wrapText="1" indent="2"/>
    </xf>
    <xf numFmtId="0" fontId="13" fillId="0" borderId="0" xfId="3" applyFont="1" applyBorder="1" applyAlignment="1">
      <alignment horizontal="left" indent="2"/>
    </xf>
    <xf numFmtId="17" fontId="11" fillId="5" borderId="0" xfId="2" applyNumberFormat="1" applyFont="1" applyFill="1" applyBorder="1" applyAlignment="1">
      <alignment horizontal="right" vertical="center"/>
    </xf>
  </cellXfs>
  <cellStyles count="7">
    <cellStyle name="60 % – Poudarek1" xfId="4" builtinId="32" customBuiltin="1"/>
    <cellStyle name="60 % – Poudarek5" xfId="5" builtinId="48" customBuiltin="1"/>
    <cellStyle name="Naslov" xfId="1" builtinId="15" customBuiltin="1"/>
    <cellStyle name="Naslov 1" xfId="6" builtinId="16" customBuiltin="1"/>
    <cellStyle name="Naslov 2" xfId="2" builtinId="17" customBuiltin="1"/>
    <cellStyle name="Naslov 3" xfId="3" builtinId="18" customBuiltin="1"/>
    <cellStyle name="Navadno" xfId="0" builtinId="0" customBuiltin="1"/>
  </cellStyles>
  <dxfs count="178"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/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alignment horizontal="left" vertical="center" textRotation="0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22"/>
        </right>
        <top/>
        <bottom style="thin">
          <color indexed="22"/>
        </bottom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color theme="1"/>
        <name val="Arial"/>
      </font>
      <alignment horizontal="left" vertical="bottom" textRotation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1" tint="0.24994659260841701"/>
      </font>
      <border>
        <top style="thin">
          <color theme="4"/>
        </top>
        <bottom style="thin">
          <color theme="4"/>
        </bottom>
      </border>
    </dxf>
    <dxf>
      <fill>
        <patternFill>
          <bgColor theme="5" tint="0.8999603259376811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border>
        <bottom style="thin">
          <color theme="3" tint="0.39994506668294322"/>
        </bottom>
      </border>
    </dxf>
  </dxfs>
  <tableStyles count="2" defaultTableStyle="Small Business Budget Style 1" defaultPivotStyle="PivotStyleLight16">
    <tableStyle name="Small Business Budget Style 1" pivot="0" count="4">
      <tableStyleElement type="wholeTable" dxfId="177"/>
      <tableStyleElement type="headerRow" dxfId="176"/>
      <tableStyleElement type="totalRow" dxfId="175"/>
      <tableStyleElement type="firstRowStripe" dxfId="174"/>
    </tableStyle>
    <tableStyle name="Small Business Budget Style 2" pivot="0" count="7">
      <tableStyleElement type="wholeTable" dxfId="173"/>
      <tableStyleElement type="headerRow" dxfId="172"/>
      <tableStyleElement type="totalRow" dxfId="171"/>
      <tableStyleElement type="firstColumn" dxfId="170"/>
      <tableStyleElement type="lastColumn" dxfId="169"/>
      <tableStyleElement type="firstRowStripe" dxfId="168"/>
      <tableStyleElement type="firstColumnStripe" dxfId="1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300" b="1">
                <a:solidFill>
                  <a:schemeClr val="accent2"/>
                </a:solidFill>
                <a:latin typeface="+mj-lt"/>
              </a:defRPr>
            </a:pPr>
            <a:r>
              <a:rPr lang="sl-SI" sz="2300" b="1">
                <a:solidFill>
                  <a:schemeClr val="accent2"/>
                </a:solidFill>
                <a:latin typeface="+mj-lt"/>
              </a:rPr>
              <a:t>Povzetek denarnega toka</a:t>
            </a:r>
          </a:p>
        </c:rich>
      </c:tx>
      <c:layout>
        <c:manualLayout>
          <c:xMode val="edge"/>
          <c:yMode val="edge"/>
          <c:x val="0.26489032858359624"/>
          <c:y val="2.66299369242684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34329393283646"/>
          <c:y val="0.18499132052937828"/>
          <c:w val="0.79931341213432705"/>
          <c:h val="0.62885361552028218"/>
        </c:manualLayout>
      </c:layout>
      <c:lineChart>
        <c:grouping val="standard"/>
        <c:varyColors val="0"/>
        <c:ser>
          <c:idx val="1"/>
          <c:order val="0"/>
          <c:tx>
            <c:v>Gotovinski računi</c:v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[0]!OznakePodatkov</c:f>
              <c:strCache>
                <c:ptCount val="5"/>
                <c:pt idx="0">
                  <c:v>Začetek</c:v>
                </c:pt>
                <c:pt idx="1">
                  <c:v>jul.13</c:v>
                </c:pt>
                <c:pt idx="2">
                  <c:v>avg.13</c:v>
                </c:pt>
                <c:pt idx="3">
                  <c:v>sep.13</c:v>
                </c:pt>
                <c:pt idx="4">
                  <c:v>okt.13</c:v>
                </c:pt>
              </c:strCache>
            </c:strRef>
          </c:cat>
          <c:val>
            <c:numRef>
              <c:f>[0]!PodatkovneVrednostiPrejemkov</c:f>
              <c:numCache>
                <c:formatCode>#,##0_);[Red]\(#,##0\);</c:formatCode>
                <c:ptCount val="5"/>
                <c:pt idx="0">
                  <c:v>12593</c:v>
                </c:pt>
                <c:pt idx="1">
                  <c:v>8472</c:v>
                </c:pt>
                <c:pt idx="2">
                  <c:v>29036</c:v>
                </c:pt>
                <c:pt idx="3">
                  <c:v>35293</c:v>
                </c:pt>
                <c:pt idx="4">
                  <c:v>20372</c:v>
                </c:pt>
              </c:numCache>
            </c:numRef>
          </c:val>
          <c:smooth val="0"/>
        </c:ser>
        <c:ser>
          <c:idx val="0"/>
          <c:order val="1"/>
          <c:tx>
            <c:v>Izplačan denar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[0]!OznakePodatkov</c:f>
              <c:strCache>
                <c:ptCount val="5"/>
                <c:pt idx="0">
                  <c:v>Začetek</c:v>
                </c:pt>
                <c:pt idx="1">
                  <c:v>jul.13</c:v>
                </c:pt>
                <c:pt idx="2">
                  <c:v>avg.13</c:v>
                </c:pt>
                <c:pt idx="3">
                  <c:v>sep.13</c:v>
                </c:pt>
                <c:pt idx="4">
                  <c:v>okt.13</c:v>
                </c:pt>
              </c:strCache>
            </c:strRef>
          </c:cat>
          <c:val>
            <c:numRef>
              <c:f>[0]!PodatkovneVrednostiZaDenarnaIzplačila</c:f>
              <c:numCache>
                <c:formatCode>#,##0_);[Red]\(#,##0\);</c:formatCode>
                <c:ptCount val="5"/>
                <c:pt idx="1">
                  <c:v>21800</c:v>
                </c:pt>
                <c:pt idx="2">
                  <c:v>27562</c:v>
                </c:pt>
                <c:pt idx="3">
                  <c:v>21742</c:v>
                </c:pt>
                <c:pt idx="4">
                  <c:v>24044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42512"/>
        <c:axId val="95943072"/>
      </c:lineChart>
      <c:lineChart>
        <c:grouping val="standard"/>
        <c:varyColors val="0"/>
        <c:ser>
          <c:idx val="2"/>
          <c:order val="2"/>
          <c:tx>
            <c:v>Gotovinsko stanje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[0]!OznakePodatkov</c:f>
              <c:strCache>
                <c:ptCount val="5"/>
                <c:pt idx="0">
                  <c:v>Začetek</c:v>
                </c:pt>
                <c:pt idx="1">
                  <c:v>jul.13</c:v>
                </c:pt>
                <c:pt idx="2">
                  <c:v>avg.13</c:v>
                </c:pt>
                <c:pt idx="3">
                  <c:v>sep.13</c:v>
                </c:pt>
                <c:pt idx="4">
                  <c:v>okt.13</c:v>
                </c:pt>
              </c:strCache>
            </c:strRef>
          </c:cat>
          <c:val>
            <c:numRef>
              <c:f>[0]!PodatkovneVrednostiRazpoložljivihSredstev</c:f>
              <c:numCache>
                <c:formatCode>#,##0_);[Red]\(#,##0\);</c:formatCode>
                <c:ptCount val="5"/>
                <c:pt idx="0">
                  <c:v>67593</c:v>
                </c:pt>
                <c:pt idx="1">
                  <c:v>54265</c:v>
                </c:pt>
                <c:pt idx="2">
                  <c:v>55739</c:v>
                </c:pt>
                <c:pt idx="3">
                  <c:v>69290</c:v>
                </c:pt>
                <c:pt idx="4">
                  <c:v>65618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5920"/>
        <c:axId val="96265360"/>
      </c:lineChart>
      <c:catAx>
        <c:axId val="9594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1">
                <a:latin typeface="+mn-lt"/>
              </a:defRPr>
            </a:pPr>
            <a:endParaRPr lang="sl-SI"/>
          </a:p>
        </c:txPr>
        <c:crossAx val="95943072"/>
        <c:crosses val="autoZero"/>
        <c:auto val="1"/>
        <c:lblAlgn val="ctr"/>
        <c:lblOffset val="100"/>
        <c:noMultiLvlLbl val="0"/>
      </c:catAx>
      <c:valAx>
        <c:axId val="95943072"/>
        <c:scaling>
          <c:orientation val="minMax"/>
        </c:scaling>
        <c:delete val="0"/>
        <c:axPos val="l"/>
        <c:majorGridlines/>
        <c:numFmt formatCode="#,##0_);[Red]\(#,##0\);" sourceLinked="1"/>
        <c:majorTickMark val="none"/>
        <c:minorTickMark val="none"/>
        <c:tickLblPos val="nextTo"/>
        <c:spPr>
          <a:ln w="9525">
            <a:noFill/>
          </a:ln>
        </c:spPr>
        <c:crossAx val="95942512"/>
        <c:crosses val="autoZero"/>
        <c:crossBetween val="between"/>
      </c:valAx>
      <c:valAx>
        <c:axId val="96265360"/>
        <c:scaling>
          <c:orientation val="minMax"/>
        </c:scaling>
        <c:delete val="0"/>
        <c:axPos val="r"/>
        <c:numFmt formatCode="#,##0_);[Red]\(#,##0\);" sourceLinked="1"/>
        <c:majorTickMark val="out"/>
        <c:minorTickMark val="none"/>
        <c:tickLblPos val="nextTo"/>
        <c:crossAx val="96265920"/>
        <c:crosses val="max"/>
        <c:crossBetween val="between"/>
      </c:valAx>
      <c:catAx>
        <c:axId val="962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2653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trlProps/ctrlProp1.xml><?xml version="1.0" encoding="utf-8"?>
<formControlPr xmlns="http://schemas.microsoft.com/office/spreadsheetml/2009/9/main" objectType="Scroll" dx="16" fmlaLink="'Povzetek denarnega toka'!$K$26" horiz="1" max="13" min="2" page="10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ovzetek denarnega tok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vanajstmese&#269;ni denarni tok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130279</xdr:colOff>
      <xdr:row>2</xdr:row>
      <xdr:rowOff>98423</xdr:rowOff>
    </xdr:from>
    <xdr:to>
      <xdr:col>15</xdr:col>
      <xdr:colOff>876129</xdr:colOff>
      <xdr:row>3</xdr:row>
      <xdr:rowOff>204151</xdr:rowOff>
    </xdr:to>
    <xdr:sp macro="" textlink="">
      <xdr:nvSpPr>
        <xdr:cNvPr id="2" name="Pravokotnik 1">
          <a:hlinkClick xmlns:r="http://schemas.openxmlformats.org/officeDocument/2006/relationships" r:id="rId1" tooltip="Kliknite, če si želite ogledati povzetek denarnega toka"/>
        </xdr:cNvPr>
        <xdr:cNvSpPr/>
      </xdr:nvSpPr>
      <xdr:spPr>
        <a:xfrm>
          <a:off x="12012717" y="836611"/>
          <a:ext cx="2293662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50"/>
            <a:t>Povzetek Denarnega Toka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25</xdr:row>
          <xdr:rowOff>66675</xdr:rowOff>
        </xdr:from>
        <xdr:to>
          <xdr:col>8</xdr:col>
          <xdr:colOff>390525</xdr:colOff>
          <xdr:row>26</xdr:row>
          <xdr:rowOff>19050</xdr:rowOff>
        </xdr:to>
        <xdr:sp macro="" textlink="">
          <xdr:nvSpPr>
            <xdr:cNvPr id="6145" name="Drsni trak 1" descr="Drag the slider to change data points plotted on Grafikon s povzetkom denarnega toka or enter desired value in cell K27.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absolute">
    <xdr:from>
      <xdr:col>1</xdr:col>
      <xdr:colOff>19048</xdr:colOff>
      <xdr:row>1</xdr:row>
      <xdr:rowOff>38099</xdr:rowOff>
    </xdr:from>
    <xdr:to>
      <xdr:col>10</xdr:col>
      <xdr:colOff>266917</xdr:colOff>
      <xdr:row>24</xdr:row>
      <xdr:rowOff>76199</xdr:rowOff>
    </xdr:to>
    <xdr:graphicFrame macro="">
      <xdr:nvGraphicFramePr>
        <xdr:cNvPr id="3" name="PovzetekDenarnegaToka" descr="Črtni grafikon, ki prikazuje prejemke, izplačila in razpoložljiva sredstva. Skupno število podatkovnih točk grafikona lahko spremenite z drsnikom ali celico K27." title="Grafikon s povzetkom denarnega tok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104774</xdr:colOff>
      <xdr:row>0</xdr:row>
      <xdr:rowOff>123824</xdr:rowOff>
    </xdr:from>
    <xdr:to>
      <xdr:col>16</xdr:col>
      <xdr:colOff>561973</xdr:colOff>
      <xdr:row>2</xdr:row>
      <xdr:rowOff>115416</xdr:rowOff>
    </xdr:to>
    <xdr:sp macro="" textlink="">
      <xdr:nvSpPr>
        <xdr:cNvPr id="4" name="Pravokotnik 3">
          <a:hlinkClick xmlns:r="http://schemas.openxmlformats.org/officeDocument/2006/relationships" r:id="rId2" tooltip="Kliknite, če si želite ogledati denarni tok za obdobje 12 mesecev"/>
        </xdr:cNvPr>
        <xdr:cNvSpPr/>
      </xdr:nvSpPr>
      <xdr:spPr>
        <a:xfrm>
          <a:off x="7363481" y="123824"/>
          <a:ext cx="2296510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50">
              <a:solidFill>
                <a:schemeClr val="lt1"/>
              </a:solidFill>
              <a:latin typeface="+mn-lt"/>
              <a:ea typeface="+mn-ea"/>
              <a:cs typeface="+mn-cs"/>
            </a:rPr>
            <a:t>Dvanajstmesečni Denarni Tok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OVZETEK" displayName="POVZETEK" ref="A9:P11" headerRowCount="0" totalsRowShown="0">
  <tableColumns count="16">
    <tableColumn id="1" name="Stolpec1" headerRowDxfId="166" dataDxfId="165"/>
    <tableColumn id="2" name="Stolpec2" headerRowDxfId="164" dataDxfId="163"/>
    <tableColumn id="3" name="Stolpec3" headerRowDxfId="162" dataDxfId="161"/>
    <tableColumn id="4" name="Stolpec4" headerRowDxfId="160" dataDxfId="159"/>
    <tableColumn id="5" name="Stolpec5" headerRowDxfId="158" dataDxfId="157"/>
    <tableColumn id="6" name="Stolpec6" headerRowDxfId="156" dataDxfId="155"/>
    <tableColumn id="7" name="Stolpec7" headerRowDxfId="154" dataDxfId="153"/>
    <tableColumn id="8" name="Stolpec8" headerRowDxfId="152" dataDxfId="151"/>
    <tableColumn id="9" name="Stolpec9" headerRowDxfId="150" dataDxfId="149"/>
    <tableColumn id="10" name="Stolpec10" headerRowDxfId="148" dataDxfId="147"/>
    <tableColumn id="11" name="Stolpec11" headerRowDxfId="146" dataDxfId="145"/>
    <tableColumn id="12" name="Stolpec12" headerRowDxfId="144" dataDxfId="143"/>
    <tableColumn id="13" name="Stolpec13" headerRowDxfId="142" dataDxfId="141"/>
    <tableColumn id="14" name="Stolpec14" headerRowDxfId="140" dataDxfId="139"/>
    <tableColumn id="15" name="Stolpec15" headerRowDxfId="138" dataDxfId="137">
      <calculatedColumnFormula>IFERROR(AVERAGE(POVZETEK[[#This Row],[Stolpec3]:[Stolpec14]]),"")</calculatedColumnFormula>
    </tableColumn>
    <tableColumn id="16" name="Stolpec16" headerRowDxfId="136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Tabela s povzetkom denarja"/>
    </ext>
  </extLst>
</table>
</file>

<file path=xl/tables/table2.xml><?xml version="1.0" encoding="utf-8"?>
<table xmlns="http://schemas.openxmlformats.org/spreadsheetml/2006/main" id="3" name="Prejemki" displayName="Prejemki" ref="A14:P17" headerRowCount="0" totalsRowCount="1" headerRowDxfId="135" dataDxfId="134" totalsRowDxfId="133">
  <tableColumns count="16">
    <tableColumn id="1" name="Stolpec1" totalsRowLabel="Skupna vsota gotovinskih računov" headerRowDxfId="132" dataDxfId="131" totalsRowDxfId="130"/>
    <tableColumn id="2" name="Stolpec2" totalsRowFunction="sum" headerRowDxfId="129" dataDxfId="128" totalsRowDxfId="127"/>
    <tableColumn id="3" name="Stolpec3" totalsRowFunction="sum" headerRowDxfId="126" dataDxfId="125" totalsRowDxfId="124"/>
    <tableColumn id="4" name="Stolpec4" totalsRowFunction="sum" headerRowDxfId="123" dataDxfId="122" totalsRowDxfId="121"/>
    <tableColumn id="5" name="Stolpec5" totalsRowFunction="sum" headerRowDxfId="120" dataDxfId="119" totalsRowDxfId="118"/>
    <tableColumn id="6" name="Stolpec6" totalsRowFunction="sum" headerRowDxfId="117" dataDxfId="116" totalsRowDxfId="115"/>
    <tableColumn id="7" name="Stolpec7" totalsRowFunction="sum" headerRowDxfId="114" dataDxfId="113" totalsRowDxfId="112"/>
    <tableColumn id="8" name="Stolpec8" totalsRowFunction="sum" headerRowDxfId="111" dataDxfId="110" totalsRowDxfId="109"/>
    <tableColumn id="9" name="Stolpec9" totalsRowFunction="sum" headerRowDxfId="108" dataDxfId="107" totalsRowDxfId="106"/>
    <tableColumn id="10" name="Stolpec10" totalsRowFunction="sum" headerRowDxfId="105" dataDxfId="104" totalsRowDxfId="103"/>
    <tableColumn id="11" name="Stolpec11" totalsRowFunction="sum" headerRowDxfId="102" dataDxfId="101" totalsRowDxfId="100"/>
    <tableColumn id="12" name="Stolpec12" totalsRowFunction="sum" headerRowDxfId="99" dataDxfId="98" totalsRowDxfId="97"/>
    <tableColumn id="13" name="Stolpec13" totalsRowFunction="sum" headerRowDxfId="96" dataDxfId="95" totalsRowDxfId="94"/>
    <tableColumn id="14" name="Stolpec14" totalsRowFunction="sum" headerRowDxfId="93" dataDxfId="92" totalsRowDxfId="91"/>
    <tableColumn id="15" name="Stolpec15" totalsRowFunction="custom" headerRowDxfId="90" dataDxfId="89" totalsRowDxfId="88">
      <calculatedColumnFormula>IFERROR(AVERAGE(Prejemki[[#This Row],[Stolpec3]:[Stolpec14]]),"")</calculatedColumnFormula>
      <totalsRowFormula>IFERROR(AVERAGE(Prejemki[[#Totals],[Stolpec3]:[Stolpec14]]),"")</totalsRowFormula>
    </tableColumn>
    <tableColumn id="16" name="Stolpec16" headerRowDxfId="87" dataDxfId="86" totalsRowDxfId="85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Tabela gotovinskih računov"/>
    </ext>
  </extLst>
</table>
</file>

<file path=xl/tables/table3.xml><?xml version="1.0" encoding="utf-8"?>
<table xmlns="http://schemas.openxmlformats.org/spreadsheetml/2006/main" id="4" name="Izplačila" displayName="Izplačila" ref="A20:P33" headerRowCount="0" totalsRowCount="1" headerRowDxfId="84" dataDxfId="83" totalsRowDxfId="82">
  <tableColumns count="16">
    <tableColumn id="1" name="Stolpec1" totalsRowLabel="Skupna vsota izplačanega denarja" headerRowDxfId="81" dataDxfId="80" totalsRowDxfId="79"/>
    <tableColumn id="2" name="Stolpec2" headerRowDxfId="78" dataDxfId="77" totalsRowDxfId="76"/>
    <tableColumn id="3" name="Stolpec3" totalsRowFunction="sum" headerRowDxfId="75" dataDxfId="74" totalsRowDxfId="73"/>
    <tableColumn id="4" name="Stolpec4" totalsRowFunction="sum" headerRowDxfId="72" dataDxfId="71" totalsRowDxfId="70"/>
    <tableColumn id="5" name="Stolpec5" totalsRowFunction="sum" headerRowDxfId="69" dataDxfId="68" totalsRowDxfId="67"/>
    <tableColumn id="6" name="Stolpec6" totalsRowFunction="sum" headerRowDxfId="66" dataDxfId="65" totalsRowDxfId="64"/>
    <tableColumn id="7" name="Stolpec7" totalsRowFunction="sum" headerRowDxfId="63" dataDxfId="62" totalsRowDxfId="61"/>
    <tableColumn id="8" name="Stolpec8" totalsRowFunction="sum" headerRowDxfId="60" dataDxfId="59" totalsRowDxfId="58"/>
    <tableColumn id="9" name="Stolpec9" totalsRowFunction="sum" headerRowDxfId="57" dataDxfId="56" totalsRowDxfId="55"/>
    <tableColumn id="10" name="Stolpec10" totalsRowFunction="sum" headerRowDxfId="54" dataDxfId="53" totalsRowDxfId="52"/>
    <tableColumn id="11" name="Stolpec11" totalsRowFunction="sum" headerRowDxfId="51" dataDxfId="50" totalsRowDxfId="49"/>
    <tableColumn id="12" name="Stolpec12" totalsRowFunction="sum" headerRowDxfId="48" dataDxfId="47" totalsRowDxfId="46"/>
    <tableColumn id="13" name="Stolpec13" totalsRowFunction="sum" headerRowDxfId="45" dataDxfId="44" totalsRowDxfId="43"/>
    <tableColumn id="14" name="Stolpec14" totalsRowFunction="sum" headerRowDxfId="42" dataDxfId="41" totalsRowDxfId="40"/>
    <tableColumn id="15" name="Stolpec15" totalsRowFunction="custom" headerRowDxfId="39" dataDxfId="38" totalsRowDxfId="37">
      <calculatedColumnFormula>IFERROR(AVERAGE(Izplačila[[#This Row],[Stolpec3]:[Stolpec14]]),"")</calculatedColumnFormula>
      <totalsRowFormula>IFERROR(AVERAGE(Izplačila[[#Totals],[Stolpec3]:[Stolpec14]]),"")</totalsRowFormula>
    </tableColumn>
    <tableColumn id="16" name="Stolpec16" headerRowDxfId="36" dataDxfId="35" totalsRowDxfId="34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Tabela izplačanega denarja"/>
    </ext>
  </extLst>
</table>
</file>

<file path=xl/tables/table4.xml><?xml version="1.0" encoding="utf-8"?>
<table xmlns="http://schemas.openxmlformats.org/spreadsheetml/2006/main" id="2" name="BistveniOperativniPodatki" displayName="BistveniOperativniPodatki" ref="A36:P41" headerRowCount="0" totalsRowShown="0" headerRowDxfId="33" dataDxfId="32">
  <tableColumns count="16">
    <tableColumn id="1" name="Stolpec1" headerRowDxfId="31" dataDxfId="30"/>
    <tableColumn id="2" name="Stolpec2" headerRowDxfId="29" dataDxfId="28"/>
    <tableColumn id="3" name="Stolpec3" headerRowDxfId="27" dataDxfId="26"/>
    <tableColumn id="4" name="Stolpec4" headerRowDxfId="25" dataDxfId="24"/>
    <tableColumn id="5" name="Stolpec5" headerRowDxfId="23" dataDxfId="22"/>
    <tableColumn id="6" name="Stolpec6" headerRowDxfId="21" dataDxfId="20"/>
    <tableColumn id="7" name="Stolpec7" headerRowDxfId="19" dataDxfId="18"/>
    <tableColumn id="8" name="Stolpec8" headerRowDxfId="17" dataDxfId="16"/>
    <tableColumn id="9" name="Stolpec9" headerRowDxfId="15" dataDxfId="14"/>
    <tableColumn id="10" name="Stolpec10" headerRowDxfId="13" dataDxfId="12"/>
    <tableColumn id="11" name="Stolpec11" headerRowDxfId="11" dataDxfId="10"/>
    <tableColumn id="12" name="Stolpec12" headerRowDxfId="9" dataDxfId="8"/>
    <tableColumn id="13" name="Stolpec13" headerRowDxfId="7" dataDxfId="6"/>
    <tableColumn id="14" name="Stolpec14" headerRowDxfId="5" dataDxfId="4"/>
    <tableColumn id="15" name="Stolpec15" headerRowDxfId="3" dataDxfId="2">
      <calculatedColumnFormula>IFERROR(AVERAGE(BistveniOperativniPodatki[[#This Row],[Stolpec2]:[Stolpec14]]),"")</calculatedColumnFormula>
    </tableColumn>
    <tableColumn id="16" name="Stolpec16" headerRowDxfId="1" dataDxfId="0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Tabela pomembnih obratovalnih podatkov"/>
    </ext>
  </extLst>
</table>
</file>

<file path=xl/theme/theme1.xml><?xml version="1.0" encoding="utf-8"?>
<a:theme xmlns:a="http://schemas.openxmlformats.org/drawingml/2006/main" name="genesis_mac">
  <a:themeElements>
    <a:clrScheme name="Small Business Budget 2">
      <a:dk1>
        <a:srgbClr val="0C0C0C"/>
      </a:dk1>
      <a:lt1>
        <a:sysClr val="window" lastClr="FFFFFF"/>
      </a:lt1>
      <a:dk2>
        <a:srgbClr val="363636"/>
      </a:dk2>
      <a:lt2>
        <a:srgbClr val="D8D8D8"/>
      </a:lt2>
      <a:accent1>
        <a:srgbClr val="80B622"/>
      </a:accent1>
      <a:accent2>
        <a:srgbClr val="0C0C0C"/>
      </a:accent2>
      <a:accent3>
        <a:srgbClr val="FF6600"/>
      </a:accent3>
      <a:accent4>
        <a:srgbClr val="2397E2"/>
      </a:accent4>
      <a:accent5>
        <a:srgbClr val="D7D700"/>
      </a:accent5>
      <a:accent6>
        <a:srgbClr val="CC9900"/>
      </a:accent6>
      <a:hlink>
        <a:srgbClr val="00B0F0"/>
      </a:hlink>
      <a:folHlink>
        <a:srgbClr val="0070C0"/>
      </a:folHlink>
    </a:clrScheme>
    <a:fontScheme name="Custom 6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P41"/>
  <sheetViews>
    <sheetView showGridLines="0" tabSelected="1" zoomScale="80" zoomScaleNormal="80" workbookViewId="0">
      <pane ySplit="7" topLeftCell="A8" activePane="bottomLeft" state="frozen"/>
      <selection pane="bottomLeft"/>
    </sheetView>
  </sheetViews>
  <sheetFormatPr defaultColWidth="8.85546875" defaultRowHeight="15" x14ac:dyDescent="0.2"/>
  <cols>
    <col min="1" max="1" width="39" style="2" customWidth="1"/>
    <col min="2" max="15" width="11.5703125" style="2" customWidth="1"/>
    <col min="16" max="16" width="13.7109375" style="2" customWidth="1"/>
    <col min="17" max="17" width="8.85546875" style="2"/>
    <col min="18" max="18" width="16.140625" style="2" customWidth="1"/>
    <col min="19" max="19" width="16.28515625" style="2" customWidth="1"/>
    <col min="20" max="16384" width="8.85546875" style="2"/>
  </cols>
  <sheetData>
    <row r="1" spans="1:16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2.75" customHeight="1" x14ac:dyDescent="0.4">
      <c r="A2" s="32" t="s">
        <v>0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N2" s="23"/>
      <c r="O2" s="24" t="s">
        <v>35</v>
      </c>
      <c r="P2" s="22">
        <v>41456</v>
      </c>
    </row>
    <row r="3" spans="1:16" ht="17.25" customHeight="1" x14ac:dyDescent="0.2">
      <c r="A3" s="29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7.25" customHeight="1" x14ac:dyDescent="0.2">
      <c r="A4" s="37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9"/>
      <c r="P4" s="10"/>
    </row>
    <row r="5" spans="1:16" ht="17.25" customHeight="1" x14ac:dyDescent="0.2">
      <c r="A5" s="30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</row>
    <row r="6" spans="1:16" ht="8.2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10"/>
    </row>
    <row r="7" spans="1:16" s="16" customFormat="1" ht="29.25" customHeight="1" x14ac:dyDescent="0.2">
      <c r="A7" s="19"/>
      <c r="B7" s="25" t="s">
        <v>17</v>
      </c>
      <c r="C7" s="44">
        <f>PoslovnoLeto</f>
        <v>41456</v>
      </c>
      <c r="D7" s="44">
        <f>DATE(YEAR(C7),MONTH(C7)+1,1)</f>
        <v>41487</v>
      </c>
      <c r="E7" s="44">
        <f t="shared" ref="E7:N7" si="0">DATE(YEAR(D7),MONTH(D7)+1,1)</f>
        <v>41518</v>
      </c>
      <c r="F7" s="44">
        <f t="shared" si="0"/>
        <v>41548</v>
      </c>
      <c r="G7" s="44">
        <f t="shared" si="0"/>
        <v>41579</v>
      </c>
      <c r="H7" s="44">
        <f t="shared" si="0"/>
        <v>41609</v>
      </c>
      <c r="I7" s="44">
        <f t="shared" si="0"/>
        <v>41640</v>
      </c>
      <c r="J7" s="44">
        <f t="shared" si="0"/>
        <v>41671</v>
      </c>
      <c r="K7" s="44">
        <f t="shared" si="0"/>
        <v>41699</v>
      </c>
      <c r="L7" s="44">
        <f t="shared" si="0"/>
        <v>41730</v>
      </c>
      <c r="M7" s="44">
        <f t="shared" si="0"/>
        <v>41760</v>
      </c>
      <c r="N7" s="44">
        <f t="shared" si="0"/>
        <v>41791</v>
      </c>
      <c r="O7" s="26" t="s">
        <v>23</v>
      </c>
      <c r="P7" s="27" t="s">
        <v>1</v>
      </c>
    </row>
    <row r="8" spans="1:16" ht="34.5" customHeight="1" x14ac:dyDescent="0.25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9.25" customHeight="1" x14ac:dyDescent="0.2">
      <c r="A9" s="28" t="s">
        <v>36</v>
      </c>
      <c r="B9" s="34">
        <v>55000</v>
      </c>
      <c r="C9" s="34">
        <f>IF(Prejemki[[#Totals],[Stolpec3]]+Izplačila[[#Totals],[Stolpec3]]=0,"",B11)</f>
        <v>67593</v>
      </c>
      <c r="D9" s="34">
        <f>IF(Prejemki[[#Totals],[Stolpec4]]+Izplačila[[#Totals],[Stolpec4]]=0,"",C11)</f>
        <v>54265</v>
      </c>
      <c r="E9" s="34">
        <f>IF(Prejemki[[#Totals],[Stolpec5]]+Izplačila[[#Totals],[Stolpec5]]=0,"",D11)</f>
        <v>55739</v>
      </c>
      <c r="F9" s="34">
        <f>IF(Prejemki[[#Totals],[Stolpec6]]+Izplačila[[#Totals],[Stolpec6]]=0,"",E11)</f>
        <v>69290</v>
      </c>
      <c r="G9" s="34">
        <f>IF(Prejemki[[#Totals],[Stolpec7]]+Izplačila[[#Totals],[Stolpec7]]=0,"",F11)</f>
        <v>65618</v>
      </c>
      <c r="H9" s="34" t="str">
        <f>IF(Prejemki[[#Totals],[Stolpec8]]+Izplačila[[#Totals],[Stolpec8]]=0,"",G11)</f>
        <v/>
      </c>
      <c r="I9" s="34" t="str">
        <f>IF(Prejemki[[#Totals],[Stolpec9]]+Izplačila[[#Totals],[Stolpec9]]=0,"",H11)</f>
        <v/>
      </c>
      <c r="J9" s="34" t="str">
        <f>IF(Prejemki[[#Totals],[Stolpec10]]+Izplačila[[#Totals],[Stolpec10]]=0,"",I11)</f>
        <v/>
      </c>
      <c r="K9" s="34" t="str">
        <f>IF(Prejemki[[#Totals],[Stolpec11]]+Izplačila[[#Totals],[Stolpec11]]=0,"",J11)</f>
        <v/>
      </c>
      <c r="L9" s="34" t="str">
        <f>IF(Prejemki[[#Totals],[Stolpec12]]+Izplačila[[#Totals],[Stolpec12]]=0,"",K11)</f>
        <v/>
      </c>
      <c r="M9" s="34" t="str">
        <f>IF(Prejemki[[#Totals],[Stolpec13]]+Izplačila[[#Totals],[Stolpec13]]=0,"",L11)</f>
        <v/>
      </c>
      <c r="N9" s="34" t="str">
        <f>IF(Prejemki[[#Totals],[Stolpec14]]+Izplačila[[#Totals],[Stolpec14]]=0,"",M11)</f>
        <v/>
      </c>
      <c r="O9" s="34">
        <f>IFERROR(AVERAGE(POVZETEK[[#This Row],[Stolpec3]:[Stolpec14]]),"")</f>
        <v>62501</v>
      </c>
      <c r="P9" s="1"/>
    </row>
    <row r="10" spans="1:16" ht="38.25" x14ac:dyDescent="0.2">
      <c r="A10" s="28" t="s">
        <v>37</v>
      </c>
      <c r="B10" s="34">
        <f>SUM(B9,Prejemki[[#Totals],[Stolpec2]])</f>
        <v>67593</v>
      </c>
      <c r="C10" s="34">
        <f>IF(C9="","",SUM(C9,Prejemki[[#Totals],[Stolpec3]]))</f>
        <v>76065</v>
      </c>
      <c r="D10" s="34">
        <f>IF(D9="","",SUM(D9,Prejemki[[#Totals],[Stolpec4]]))</f>
        <v>83301</v>
      </c>
      <c r="E10" s="34">
        <f>IF(E9="","",SUM(E9,Prejemki[[#Totals],[Stolpec5]]))</f>
        <v>91032</v>
      </c>
      <c r="F10" s="34">
        <f>IF(F9="","",SUM(F9,Prejemki[[#Totals],[Stolpec6]]))</f>
        <v>89662</v>
      </c>
      <c r="G10" s="34">
        <f>IF(G9="","",SUM(G9,Prejemki[[#Totals],[Stolpec7]]))</f>
        <v>76200</v>
      </c>
      <c r="H10" s="34" t="str">
        <f>IF(H9="","",SUM(H9,Prejemki[[#Totals],[Stolpec8]]))</f>
        <v/>
      </c>
      <c r="I10" s="34" t="str">
        <f>IF(I9="","",SUM(I9,Prejemki[[#Totals],[Stolpec9]]))</f>
        <v/>
      </c>
      <c r="J10" s="34" t="str">
        <f>IF(J9="","",SUM(J9,Prejemki[[#Totals],[Stolpec10]]))</f>
        <v/>
      </c>
      <c r="K10" s="34" t="str">
        <f>IF(K9="","",SUM(K9,Prejemki[[#Totals],[Stolpec11]]))</f>
        <v/>
      </c>
      <c r="L10" s="34" t="str">
        <f>IF(L9="","",SUM(L9,Prejemki[[#Totals],[Stolpec12]]))</f>
        <v/>
      </c>
      <c r="M10" s="34" t="str">
        <f>IF(M9="","",SUM(M9,Prejemki[[#Totals],[Stolpec13]]))</f>
        <v/>
      </c>
      <c r="N10" s="34" t="str">
        <f>IF(N9="","",SUM(N9,Prejemki[[#Totals],[Stolpec14]]))</f>
        <v/>
      </c>
      <c r="O10" s="34">
        <f>IFERROR(AVERAGE(POVZETEK[[#This Row],[Stolpec3]:[Stolpec14]]),"")</f>
        <v>83252</v>
      </c>
      <c r="P10" s="1"/>
    </row>
    <row r="11" spans="1:16" ht="29.25" customHeight="1" x14ac:dyDescent="0.2">
      <c r="A11" s="28" t="s">
        <v>38</v>
      </c>
      <c r="B11" s="34">
        <f>(B10-Izplačila[[#Totals],[Stolpec2]])</f>
        <v>67593</v>
      </c>
      <c r="C11" s="34">
        <f>IFERROR(C10-Izplačila[[#Totals],[Stolpec3]],"")</f>
        <v>54265</v>
      </c>
      <c r="D11" s="34">
        <f>IFERROR(D10-Izplačila[[#Totals],[Stolpec4]],"")</f>
        <v>55739</v>
      </c>
      <c r="E11" s="34">
        <f>IFERROR(E10-Izplačila[[#Totals],[Stolpec5]],"")</f>
        <v>69290</v>
      </c>
      <c r="F11" s="34">
        <f>IFERROR(F10-Izplačila[[#Totals],[Stolpec6]],"")</f>
        <v>65618</v>
      </c>
      <c r="G11" s="34">
        <f>IFERROR(G10-Izplačila[[#Totals],[Stolpec7]],"")</f>
        <v>51413</v>
      </c>
      <c r="H11" s="34" t="str">
        <f>IFERROR(H10-Izplačila[[#Totals],[Stolpec8]],"")</f>
        <v/>
      </c>
      <c r="I11" s="34" t="str">
        <f>IFERROR(I10-Izplačila[[#Totals],[Stolpec9]],"")</f>
        <v/>
      </c>
      <c r="J11" s="34" t="str">
        <f>IFERROR(J10-Izplačila[[#Totals],[Stolpec10]],"")</f>
        <v/>
      </c>
      <c r="K11" s="34" t="str">
        <f>IFERROR(K10-Izplačila[[#Totals],[Stolpec11]],"")</f>
        <v/>
      </c>
      <c r="L11" s="34" t="str">
        <f>IFERROR(L10-Izplačila[[#Totals],[Stolpec12]],"")</f>
        <v/>
      </c>
      <c r="M11" s="34" t="str">
        <f>IFERROR(M10-Izplačila[[#Totals],[Stolpec13]],"")</f>
        <v/>
      </c>
      <c r="N11" s="34" t="str">
        <f>IFERROR(N10-Izplačila[[#Totals],[Stolpec14]],"")</f>
        <v/>
      </c>
      <c r="O11" s="34">
        <f>IFERROR(AVERAGE(POVZETEK[[#This Row],[Stolpec3]:[Stolpec14]]),"")</f>
        <v>59265</v>
      </c>
      <c r="P11" s="1"/>
    </row>
    <row r="12" spans="1:16" ht="17.2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7.25" customHeight="1" x14ac:dyDescent="0.25">
      <c r="A13" s="36" t="s">
        <v>18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4"/>
    </row>
    <row r="14" spans="1:16" s="18" customFormat="1" ht="17.25" customHeight="1" x14ac:dyDescent="0.2">
      <c r="A14" s="28" t="s">
        <v>2</v>
      </c>
      <c r="B14" s="34">
        <v>5616</v>
      </c>
      <c r="C14" s="34">
        <v>3889</v>
      </c>
      <c r="D14" s="34">
        <v>24411</v>
      </c>
      <c r="E14" s="34">
        <v>31642</v>
      </c>
      <c r="F14" s="34">
        <v>14647</v>
      </c>
      <c r="G14" s="34">
        <v>3034</v>
      </c>
      <c r="H14" s="34"/>
      <c r="I14" s="34"/>
      <c r="J14" s="34"/>
      <c r="K14" s="34"/>
      <c r="L14" s="34"/>
      <c r="M14" s="34"/>
      <c r="N14" s="34"/>
      <c r="O14" s="34">
        <f>IFERROR(AVERAGE(Prejemki[[#This Row],[Stolpec3]:[Stolpec14]]),"")</f>
        <v>15524.6</v>
      </c>
      <c r="P14" s="17"/>
    </row>
    <row r="15" spans="1:16" s="18" customFormat="1" ht="17.25" customHeight="1" x14ac:dyDescent="0.2">
      <c r="A15" s="28" t="s">
        <v>24</v>
      </c>
      <c r="B15" s="34">
        <v>4498</v>
      </c>
      <c r="C15" s="34">
        <v>3493</v>
      </c>
      <c r="D15" s="34">
        <v>1987</v>
      </c>
      <c r="E15" s="34">
        <v>1029</v>
      </c>
      <c r="F15" s="34">
        <v>2911</v>
      </c>
      <c r="G15" s="34">
        <v>4234</v>
      </c>
      <c r="H15" s="34"/>
      <c r="I15" s="34"/>
      <c r="J15" s="34"/>
      <c r="K15" s="34"/>
      <c r="L15" s="34"/>
      <c r="M15" s="34"/>
      <c r="N15" s="34"/>
      <c r="O15" s="34">
        <f>IFERROR(AVERAGE(Prejemki[[#This Row],[Stolpec3]:[Stolpec14]]),"")</f>
        <v>2730.8</v>
      </c>
      <c r="P15" s="17"/>
    </row>
    <row r="16" spans="1:16" s="18" customFormat="1" ht="17.25" customHeight="1" x14ac:dyDescent="0.2">
      <c r="A16" s="28" t="s">
        <v>16</v>
      </c>
      <c r="B16" s="34">
        <v>2479</v>
      </c>
      <c r="C16" s="34">
        <v>1090</v>
      </c>
      <c r="D16" s="34">
        <v>2638</v>
      </c>
      <c r="E16" s="34">
        <v>2622</v>
      </c>
      <c r="F16" s="34">
        <v>2814</v>
      </c>
      <c r="G16" s="34">
        <v>3314</v>
      </c>
      <c r="H16" s="34"/>
      <c r="I16" s="34"/>
      <c r="J16" s="34"/>
      <c r="K16" s="34"/>
      <c r="L16" s="34"/>
      <c r="M16" s="34"/>
      <c r="N16" s="34"/>
      <c r="O16" s="34">
        <f>IFERROR(AVERAGE(Prejemki[[#This Row],[Stolpec3]:[Stolpec14]]),"")</f>
        <v>2495.6</v>
      </c>
      <c r="P16" s="17"/>
    </row>
    <row r="17" spans="1:16" s="41" customFormat="1" ht="17.25" customHeight="1" x14ac:dyDescent="0.25">
      <c r="A17" s="38" t="s">
        <v>22</v>
      </c>
      <c r="B17" s="39">
        <f>SUBTOTAL(109,Prejemki[Stolpec2])</f>
        <v>12593</v>
      </c>
      <c r="C17" s="39">
        <f>SUBTOTAL(109,Prejemki[Stolpec3])</f>
        <v>8472</v>
      </c>
      <c r="D17" s="39">
        <f>SUBTOTAL(109,Prejemki[Stolpec4])</f>
        <v>29036</v>
      </c>
      <c r="E17" s="39">
        <f>SUBTOTAL(109,Prejemki[Stolpec5])</f>
        <v>35293</v>
      </c>
      <c r="F17" s="39">
        <f>SUBTOTAL(109,Prejemki[Stolpec6])</f>
        <v>20372</v>
      </c>
      <c r="G17" s="39">
        <f>SUBTOTAL(109,Prejemki[Stolpec7])</f>
        <v>10582</v>
      </c>
      <c r="H17" s="39">
        <f>SUBTOTAL(109,Prejemki[Stolpec8])</f>
        <v>0</v>
      </c>
      <c r="I17" s="39">
        <f>SUBTOTAL(109,Prejemki[Stolpec9])</f>
        <v>0</v>
      </c>
      <c r="J17" s="39">
        <f>SUBTOTAL(109,Prejemki[Stolpec10])</f>
        <v>0</v>
      </c>
      <c r="K17" s="39">
        <f>SUBTOTAL(109,Prejemki[Stolpec11])</f>
        <v>0</v>
      </c>
      <c r="L17" s="39">
        <f>SUBTOTAL(109,Prejemki[Stolpec12])</f>
        <v>0</v>
      </c>
      <c r="M17" s="39">
        <f>SUBTOTAL(109,Prejemki[Stolpec13])</f>
        <v>0</v>
      </c>
      <c r="N17" s="39">
        <f>SUBTOTAL(109,Prejemki[Stolpec14])</f>
        <v>0</v>
      </c>
      <c r="O17" s="39">
        <f>IFERROR(AVERAGE(Prejemki[[#Totals],[Stolpec3]:[Stolpec14]]),"")</f>
        <v>8646.25</v>
      </c>
      <c r="P17" s="40"/>
    </row>
    <row r="18" spans="1:16" s="18" customFormat="1" ht="17.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s="18" customFormat="1" ht="17.25" customHeight="1" x14ac:dyDescent="0.25">
      <c r="A19" s="36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5"/>
    </row>
    <row r="20" spans="1:16" s="18" customFormat="1" ht="17.25" customHeight="1" x14ac:dyDescent="0.2">
      <c r="A20" s="28" t="s">
        <v>3</v>
      </c>
      <c r="B20" s="34"/>
      <c r="C20" s="34">
        <v>521</v>
      </c>
      <c r="D20" s="34">
        <v>323</v>
      </c>
      <c r="E20" s="34">
        <v>274</v>
      </c>
      <c r="F20" s="34">
        <v>451</v>
      </c>
      <c r="G20" s="34">
        <v>104</v>
      </c>
      <c r="H20" s="34"/>
      <c r="I20" s="34"/>
      <c r="J20" s="34"/>
      <c r="K20" s="34"/>
      <c r="L20" s="34"/>
      <c r="M20" s="34"/>
      <c r="N20" s="34"/>
      <c r="O20" s="34">
        <f>IFERROR(AVERAGE(Izplačila[[#This Row],[Stolpec3]:[Stolpec14]]),"")</f>
        <v>334.6</v>
      </c>
      <c r="P20" s="17"/>
    </row>
    <row r="21" spans="1:16" s="18" customFormat="1" ht="17.25" customHeight="1" x14ac:dyDescent="0.2">
      <c r="A21" s="28" t="s">
        <v>4</v>
      </c>
      <c r="B21" s="34"/>
      <c r="C21" s="34">
        <v>10572</v>
      </c>
      <c r="D21" s="34">
        <v>14514</v>
      </c>
      <c r="E21" s="34">
        <v>10561</v>
      </c>
      <c r="F21" s="34">
        <v>13170</v>
      </c>
      <c r="G21" s="34">
        <v>12478</v>
      </c>
      <c r="H21" s="34"/>
      <c r="I21" s="34"/>
      <c r="J21" s="34"/>
      <c r="K21" s="34"/>
      <c r="L21" s="34"/>
      <c r="M21" s="34"/>
      <c r="N21" s="34"/>
      <c r="O21" s="34">
        <f>IFERROR(AVERAGE(Izplačila[[#This Row],[Stolpec3]:[Stolpec14]]),"")</f>
        <v>12259</v>
      </c>
      <c r="P21" s="17"/>
    </row>
    <row r="22" spans="1:16" s="18" customFormat="1" ht="17.25" customHeight="1" x14ac:dyDescent="0.2">
      <c r="A22" s="28" t="s">
        <v>5</v>
      </c>
      <c r="B22" s="34"/>
      <c r="C22" s="34">
        <v>250</v>
      </c>
      <c r="D22" s="34">
        <v>428</v>
      </c>
      <c r="E22" s="34">
        <v>165</v>
      </c>
      <c r="F22" s="34">
        <v>1168</v>
      </c>
      <c r="G22" s="34">
        <v>345</v>
      </c>
      <c r="H22" s="34"/>
      <c r="I22" s="34"/>
      <c r="J22" s="34"/>
      <c r="K22" s="34"/>
      <c r="L22" s="34"/>
      <c r="M22" s="34"/>
      <c r="N22" s="34"/>
      <c r="O22" s="34">
        <f>IFERROR(AVERAGE(Izplačila[[#This Row],[Stolpec3]:[Stolpec14]]),"")</f>
        <v>471.2</v>
      </c>
      <c r="P22" s="17"/>
    </row>
    <row r="23" spans="1:16" s="18" customFormat="1" ht="17.25" customHeight="1" x14ac:dyDescent="0.2">
      <c r="A23" s="28" t="s">
        <v>6</v>
      </c>
      <c r="B23" s="34"/>
      <c r="C23" s="34">
        <v>0</v>
      </c>
      <c r="D23" s="34">
        <v>2200</v>
      </c>
      <c r="E23" s="34">
        <v>163</v>
      </c>
      <c r="F23" s="34">
        <v>67</v>
      </c>
      <c r="G23" s="34">
        <v>0</v>
      </c>
      <c r="H23" s="34"/>
      <c r="I23" s="34"/>
      <c r="J23" s="34"/>
      <c r="K23" s="34"/>
      <c r="L23" s="34"/>
      <c r="M23" s="34"/>
      <c r="N23" s="34"/>
      <c r="O23" s="34">
        <f>IFERROR(AVERAGE(Izplačila[[#This Row],[Stolpec3]:[Stolpec14]]),"")</f>
        <v>486</v>
      </c>
      <c r="P23" s="17"/>
    </row>
    <row r="24" spans="1:16" s="18" customFormat="1" ht="17.25" customHeight="1" x14ac:dyDescent="0.2">
      <c r="A24" s="28" t="s">
        <v>7</v>
      </c>
      <c r="B24" s="34"/>
      <c r="C24" s="34">
        <v>1100</v>
      </c>
      <c r="D24" s="34">
        <v>625</v>
      </c>
      <c r="E24" s="34">
        <v>1356</v>
      </c>
      <c r="F24" s="34">
        <v>0</v>
      </c>
      <c r="G24" s="34">
        <v>2560</v>
      </c>
      <c r="H24" s="34"/>
      <c r="I24" s="34"/>
      <c r="J24" s="34"/>
      <c r="K24" s="34"/>
      <c r="L24" s="34"/>
      <c r="M24" s="34"/>
      <c r="N24" s="34"/>
      <c r="O24" s="34">
        <f>IFERROR(AVERAGE(Izplačila[[#This Row],[Stolpec3]:[Stolpec14]]),"")</f>
        <v>1128.2</v>
      </c>
      <c r="P24" s="17"/>
    </row>
    <row r="25" spans="1:16" s="18" customFormat="1" ht="17.25" customHeight="1" x14ac:dyDescent="0.2">
      <c r="A25" s="28" t="s">
        <v>8</v>
      </c>
      <c r="B25" s="34"/>
      <c r="C25" s="34">
        <v>3500</v>
      </c>
      <c r="D25" s="34">
        <v>3500</v>
      </c>
      <c r="E25" s="34">
        <v>3500</v>
      </c>
      <c r="F25" s="34">
        <v>3500</v>
      </c>
      <c r="G25" s="34">
        <v>3500</v>
      </c>
      <c r="H25" s="34"/>
      <c r="I25" s="34"/>
      <c r="J25" s="34"/>
      <c r="K25" s="34"/>
      <c r="L25" s="34"/>
      <c r="M25" s="34"/>
      <c r="N25" s="34"/>
      <c r="O25" s="34">
        <f>IFERROR(AVERAGE(Izplačila[[#This Row],[Stolpec3]:[Stolpec14]]),"")</f>
        <v>3500</v>
      </c>
      <c r="P25" s="17"/>
    </row>
    <row r="26" spans="1:16" s="18" customFormat="1" ht="17.25" customHeight="1" x14ac:dyDescent="0.2">
      <c r="A26" s="28" t="s">
        <v>9</v>
      </c>
      <c r="B26" s="34"/>
      <c r="C26" s="34">
        <v>285</v>
      </c>
      <c r="D26" s="34">
        <v>318</v>
      </c>
      <c r="E26" s="34">
        <v>151</v>
      </c>
      <c r="F26" s="34">
        <v>134</v>
      </c>
      <c r="G26" s="34">
        <v>228</v>
      </c>
      <c r="H26" s="34"/>
      <c r="I26" s="34"/>
      <c r="J26" s="34"/>
      <c r="K26" s="34"/>
      <c r="L26" s="34"/>
      <c r="M26" s="34"/>
      <c r="N26" s="34"/>
      <c r="O26" s="34">
        <f>IFERROR(AVERAGE(Izplačila[[#This Row],[Stolpec3]:[Stolpec14]]),"")</f>
        <v>223.2</v>
      </c>
      <c r="P26" s="17"/>
    </row>
    <row r="27" spans="1:16" s="18" customFormat="1" ht="17.25" customHeight="1" x14ac:dyDescent="0.2">
      <c r="A27" s="28" t="s">
        <v>10</v>
      </c>
      <c r="B27" s="34"/>
      <c r="C27" s="34">
        <v>123</v>
      </c>
      <c r="D27" s="34">
        <v>234</v>
      </c>
      <c r="E27" s="34">
        <v>123</v>
      </c>
      <c r="F27" s="34">
        <v>234</v>
      </c>
      <c r="G27" s="34">
        <v>123</v>
      </c>
      <c r="H27" s="34"/>
      <c r="I27" s="34"/>
      <c r="J27" s="34"/>
      <c r="K27" s="34"/>
      <c r="L27" s="34"/>
      <c r="M27" s="34"/>
      <c r="N27" s="34"/>
      <c r="O27" s="34">
        <f>IFERROR(AVERAGE(Izplačila[[#This Row],[Stolpec3]:[Stolpec14]]),"")</f>
        <v>167.4</v>
      </c>
      <c r="P27" s="17"/>
    </row>
    <row r="28" spans="1:16" s="18" customFormat="1" ht="17.25" customHeight="1" x14ac:dyDescent="0.2">
      <c r="A28" s="28" t="s">
        <v>11</v>
      </c>
      <c r="B28" s="34"/>
      <c r="C28" s="34">
        <v>4000</v>
      </c>
      <c r="D28" s="34">
        <v>4000</v>
      </c>
      <c r="E28" s="34">
        <v>4000</v>
      </c>
      <c r="F28" s="34">
        <v>4000</v>
      </c>
      <c r="G28" s="34">
        <v>4000</v>
      </c>
      <c r="H28" s="34"/>
      <c r="I28" s="34"/>
      <c r="J28" s="34"/>
      <c r="K28" s="34"/>
      <c r="L28" s="34"/>
      <c r="M28" s="34"/>
      <c r="N28" s="34"/>
      <c r="O28" s="34">
        <f>IFERROR(AVERAGE(Izplačila[[#This Row],[Stolpec3]:[Stolpec14]]),"")</f>
        <v>4000</v>
      </c>
      <c r="P28" s="17"/>
    </row>
    <row r="29" spans="1:16" s="18" customFormat="1" ht="17.25" customHeight="1" x14ac:dyDescent="0.2">
      <c r="A29" s="28" t="s">
        <v>12</v>
      </c>
      <c r="B29" s="34"/>
      <c r="C29" s="34">
        <v>679</v>
      </c>
      <c r="D29" s="34">
        <v>700</v>
      </c>
      <c r="E29" s="34">
        <v>679</v>
      </c>
      <c r="F29" s="34">
        <v>650</v>
      </c>
      <c r="G29" s="34">
        <v>679</v>
      </c>
      <c r="H29" s="34"/>
      <c r="I29" s="34"/>
      <c r="J29" s="34"/>
      <c r="K29" s="34"/>
      <c r="L29" s="34"/>
      <c r="M29" s="34"/>
      <c r="N29" s="34"/>
      <c r="O29" s="34">
        <f>IFERROR(AVERAGE(Izplačila[[#This Row],[Stolpec3]:[Stolpec14]]),"")</f>
        <v>677.4</v>
      </c>
      <c r="P29" s="17"/>
    </row>
    <row r="30" spans="1:16" s="18" customFormat="1" ht="17.25" customHeight="1" x14ac:dyDescent="0.2">
      <c r="A30" s="28" t="s">
        <v>13</v>
      </c>
      <c r="B30" s="34"/>
      <c r="C30" s="34">
        <v>400</v>
      </c>
      <c r="D30" s="34">
        <v>350</v>
      </c>
      <c r="E30" s="34">
        <v>400</v>
      </c>
      <c r="F30" s="34">
        <v>300</v>
      </c>
      <c r="G30" s="34">
        <v>400</v>
      </c>
      <c r="H30" s="34"/>
      <c r="I30" s="34"/>
      <c r="J30" s="34"/>
      <c r="K30" s="34"/>
      <c r="L30" s="34"/>
      <c r="M30" s="34"/>
      <c r="N30" s="34"/>
      <c r="O30" s="34">
        <f>IFERROR(AVERAGE(Izplačila[[#This Row],[Stolpec3]:[Stolpec14]]),"")</f>
        <v>370</v>
      </c>
      <c r="P30" s="17"/>
    </row>
    <row r="31" spans="1:16" s="18" customFormat="1" ht="17.25" customHeight="1" x14ac:dyDescent="0.2">
      <c r="A31" s="28" t="s">
        <v>14</v>
      </c>
      <c r="B31" s="34"/>
      <c r="C31" s="34">
        <v>300</v>
      </c>
      <c r="D31" s="34">
        <v>300</v>
      </c>
      <c r="E31" s="34">
        <v>300</v>
      </c>
      <c r="F31" s="34">
        <v>300</v>
      </c>
      <c r="G31" s="34">
        <v>300</v>
      </c>
      <c r="H31" s="34"/>
      <c r="I31" s="34"/>
      <c r="J31" s="34"/>
      <c r="K31" s="34"/>
      <c r="L31" s="34"/>
      <c r="M31" s="34"/>
      <c r="N31" s="34"/>
      <c r="O31" s="34">
        <f>IFERROR(AVERAGE(Izplačila[[#This Row],[Stolpec3]:[Stolpec14]]),"")</f>
        <v>300</v>
      </c>
      <c r="P31" s="17"/>
    </row>
    <row r="32" spans="1:16" s="18" customFormat="1" ht="17.25" customHeight="1" x14ac:dyDescent="0.2">
      <c r="A32" s="28" t="s">
        <v>15</v>
      </c>
      <c r="B32" s="34"/>
      <c r="C32" s="34">
        <v>70</v>
      </c>
      <c r="D32" s="34">
        <v>70</v>
      </c>
      <c r="E32" s="34">
        <v>70</v>
      </c>
      <c r="F32" s="34">
        <v>70</v>
      </c>
      <c r="G32" s="34">
        <v>70</v>
      </c>
      <c r="H32" s="34"/>
      <c r="I32" s="34"/>
      <c r="J32" s="34"/>
      <c r="K32" s="34"/>
      <c r="L32" s="34"/>
      <c r="M32" s="34"/>
      <c r="N32" s="34"/>
      <c r="O32" s="34">
        <f>IFERROR(AVERAGE(Izplačila[[#This Row],[Stolpec3]:[Stolpec14]]),"")</f>
        <v>70</v>
      </c>
      <c r="P32" s="17"/>
    </row>
    <row r="33" spans="1:16" s="41" customFormat="1" ht="17.25" customHeight="1" x14ac:dyDescent="0.25">
      <c r="A33" s="38" t="s">
        <v>21</v>
      </c>
      <c r="B33" s="39"/>
      <c r="C33" s="39">
        <f>SUBTOTAL(109,Izplačila[Stolpec3])</f>
        <v>21800</v>
      </c>
      <c r="D33" s="39">
        <f>SUBTOTAL(109,Izplačila[Stolpec4])</f>
        <v>27562</v>
      </c>
      <c r="E33" s="39">
        <f>SUBTOTAL(109,Izplačila[Stolpec5])</f>
        <v>21742</v>
      </c>
      <c r="F33" s="39">
        <f>SUBTOTAL(109,Izplačila[Stolpec6])</f>
        <v>24044</v>
      </c>
      <c r="G33" s="39">
        <f>SUBTOTAL(109,Izplačila[Stolpec7])</f>
        <v>24787</v>
      </c>
      <c r="H33" s="39">
        <f>SUBTOTAL(109,Izplačila[Stolpec8])</f>
        <v>0</v>
      </c>
      <c r="I33" s="39">
        <f>SUBTOTAL(109,Izplačila[Stolpec9])</f>
        <v>0</v>
      </c>
      <c r="J33" s="39">
        <f>SUBTOTAL(109,Izplačila[Stolpec10])</f>
        <v>0</v>
      </c>
      <c r="K33" s="39">
        <f>SUBTOTAL(109,Izplačila[Stolpec11])</f>
        <v>0</v>
      </c>
      <c r="L33" s="39">
        <f>SUBTOTAL(109,Izplačila[Stolpec12])</f>
        <v>0</v>
      </c>
      <c r="M33" s="39">
        <f>SUBTOTAL(109,Izplačila[Stolpec13])</f>
        <v>0</v>
      </c>
      <c r="N33" s="39">
        <f>SUBTOTAL(109,Izplačila[Stolpec14])</f>
        <v>0</v>
      </c>
      <c r="O33" s="39">
        <f>IFERROR(AVERAGE(Izplačila[[#Totals],[Stolpec3]:[Stolpec14]]),"")</f>
        <v>9994.5833333333339</v>
      </c>
      <c r="P33" s="40"/>
    </row>
    <row r="34" spans="1:16" s="18" customFormat="1" ht="17.2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18" customFormat="1" ht="17.25" customHeight="1" x14ac:dyDescent="0.25">
      <c r="A35" s="36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s="18" customFormat="1" ht="17.25" customHeight="1" x14ac:dyDescent="0.2">
      <c r="A36" s="28" t="s">
        <v>26</v>
      </c>
      <c r="B36" s="34">
        <v>2000</v>
      </c>
      <c r="C36" s="34">
        <v>2500</v>
      </c>
      <c r="D36" s="34">
        <v>2257</v>
      </c>
      <c r="E36" s="34">
        <v>2387</v>
      </c>
      <c r="F36" s="34">
        <v>2664</v>
      </c>
      <c r="G36" s="34">
        <v>2324</v>
      </c>
      <c r="H36" s="34"/>
      <c r="I36" s="34"/>
      <c r="J36" s="34"/>
      <c r="K36" s="34"/>
      <c r="L36" s="34"/>
      <c r="M36" s="34"/>
      <c r="N36" s="34"/>
      <c r="O36" s="34">
        <f>IFERROR(AVERAGE(BistveniOperativniPodatki[[#This Row],[Stolpec2]:[Stolpec14]]),"")</f>
        <v>2355.3333333333335</v>
      </c>
      <c r="P36" s="17"/>
    </row>
    <row r="37" spans="1:16" s="18" customFormat="1" ht="17.25" customHeight="1" x14ac:dyDescent="0.2">
      <c r="A37" s="28" t="s">
        <v>27</v>
      </c>
      <c r="B37" s="34">
        <v>1500</v>
      </c>
      <c r="C37" s="34">
        <v>500</v>
      </c>
      <c r="D37" s="34">
        <v>886</v>
      </c>
      <c r="E37" s="34">
        <v>1035</v>
      </c>
      <c r="F37" s="34">
        <v>1775</v>
      </c>
      <c r="G37" s="34">
        <v>839</v>
      </c>
      <c r="H37" s="34"/>
      <c r="I37" s="34"/>
      <c r="J37" s="34"/>
      <c r="K37" s="34"/>
      <c r="L37" s="34"/>
      <c r="M37" s="34"/>
      <c r="N37" s="34"/>
      <c r="O37" s="34">
        <f>IFERROR(AVERAGE(BistveniOperativniPodatki[[#This Row],[Stolpec2]:[Stolpec14]]),"")</f>
        <v>1089.1666666666667</v>
      </c>
      <c r="P37" s="17"/>
    </row>
    <row r="38" spans="1:16" s="18" customFormat="1" ht="17.25" customHeight="1" x14ac:dyDescent="0.2">
      <c r="A38" s="28" t="s">
        <v>28</v>
      </c>
      <c r="B38" s="34">
        <v>300</v>
      </c>
      <c r="C38" s="34">
        <v>200</v>
      </c>
      <c r="D38" s="34">
        <v>225</v>
      </c>
      <c r="E38" s="34">
        <v>269</v>
      </c>
      <c r="F38" s="34">
        <v>448</v>
      </c>
      <c r="G38" s="34">
        <v>359</v>
      </c>
      <c r="H38" s="34"/>
      <c r="I38" s="34"/>
      <c r="J38" s="34"/>
      <c r="K38" s="34"/>
      <c r="L38" s="34"/>
      <c r="M38" s="34"/>
      <c r="N38" s="34"/>
      <c r="O38" s="34">
        <f>IFERROR(AVERAGE(BistveniOperativniPodatki[[#This Row],[Stolpec2]:[Stolpec14]]),"")</f>
        <v>300.16666666666669</v>
      </c>
      <c r="P38" s="17"/>
    </row>
    <row r="39" spans="1:16" s="18" customFormat="1" ht="17.25" customHeight="1" x14ac:dyDescent="0.2">
      <c r="A39" s="28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 t="str">
        <f>IFERROR(AVERAGE(BistveniOperativniPodatki[[#This Row],[Stolpec2]:[Stolpec14]]),"")</f>
        <v/>
      </c>
      <c r="P39" s="17"/>
    </row>
    <row r="40" spans="1:16" x14ac:dyDescent="0.2">
      <c r="A40" s="28" t="s">
        <v>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 t="str">
        <f>IFERROR(AVERAGE(BistveniOperativniPodatki[[#This Row],[Stolpec2]:[Stolpec14]]),"")</f>
        <v/>
      </c>
      <c r="P40" s="17"/>
    </row>
    <row r="41" spans="1:16" x14ac:dyDescent="0.2">
      <c r="A41" s="28" t="s">
        <v>31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 t="str">
        <f>IFERROR(AVERAGE(BistveniOperativniPodatki[[#This Row],[Stolpec2]:[Stolpec14]]),"")</f>
        <v/>
      </c>
      <c r="P41" s="17"/>
    </row>
  </sheetData>
  <mergeCells count="4">
    <mergeCell ref="A12:P12"/>
    <mergeCell ref="A8:P8"/>
    <mergeCell ref="A18:P18"/>
    <mergeCell ref="A34:P34"/>
  </mergeCells>
  <printOptions horizontalCentered="1"/>
  <pageMargins left="0.25" right="0.25" top="0.5" bottom="0.5" header="0.3" footer="0.3"/>
  <pageSetup paperSize="9" scale="65" orientation="landscape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theme="4"/>
          <x14:colorLow rgb="FFD00000"/>
          <x14:sparklines>
            <x14:sparkline>
              <xm:f>'Dvanajstmesečni denarni tok'!C9:N9</xm:f>
              <xm:sqref>P9</xm:sqref>
            </x14:sparkline>
            <x14:sparkline>
              <xm:f>'Dvanajstmesečni denarni tok'!B33:N33</xm:f>
              <xm:sqref>P33</xm:sqref>
            </x14:sparkline>
            <x14:sparkline>
              <xm:f>'Dvanajstmesečni denarni tok'!C17:N17</xm:f>
              <xm:sqref>P17</xm:sqref>
            </x14:sparkline>
            <x14:sparkline>
              <xm:f>'Dvanajstmesečni denarni tok'!C10:N10</xm:f>
              <xm:sqref>P10</xm:sqref>
            </x14:sparkline>
            <x14:sparkline>
              <xm:f>'Dvanajstmesečni denarni tok'!C11:N11</xm:f>
              <xm:sqref>P11</xm:sqref>
            </x14:sparkline>
          </x14:sparklines>
        </x14:sparklineGroup>
        <x14:sparklineGroup manualMax="0" manualMin="0" displayEmptyCellsAs="gap" markers="1" high="1" low="1" first="1" last="1" negative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4"/>
          <x14:colorLow theme="1" tint="0.249977111117893"/>
          <x14:sparklines>
            <x14:sparkline>
              <xm:f>'Dvanajstmesečni denarni tok'!C36:N36</xm:f>
              <xm:sqref>P36</xm:sqref>
            </x14:sparkline>
            <x14:sparkline>
              <xm:f>'Dvanajstmesečni denarni tok'!C16:N16</xm:f>
              <xm:sqref>P16</xm:sqref>
            </x14:sparkline>
            <x14:sparkline>
              <xm:f>'Dvanajstmesečni denarni tok'!C15:N15</xm:f>
              <xm:sqref>P15</xm:sqref>
            </x14:sparkline>
            <x14:sparkline>
              <xm:f>'Dvanajstmesečni denarni tok'!C14:N14</xm:f>
              <xm:sqref>P14</xm:sqref>
            </x14:sparkline>
            <x14:sparkline>
              <xm:f>'Dvanajstmesečni denarni tok'!C27:N27</xm:f>
              <xm:sqref>P27</xm:sqref>
            </x14:sparkline>
            <x14:sparkline>
              <xm:f>'Dvanajstmesečni denarni tok'!C26:N26</xm:f>
              <xm:sqref>P26</xm:sqref>
            </x14:sparkline>
            <x14:sparkline>
              <xm:f>'Dvanajstmesečni denarni tok'!C25:N25</xm:f>
              <xm:sqref>P25</xm:sqref>
            </x14:sparkline>
            <x14:sparkline>
              <xm:f>'Dvanajstmesečni denarni tok'!C24:N24</xm:f>
              <xm:sqref>P24</xm:sqref>
            </x14:sparkline>
            <x14:sparkline>
              <xm:f>'Dvanajstmesečni denarni tok'!C23:N23</xm:f>
              <xm:sqref>P23</xm:sqref>
            </x14:sparkline>
            <x14:sparkline>
              <xm:f>'Dvanajstmesečni denarni tok'!C22:N22</xm:f>
              <xm:sqref>P22</xm:sqref>
            </x14:sparkline>
            <x14:sparkline>
              <xm:f>'Dvanajstmesečni denarni tok'!C21:N21</xm:f>
              <xm:sqref>P21</xm:sqref>
            </x14:sparkline>
            <x14:sparkline>
              <xm:f>'Dvanajstmesečni denarni tok'!C32:N32</xm:f>
              <xm:sqref>P32</xm:sqref>
            </x14:sparkline>
            <x14:sparkline>
              <xm:f>'Dvanajstmesečni denarni tok'!C31:N31</xm:f>
              <xm:sqref>P31</xm:sqref>
            </x14:sparkline>
            <x14:sparkline>
              <xm:f>'Dvanajstmesečni denarni tok'!C30:N30</xm:f>
              <xm:sqref>P30</xm:sqref>
            </x14:sparkline>
            <x14:sparkline>
              <xm:f>'Dvanajstmesečni denarni tok'!C29:N29</xm:f>
              <xm:sqref>P29</xm:sqref>
            </x14:sparkline>
            <x14:sparkline>
              <xm:f>'Dvanajstmesečni denarni tok'!C28:N28</xm:f>
              <xm:sqref>P28</xm:sqref>
            </x14:sparkline>
            <x14:sparkline>
              <xm:f>'Dvanajstmesečni denarni tok'!C20:N20</xm:f>
              <xm:sqref>P20</xm:sqref>
            </x14:sparkline>
            <x14:sparkline>
              <xm:f>'Dvanajstmesečni denarni tok'!C37:N37</xm:f>
              <xm:sqref>P37</xm:sqref>
            </x14:sparkline>
            <x14:sparkline>
              <xm:f>'Dvanajstmesečni denarni tok'!C38:N38</xm:f>
              <xm:sqref>P38</xm:sqref>
            </x14:sparkline>
            <x14:sparkline>
              <xm:f>'Dvanajstmesečni denarni tok'!C39:N39</xm:f>
              <xm:sqref>P39</xm:sqref>
            </x14:sparkline>
            <x14:sparkline>
              <xm:f>'Dvanajstmesečni denarni tok'!C40:N40</xm:f>
              <xm:sqref>P40</xm:sqref>
            </x14:sparkline>
            <x14:sparkline>
              <xm:f>'Dvanajstmesečni denarni tok'!C41:N41</xm:f>
              <xm:sqref>P41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25:L30"/>
  <sheetViews>
    <sheetView showGridLines="0" zoomScale="87" zoomScaleNormal="87" workbookViewId="0"/>
  </sheetViews>
  <sheetFormatPr defaultRowHeight="12.75" x14ac:dyDescent="0.2"/>
  <cols>
    <col min="1" max="1" width="2.5703125" style="3" customWidth="1"/>
    <col min="2" max="9" width="9.7109375" style="3" customWidth="1"/>
    <col min="10" max="10" width="14.85546875" style="3" customWidth="1"/>
    <col min="11" max="11" width="9.7109375" style="3" customWidth="1"/>
    <col min="12" max="12" width="2.7109375" style="3" customWidth="1"/>
    <col min="13" max="13" width="6.5703125" style="3" customWidth="1"/>
    <col min="14" max="16384" width="9.140625" style="3"/>
  </cols>
  <sheetData>
    <row r="25" spans="1:12" x14ac:dyDescent="0.2">
      <c r="K25" s="20"/>
      <c r="L25" s="20"/>
    </row>
    <row r="26" spans="1:12" ht="19.5" customHeight="1" x14ac:dyDescent="0.2">
      <c r="J26" s="6" t="s">
        <v>34</v>
      </c>
      <c r="K26" s="5">
        <v>5</v>
      </c>
    </row>
    <row r="27" spans="1:12" ht="18.75" customHeight="1" x14ac:dyDescent="0.2">
      <c r="C27" s="35" t="s">
        <v>25</v>
      </c>
      <c r="D27" s="20"/>
      <c r="E27" s="20"/>
      <c r="F27" s="20"/>
      <c r="G27" s="20"/>
      <c r="H27" s="20"/>
      <c r="I27" s="20"/>
      <c r="J27" s="20"/>
    </row>
    <row r="30" spans="1:12" x14ac:dyDescent="0.2">
      <c r="A30" s="4"/>
      <c r="I30"/>
    </row>
  </sheetData>
  <printOptions horizontalCentered="1"/>
  <pageMargins left="0.7" right="0.7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sni trak 1">
              <controlPr defaultSize="0" print="0" autoPict="0" altText="Drag the slider to change data points plotted on Grafikon s povzetkom denarnega toka or enter desired value in cell K27.">
                <anchor moveWithCells="1">
                  <from>
                    <xdr:col>2</xdr:col>
                    <xdr:colOff>66675</xdr:colOff>
                    <xdr:row>25</xdr:row>
                    <xdr:rowOff>66675</xdr:rowOff>
                  </from>
                  <to>
                    <xdr:col>8</xdr:col>
                    <xdr:colOff>390525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856626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>Complete</EditorialStatus>
    <Markets xmlns="e8dc6129-b2e8-490d-b1b8-9dd11744d117"/>
    <OriginAsset xmlns="e8dc6129-b2e8-490d-b1b8-9dd11744d117" xsi:nil="true"/>
    <AssetStart xmlns="e8dc6129-b2e8-490d-b1b8-9dd11744d117">2012-09-19T11:17:00+00:00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247537</Value>
    </PublishStatusLookup>
    <APAuthor xmlns="e8dc6129-b2e8-490d-b1b8-9dd11744d117">
      <UserInfo>
        <DisplayName>REDMOND\matthos</DisplayName>
        <AccountId>59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>TP</AssetType>
    <MachineTranslated xmlns="e8dc6129-b2e8-490d-b1b8-9dd11744d117">false</MachineTranslated>
    <OutputCachingOn xmlns="e8dc6129-b2e8-490d-b1b8-9dd11744d117">false</OutputCachingOn>
    <TemplateStatus xmlns="e8dc6129-b2e8-490d-b1b8-9dd11744d117">Complete</TemplateStatus>
    <IsSearchable xmlns="e8dc6129-b2e8-490d-b1b8-9dd11744d117">true</IsSearchable>
    <ContentItem xmlns="e8dc6129-b2e8-490d-b1b8-9dd11744d117" xsi:nil="true"/>
    <HandoffToMSDN xmlns="e8dc6129-b2e8-490d-b1b8-9dd11744d117" xsi:nil="true"/>
    <ShowIn xmlns="e8dc6129-b2e8-490d-b1b8-9dd11744d117">Show everywhere</ShowIn>
    <ThumbnailAssetId xmlns="e8dc6129-b2e8-490d-b1b8-9dd11744d117" xsi:nil="true"/>
    <UALocComments xmlns="e8dc6129-b2e8-490d-b1b8-9dd11744d117" xsi:nil="true"/>
    <UALocRecommendation xmlns="e8dc6129-b2e8-490d-b1b8-9dd11744d117">Localize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false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 Managed Content</TrustLevel>
    <BlockPublish xmlns="e8dc6129-b2e8-490d-b1b8-9dd11744d117">false</BlockPublish>
    <TPLaunchHelpLinkType xmlns="e8dc6129-b2e8-490d-b1b8-9dd11744d117">Template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Spreadsheet Template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TP103458071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323040-7464-4273-8E1A-5630A6A4A10B}"/>
</file>

<file path=customXml/itemProps2.xml><?xml version="1.0" encoding="utf-8"?>
<ds:datastoreItem xmlns:ds="http://schemas.openxmlformats.org/officeDocument/2006/customXml" ds:itemID="{45668261-D5CD-49C3-914E-FF5912B4E0EE}"/>
</file>

<file path=customXml/itemProps3.xml><?xml version="1.0" encoding="utf-8"?>
<ds:datastoreItem xmlns:ds="http://schemas.openxmlformats.org/officeDocument/2006/customXml" ds:itemID="{786E4C17-20FB-495B-BE48-D263949EFD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8</vt:i4>
      </vt:variant>
    </vt:vector>
  </HeadingPairs>
  <TitlesOfParts>
    <vt:vector size="10" baseType="lpstr">
      <vt:lpstr>Dvanajstmesečni denarni tok</vt:lpstr>
      <vt:lpstr>Povzetek denarnega toka</vt:lpstr>
      <vt:lpstr>'Povzetek denarnega toka'!Področje_tiskanja</vt:lpstr>
      <vt:lpstr>PoslovnoLeto</vt:lpstr>
      <vt:lpstr>SkupnePodatkovneTočke</vt:lpstr>
      <vt:lpstr>'Dvanajstmesečni denarni tok'!Tiskanje_naslovov</vt:lpstr>
      <vt:lpstr>ZačetekDenarnihIzplačil</vt:lpstr>
      <vt:lpstr>ZačetekOznakPodatkov</vt:lpstr>
      <vt:lpstr>ZačetekPrejemkov</vt:lpstr>
      <vt:lpstr>ZačetekRazpoložljivihSredstev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2012-09-17T22:24:11Z</dcterms:created>
  <dcterms:modified xsi:type="dcterms:W3CDTF">2013-01-04T10:16:10Z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