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eli\projects\Office_Online\technicians\PBarborik\test\QA\SLV\"/>
    </mc:Choice>
  </mc:AlternateContent>
  <bookViews>
    <workbookView xWindow="0" yWindow="0" windowWidth="19200" windowHeight="11490" tabRatio="833"/>
  </bookViews>
  <sheets>
    <sheet name="Kako uporabiti to predlogo" sheetId="9" r:id="rId1"/>
    <sheet name="Seznam študentov" sheetId="5" r:id="rId2"/>
    <sheet name="Avgust" sheetId="4" r:id="rId3"/>
    <sheet name="September" sheetId="14" r:id="rId4"/>
    <sheet name="Oktober" sheetId="15" r:id="rId5"/>
    <sheet name="November" sheetId="16" r:id="rId6"/>
    <sheet name="December" sheetId="17" r:id="rId7"/>
    <sheet name="Januar" sheetId="18" r:id="rId8"/>
    <sheet name="Februar" sheetId="8" r:id="rId9"/>
    <sheet name="Marec" sheetId="19" r:id="rId10"/>
    <sheet name="April" sheetId="20" r:id="rId11"/>
    <sheet name="Maj" sheetId="21" r:id="rId12"/>
    <sheet name="Junij" sheetId="22" r:id="rId13"/>
    <sheet name="Julij" sheetId="23" r:id="rId14"/>
    <sheet name="Poročilo prisotnosti študentov" sheetId="6" r:id="rId15"/>
  </sheets>
  <definedNames>
    <definedName name="BesediloBarvnegaKljuča">Avgust!$C$3</definedName>
    <definedName name="BesediloKode1">Avgust!$E$3</definedName>
    <definedName name="BesediloKode2">Avgust!$I$3</definedName>
    <definedName name="BesediloKode3">Avgust!$M$3</definedName>
    <definedName name="BesediloKode4">Avgust!$Q$3</definedName>
    <definedName name="BesediloKode5">Avgust!$U$3</definedName>
    <definedName name="IDUčenca">SeznamUčencev[ID študenta]</definedName>
    <definedName name="ImeUčenca">SeznamUčencev[Polno ime študenta]</definedName>
    <definedName name="IskanjeUčencev">'Poročilo prisotnosti študentov'!$B$4</definedName>
    <definedName name="Koda1">Avgust!$D$3</definedName>
    <definedName name="Koda2">Avgust!$H$3</definedName>
    <definedName name="Koda3">Avgust!$L$3</definedName>
    <definedName name="Koda4">Avgust!$P$3</definedName>
    <definedName name="Koda5">Avgust!$T$3</definedName>
    <definedName name="KoledarskoLeto">Avgust!$AM$1</definedName>
    <definedName name="Natisni_Naslove" localSheetId="1">'Seznam študentov'!$A:$C,'Seznam študentov'!$3:$3</definedName>
  </definedNames>
  <calcPr calcId="152511"/>
</workbook>
</file>

<file path=xl/calcChain.xml><?xml version="1.0" encoding="utf-8"?>
<calcChain xmlns="http://schemas.openxmlformats.org/spreadsheetml/2006/main">
  <c r="AI7" i="14" l="1"/>
  <c r="AI8" i="14"/>
  <c r="AI9" i="14"/>
  <c r="AI10" i="14"/>
  <c r="AI11" i="14"/>
  <c r="A1" i="6" l="1"/>
  <c r="AH12" i="4" l="1"/>
  <c r="AG12" i="4"/>
  <c r="AF12" i="4"/>
  <c r="AE12" i="4"/>
  <c r="AD12" i="4"/>
  <c r="AC12" i="4"/>
  <c r="AB12" i="4"/>
  <c r="AA12" i="4"/>
  <c r="Z12" i="4"/>
  <c r="Y12" i="4"/>
  <c r="X12" i="4"/>
  <c r="W12" i="4"/>
  <c r="V12" i="4"/>
  <c r="U12" i="4"/>
  <c r="T12" i="4"/>
  <c r="S12" i="4"/>
  <c r="R12" i="4"/>
  <c r="Q12" i="4"/>
  <c r="P12" i="4"/>
  <c r="O12" i="4"/>
  <c r="N12" i="4"/>
  <c r="M12" i="4"/>
  <c r="L12" i="4"/>
  <c r="K12" i="4"/>
  <c r="J12" i="4"/>
  <c r="I12" i="4"/>
  <c r="H12" i="4"/>
  <c r="G12" i="4"/>
  <c r="F12" i="4"/>
  <c r="E12" i="4"/>
  <c r="D12" i="4"/>
  <c r="C3" i="23"/>
  <c r="AF12" i="23"/>
  <c r="AE12" i="23"/>
  <c r="AD12" i="23"/>
  <c r="AC12" i="23"/>
  <c r="AB12" i="23"/>
  <c r="AA12" i="23"/>
  <c r="Z12" i="23"/>
  <c r="Y12" i="23"/>
  <c r="X12" i="23"/>
  <c r="W12" i="23"/>
  <c r="V12" i="23"/>
  <c r="U12" i="23"/>
  <c r="T12" i="23"/>
  <c r="S12" i="23"/>
  <c r="R12" i="23"/>
  <c r="Q12" i="23"/>
  <c r="P12" i="23"/>
  <c r="O12" i="23"/>
  <c r="N12" i="23"/>
  <c r="M12" i="23"/>
  <c r="L12" i="23"/>
  <c r="K12" i="23"/>
  <c r="J12" i="23"/>
  <c r="I12" i="23"/>
  <c r="H12" i="23"/>
  <c r="G12" i="23"/>
  <c r="F12" i="23"/>
  <c r="E12" i="23"/>
  <c r="D12" i="23"/>
  <c r="AF12" i="22"/>
  <c r="AE12" i="22"/>
  <c r="AD12" i="22"/>
  <c r="AC12" i="22"/>
  <c r="AB12" i="22"/>
  <c r="AA12" i="22"/>
  <c r="Z12" i="22"/>
  <c r="Y12" i="22"/>
  <c r="X12" i="22"/>
  <c r="W12" i="22"/>
  <c r="V12" i="22"/>
  <c r="U12" i="22"/>
  <c r="T12" i="22"/>
  <c r="S12" i="22"/>
  <c r="R12" i="22"/>
  <c r="Q12" i="22"/>
  <c r="P12" i="22"/>
  <c r="O12" i="22"/>
  <c r="N12" i="22"/>
  <c r="M12" i="22"/>
  <c r="L12" i="22"/>
  <c r="K12" i="22"/>
  <c r="J12" i="22"/>
  <c r="I12" i="22"/>
  <c r="H12" i="22"/>
  <c r="G12" i="22"/>
  <c r="F12" i="22"/>
  <c r="E12" i="22"/>
  <c r="D12" i="22"/>
  <c r="AF12" i="21"/>
  <c r="AE12" i="21"/>
  <c r="AD12" i="21"/>
  <c r="AC12" i="21"/>
  <c r="AB12" i="21"/>
  <c r="AA12" i="21"/>
  <c r="Z12" i="21"/>
  <c r="Y12" i="21"/>
  <c r="X12" i="21"/>
  <c r="W12" i="21"/>
  <c r="V12" i="21"/>
  <c r="U12" i="21"/>
  <c r="T12" i="21"/>
  <c r="S12" i="21"/>
  <c r="R12" i="21"/>
  <c r="Q12" i="21"/>
  <c r="P12" i="21"/>
  <c r="O12" i="21"/>
  <c r="N12" i="21"/>
  <c r="M12" i="21"/>
  <c r="L12" i="21"/>
  <c r="K12" i="21"/>
  <c r="J12" i="21"/>
  <c r="I12" i="21"/>
  <c r="H12" i="21"/>
  <c r="G12" i="21"/>
  <c r="F12" i="21"/>
  <c r="E12" i="21"/>
  <c r="D12" i="21"/>
  <c r="AF12" i="20"/>
  <c r="AE12" i="20"/>
  <c r="AD12" i="20"/>
  <c r="AC12" i="20"/>
  <c r="AB12" i="20"/>
  <c r="AA12" i="20"/>
  <c r="Z12" i="20"/>
  <c r="Y12" i="20"/>
  <c r="X12" i="20"/>
  <c r="W12" i="20"/>
  <c r="V12" i="20"/>
  <c r="U12" i="20"/>
  <c r="T12" i="20"/>
  <c r="S12" i="20"/>
  <c r="R12" i="20"/>
  <c r="Q12" i="20"/>
  <c r="P12" i="20"/>
  <c r="O12" i="20"/>
  <c r="N12" i="20"/>
  <c r="M12" i="20"/>
  <c r="L12" i="20"/>
  <c r="K12" i="20"/>
  <c r="J12" i="20"/>
  <c r="I12" i="20"/>
  <c r="H12" i="20"/>
  <c r="G12" i="20"/>
  <c r="F12" i="20"/>
  <c r="E12" i="20"/>
  <c r="D12" i="20"/>
  <c r="AF12" i="19"/>
  <c r="AE12" i="19"/>
  <c r="AD12" i="19"/>
  <c r="AC12" i="19"/>
  <c r="AB12" i="19"/>
  <c r="AA12" i="19"/>
  <c r="Z12" i="19"/>
  <c r="Y12" i="19"/>
  <c r="X12" i="19"/>
  <c r="W12" i="19"/>
  <c r="V12" i="19"/>
  <c r="U12" i="19"/>
  <c r="T12" i="19"/>
  <c r="S12" i="19"/>
  <c r="R12" i="19"/>
  <c r="Q12" i="19"/>
  <c r="P12" i="19"/>
  <c r="O12" i="19"/>
  <c r="N12" i="19"/>
  <c r="M12" i="19"/>
  <c r="L12" i="19"/>
  <c r="K12" i="19"/>
  <c r="J12" i="19"/>
  <c r="I12" i="19"/>
  <c r="H12" i="19"/>
  <c r="G12" i="19"/>
  <c r="F12" i="19"/>
  <c r="E12" i="19"/>
  <c r="D12" i="19"/>
  <c r="AF12" i="8"/>
  <c r="AE12" i="8"/>
  <c r="AD12" i="8"/>
  <c r="AC12" i="8"/>
  <c r="AB12" i="8"/>
  <c r="AA12" i="8"/>
  <c r="Z12" i="8"/>
  <c r="Y12" i="8"/>
  <c r="X12" i="8"/>
  <c r="W12" i="8"/>
  <c r="V12" i="8"/>
  <c r="U12" i="8"/>
  <c r="T12" i="8"/>
  <c r="S12" i="8"/>
  <c r="R12" i="8"/>
  <c r="Q12" i="8"/>
  <c r="P12" i="8"/>
  <c r="O12" i="8"/>
  <c r="N12" i="8"/>
  <c r="M12" i="8"/>
  <c r="L12" i="8"/>
  <c r="K12" i="8"/>
  <c r="J12" i="8"/>
  <c r="I12" i="8"/>
  <c r="H12" i="8"/>
  <c r="G12" i="8"/>
  <c r="F12" i="8"/>
  <c r="E12" i="8"/>
  <c r="D12" i="8"/>
  <c r="AF12" i="18"/>
  <c r="AE12" i="18"/>
  <c r="AD12" i="18"/>
  <c r="AC12" i="18"/>
  <c r="AB12" i="18"/>
  <c r="AA12" i="18"/>
  <c r="Z12" i="18"/>
  <c r="Y12" i="18"/>
  <c r="X12" i="18"/>
  <c r="W12" i="18"/>
  <c r="V12" i="18"/>
  <c r="U12" i="18"/>
  <c r="T12" i="18"/>
  <c r="S12" i="18"/>
  <c r="R12" i="18"/>
  <c r="Q12" i="18"/>
  <c r="P12" i="18"/>
  <c r="O12" i="18"/>
  <c r="N12" i="18"/>
  <c r="M12" i="18"/>
  <c r="L12" i="18"/>
  <c r="K12" i="18"/>
  <c r="J12" i="18"/>
  <c r="I12" i="18"/>
  <c r="H12" i="18"/>
  <c r="G12" i="18"/>
  <c r="F12" i="18"/>
  <c r="E12" i="18"/>
  <c r="D12" i="18"/>
  <c r="AH12" i="17"/>
  <c r="AG12" i="17"/>
  <c r="AF12" i="17"/>
  <c r="AE12" i="17"/>
  <c r="AD12" i="17"/>
  <c r="AC12" i="17"/>
  <c r="AB12" i="17"/>
  <c r="AA12" i="17"/>
  <c r="Z12" i="17"/>
  <c r="Y12" i="17"/>
  <c r="X12" i="17"/>
  <c r="W12" i="17"/>
  <c r="V12" i="17"/>
  <c r="U12" i="17"/>
  <c r="T12" i="17"/>
  <c r="S12" i="17"/>
  <c r="R12" i="17"/>
  <c r="Q12" i="17"/>
  <c r="P12" i="17"/>
  <c r="O12" i="17"/>
  <c r="N12" i="17"/>
  <c r="M12" i="17"/>
  <c r="L12" i="17"/>
  <c r="K12" i="17"/>
  <c r="J12" i="17"/>
  <c r="I12" i="17"/>
  <c r="H12" i="17"/>
  <c r="G12" i="17"/>
  <c r="F12" i="17"/>
  <c r="E12" i="17"/>
  <c r="D12" i="17"/>
  <c r="AH12" i="16"/>
  <c r="AG12" i="16"/>
  <c r="AF12" i="16"/>
  <c r="AE12" i="16"/>
  <c r="AD12" i="16"/>
  <c r="AC12" i="16"/>
  <c r="AB12" i="16"/>
  <c r="AA12" i="16"/>
  <c r="Z12" i="16"/>
  <c r="Y12" i="16"/>
  <c r="X12" i="16"/>
  <c r="W12" i="16"/>
  <c r="V12" i="16"/>
  <c r="U12" i="16"/>
  <c r="T12" i="16"/>
  <c r="S12" i="16"/>
  <c r="R12" i="16"/>
  <c r="Q12" i="16"/>
  <c r="P12" i="16"/>
  <c r="O12" i="16"/>
  <c r="N12" i="16"/>
  <c r="M12" i="16"/>
  <c r="L12" i="16"/>
  <c r="K12" i="16"/>
  <c r="J12" i="16"/>
  <c r="I12" i="16"/>
  <c r="H12" i="16"/>
  <c r="G12" i="16"/>
  <c r="F12" i="16"/>
  <c r="E12" i="16"/>
  <c r="D12" i="16"/>
  <c r="AH12" i="15"/>
  <c r="AG12" i="15"/>
  <c r="AF12" i="15"/>
  <c r="AE12" i="15"/>
  <c r="AD12" i="15"/>
  <c r="AC12" i="15"/>
  <c r="AB12" i="15"/>
  <c r="AA12" i="15"/>
  <c r="Z12" i="15"/>
  <c r="Y12" i="15"/>
  <c r="X12" i="15"/>
  <c r="W12" i="15"/>
  <c r="V12" i="15"/>
  <c r="U12" i="15"/>
  <c r="T12" i="15"/>
  <c r="S12" i="15"/>
  <c r="R12" i="15"/>
  <c r="Q12" i="15"/>
  <c r="P12" i="15"/>
  <c r="O12" i="15"/>
  <c r="N12" i="15"/>
  <c r="M12" i="15"/>
  <c r="L12" i="15"/>
  <c r="K12" i="15"/>
  <c r="J12" i="15"/>
  <c r="I12" i="15"/>
  <c r="H12" i="15"/>
  <c r="G12" i="15"/>
  <c r="F12" i="15"/>
  <c r="E12" i="15"/>
  <c r="D12" i="15"/>
  <c r="AH12" i="14"/>
  <c r="AG12" i="14"/>
  <c r="AF12" i="14"/>
  <c r="AE12" i="14"/>
  <c r="AD12" i="14"/>
  <c r="AC12" i="14"/>
  <c r="AB12" i="14"/>
  <c r="AA12" i="14"/>
  <c r="Z12" i="14"/>
  <c r="Y12" i="14"/>
  <c r="X12" i="14"/>
  <c r="W12" i="14"/>
  <c r="V12" i="14"/>
  <c r="U12" i="14"/>
  <c r="T12" i="14"/>
  <c r="S12" i="14"/>
  <c r="R12" i="14"/>
  <c r="Q12" i="14"/>
  <c r="P12" i="14"/>
  <c r="O12" i="14"/>
  <c r="N12" i="14"/>
  <c r="M12" i="14"/>
  <c r="L12" i="14"/>
  <c r="K12" i="14"/>
  <c r="J12" i="14"/>
  <c r="I12" i="14"/>
  <c r="H12" i="14"/>
  <c r="G12" i="14"/>
  <c r="F12" i="14"/>
  <c r="E12" i="14"/>
  <c r="D12" i="14"/>
  <c r="U12" i="6"/>
  <c r="T12" i="6"/>
  <c r="Q12" i="6"/>
  <c r="P12" i="6"/>
  <c r="L12" i="6"/>
  <c r="K12" i="6"/>
  <c r="H12" i="6"/>
  <c r="G12" i="6"/>
  <c r="D12" i="6"/>
  <c r="C12" i="6"/>
  <c r="B12" i="6"/>
  <c r="C11" i="23" l="1"/>
  <c r="C10" i="23"/>
  <c r="C9" i="23"/>
  <c r="C8" i="23"/>
  <c r="C7" i="23"/>
  <c r="C11" i="22"/>
  <c r="C10" i="22"/>
  <c r="C9" i="22"/>
  <c r="C8" i="22"/>
  <c r="C7" i="22"/>
  <c r="C11" i="21"/>
  <c r="C10" i="21"/>
  <c r="C9" i="21"/>
  <c r="C8" i="21"/>
  <c r="C7" i="21"/>
  <c r="C11" i="20"/>
  <c r="C10" i="20"/>
  <c r="C9" i="20"/>
  <c r="C8" i="20"/>
  <c r="C7" i="20"/>
  <c r="C11" i="19"/>
  <c r="C10" i="19"/>
  <c r="C9" i="19"/>
  <c r="C8" i="19"/>
  <c r="C7" i="19"/>
  <c r="C11" i="8"/>
  <c r="C10" i="8"/>
  <c r="C9" i="8"/>
  <c r="C8" i="8"/>
  <c r="C7" i="8"/>
  <c r="C11" i="18"/>
  <c r="C10" i="18"/>
  <c r="C9" i="18"/>
  <c r="C8" i="18"/>
  <c r="C7" i="18"/>
  <c r="C11" i="17"/>
  <c r="C10" i="17"/>
  <c r="C9" i="17"/>
  <c r="C8" i="17"/>
  <c r="C7" i="17"/>
  <c r="C11" i="16"/>
  <c r="C10" i="16"/>
  <c r="C9" i="16"/>
  <c r="C8" i="16"/>
  <c r="C7" i="16"/>
  <c r="C11" i="15"/>
  <c r="C10" i="15"/>
  <c r="C9" i="15"/>
  <c r="C8" i="15"/>
  <c r="C7" i="15"/>
  <c r="C11" i="14"/>
  <c r="C10" i="14"/>
  <c r="C9" i="14"/>
  <c r="C8" i="14"/>
  <c r="C7" i="14"/>
  <c r="C11" i="4"/>
  <c r="C10" i="4"/>
  <c r="C9" i="4"/>
  <c r="C8" i="4"/>
  <c r="C7" i="4"/>
  <c r="S8" i="5"/>
  <c r="S7" i="5"/>
  <c r="S6" i="5"/>
  <c r="S5" i="5"/>
  <c r="S4" i="5"/>
  <c r="AG39" i="6" l="1"/>
  <c r="AF39" i="6"/>
  <c r="AE39" i="6"/>
  <c r="AD39" i="6"/>
  <c r="AC39" i="6"/>
  <c r="AB39" i="6"/>
  <c r="AA39" i="6"/>
  <c r="Z39" i="6"/>
  <c r="Y39" i="6"/>
  <c r="X39" i="6"/>
  <c r="W39" i="6"/>
  <c r="V39" i="6"/>
  <c r="U39" i="6"/>
  <c r="T39" i="6"/>
  <c r="S39" i="6"/>
  <c r="R39" i="6"/>
  <c r="Q39" i="6"/>
  <c r="P39" i="6"/>
  <c r="O39" i="6"/>
  <c r="N39" i="6"/>
  <c r="M39" i="6"/>
  <c r="L39" i="6"/>
  <c r="K39" i="6"/>
  <c r="J39" i="6"/>
  <c r="I39" i="6"/>
  <c r="H39" i="6"/>
  <c r="G39" i="6"/>
  <c r="F39" i="6"/>
  <c r="E39" i="6"/>
  <c r="D39" i="6"/>
  <c r="C39" i="6"/>
  <c r="AF37" i="6"/>
  <c r="AE37" i="6"/>
  <c r="AD37" i="6"/>
  <c r="AC37" i="6"/>
  <c r="AB37" i="6"/>
  <c r="AA37" i="6"/>
  <c r="Z37" i="6"/>
  <c r="Y37" i="6"/>
  <c r="X37" i="6"/>
  <c r="W37" i="6"/>
  <c r="V37" i="6"/>
  <c r="U37" i="6"/>
  <c r="T37" i="6"/>
  <c r="S37" i="6"/>
  <c r="R37" i="6"/>
  <c r="Q37" i="6"/>
  <c r="P37" i="6"/>
  <c r="O37" i="6"/>
  <c r="N37" i="6"/>
  <c r="M37" i="6"/>
  <c r="L37" i="6"/>
  <c r="K37" i="6"/>
  <c r="J37" i="6"/>
  <c r="I37" i="6"/>
  <c r="H37" i="6"/>
  <c r="G37" i="6"/>
  <c r="F37" i="6"/>
  <c r="E37" i="6"/>
  <c r="D37" i="6"/>
  <c r="AH36" i="6" s="1"/>
  <c r="C37" i="6"/>
  <c r="AG35" i="6"/>
  <c r="AF35" i="6"/>
  <c r="AE35" i="6"/>
  <c r="AD35" i="6"/>
  <c r="AC35" i="6"/>
  <c r="AB35" i="6"/>
  <c r="AA35" i="6"/>
  <c r="Z35" i="6"/>
  <c r="Y35" i="6"/>
  <c r="X35" i="6"/>
  <c r="W35" i="6"/>
  <c r="V35" i="6"/>
  <c r="U35" i="6"/>
  <c r="T35" i="6"/>
  <c r="S35" i="6"/>
  <c r="R35" i="6"/>
  <c r="Q35" i="6"/>
  <c r="P35" i="6"/>
  <c r="O35" i="6"/>
  <c r="N35" i="6"/>
  <c r="M35" i="6"/>
  <c r="L35" i="6"/>
  <c r="K35" i="6"/>
  <c r="J35" i="6"/>
  <c r="I35" i="6"/>
  <c r="H35" i="6"/>
  <c r="G35" i="6"/>
  <c r="F35" i="6"/>
  <c r="E35" i="6"/>
  <c r="D35" i="6"/>
  <c r="C35" i="6"/>
  <c r="AF33" i="6"/>
  <c r="AE33" i="6"/>
  <c r="AD33" i="6"/>
  <c r="AC33" i="6"/>
  <c r="AB33" i="6"/>
  <c r="AA33" i="6"/>
  <c r="Z33" i="6"/>
  <c r="Y33" i="6"/>
  <c r="X33" i="6"/>
  <c r="W33" i="6"/>
  <c r="V33" i="6"/>
  <c r="U33" i="6"/>
  <c r="T33" i="6"/>
  <c r="S33" i="6"/>
  <c r="R33" i="6"/>
  <c r="Q33" i="6"/>
  <c r="P33" i="6"/>
  <c r="O33" i="6"/>
  <c r="N33" i="6"/>
  <c r="M33" i="6"/>
  <c r="L33" i="6"/>
  <c r="K33" i="6"/>
  <c r="J33" i="6"/>
  <c r="I33" i="6"/>
  <c r="H33" i="6"/>
  <c r="G33" i="6"/>
  <c r="F33" i="6"/>
  <c r="E33" i="6"/>
  <c r="D33" i="6"/>
  <c r="C33" i="6"/>
  <c r="AG31" i="6"/>
  <c r="AF31" i="6"/>
  <c r="AE31" i="6"/>
  <c r="AD31" i="6"/>
  <c r="AC31" i="6"/>
  <c r="AB31" i="6"/>
  <c r="AA31" i="6"/>
  <c r="Z31" i="6"/>
  <c r="Y31" i="6"/>
  <c r="X31" i="6"/>
  <c r="W31" i="6"/>
  <c r="V31" i="6"/>
  <c r="U31" i="6"/>
  <c r="T31" i="6"/>
  <c r="S31" i="6"/>
  <c r="R31" i="6"/>
  <c r="Q31" i="6"/>
  <c r="P31" i="6"/>
  <c r="O31" i="6"/>
  <c r="N31" i="6"/>
  <c r="M31" i="6"/>
  <c r="L31" i="6"/>
  <c r="K31" i="6"/>
  <c r="J31" i="6"/>
  <c r="I31" i="6"/>
  <c r="H31" i="6"/>
  <c r="G31" i="6"/>
  <c r="F31" i="6"/>
  <c r="E31" i="6"/>
  <c r="D31" i="6"/>
  <c r="C31" i="6"/>
  <c r="AG27" i="6"/>
  <c r="AF27" i="6"/>
  <c r="AE27" i="6"/>
  <c r="AD27" i="6"/>
  <c r="AC27" i="6"/>
  <c r="AB27" i="6"/>
  <c r="AA27" i="6"/>
  <c r="Z27" i="6"/>
  <c r="Y27" i="6"/>
  <c r="X27" i="6"/>
  <c r="W27" i="6"/>
  <c r="V27" i="6"/>
  <c r="U27" i="6"/>
  <c r="T27" i="6"/>
  <c r="S27" i="6"/>
  <c r="R27" i="6"/>
  <c r="Q27" i="6"/>
  <c r="P27" i="6"/>
  <c r="O27" i="6"/>
  <c r="N27" i="6"/>
  <c r="M27" i="6"/>
  <c r="L27" i="6"/>
  <c r="K27" i="6"/>
  <c r="J27" i="6"/>
  <c r="I27" i="6"/>
  <c r="H27" i="6"/>
  <c r="G27" i="6"/>
  <c r="F27" i="6"/>
  <c r="E27" i="6"/>
  <c r="D27" i="6"/>
  <c r="C27" i="6"/>
  <c r="AG25" i="6"/>
  <c r="AF25" i="6"/>
  <c r="AE25" i="6"/>
  <c r="AD25" i="6"/>
  <c r="AC25" i="6"/>
  <c r="AB25" i="6"/>
  <c r="AA25" i="6"/>
  <c r="Z25" i="6"/>
  <c r="Y25" i="6"/>
  <c r="X25" i="6"/>
  <c r="W25" i="6"/>
  <c r="V25" i="6"/>
  <c r="U25" i="6"/>
  <c r="T25" i="6"/>
  <c r="S25" i="6"/>
  <c r="R25" i="6"/>
  <c r="Q25" i="6"/>
  <c r="P25" i="6"/>
  <c r="O25" i="6"/>
  <c r="N25" i="6"/>
  <c r="M25" i="6"/>
  <c r="L25" i="6"/>
  <c r="K25" i="6"/>
  <c r="J25" i="6"/>
  <c r="I25" i="6"/>
  <c r="H25" i="6"/>
  <c r="G25" i="6"/>
  <c r="F25" i="6"/>
  <c r="E25" i="6"/>
  <c r="D25" i="6"/>
  <c r="C25" i="6"/>
  <c r="AF23" i="6"/>
  <c r="AE23" i="6"/>
  <c r="AD23" i="6"/>
  <c r="AC23" i="6"/>
  <c r="AB23" i="6"/>
  <c r="AA23" i="6"/>
  <c r="Z23" i="6"/>
  <c r="Y23" i="6"/>
  <c r="X23" i="6"/>
  <c r="W23" i="6"/>
  <c r="V23" i="6"/>
  <c r="U23" i="6"/>
  <c r="T23" i="6"/>
  <c r="S23" i="6"/>
  <c r="R23" i="6"/>
  <c r="Q23" i="6"/>
  <c r="P23" i="6"/>
  <c r="O23" i="6"/>
  <c r="N23" i="6"/>
  <c r="M23" i="6"/>
  <c r="L23" i="6"/>
  <c r="K23" i="6"/>
  <c r="J23" i="6"/>
  <c r="I23" i="6"/>
  <c r="H23" i="6"/>
  <c r="G23" i="6"/>
  <c r="F23" i="6"/>
  <c r="E23" i="6"/>
  <c r="D23" i="6"/>
  <c r="C23" i="6"/>
  <c r="AG21" i="6"/>
  <c r="AF21" i="6"/>
  <c r="AE21" i="6"/>
  <c r="AD21" i="6"/>
  <c r="AC21" i="6"/>
  <c r="AB21" i="6"/>
  <c r="AA21" i="6"/>
  <c r="Z21" i="6"/>
  <c r="Y21" i="6"/>
  <c r="X21" i="6"/>
  <c r="W21" i="6"/>
  <c r="V21" i="6"/>
  <c r="U21" i="6"/>
  <c r="T21" i="6"/>
  <c r="S21" i="6"/>
  <c r="R21" i="6"/>
  <c r="Q21" i="6"/>
  <c r="P21" i="6"/>
  <c r="O21" i="6"/>
  <c r="N21" i="6"/>
  <c r="M21" i="6"/>
  <c r="L21" i="6"/>
  <c r="K21" i="6"/>
  <c r="J21" i="6"/>
  <c r="I21" i="6"/>
  <c r="H21" i="6"/>
  <c r="G21" i="6"/>
  <c r="F21" i="6"/>
  <c r="E21" i="6"/>
  <c r="D21" i="6"/>
  <c r="C21" i="6"/>
  <c r="AH5" i="23"/>
  <c r="AG5" i="23"/>
  <c r="AF5" i="23"/>
  <c r="AE5" i="23"/>
  <c r="AD5" i="23"/>
  <c r="AC5" i="23"/>
  <c r="AB5" i="23"/>
  <c r="AA5" i="23"/>
  <c r="Z5" i="23"/>
  <c r="Y5" i="23"/>
  <c r="X5" i="23"/>
  <c r="W5" i="23"/>
  <c r="V5" i="23"/>
  <c r="U5" i="23"/>
  <c r="T5" i="23"/>
  <c r="S5" i="23"/>
  <c r="R5" i="23"/>
  <c r="Q5" i="23"/>
  <c r="P5" i="23"/>
  <c r="O5" i="23"/>
  <c r="N5" i="23"/>
  <c r="M5" i="23"/>
  <c r="L5" i="23"/>
  <c r="K5" i="23"/>
  <c r="J5" i="23"/>
  <c r="I5" i="23"/>
  <c r="H5" i="23"/>
  <c r="G5" i="23"/>
  <c r="F5" i="23"/>
  <c r="E5" i="23"/>
  <c r="D5" i="23"/>
  <c r="B5" i="23"/>
  <c r="AG5" i="22"/>
  <c r="AF5" i="22"/>
  <c r="AE5" i="22"/>
  <c r="AD5" i="22"/>
  <c r="AC5" i="22"/>
  <c r="AB5" i="22"/>
  <c r="AA5" i="22"/>
  <c r="Z5" i="22"/>
  <c r="Y5" i="22"/>
  <c r="X5" i="22"/>
  <c r="W5" i="22"/>
  <c r="V5" i="22"/>
  <c r="U5" i="22"/>
  <c r="T5" i="22"/>
  <c r="S5" i="22"/>
  <c r="R5" i="22"/>
  <c r="Q5" i="22"/>
  <c r="P5" i="22"/>
  <c r="O5" i="22"/>
  <c r="N5" i="22"/>
  <c r="M5" i="22"/>
  <c r="L5" i="22"/>
  <c r="K5" i="22"/>
  <c r="J5" i="22"/>
  <c r="I5" i="22"/>
  <c r="H5" i="22"/>
  <c r="G5" i="22"/>
  <c r="F5" i="22"/>
  <c r="E5" i="22"/>
  <c r="D5" i="22"/>
  <c r="B5" i="22"/>
  <c r="AL11" i="23"/>
  <c r="AK11" i="23"/>
  <c r="AJ11" i="23"/>
  <c r="AM11" i="23" s="1"/>
  <c r="AI11" i="23"/>
  <c r="AL10" i="23"/>
  <c r="AK10" i="23"/>
  <c r="AJ10" i="23"/>
  <c r="AM10" i="23" s="1"/>
  <c r="AI10" i="23"/>
  <c r="AL9" i="23"/>
  <c r="AK9" i="23"/>
  <c r="AJ9" i="23"/>
  <c r="AM9" i="23" s="1"/>
  <c r="AI9" i="23"/>
  <c r="AL8" i="23"/>
  <c r="AK8" i="23"/>
  <c r="AJ8" i="23"/>
  <c r="AM8" i="23" s="1"/>
  <c r="AI8" i="23"/>
  <c r="AL7" i="23"/>
  <c r="AK7" i="23"/>
  <c r="AK12" i="23" s="1"/>
  <c r="AJ7" i="23"/>
  <c r="AI7" i="23"/>
  <c r="AI12" i="23" s="1"/>
  <c r="U3" i="23"/>
  <c r="T3" i="23"/>
  <c r="Q3" i="23"/>
  <c r="P3" i="23"/>
  <c r="M3" i="23"/>
  <c r="L3" i="23"/>
  <c r="I3" i="23"/>
  <c r="H3" i="23"/>
  <c r="E3" i="23"/>
  <c r="D3" i="23"/>
  <c r="AM1" i="23"/>
  <c r="AL11" i="22"/>
  <c r="AK11" i="22"/>
  <c r="AJ11" i="22"/>
  <c r="AI11" i="22"/>
  <c r="AL10" i="22"/>
  <c r="AK10" i="22"/>
  <c r="AJ10" i="22"/>
  <c r="AI10" i="22"/>
  <c r="AL9" i="22"/>
  <c r="AK9" i="22"/>
  <c r="AJ9" i="22"/>
  <c r="AI9" i="22"/>
  <c r="AL8" i="22"/>
  <c r="AK8" i="22"/>
  <c r="AJ8" i="22"/>
  <c r="AI8" i="22"/>
  <c r="AL7" i="22"/>
  <c r="AL12" i="22" s="1"/>
  <c r="AK7" i="22"/>
  <c r="AK12" i="22" s="1"/>
  <c r="AJ7" i="22"/>
  <c r="AI7" i="22"/>
  <c r="AI12" i="22" s="1"/>
  <c r="U3" i="22"/>
  <c r="T3" i="22"/>
  <c r="Q3" i="22"/>
  <c r="P3" i="22"/>
  <c r="M3" i="22"/>
  <c r="L3" i="22"/>
  <c r="I3" i="22"/>
  <c r="H3" i="22"/>
  <c r="E3" i="22"/>
  <c r="D3" i="22"/>
  <c r="C3" i="22"/>
  <c r="AM1" i="22"/>
  <c r="AH5" i="21"/>
  <c r="AG5" i="21"/>
  <c r="AF5" i="21"/>
  <c r="AE5" i="21"/>
  <c r="AD5" i="21"/>
  <c r="AC5" i="21"/>
  <c r="AB5" i="21"/>
  <c r="AA5" i="21"/>
  <c r="Z5" i="21"/>
  <c r="Y5" i="21"/>
  <c r="X5" i="21"/>
  <c r="W5" i="21"/>
  <c r="V5" i="21"/>
  <c r="U5" i="21"/>
  <c r="T5" i="21"/>
  <c r="S5" i="21"/>
  <c r="R5" i="21"/>
  <c r="Q5" i="21"/>
  <c r="P5" i="21"/>
  <c r="O5" i="21"/>
  <c r="N5" i="21"/>
  <c r="M5" i="21"/>
  <c r="L5" i="21"/>
  <c r="K5" i="21"/>
  <c r="J5" i="21"/>
  <c r="I5" i="21"/>
  <c r="H5" i="21"/>
  <c r="G5" i="21"/>
  <c r="F5" i="21"/>
  <c r="E5" i="21"/>
  <c r="D5" i="21"/>
  <c r="B5" i="21"/>
  <c r="AG5" i="20"/>
  <c r="AF5" i="20"/>
  <c r="AE5" i="20"/>
  <c r="AD5" i="20"/>
  <c r="AC5" i="20"/>
  <c r="AB5" i="20"/>
  <c r="AA5" i="20"/>
  <c r="Z5" i="20"/>
  <c r="Y5" i="20"/>
  <c r="X5" i="20"/>
  <c r="W5" i="20"/>
  <c r="V5" i="20"/>
  <c r="U5" i="20"/>
  <c r="T5" i="20"/>
  <c r="S5" i="20"/>
  <c r="R5" i="20"/>
  <c r="Q5" i="20"/>
  <c r="P5" i="20"/>
  <c r="O5" i="20"/>
  <c r="N5" i="20"/>
  <c r="M5" i="20"/>
  <c r="L5" i="20"/>
  <c r="K5" i="20"/>
  <c r="J5" i="20"/>
  <c r="I5" i="20"/>
  <c r="H5" i="20"/>
  <c r="G5" i="20"/>
  <c r="F5" i="20"/>
  <c r="E5" i="20"/>
  <c r="D5" i="20"/>
  <c r="B5" i="20"/>
  <c r="AL11" i="21"/>
  <c r="AK11" i="21"/>
  <c r="AJ11" i="21"/>
  <c r="AM11" i="21" s="1"/>
  <c r="AI11" i="21"/>
  <c r="AL10" i="21"/>
  <c r="AK10" i="21"/>
  <c r="AJ10" i="21"/>
  <c r="AM10" i="21" s="1"/>
  <c r="AI10" i="21"/>
  <c r="AL9" i="21"/>
  <c r="AK9" i="21"/>
  <c r="AJ9" i="21"/>
  <c r="AM9" i="21" s="1"/>
  <c r="AI9" i="21"/>
  <c r="AL8" i="21"/>
  <c r="AK8" i="21"/>
  <c r="AJ8" i="21"/>
  <c r="AM8" i="21" s="1"/>
  <c r="AI8" i="21"/>
  <c r="AL7" i="21"/>
  <c r="AL12" i="21" s="1"/>
  <c r="AK7" i="21"/>
  <c r="AK12" i="21" s="1"/>
  <c r="AJ7" i="21"/>
  <c r="AI7" i="21"/>
  <c r="AI12" i="21" s="1"/>
  <c r="U3" i="21"/>
  <c r="T3" i="21"/>
  <c r="Q3" i="21"/>
  <c r="P3" i="21"/>
  <c r="M3" i="21"/>
  <c r="L3" i="21"/>
  <c r="I3" i="21"/>
  <c r="H3" i="21"/>
  <c r="E3" i="21"/>
  <c r="D3" i="21"/>
  <c r="C3" i="21"/>
  <c r="AM1" i="21"/>
  <c r="AL11" i="20"/>
  <c r="AK11" i="20"/>
  <c r="AJ11" i="20"/>
  <c r="AM11" i="20" s="1"/>
  <c r="AI11" i="20"/>
  <c r="AL10" i="20"/>
  <c r="AK10" i="20"/>
  <c r="AJ10" i="20"/>
  <c r="AM10" i="20" s="1"/>
  <c r="AI10" i="20"/>
  <c r="AL9" i="20"/>
  <c r="AK9" i="20"/>
  <c r="AJ9" i="20"/>
  <c r="AM9" i="20" s="1"/>
  <c r="AI9" i="20"/>
  <c r="AL8" i="20"/>
  <c r="AK8" i="20"/>
  <c r="AJ8" i="20"/>
  <c r="AM8" i="20" s="1"/>
  <c r="AI8" i="20"/>
  <c r="AL7" i="20"/>
  <c r="AL12" i="20" s="1"/>
  <c r="AK7" i="20"/>
  <c r="AK12" i="20" s="1"/>
  <c r="AJ7" i="20"/>
  <c r="AI7" i="20"/>
  <c r="AI12" i="20" s="1"/>
  <c r="U3" i="20"/>
  <c r="T3" i="20"/>
  <c r="Q3" i="20"/>
  <c r="P3" i="20"/>
  <c r="M3" i="20"/>
  <c r="L3" i="20"/>
  <c r="I3" i="20"/>
  <c r="H3" i="20"/>
  <c r="E3" i="20"/>
  <c r="D3" i="20"/>
  <c r="C3" i="20"/>
  <c r="AM1" i="20"/>
  <c r="AH5" i="19"/>
  <c r="AG5" i="19"/>
  <c r="AF5" i="19"/>
  <c r="AE5" i="19"/>
  <c r="AD5" i="19"/>
  <c r="AC5" i="19"/>
  <c r="AB5" i="19"/>
  <c r="AA5" i="19"/>
  <c r="Z5" i="19"/>
  <c r="Y5" i="19"/>
  <c r="X5" i="19"/>
  <c r="W5" i="19"/>
  <c r="V5" i="19"/>
  <c r="U5" i="19"/>
  <c r="T5" i="19"/>
  <c r="S5" i="19"/>
  <c r="R5" i="19"/>
  <c r="Q5" i="19"/>
  <c r="P5" i="19"/>
  <c r="O5" i="19"/>
  <c r="N5" i="19"/>
  <c r="M5" i="19"/>
  <c r="L5" i="19"/>
  <c r="K5" i="19"/>
  <c r="J5" i="19"/>
  <c r="I5" i="19"/>
  <c r="H5" i="19"/>
  <c r="G5" i="19"/>
  <c r="F5" i="19"/>
  <c r="E5" i="19"/>
  <c r="D5" i="19"/>
  <c r="B5" i="19"/>
  <c r="AL11" i="19"/>
  <c r="AK11" i="19"/>
  <c r="AJ11" i="19"/>
  <c r="AM11" i="19" s="1"/>
  <c r="AI11" i="19"/>
  <c r="AL10" i="19"/>
  <c r="AK10" i="19"/>
  <c r="AJ10" i="19"/>
  <c r="AM10" i="19" s="1"/>
  <c r="AI10" i="19"/>
  <c r="AL9" i="19"/>
  <c r="AK9" i="19"/>
  <c r="AJ9" i="19"/>
  <c r="AM9" i="19" s="1"/>
  <c r="AI9" i="19"/>
  <c r="AL8" i="19"/>
  <c r="AK8" i="19"/>
  <c r="AJ8" i="19"/>
  <c r="AM8" i="19" s="1"/>
  <c r="AI8" i="19"/>
  <c r="AL7" i="19"/>
  <c r="AL12" i="19" s="1"/>
  <c r="AK7" i="19"/>
  <c r="AK12" i="19" s="1"/>
  <c r="AJ7" i="19"/>
  <c r="AM7" i="19" s="1"/>
  <c r="AM12" i="19" s="1"/>
  <c r="AI7" i="19"/>
  <c r="AI12" i="19" s="1"/>
  <c r="U3" i="19"/>
  <c r="T3" i="19"/>
  <c r="Q3" i="19"/>
  <c r="P3" i="19"/>
  <c r="M3" i="19"/>
  <c r="L3" i="19"/>
  <c r="I3" i="19"/>
  <c r="H3" i="19"/>
  <c r="E3" i="19"/>
  <c r="D3" i="19"/>
  <c r="C3" i="19"/>
  <c r="AM1" i="19"/>
  <c r="B5" i="17"/>
  <c r="B5" i="16"/>
  <c r="B5" i="15"/>
  <c r="AH5" i="18"/>
  <c r="AG5" i="18"/>
  <c r="AF5" i="18"/>
  <c r="AE5" i="18"/>
  <c r="AD5" i="18"/>
  <c r="AC5" i="18"/>
  <c r="AB5" i="18"/>
  <c r="AA5" i="18"/>
  <c r="Z5" i="18"/>
  <c r="Y5" i="18"/>
  <c r="X5" i="18"/>
  <c r="W5" i="18"/>
  <c r="V5" i="18"/>
  <c r="U5" i="18"/>
  <c r="T5" i="18"/>
  <c r="S5" i="18"/>
  <c r="R5" i="18"/>
  <c r="Q5" i="18"/>
  <c r="P5" i="18"/>
  <c r="O5" i="18"/>
  <c r="N5" i="18"/>
  <c r="M5" i="18"/>
  <c r="L5" i="18"/>
  <c r="K5" i="18"/>
  <c r="J5" i="18"/>
  <c r="I5" i="18"/>
  <c r="H5" i="18"/>
  <c r="G5" i="18"/>
  <c r="F5" i="18"/>
  <c r="E5" i="18"/>
  <c r="D5" i="18"/>
  <c r="B5" i="18"/>
  <c r="AL11" i="18"/>
  <c r="AK11" i="18"/>
  <c r="AJ11" i="18"/>
  <c r="AI11" i="18"/>
  <c r="AL10" i="18"/>
  <c r="AK10" i="18"/>
  <c r="AJ10" i="18"/>
  <c r="AI10" i="18"/>
  <c r="AL9" i="18"/>
  <c r="AK9" i="18"/>
  <c r="AJ9" i="18"/>
  <c r="AI9" i="18"/>
  <c r="AL8" i="18"/>
  <c r="AK8" i="18"/>
  <c r="AJ8" i="18"/>
  <c r="AI8" i="18"/>
  <c r="AL7" i="18"/>
  <c r="AK7" i="18"/>
  <c r="AJ7" i="18"/>
  <c r="AI7" i="18"/>
  <c r="AI12" i="18" s="1"/>
  <c r="U3" i="18"/>
  <c r="T3" i="18"/>
  <c r="Q3" i="18"/>
  <c r="P3" i="18"/>
  <c r="M3" i="18"/>
  <c r="L3" i="18"/>
  <c r="I3" i="18"/>
  <c r="H3" i="18"/>
  <c r="E3" i="18"/>
  <c r="D3" i="18"/>
  <c r="C3" i="18"/>
  <c r="AM1" i="18"/>
  <c r="AH5" i="17"/>
  <c r="AG5" i="17"/>
  <c r="AF5" i="17"/>
  <c r="AE5" i="17"/>
  <c r="AD5" i="17"/>
  <c r="AC5" i="17"/>
  <c r="AB5" i="17"/>
  <c r="AA5" i="17"/>
  <c r="Z5" i="17"/>
  <c r="Y5" i="17"/>
  <c r="X5" i="17"/>
  <c r="W5" i="17"/>
  <c r="V5" i="17"/>
  <c r="U5" i="17"/>
  <c r="T5" i="17"/>
  <c r="S5" i="17"/>
  <c r="R5" i="17"/>
  <c r="Q5" i="17"/>
  <c r="P5" i="17"/>
  <c r="O5" i="17"/>
  <c r="N5" i="17"/>
  <c r="M5" i="17"/>
  <c r="L5" i="17"/>
  <c r="K5" i="17"/>
  <c r="J5" i="17"/>
  <c r="I5" i="17"/>
  <c r="H5" i="17"/>
  <c r="G5" i="17"/>
  <c r="F5" i="17"/>
  <c r="E5" i="17"/>
  <c r="D5" i="17"/>
  <c r="AL11" i="17"/>
  <c r="AK11" i="17"/>
  <c r="AJ11" i="17"/>
  <c r="AM11" i="17" s="1"/>
  <c r="AI11" i="17"/>
  <c r="AL10" i="17"/>
  <c r="AK10" i="17"/>
  <c r="AJ10" i="17"/>
  <c r="AM10" i="17" s="1"/>
  <c r="AI10" i="17"/>
  <c r="AL9" i="17"/>
  <c r="AK9" i="17"/>
  <c r="AJ9" i="17"/>
  <c r="AM9" i="17" s="1"/>
  <c r="AI9" i="17"/>
  <c r="AL8" i="17"/>
  <c r="AK8" i="17"/>
  <c r="AJ8" i="17"/>
  <c r="AM8" i="17" s="1"/>
  <c r="AI8" i="17"/>
  <c r="AL7" i="17"/>
  <c r="AK7" i="17"/>
  <c r="AK12" i="17" s="1"/>
  <c r="AJ7" i="17"/>
  <c r="AM7" i="17" s="1"/>
  <c r="AM12" i="17" s="1"/>
  <c r="AI7" i="17"/>
  <c r="AI12" i="17" s="1"/>
  <c r="U3" i="17"/>
  <c r="T3" i="17"/>
  <c r="Q3" i="17"/>
  <c r="P3" i="17"/>
  <c r="M3" i="17"/>
  <c r="L3" i="17"/>
  <c r="I3" i="17"/>
  <c r="H3" i="17"/>
  <c r="E3" i="17"/>
  <c r="D3" i="17"/>
  <c r="C3" i="17"/>
  <c r="AM1" i="17"/>
  <c r="AG5" i="16"/>
  <c r="AF5" i="16"/>
  <c r="AE5" i="16"/>
  <c r="AD5" i="16"/>
  <c r="AC5" i="16"/>
  <c r="AB5" i="16"/>
  <c r="AA5" i="16"/>
  <c r="Z5" i="16"/>
  <c r="Y5" i="16"/>
  <c r="X5" i="16"/>
  <c r="W5" i="16"/>
  <c r="V5" i="16"/>
  <c r="U5" i="16"/>
  <c r="T5" i="16"/>
  <c r="S5" i="16"/>
  <c r="R5" i="16"/>
  <c r="Q5" i="16"/>
  <c r="P5" i="16"/>
  <c r="O5" i="16"/>
  <c r="N5" i="16"/>
  <c r="M5" i="16"/>
  <c r="L5" i="16"/>
  <c r="K5" i="16"/>
  <c r="J5" i="16"/>
  <c r="I5" i="16"/>
  <c r="H5" i="16"/>
  <c r="G5" i="16"/>
  <c r="F5" i="16"/>
  <c r="E5" i="16"/>
  <c r="D5" i="16"/>
  <c r="AH5" i="15"/>
  <c r="AG5" i="15"/>
  <c r="AF5" i="15"/>
  <c r="AE5" i="15"/>
  <c r="AD5" i="15"/>
  <c r="AC5" i="15"/>
  <c r="AB5" i="15"/>
  <c r="AA5" i="15"/>
  <c r="Z5" i="15"/>
  <c r="Y5" i="15"/>
  <c r="X5" i="15"/>
  <c r="W5" i="15"/>
  <c r="V5" i="15"/>
  <c r="U5" i="15"/>
  <c r="T5" i="15"/>
  <c r="S5" i="15"/>
  <c r="R5" i="15"/>
  <c r="Q5" i="15"/>
  <c r="P5" i="15"/>
  <c r="O5" i="15"/>
  <c r="N5" i="15"/>
  <c r="M5" i="15"/>
  <c r="L5" i="15"/>
  <c r="K5" i="15"/>
  <c r="J5" i="15"/>
  <c r="I5" i="15"/>
  <c r="H5" i="15"/>
  <c r="G5" i="15"/>
  <c r="F5" i="15"/>
  <c r="E5" i="15"/>
  <c r="D5" i="15"/>
  <c r="AL11" i="16"/>
  <c r="AK11" i="16"/>
  <c r="AJ11" i="16"/>
  <c r="AI11" i="16"/>
  <c r="AL10" i="16"/>
  <c r="AK10" i="16"/>
  <c r="AJ10" i="16"/>
  <c r="AI10" i="16"/>
  <c r="AL9" i="16"/>
  <c r="AK9" i="16"/>
  <c r="AJ9" i="16"/>
  <c r="AI9" i="16"/>
  <c r="AL8" i="16"/>
  <c r="AK8" i="16"/>
  <c r="AJ8" i="16"/>
  <c r="AI8" i="16"/>
  <c r="AL7" i="16"/>
  <c r="AK7" i="16"/>
  <c r="AK12" i="16" s="1"/>
  <c r="AJ7" i="16"/>
  <c r="AI7" i="16"/>
  <c r="AI12" i="16" s="1"/>
  <c r="U3" i="16"/>
  <c r="T3" i="16"/>
  <c r="Q3" i="16"/>
  <c r="P3" i="16"/>
  <c r="M3" i="16"/>
  <c r="L3" i="16"/>
  <c r="I3" i="16"/>
  <c r="H3" i="16"/>
  <c r="E3" i="16"/>
  <c r="D3" i="16"/>
  <c r="C3" i="16"/>
  <c r="AM1" i="16"/>
  <c r="AL11" i="15"/>
  <c r="AK11" i="15"/>
  <c r="AJ11" i="15"/>
  <c r="AI11" i="15"/>
  <c r="AL10" i="15"/>
  <c r="AK10" i="15"/>
  <c r="AJ10" i="15"/>
  <c r="AI10" i="15"/>
  <c r="AL9" i="15"/>
  <c r="AK9" i="15"/>
  <c r="AJ9" i="15"/>
  <c r="AI9" i="15"/>
  <c r="AL8" i="15"/>
  <c r="AK8" i="15"/>
  <c r="AJ8" i="15"/>
  <c r="AI8" i="15"/>
  <c r="AL7" i="15"/>
  <c r="AK7" i="15"/>
  <c r="AK12" i="15" s="1"/>
  <c r="AJ7" i="15"/>
  <c r="AI7" i="15"/>
  <c r="AI12" i="15" s="1"/>
  <c r="U3" i="15"/>
  <c r="T3" i="15"/>
  <c r="Q3" i="15"/>
  <c r="P3" i="15"/>
  <c r="M3" i="15"/>
  <c r="L3" i="15"/>
  <c r="I3" i="15"/>
  <c r="H3" i="15"/>
  <c r="E3" i="15"/>
  <c r="D3" i="15"/>
  <c r="C3" i="15"/>
  <c r="AM1" i="15"/>
  <c r="AM7" i="15" l="1"/>
  <c r="AM8" i="15"/>
  <c r="AM9" i="15"/>
  <c r="AM10" i="15"/>
  <c r="AM11" i="15"/>
  <c r="AM7" i="16"/>
  <c r="AM8" i="16"/>
  <c r="AM9" i="16"/>
  <c r="AM10" i="16"/>
  <c r="AM11" i="16"/>
  <c r="AM7" i="18"/>
  <c r="AM8" i="18"/>
  <c r="AM9" i="18"/>
  <c r="AM10" i="18"/>
  <c r="AM11" i="18"/>
  <c r="AM7" i="22"/>
  <c r="AM8" i="22"/>
  <c r="AM9" i="22"/>
  <c r="AM10" i="22"/>
  <c r="AM11" i="22"/>
  <c r="AM7" i="23"/>
  <c r="AM12" i="23" s="1"/>
  <c r="AJ12" i="23"/>
  <c r="AJ12" i="22"/>
  <c r="AM7" i="21"/>
  <c r="AM12" i="21" s="1"/>
  <c r="AJ12" i="21"/>
  <c r="AM7" i="20"/>
  <c r="AM12" i="20" s="1"/>
  <c r="AJ12" i="20"/>
  <c r="AJ12" i="19"/>
  <c r="AK12" i="18"/>
  <c r="AJ12" i="18"/>
  <c r="AJ12" i="17"/>
  <c r="AJ12" i="16"/>
  <c r="AJ12" i="15"/>
  <c r="AH38" i="6"/>
  <c r="AL12" i="16"/>
  <c r="AK38" i="6"/>
  <c r="AI38" i="6"/>
  <c r="AK36" i="6"/>
  <c r="AI36" i="6"/>
  <c r="AJ38" i="6"/>
  <c r="AJ36" i="6"/>
  <c r="AL12" i="23"/>
  <c r="AL12" i="17"/>
  <c r="AL12" i="18"/>
  <c r="AL12" i="15"/>
  <c r="AM12" i="22" l="1"/>
  <c r="AM12" i="16"/>
  <c r="AM12" i="18"/>
  <c r="AM12" i="15"/>
  <c r="AF19" i="6"/>
  <c r="AE19" i="6"/>
  <c r="AD19" i="6"/>
  <c r="AC19" i="6"/>
  <c r="AB19" i="6"/>
  <c r="AA19" i="6"/>
  <c r="Z19" i="6"/>
  <c r="Y19" i="6"/>
  <c r="X19" i="6"/>
  <c r="W19" i="6"/>
  <c r="V19" i="6"/>
  <c r="U19" i="6"/>
  <c r="T19" i="6"/>
  <c r="S19" i="6"/>
  <c r="R19" i="6"/>
  <c r="Q19" i="6"/>
  <c r="P19" i="6"/>
  <c r="O19" i="6"/>
  <c r="N19" i="6"/>
  <c r="M19" i="6"/>
  <c r="L19" i="6"/>
  <c r="K19" i="6"/>
  <c r="J19" i="6"/>
  <c r="I19" i="6"/>
  <c r="H19" i="6"/>
  <c r="G19" i="6"/>
  <c r="F19" i="6"/>
  <c r="E19" i="6"/>
  <c r="D19" i="6"/>
  <c r="C19" i="6"/>
  <c r="U3" i="14"/>
  <c r="T3" i="14"/>
  <c r="Q3" i="14"/>
  <c r="P3" i="14"/>
  <c r="M3" i="14"/>
  <c r="L3" i="14"/>
  <c r="I3" i="14"/>
  <c r="H3" i="14"/>
  <c r="E3" i="14"/>
  <c r="D3" i="14"/>
  <c r="C3" i="14"/>
  <c r="AM1" i="14"/>
  <c r="G5" i="14"/>
  <c r="F5" i="14"/>
  <c r="E5" i="14"/>
  <c r="AG5" i="14"/>
  <c r="AF5" i="14"/>
  <c r="AE5" i="14"/>
  <c r="AD5" i="14"/>
  <c r="AC5" i="14"/>
  <c r="AB5" i="14"/>
  <c r="AA5" i="14"/>
  <c r="Z5" i="14"/>
  <c r="Y5" i="14"/>
  <c r="X5" i="14"/>
  <c r="W5" i="14"/>
  <c r="V5" i="14"/>
  <c r="U5" i="14"/>
  <c r="T5" i="14"/>
  <c r="S5" i="14"/>
  <c r="R5" i="14"/>
  <c r="Q5" i="14"/>
  <c r="P5" i="14"/>
  <c r="O5" i="14"/>
  <c r="N5" i="14"/>
  <c r="M5" i="14"/>
  <c r="L5" i="14"/>
  <c r="K5" i="14"/>
  <c r="J5" i="14"/>
  <c r="I5" i="14"/>
  <c r="H5" i="14"/>
  <c r="D5" i="14"/>
  <c r="B5" i="14"/>
  <c r="AL11" i="14"/>
  <c r="AK11" i="14"/>
  <c r="AJ11" i="14"/>
  <c r="AM11" i="14" s="1"/>
  <c r="AL10" i="14"/>
  <c r="AK10" i="14"/>
  <c r="AJ10" i="14"/>
  <c r="AL9" i="14"/>
  <c r="AK9" i="14"/>
  <c r="AJ9" i="14"/>
  <c r="AM9" i="14" s="1"/>
  <c r="AL8" i="14"/>
  <c r="AK8" i="14"/>
  <c r="AJ8" i="14"/>
  <c r="AL7" i="14"/>
  <c r="AK7" i="14"/>
  <c r="AJ7" i="14"/>
  <c r="AM7" i="14" s="1"/>
  <c r="AI12" i="14"/>
  <c r="AE29" i="6"/>
  <c r="AD29" i="6"/>
  <c r="AC29" i="6"/>
  <c r="AB29" i="6"/>
  <c r="AA29" i="6"/>
  <c r="Z29" i="6"/>
  <c r="Y29" i="6"/>
  <c r="X29" i="6"/>
  <c r="W29" i="6"/>
  <c r="V29" i="6"/>
  <c r="U29" i="6"/>
  <c r="T29" i="6"/>
  <c r="S29" i="6"/>
  <c r="R29" i="6"/>
  <c r="Q29" i="6"/>
  <c r="P29" i="6"/>
  <c r="O29" i="6"/>
  <c r="N29" i="6"/>
  <c r="M29" i="6"/>
  <c r="L29" i="6"/>
  <c r="K29" i="6"/>
  <c r="J29" i="6"/>
  <c r="I29" i="6"/>
  <c r="H29" i="6"/>
  <c r="G29" i="6"/>
  <c r="F29" i="6"/>
  <c r="E29" i="6"/>
  <c r="D29" i="6"/>
  <c r="C29" i="6"/>
  <c r="AK12" i="14" l="1"/>
  <c r="AM8" i="14"/>
  <c r="AM12" i="14" s="1"/>
  <c r="AM10" i="14"/>
  <c r="AJ12" i="14"/>
  <c r="AL12" i="14"/>
  <c r="U3" i="8"/>
  <c r="T3" i="8"/>
  <c r="Q3" i="8"/>
  <c r="P3" i="8"/>
  <c r="M3" i="8"/>
  <c r="L3" i="8"/>
  <c r="I3" i="8"/>
  <c r="H3" i="8"/>
  <c r="E3" i="8"/>
  <c r="D3" i="8"/>
  <c r="C3" i="8"/>
  <c r="AM1" i="8" l="1"/>
  <c r="AL11" i="8"/>
  <c r="AK11" i="8"/>
  <c r="AJ11" i="8"/>
  <c r="AI11" i="8"/>
  <c r="AL10" i="8"/>
  <c r="AK10" i="8"/>
  <c r="AJ10" i="8"/>
  <c r="AI10" i="8"/>
  <c r="AL9" i="8"/>
  <c r="AK9" i="8"/>
  <c r="AJ9" i="8"/>
  <c r="AI9" i="8"/>
  <c r="AL8" i="8"/>
  <c r="AK8" i="8"/>
  <c r="AJ8" i="8"/>
  <c r="AI8" i="8"/>
  <c r="AL7" i="8"/>
  <c r="AK7" i="8"/>
  <c r="AK12" i="8" s="1"/>
  <c r="AJ7" i="8"/>
  <c r="AM7" i="8" s="1"/>
  <c r="AI7" i="8"/>
  <c r="AI12" i="8" s="1"/>
  <c r="AF5" i="8"/>
  <c r="AE5" i="8"/>
  <c r="AD5" i="8"/>
  <c r="AC5" i="8"/>
  <c r="AB5" i="8"/>
  <c r="AA5" i="8"/>
  <c r="Z5" i="8"/>
  <c r="Y5" i="8"/>
  <c r="X5" i="8"/>
  <c r="W5" i="8"/>
  <c r="V5" i="8"/>
  <c r="U5" i="8"/>
  <c r="T5" i="8"/>
  <c r="S5" i="8"/>
  <c r="R5" i="8"/>
  <c r="Q5" i="8"/>
  <c r="P5" i="8"/>
  <c r="O5" i="8"/>
  <c r="N5" i="8"/>
  <c r="M5" i="8"/>
  <c r="L5" i="8"/>
  <c r="K5" i="8"/>
  <c r="J5" i="8"/>
  <c r="I5" i="8"/>
  <c r="H5" i="8"/>
  <c r="G5" i="8"/>
  <c r="F5" i="8"/>
  <c r="E5" i="8"/>
  <c r="D5" i="8"/>
  <c r="B5" i="8"/>
  <c r="AM8" i="8" l="1"/>
  <c r="AM9" i="8"/>
  <c r="AM12" i="8" s="1"/>
  <c r="AM10" i="8"/>
  <c r="AM11" i="8"/>
  <c r="AJ12" i="8"/>
  <c r="AL12" i="8"/>
  <c r="AI11" i="4"/>
  <c r="AJ11" i="4"/>
  <c r="AK11" i="4"/>
  <c r="AL11" i="4"/>
  <c r="AL7" i="4"/>
  <c r="AL8" i="4"/>
  <c r="AL9" i="4"/>
  <c r="AL10" i="4"/>
  <c r="AK7" i="4"/>
  <c r="AK8" i="4"/>
  <c r="AK9" i="4"/>
  <c r="AK10" i="4"/>
  <c r="AJ7" i="4"/>
  <c r="AM7" i="4" s="1"/>
  <c r="AJ8" i="4"/>
  <c r="AM8" i="4" s="1"/>
  <c r="AJ9" i="4"/>
  <c r="AM9" i="4" s="1"/>
  <c r="AJ10" i="4"/>
  <c r="AM10" i="4" s="1"/>
  <c r="AM11" i="4" l="1"/>
  <c r="AJ12" i="4"/>
  <c r="AK12" i="4"/>
  <c r="AI7" i="4"/>
  <c r="AI8" i="4"/>
  <c r="AI9" i="4"/>
  <c r="AI10" i="4"/>
  <c r="AI12" i="4" l="1"/>
  <c r="AM12" i="4"/>
  <c r="C17" i="6"/>
  <c r="D17" i="6"/>
  <c r="E17" i="6"/>
  <c r="F17" i="6"/>
  <c r="G17" i="6"/>
  <c r="H17" i="6"/>
  <c r="I17" i="6"/>
  <c r="J17" i="6"/>
  <c r="K17" i="6"/>
  <c r="L17" i="6"/>
  <c r="M17" i="6"/>
  <c r="N17" i="6"/>
  <c r="O17" i="6"/>
  <c r="P17" i="6"/>
  <c r="Q17" i="6"/>
  <c r="R17" i="6"/>
  <c r="S17" i="6"/>
  <c r="T17" i="6"/>
  <c r="U17" i="6"/>
  <c r="V17" i="6"/>
  <c r="W17" i="6"/>
  <c r="X17" i="6"/>
  <c r="Y17" i="6"/>
  <c r="Z17" i="6"/>
  <c r="AA17" i="6"/>
  <c r="AB17" i="6"/>
  <c r="AC17" i="6"/>
  <c r="AD17" i="6"/>
  <c r="AE17" i="6"/>
  <c r="AF17" i="6"/>
  <c r="AG17" i="6"/>
  <c r="AK16" i="6" l="1"/>
  <c r="AJ16" i="6"/>
  <c r="AI16" i="6"/>
  <c r="AH16" i="6"/>
  <c r="K6" i="6"/>
  <c r="B6" i="6"/>
  <c r="B10" i="6"/>
  <c r="AE10" i="6"/>
  <c r="W10" i="6"/>
  <c r="K10" i="6"/>
  <c r="AE8" i="6"/>
  <c r="W8" i="6"/>
  <c r="K8" i="6"/>
  <c r="B8" i="6"/>
  <c r="AK28" i="6" l="1"/>
  <c r="AJ28" i="6"/>
  <c r="AI28" i="6"/>
  <c r="AH28" i="6"/>
  <c r="AI22" i="6" l="1"/>
  <c r="AK22" i="6"/>
  <c r="AJ22" i="6"/>
  <c r="AK24" i="6"/>
  <c r="AJ24" i="6"/>
  <c r="AI24" i="6"/>
  <c r="AJ30" i="6"/>
  <c r="AI30" i="6"/>
  <c r="AK30" i="6"/>
  <c r="AK18" i="6"/>
  <c r="AJ18" i="6"/>
  <c r="AI18" i="6"/>
  <c r="AK20" i="6"/>
  <c r="AJ20" i="6"/>
  <c r="AI20" i="6"/>
  <c r="AK26" i="6"/>
  <c r="AJ26" i="6"/>
  <c r="AI26" i="6"/>
  <c r="AK32" i="6"/>
  <c r="AJ32" i="6"/>
  <c r="AI32" i="6"/>
  <c r="AK34" i="6"/>
  <c r="AJ34" i="6"/>
  <c r="AI34" i="6"/>
  <c r="AH18" i="6"/>
  <c r="AH22" i="6"/>
  <c r="AH24" i="6"/>
  <c r="AH30" i="6"/>
  <c r="AH20" i="6"/>
  <c r="AH26" i="6"/>
  <c r="AH32" i="6"/>
  <c r="AH34" i="6"/>
  <c r="AH5" i="4" l="1"/>
  <c r="AG5" i="4"/>
  <c r="AF5" i="4"/>
  <c r="AE5" i="4"/>
  <c r="AD5" i="4"/>
  <c r="AC5" i="4"/>
  <c r="AB5" i="4"/>
  <c r="AA5" i="4"/>
  <c r="Z5" i="4"/>
  <c r="Y5" i="4"/>
  <c r="X5" i="4"/>
  <c r="W5" i="4"/>
  <c r="V5" i="4"/>
  <c r="U5" i="4"/>
  <c r="T5" i="4"/>
  <c r="S5" i="4"/>
  <c r="R5" i="4"/>
  <c r="Q5" i="4"/>
  <c r="P5" i="4"/>
  <c r="O5" i="4"/>
  <c r="N5" i="4"/>
  <c r="M5" i="4"/>
  <c r="L5" i="4"/>
  <c r="K5" i="4"/>
  <c r="J5" i="4"/>
  <c r="I5" i="4"/>
  <c r="H5" i="4"/>
  <c r="G5" i="4"/>
  <c r="F5" i="4"/>
  <c r="E5" i="4"/>
  <c r="D5" i="4"/>
  <c r="B5" i="4"/>
  <c r="AE6" i="6"/>
  <c r="W6" i="6"/>
  <c r="S4" i="6"/>
  <c r="P4" i="6"/>
  <c r="AH40" i="6" l="1"/>
  <c r="AI40" i="6"/>
  <c r="AJ40" i="6"/>
  <c r="AK40" i="6"/>
  <c r="D4" i="6" l="1"/>
  <c r="I1" i="6" s="1"/>
  <c r="AL12" i="4"/>
</calcChain>
</file>

<file path=xl/sharedStrings.xml><?xml version="1.0" encoding="utf-8"?>
<sst xmlns="http://schemas.openxmlformats.org/spreadsheetml/2006/main" count="784" uniqueCount="134">
  <si>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</si>
  <si>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</si>
  <si>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</si>
  <si>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</si>
  <si>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</si>
  <si>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</si>
  <si>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</si>
  <si>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</si>
  <si>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</si>
  <si>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</si>
  <si>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</si>
  <si>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</si>
  <si>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</si>
  <si>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</si>
  <si>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</si>
  <si>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</si>
  <si>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</si>
  <si>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</si>
  <si>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</si>
  <si>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</si>
  <si>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</si>
  <si>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</si>
  <si>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</si>
  <si>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</si>
  <si>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</si>
  <si>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</si>
  <si>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</si>
  <si>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</si>
  <si>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</si>
  <si>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</si>
  <si>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</si>
  <si>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P</t>
  </si>
  <si>
    <t>Ime študenta</t>
  </si>
  <si>
    <t>Priimek študenta</t>
  </si>
  <si>
    <t>ID študenta</t>
  </si>
  <si>
    <t>Študent</t>
  </si>
  <si>
    <t>Ime študenta</t>
  </si>
  <si>
    <t>K</t>
  </si>
  <si>
    <t>N</t>
  </si>
  <si>
    <t>E</t>
  </si>
  <si>
    <t>Dni odsoten</t>
  </si>
  <si>
    <t>Skupaj</t>
  </si>
  <si>
    <t>Spol</t>
  </si>
  <si>
    <t>Datum rojstva</t>
  </si>
  <si>
    <t>Šola</t>
  </si>
  <si>
    <t>Ocena</t>
  </si>
  <si>
    <t>Učitelj</t>
  </si>
  <si>
    <t>Soba</t>
  </si>
  <si>
    <t>Odnos</t>
  </si>
  <si>
    <t>Službena številka</t>
  </si>
  <si>
    <t>Domača številka</t>
  </si>
  <si>
    <t>Stik v sili</t>
  </si>
  <si>
    <t>M</t>
  </si>
  <si>
    <t>Službena številka stika v sili</t>
  </si>
  <si>
    <t>Domača številka stika v sili</t>
  </si>
  <si>
    <t>Polno ime študenta</t>
  </si>
  <si>
    <t>Dedek</t>
  </si>
  <si>
    <t>Udeležba – skupaj</t>
  </si>
  <si>
    <t>Avgust</t>
  </si>
  <si>
    <t>September</t>
  </si>
  <si>
    <t>Oktober</t>
  </si>
  <si>
    <t>November</t>
  </si>
  <si>
    <t>December</t>
  </si>
  <si>
    <t>Januar</t>
  </si>
  <si>
    <t>Februar</t>
  </si>
  <si>
    <t>Marec</t>
  </si>
  <si>
    <t>April</t>
  </si>
  <si>
    <t>Maj</t>
  </si>
  <si>
    <t>Junij</t>
  </si>
  <si>
    <t>Julij</t>
  </si>
  <si>
    <t>Začetek študijskega leta</t>
  </si>
  <si>
    <t>Oče</t>
  </si>
  <si>
    <t>Starši ali skrbnik 1</t>
  </si>
  <si>
    <t>Domača številka staršev/skrbnika 1</t>
  </si>
  <si>
    <t>Službena številka staršev/skrbnika 2</t>
  </si>
  <si>
    <t>Domača številka staršev/skrbnika 2</t>
  </si>
  <si>
    <t>Starši/skrbnik 2</t>
  </si>
  <si>
    <t>Ime staršev ali skrbnika 1</t>
  </si>
  <si>
    <t>Ime staršev ali skrbnika 2</t>
  </si>
  <si>
    <t>Opravičen</t>
  </si>
  <si>
    <t>Neopravičen</t>
  </si>
  <si>
    <t>Prisoten</t>
  </si>
  <si>
    <t>Ni pouka</t>
  </si>
  <si>
    <t>Udeležba</t>
  </si>
  <si>
    <t>EVIDENCA PRISOTNOSTI ŠTUDENTOV</t>
  </si>
  <si>
    <t>Erik</t>
  </si>
  <si>
    <t>Novak</t>
  </si>
  <si>
    <t>Š001</t>
  </si>
  <si>
    <t>Metka</t>
  </si>
  <si>
    <t>Miha Novak</t>
  </si>
  <si>
    <t>Š002</t>
  </si>
  <si>
    <t>Š003</t>
  </si>
  <si>
    <t>Š004</t>
  </si>
  <si>
    <t>Š005</t>
  </si>
  <si>
    <t>Visoka šola za umetnost</t>
  </si>
  <si>
    <t>Luka Breznik</t>
  </si>
  <si>
    <t>Franci Župančič</t>
  </si>
  <si>
    <t xml:space="preserve">● </t>
  </si>
  <si>
    <t>1.</t>
  </si>
  <si>
    <t>2.</t>
  </si>
  <si>
    <t>3.</t>
  </si>
  <si>
    <t>Ko vnesete študente na list s seznamom študentov, lahko začnete beležiti njihovo udeležbo v tekočem študijskem letu, tako da sledite tem korakom:</t>
  </si>
  <si>
    <t>KJE ZAČETI?</t>
  </si>
  <si>
    <t>DODAL SEM ŠTUDENTE, KAJ NAJ NAREDIM NATO?</t>
  </si>
  <si>
    <t>KAKO V MESEČNO EVIDENCO PRISOTNOSTI DODAM VEČ ŠTUDENTOV?</t>
  </si>
  <si>
    <t>SI LAHKO OGLEDAM UDELEŽBO ŠTUDENTA ZA CELOTNO ŠTUDIJSKO LETO?</t>
  </si>
  <si>
    <t>Pred beleženjem prisotnosti študentov je treba izvesti nekaj korakov:</t>
  </si>
  <si>
    <t>BARVNI KLJUČ</t>
  </si>
  <si>
    <t>Če tabela nima vrstice »Skupno«, začnite vnašati pod tabelo in ta se bo samodejno razširila, ko boste pritisnili tipko Enter ali Tab.</t>
  </si>
  <si>
    <t>Kazalec celic postavite v zadnjo celico nad vrstico »Skupno«, na primer vrstico z dnevi odsotnosti zadnjega študenta, in nato pritisnite tipko Tab.</t>
  </si>
  <si>
    <t>Če želite povečati število vrstic v tabeli, se v spodnjem desnem kotu tabele z miško postavite na ročico za spreminjanje velikosti tabele in jo povlecite navzdol.</t>
  </si>
  <si>
    <t>Nato vnesite podatke o udeležbi za vsak dan v mesecu in označite vrsto prisotnosti po določenem barvnem ključu. Program samodejno izračunana prisotnost vsakega študenta glede na vrsto prisotnosti v stolpcu »Skupno«. Število vseh izostankov za vsak dan je samodejno izračunano na dnu tabele v vrstici »Skupno«.</t>
  </si>
  <si>
    <t>Listi z mesečno evidenco prisotnosti in seznam študentov so tabele programa Excel. Če želite v katero koli tabelo dodati nove vrstice, naredite nekaj od tega:</t>
  </si>
  <si>
    <t>Službena številka staršev/skrbnika 1</t>
  </si>
  <si>
    <t xml:space="preserve"> </t>
  </si>
  <si>
    <t>Skupno odsoten dni</t>
  </si>
  <si>
    <t>SEZNAM ŠTUDENTOV</t>
  </si>
  <si>
    <t>UPORABA PREDLOGE</t>
  </si>
  <si>
    <t>Prilagodite temo dokumenta.</t>
  </si>
  <si>
    <r>
      <t xml:space="preserve">Zadnji list v tem delovnem zvezku, evidenca prisotnosti študentov, beleži zapise letošnjega leta do danes. Če si želite ogledati poročilo za določenega študenta, kliknite celico pod </t>
    </r>
    <r>
      <rPr>
        <b/>
        <sz val="10"/>
        <color theme="1"/>
        <rFont val="Century Gothic"/>
        <family val="2"/>
        <scheme val="minor"/>
      </rPr>
      <t>ID študenta</t>
    </r>
    <r>
      <rPr>
        <sz val="10"/>
        <color theme="1"/>
        <rFont val="Century Gothic"/>
        <family val="2"/>
        <scheme val="minor"/>
      </rPr>
      <t xml:space="preserve"> in nato na spustnem seznamu izberite želeni ID. Podatki, ki ste jih za izbranega študenta vnesli na seznam študentov, bodo samodejno prikazani. Ko prvič uporabite poročilo za vodenje evidence prisotnosti študentov, je treba vnesti podatke o ustanovi, oceni, učitelju in sobi. Te informacije se ne spremenijo, če izberete drugega študenta.</t>
    </r>
  </si>
  <si>
    <r>
      <rPr>
        <b/>
        <sz val="10"/>
        <color theme="1"/>
        <rFont val="Century Gothic"/>
        <family val="2"/>
        <scheme val="minor"/>
      </rPr>
      <t xml:space="preserve">Namig: </t>
    </r>
    <r>
      <rPr>
        <sz val="10"/>
        <color theme="1"/>
        <rFont val="Century Gothic"/>
        <family val="2"/>
        <scheme val="minor"/>
      </rPr>
      <t xml:space="preserve">Shranite korake vnosa podatkov. Ko dodate študente za en mesec, izberite vnesene ID-je študentov, jih kopirajte, nato pa jih prilepite v stolpec </t>
    </r>
    <r>
      <rPr>
        <b/>
        <sz val="10"/>
        <color theme="1"/>
        <rFont val="Century Gothic"/>
        <family val="2"/>
        <scheme val="minor"/>
      </rPr>
      <t>ID študenta</t>
    </r>
    <r>
      <rPr>
        <sz val="10"/>
        <color theme="1"/>
        <rFont val="Century Gothic"/>
        <family val="2"/>
        <scheme val="minor"/>
      </rPr>
      <t xml:space="preserve"> še za preostale mesece. </t>
    </r>
  </si>
  <si>
    <r>
      <rPr>
        <b/>
        <sz val="10"/>
        <color theme="1"/>
        <rFont val="Century Gothic"/>
        <family val="2"/>
        <scheme val="minor"/>
      </rPr>
      <t>Namig:</t>
    </r>
    <r>
      <rPr>
        <sz val="10"/>
        <color theme="1"/>
        <rFont val="Century Gothic"/>
        <family val="2"/>
        <scheme val="minor"/>
      </rPr>
      <t xml:space="preserve"> Ustvarite nabor barv teme po meri, ki se bo ujemal z barvami vaše šole. To naredite tako, da na zavihku </t>
    </r>
    <r>
      <rPr>
        <b/>
        <sz val="10"/>
        <color theme="1"/>
        <rFont val="Century Gothic"/>
        <family val="2"/>
        <scheme val="minor"/>
      </rPr>
      <t>Postavitev strani</t>
    </r>
    <r>
      <rPr>
        <sz val="10"/>
        <color theme="1"/>
        <rFont val="Century Gothic"/>
        <family val="2"/>
        <scheme val="minor"/>
      </rPr>
      <t xml:space="preserve"> v skupini </t>
    </r>
    <r>
      <rPr>
        <b/>
        <sz val="10"/>
        <color theme="1"/>
        <rFont val="Century Gothic"/>
        <family val="2"/>
        <scheme val="minor"/>
      </rPr>
      <t>Teme</t>
    </r>
    <r>
      <rPr>
        <sz val="10"/>
        <color theme="1"/>
        <rFont val="Century Gothic"/>
        <family val="2"/>
        <scheme val="minor"/>
      </rPr>
      <t xml:space="preserve"> kliknete </t>
    </r>
    <r>
      <rPr>
        <b/>
        <sz val="10"/>
        <color theme="1"/>
        <rFont val="Century Gothic"/>
        <family val="2"/>
        <scheme val="minor"/>
      </rPr>
      <t>Barve</t>
    </r>
    <r>
      <rPr>
        <sz val="10"/>
        <color theme="1"/>
        <rFont val="Century Gothic"/>
        <family val="2"/>
        <scheme val="minor"/>
      </rPr>
      <t xml:space="preserve"> in nato v spodnjem delu galerije barv kliknite </t>
    </r>
    <r>
      <rPr>
        <b/>
        <sz val="10"/>
        <color theme="1"/>
        <rFont val="Century Gothic"/>
        <family val="2"/>
        <scheme val="minor"/>
      </rPr>
      <t>Ustvari nove barve teme.</t>
    </r>
    <r>
      <rPr>
        <sz val="10"/>
        <color theme="1"/>
        <rFont val="Century Gothic"/>
        <family val="2"/>
        <scheme val="minor"/>
      </rPr>
      <t xml:space="preserve"> Če želite več podatkov o tem, kako ustvariti nabor barv po meri, si oglejte to temo pomoči: </t>
    </r>
  </si>
  <si>
    <t>Ni</t>
  </si>
  <si>
    <t>NI</t>
  </si>
  <si>
    <r>
      <rPr>
        <b/>
        <sz val="10"/>
        <color theme="4" tint="-0.499984740745262"/>
        <rFont val="Century Gothic"/>
        <family val="2"/>
        <scheme val="minor"/>
      </rPr>
      <t>Dodajanje študentov</t>
    </r>
    <r>
      <rPr>
        <b/>
        <sz val="10"/>
        <color theme="1"/>
        <rFont val="Century Gothic"/>
        <family val="2"/>
        <scheme val="minor"/>
      </rPr>
      <t>:</t>
    </r>
    <r>
      <rPr>
        <sz val="10"/>
        <color theme="1"/>
        <rFont val="Century Gothic"/>
        <family val="2"/>
        <scheme val="minor"/>
      </rPr>
      <t xml:space="preserve"> Na list </t>
    </r>
    <r>
      <rPr>
        <b/>
        <sz val="10"/>
        <color theme="1"/>
        <rFont val="Century Gothic"/>
        <family val="2"/>
        <scheme val="minor"/>
      </rPr>
      <t>Seznam študentov</t>
    </r>
    <r>
      <rPr>
        <sz val="10"/>
        <color theme="1"/>
        <rFont val="Century Gothic"/>
        <family val="2"/>
        <scheme val="minor"/>
      </rPr>
      <t xml:space="preserve"> vnesite podatke vseh študentov, na primer imena skrbnikov in kontaktne podatke. Pomembno je, da vnesete ID študenta, ki predstavlja enolični identifikator vsakega študenta. Uporablja se na vseh spustnih seznamih z ID-ji študentov in tako poenostavi vnos podatkov. Podatki, ki jih vnesete na »Seznam študentov«, so uporabljeni tudi v drugih listih, kot so evidenca prisotnosti študentov in mesečna poročila o prisotnosti.</t>
    </r>
  </si>
  <si>
    <r>
      <rPr>
        <b/>
        <sz val="10"/>
        <color theme="4" tint="-0.499984740745262"/>
        <rFont val="Century Gothic"/>
        <family val="2"/>
        <scheme val="minor"/>
      </rPr>
      <t>Sprememba študijskega koledarskega leta:</t>
    </r>
    <r>
      <rPr>
        <sz val="10"/>
        <color theme="4" tint="-0.499984740745262"/>
        <rFont val="Century Gothic"/>
        <family val="2"/>
        <scheme val="minor"/>
      </rPr>
      <t xml:space="preserve"> </t>
    </r>
    <r>
      <rPr>
        <sz val="10"/>
        <color theme="1"/>
        <rFont val="Century Gothic"/>
        <family val="2"/>
        <scheme val="minor"/>
      </rPr>
      <t xml:space="preserve">Na listu prisotnosti za </t>
    </r>
    <r>
      <rPr>
        <b/>
        <sz val="10"/>
        <color theme="1"/>
        <rFont val="Century Gothic"/>
        <family val="2"/>
        <scheme val="minor"/>
      </rPr>
      <t>Avgust</t>
    </r>
    <r>
      <rPr>
        <sz val="10"/>
        <color theme="1"/>
        <rFont val="Century Gothic"/>
        <family val="2"/>
        <scheme val="minor"/>
      </rPr>
      <t xml:space="preserve"> kliknite pomikalnik v zgornjem desnem robu glave, če želite posodobiti študijsko leto. S tem spremenite glave vseh mesečnih poročil o prisotnosti v delovnem zvezku. (Ne pozabite, da gumb kazalnika ne omogoča tiskanja.)</t>
    </r>
  </si>
  <si>
    <r>
      <rPr>
        <b/>
        <i/>
        <sz val="10"/>
        <color theme="4" tint="-0.499984740745262"/>
        <rFont val="Century Gothic"/>
        <family val="2"/>
        <scheme val="minor"/>
      </rPr>
      <t>(Izbirno)</t>
    </r>
    <r>
      <rPr>
        <b/>
        <sz val="10"/>
        <color theme="4" tint="-0.499984740745262"/>
        <rFont val="Century Gothic"/>
        <family val="2"/>
        <scheme val="minor"/>
      </rPr>
      <t xml:space="preserve"> Spreminjanje barv v delovnem zvezku:</t>
    </r>
    <r>
      <rPr>
        <b/>
        <sz val="10"/>
        <color theme="1"/>
        <rFont val="Century Gothic"/>
        <family val="2"/>
        <scheme val="minor"/>
      </rPr>
      <t xml:space="preserve"> </t>
    </r>
    <r>
      <rPr>
        <sz val="10"/>
        <color theme="1"/>
        <rFont val="Century Gothic"/>
        <family val="2"/>
        <scheme val="minor"/>
      </rPr>
      <t xml:space="preserve">Najprej se pomaknite na zadnji list </t>
    </r>
    <r>
      <rPr>
        <b/>
        <sz val="10"/>
        <color theme="1"/>
        <rFont val="Century Gothic"/>
        <family val="2"/>
        <scheme val="minor"/>
      </rPr>
      <t>evidence prisotnosti študentov</t>
    </r>
    <r>
      <rPr>
        <sz val="10"/>
        <color theme="1"/>
        <rFont val="Century Gothic"/>
        <family val="2"/>
        <scheme val="minor"/>
      </rPr>
      <t xml:space="preserve"> in na zavihku </t>
    </r>
    <r>
      <rPr>
        <b/>
        <sz val="10"/>
        <color theme="1"/>
        <rFont val="Century Gothic"/>
        <family val="2"/>
        <scheme val="minor"/>
      </rPr>
      <t>Pregled</t>
    </r>
    <r>
      <rPr>
        <sz val="10"/>
        <color theme="1"/>
        <rFont val="Century Gothic"/>
        <family val="2"/>
        <scheme val="minor"/>
      </rPr>
      <t xml:space="preserve"> v skupini </t>
    </r>
    <r>
      <rPr>
        <b/>
        <sz val="10"/>
        <color theme="1"/>
        <rFont val="Century Gothic"/>
        <family val="2"/>
        <scheme val="minor"/>
      </rPr>
      <t>Spremembe</t>
    </r>
    <r>
      <rPr>
        <sz val="10"/>
        <color theme="1"/>
        <rFont val="Century Gothic"/>
        <family val="2"/>
        <scheme val="minor"/>
      </rPr>
      <t xml:space="preserve"> kliknite </t>
    </r>
    <r>
      <rPr>
        <b/>
        <sz val="10"/>
        <color theme="1"/>
        <rFont val="Century Gothic"/>
        <family val="2"/>
        <scheme val="minor"/>
      </rPr>
      <t>Odstrani zaščito lista.</t>
    </r>
    <r>
      <rPr>
        <sz val="10"/>
        <color theme="1"/>
        <rFont val="Century Gothic"/>
        <family val="2"/>
        <scheme val="minor"/>
      </rPr>
      <t xml:space="preserve"> Nato na zavihku </t>
    </r>
    <r>
      <rPr>
        <b/>
        <sz val="10"/>
        <color theme="1"/>
        <rFont val="Century Gothic"/>
        <family val="2"/>
        <scheme val="minor"/>
      </rPr>
      <t>Postavitev strani</t>
    </r>
    <r>
      <rPr>
        <sz val="10"/>
        <color theme="1"/>
        <rFont val="Century Gothic"/>
        <family val="2"/>
        <scheme val="minor"/>
      </rPr>
      <t xml:space="preserve"> v skupini </t>
    </r>
    <r>
      <rPr>
        <b/>
        <sz val="10"/>
        <color theme="1"/>
        <rFont val="Century Gothic"/>
        <family val="2"/>
        <scheme val="minor"/>
      </rPr>
      <t>Teme</t>
    </r>
    <r>
      <rPr>
        <sz val="10"/>
        <color theme="1"/>
        <rFont val="Century Gothic"/>
        <family val="2"/>
        <scheme val="minor"/>
      </rPr>
      <t xml:space="preserve"> kliknite </t>
    </r>
    <r>
      <rPr>
        <b/>
        <sz val="10"/>
        <color theme="1"/>
        <rFont val="Century Gothic"/>
        <family val="2"/>
        <scheme val="minor"/>
      </rPr>
      <t>Barve</t>
    </r>
    <r>
      <rPr>
        <sz val="10"/>
        <color theme="1"/>
        <rFont val="Century Gothic"/>
        <family val="2"/>
        <scheme val="minor"/>
      </rPr>
      <t xml:space="preserve"> in nato v galeriji barv izberite drug nabor barv teme. Ko izberete želene barve in poljubne nastavitve teme, se vrnite na list </t>
    </r>
    <r>
      <rPr>
        <b/>
        <sz val="10"/>
        <color theme="1"/>
        <rFont val="Century Gothic"/>
        <family val="2"/>
        <scheme val="minor"/>
      </rPr>
      <t>Evidenca prisotnosti študentov</t>
    </r>
    <r>
      <rPr>
        <sz val="10"/>
        <color theme="1"/>
        <rFont val="Century Gothic"/>
        <family val="2"/>
        <scheme val="minor"/>
      </rPr>
      <t xml:space="preserve"> in na zavihku </t>
    </r>
    <r>
      <rPr>
        <b/>
        <sz val="10"/>
        <color theme="1"/>
        <rFont val="Century Gothic"/>
        <family val="2"/>
        <scheme val="minor"/>
      </rPr>
      <t>Pregled</t>
    </r>
    <r>
      <rPr>
        <sz val="10"/>
        <color theme="1"/>
        <rFont val="Century Gothic"/>
        <family val="2"/>
        <scheme val="minor"/>
      </rPr>
      <t xml:space="preserve"> v skupini </t>
    </r>
    <r>
      <rPr>
        <b/>
        <sz val="10"/>
        <color theme="1"/>
        <rFont val="Century Gothic"/>
        <family val="2"/>
        <scheme val="minor"/>
      </rPr>
      <t>Spremembe</t>
    </r>
    <r>
      <rPr>
        <sz val="10"/>
        <color theme="1"/>
        <rFont val="Century Gothic"/>
        <family val="2"/>
        <scheme val="minor"/>
      </rPr>
      <t xml:space="preserve"> kliknite</t>
    </r>
    <r>
      <rPr>
        <b/>
        <sz val="10"/>
        <color theme="1"/>
        <rFont val="Century Gothic"/>
        <family val="2"/>
        <scheme val="minor"/>
      </rPr>
      <t xml:space="preserve"> Zaščiti list</t>
    </r>
    <r>
      <rPr>
        <sz val="10"/>
        <color theme="1"/>
        <rFont val="Century Gothic"/>
        <family val="2"/>
        <scheme val="minor"/>
      </rPr>
      <t xml:space="preserve"> in nato kliknite </t>
    </r>
    <r>
      <rPr>
        <b/>
        <sz val="10"/>
        <color theme="1"/>
        <rFont val="Century Gothic"/>
        <family val="2"/>
        <scheme val="minor"/>
      </rPr>
      <t>V redu.</t>
    </r>
  </si>
  <si>
    <r>
      <t xml:space="preserve">Če želite študenta dodati v evidenco prisotnosti, kliknite celico pod stolpcem </t>
    </r>
    <r>
      <rPr>
        <b/>
        <sz val="10"/>
        <color theme="1"/>
        <rFont val="Century Gothic"/>
        <family val="2"/>
        <scheme val="minor"/>
      </rPr>
      <t>ID študenta</t>
    </r>
    <r>
      <rPr>
        <sz val="10"/>
        <color theme="1"/>
        <rFont val="Century Gothic"/>
        <family val="2"/>
        <scheme val="minor"/>
      </rPr>
      <t xml:space="preserve"> in na seznamu izberite ID. Ko izberete ID, se samodejno prikaže ime študenta.</t>
    </r>
  </si>
  <si>
    <r>
      <t xml:space="preserve">Z desno tipko miške kliknite tabelo, nato na pojavnem meniju pokažite na </t>
    </r>
    <r>
      <rPr>
        <b/>
        <sz val="10"/>
        <color theme="1"/>
        <rFont val="Century Gothic"/>
        <family val="2"/>
        <scheme val="minor"/>
      </rPr>
      <t>Vstavi</t>
    </r>
    <r>
      <rPr>
        <sz val="10"/>
        <color theme="1"/>
        <rFont val="Century Gothic"/>
        <family val="2"/>
        <scheme val="minor"/>
      </rPr>
      <t xml:space="preserve"> in nato kliknite </t>
    </r>
    <r>
      <rPr>
        <b/>
        <sz val="10"/>
        <color theme="1"/>
        <rFont val="Century Gothic"/>
        <family val="2"/>
        <scheme val="minor"/>
      </rPr>
      <t>Vrstice tabele zgoraj</t>
    </r>
    <r>
      <rPr>
        <sz val="10"/>
        <color theme="1"/>
        <rFont val="Century Gothic"/>
        <family val="2"/>
        <scheme val="minor"/>
      </rPr>
      <t xml:space="preserve"> ali </t>
    </r>
    <r>
      <rPr>
        <b/>
        <sz val="10"/>
        <color theme="1"/>
        <rFont val="Century Gothic"/>
        <family val="2"/>
        <charset val="238"/>
        <scheme val="minor"/>
      </rPr>
      <t>Vrstice tabele spodaj</t>
    </r>
    <r>
      <rPr>
        <sz val="10"/>
        <color theme="1"/>
        <rFont val="Century Gothic"/>
        <family val="2"/>
        <scheme val="minor"/>
      </rPr>
      <t xml:space="preserve">. </t>
    </r>
  </si>
  <si>
    <t>Odnos: starši/skrbnik 1</t>
  </si>
  <si>
    <t>Odnos: starši/skrbnik 2</t>
  </si>
  <si>
    <t>Odnos: stik v sili</t>
  </si>
  <si>
    <t>Pozen</t>
  </si>
  <si>
    <t>Po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</si>
</sst>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mm/dd/yy;@"/>
    <numFmt numFmtId="166" formatCode="[&lt;=9999999]###\-####;\(###\)\ ###\-####"/>
    <numFmt numFmtId="167" formatCode="0;0;;@"/>
    <numFmt numFmtId="168" formatCode="_)@"/>
  </numFmts>
  <fonts count="47" x14ac:knownFonts="1">
    <font>
      <sz val="10"/>
      <color theme="1"/>
      <name val="Century Gothic"/>
      <family val="2"/>
      <scheme val="minor"/>
    </font>
    <font>
      <sz val="11"/>
      <color theme="1"/>
      <name val="Century Gothic"/>
      <family val="2"/>
      <scheme val="minor"/>
    </font>
    <font>
      <sz val="10"/>
      <name val="Century Gothic"/>
      <family val="2"/>
    </font>
    <font>
      <b/>
      <sz val="12"/>
      <name val="Arial"/>
      <family val="2"/>
    </font>
    <font>
      <sz val="9"/>
      <name val="Century Gothic"/>
      <family val="2"/>
    </font>
    <font>
      <b/>
      <sz val="20"/>
      <name val="Century Gothic"/>
      <family val="1"/>
      <scheme val="major"/>
    </font>
    <font>
      <sz val="16"/>
      <name val="Century Gothic"/>
      <family val="1"/>
      <scheme val="major"/>
    </font>
    <font>
      <b/>
      <sz val="8"/>
      <color theme="1" tint="0.14996795556505021"/>
      <name val="Century Gothic"/>
      <family val="1"/>
      <scheme val="minor"/>
    </font>
    <font>
      <sz val="8"/>
      <name val="Century Gothic"/>
      <family val="1"/>
      <scheme val="minor"/>
    </font>
    <font>
      <b/>
      <sz val="8"/>
      <color theme="1" tint="0.14996795556505021"/>
      <name val="Century Gothic"/>
      <family val="2"/>
      <scheme val="minor"/>
    </font>
    <font>
      <sz val="8"/>
      <name val="Century Gothic"/>
      <family val="2"/>
      <scheme val="minor"/>
    </font>
    <font>
      <sz val="9"/>
      <name val="Century Gothic"/>
      <family val="1"/>
      <scheme val="major"/>
    </font>
    <font>
      <b/>
      <sz val="8"/>
      <color theme="0"/>
      <name val="Century Gothic"/>
      <family val="1"/>
      <scheme val="major"/>
    </font>
    <font>
      <sz val="9"/>
      <color theme="0"/>
      <name val="Century Gothic"/>
      <family val="1"/>
      <scheme val="major"/>
    </font>
    <font>
      <sz val="10"/>
      <color theme="1"/>
      <name val="Century Gothic"/>
      <family val="1"/>
      <scheme val="major"/>
    </font>
    <font>
      <b/>
      <sz val="9"/>
      <color theme="0"/>
      <name val="Century Gothic"/>
      <family val="1"/>
      <scheme val="major"/>
    </font>
    <font>
      <sz val="10"/>
      <name val="Century Gothic"/>
      <family val="2"/>
      <scheme val="minor"/>
    </font>
    <font>
      <b/>
      <sz val="12"/>
      <name val="Century Gothic"/>
      <family val="2"/>
      <scheme val="minor"/>
    </font>
    <font>
      <sz val="10"/>
      <name val="Century Gothic"/>
      <family val="1"/>
      <scheme val="major"/>
    </font>
    <font>
      <b/>
      <sz val="22"/>
      <color theme="0"/>
      <name val="Century Gothic"/>
      <family val="2"/>
      <scheme val="major"/>
    </font>
    <font>
      <b/>
      <sz val="16"/>
      <color theme="0"/>
      <name val="Century Gothic"/>
      <family val="2"/>
      <scheme val="minor"/>
    </font>
    <font>
      <sz val="9"/>
      <name val="Century Gothic"/>
      <family val="2"/>
      <scheme val="minor"/>
    </font>
    <font>
      <b/>
      <sz val="10"/>
      <color theme="1"/>
      <name val="Century Gothic"/>
      <family val="2"/>
      <scheme val="minor"/>
    </font>
    <font>
      <sz val="10"/>
      <color theme="1"/>
      <name val="Century Gothic"/>
      <family val="2"/>
      <scheme val="major"/>
    </font>
    <font>
      <b/>
      <sz val="11"/>
      <color indexed="9"/>
      <name val="Century Gothic"/>
      <family val="1"/>
      <scheme val="major"/>
    </font>
    <font>
      <sz val="9"/>
      <color theme="1"/>
      <name val="Century Gothic"/>
      <family val="2"/>
      <scheme val="minor"/>
    </font>
    <font>
      <b/>
      <sz val="18"/>
      <color theme="0"/>
      <name val="Century Gothic"/>
      <family val="2"/>
      <scheme val="minor"/>
    </font>
    <font>
      <b/>
      <sz val="16"/>
      <color theme="0"/>
      <name val="Century Gothic"/>
      <family val="1"/>
      <scheme val="major"/>
    </font>
    <font>
      <sz val="8"/>
      <color theme="1"/>
      <name val="Century Gothic"/>
      <family val="2"/>
      <scheme val="minor"/>
    </font>
    <font>
      <b/>
      <sz val="16"/>
      <color theme="0"/>
      <name val="Century Gothic"/>
      <family val="2"/>
      <scheme val="major"/>
    </font>
    <font>
      <b/>
      <i/>
      <sz val="14"/>
      <color theme="0"/>
      <name val="Century Gothic"/>
      <family val="2"/>
      <scheme val="major"/>
    </font>
    <font>
      <sz val="12"/>
      <color theme="3"/>
      <name val="Century Gothic"/>
      <family val="2"/>
      <scheme val="minor"/>
    </font>
    <font>
      <sz val="10"/>
      <color theme="4" tint="-0.499984740745262"/>
      <name val="Century Gothic"/>
      <family val="2"/>
      <scheme val="minor"/>
    </font>
    <font>
      <u/>
      <sz val="10"/>
      <color theme="10"/>
      <name val="Arial"/>
      <family val="2"/>
    </font>
    <font>
      <b/>
      <sz val="10"/>
      <color theme="4" tint="-0.499984740745262"/>
      <name val="Century Gothic"/>
      <family val="2"/>
      <scheme val="minor"/>
    </font>
    <font>
      <b/>
      <i/>
      <sz val="10"/>
      <color theme="4" tint="-0.499984740745262"/>
      <name val="Century Gothic"/>
      <family val="2"/>
      <scheme val="minor"/>
    </font>
    <font>
      <b/>
      <sz val="9"/>
      <color theme="4" tint="-0.499984740745262"/>
      <name val="Century Gothic"/>
      <family val="1"/>
      <scheme val="major"/>
    </font>
    <font>
      <sz val="9"/>
      <name val="Century Gothic"/>
      <family val="1"/>
      <scheme val="minor"/>
    </font>
    <font>
      <b/>
      <sz val="9"/>
      <color theme="1" tint="0.14996795556505021"/>
      <name val="Century Gothic"/>
      <family val="1"/>
      <scheme val="major"/>
    </font>
    <font>
      <sz val="9"/>
      <color theme="3" tint="-0.249977111117893"/>
      <name val="Century Gothic"/>
      <family val="1"/>
      <scheme val="major"/>
    </font>
    <font>
      <b/>
      <sz val="9"/>
      <color theme="3" tint="-0.249977111117893"/>
      <name val="Century Gothic"/>
      <family val="1"/>
      <scheme val="major"/>
    </font>
    <font>
      <sz val="9"/>
      <color theme="3" tint="-0.249977111117893"/>
      <name val="Century Gothic"/>
      <family val="1"/>
      <scheme val="minor"/>
    </font>
    <font>
      <sz val="9"/>
      <color theme="1"/>
      <name val="Century Gothic"/>
      <family val="1"/>
      <scheme val="minor"/>
    </font>
    <font>
      <b/>
      <sz val="9"/>
      <color theme="1" tint="0.14996795556505021"/>
      <name val="Century Gothic"/>
      <family val="1"/>
      <scheme val="minor"/>
    </font>
    <font>
      <b/>
      <sz val="8"/>
      <name val="Century Gothic"/>
      <family val="2"/>
      <scheme val="major"/>
    </font>
    <font>
      <b/>
      <sz val="10"/>
      <color theme="1"/>
      <name val="Century Gothic"/>
      <family val="2"/>
      <charset val="238"/>
      <scheme val="minor"/>
    </font>
    <font>
      <sz val="10"/>
      <color theme="1"/>
      <name val="Century Gothic"/>
      <family val="2"/>
      <charset val="238"/>
      <scheme val="minor"/>
    </font>
  </fonts>
  <fills count="13">
    <fill>
      <patternFill patternType="none"/>
    </fill>
    <fill>
      <patternFill patternType="gray125"/>
    </fill>
    <fill>
      <patternFill patternType="solid">
        <fgColor theme="4" tint="0.799981688894314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0"/>
      </patternFill>
    </fill>
    <fill>
      <patternFill patternType="lightUp">
        <fgColor theme="0" tint="-0.34998626667073579"/>
        <bgColor indexed="65"/>
      </patternFill>
    </fill>
    <fill>
      <patternFill patternType="solid">
        <fgColor theme="4"/>
        <bgColor indexed="64"/>
      </patternFill>
    </fill>
    <fill>
      <patternFill patternType="solid">
        <fgColor theme="6"/>
        <bgColor indexed="64"/>
      </patternFill>
    </fill>
    <fill>
      <patternFill patternType="solid">
        <fgColor theme="5"/>
        <bgColor indexed="64"/>
      </patternFill>
    </fill>
    <fill>
      <patternFill patternType="solid">
        <fgColor theme="8" tint="0.79998168889431442"/>
        <bgColor indexed="64"/>
      </patternFill>
    </fill>
    <fill>
      <patternFill patternType="solid">
        <fgColor theme="7"/>
        <bgColor indexed="64"/>
      </patternFill>
    </fill>
    <fill>
      <patternFill patternType="solid">
        <fgColor theme="8" tint="0.59999389629810485"/>
        <bgColor indexed="64"/>
      </patternFill>
    </fill>
  </fills>
  <borders count="17">
    <border>
      <left/>
      <right/>
      <top/>
      <bottom/>
      <diagonal/>
    </border>
    <border>
      <left style="thin">
        <color theme="3"/>
      </left>
      <right style="thin">
        <color theme="3"/>
      </right>
      <top style="thin">
        <color theme="3"/>
      </top>
      <bottom style="thin">
        <color theme="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4"/>
      </right>
      <top style="thin">
        <color theme="3"/>
      </top>
      <bottom style="thin">
        <color theme="3"/>
      </bottom>
      <diagonal/>
    </border>
    <border>
      <left/>
      <right style="thin">
        <color theme="3"/>
      </right>
      <top style="thin">
        <color theme="3"/>
      </top>
      <bottom style="thin">
        <color theme="3"/>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top/>
      <bottom style="medium">
        <color theme="4" tint="-0.499984740745262"/>
      </bottom>
      <diagonal/>
    </border>
    <border>
      <left style="thin">
        <color theme="3" tint="0.59996337778862885"/>
      </left>
      <right style="thin">
        <color theme="3" tint="0.59996337778862885"/>
      </right>
      <top/>
      <bottom style="thin">
        <color theme="3" tint="0.59996337778862885"/>
      </bottom>
      <diagonal/>
    </border>
    <border>
      <left/>
      <right style="thin">
        <color theme="0" tint="-0.34998626667073579"/>
      </right>
      <top/>
      <bottom style="medium">
        <color theme="4" tint="-0.499984740745262"/>
      </bottom>
      <diagonal/>
    </border>
    <border>
      <left style="thin">
        <color theme="0" tint="-0.34998626667073579"/>
      </left>
      <right style="thin">
        <color theme="0" tint="-0.34998626667073579"/>
      </right>
      <top/>
      <bottom style="medium">
        <color theme="4" tint="-0.499984740745262"/>
      </bottom>
      <diagonal/>
    </border>
    <border>
      <left style="thin">
        <color theme="3" tint="0.59996337778862885"/>
      </left>
      <right style="thin">
        <color theme="3" tint="0.59996337778862885"/>
      </right>
      <top style="thin">
        <color theme="3" tint="0.59996337778862885"/>
      </top>
      <bottom/>
      <diagonal/>
    </border>
    <border>
      <left style="thin">
        <color theme="3" tint="0.59996337778862885"/>
      </left>
      <right style="thin">
        <color theme="3" tint="0.59996337778862885"/>
      </right>
      <top style="double">
        <color theme="1"/>
      </top>
      <bottom style="thin">
        <color theme="3" tint="0.59996337778862885"/>
      </bottom>
      <diagonal/>
    </border>
  </borders>
  <cellStyleXfs count="13">
    <xf numFmtId="0" fontId="0" fillId="0" borderId="0"/>
    <xf numFmtId="0" fontId="19" fillId="0" borderId="0" applyNumberFormat="0" applyFill="0" applyBorder="0" applyAlignment="0" applyProtection="0"/>
    <xf numFmtId="0" fontId="7" fillId="3" borderId="2">
      <alignment vertical="center"/>
    </xf>
    <xf numFmtId="0" fontId="8" fillId="0" borderId="2">
      <alignment horizontal="left" vertical="center" wrapText="1"/>
      <protection locked="0"/>
    </xf>
    <xf numFmtId="165" fontId="8" fillId="0" borderId="2">
      <alignment horizontal="left" vertical="center" wrapText="1"/>
      <protection locked="0"/>
    </xf>
    <xf numFmtId="166" fontId="8" fillId="0" borderId="2">
      <alignment horizontal="left" vertical="center" wrapText="1"/>
      <protection locked="0"/>
    </xf>
    <xf numFmtId="0" fontId="9" fillId="4" borderId="3" applyBorder="0">
      <alignment horizontal="center" vertical="center"/>
    </xf>
    <xf numFmtId="1" fontId="9" fillId="4" borderId="2">
      <alignment horizontal="center" vertical="center"/>
    </xf>
    <xf numFmtId="0" fontId="10" fillId="5" borderId="2">
      <alignment horizontal="center" vertical="center"/>
      <protection locked="0"/>
    </xf>
    <xf numFmtId="0" fontId="10" fillId="6" borderId="2">
      <alignment horizontal="center" vertical="center"/>
    </xf>
    <xf numFmtId="0" fontId="20"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cellStyleXfs>
  <cellXfs count="147">
    <xf numFmtId="0" fontId="0" fillId="0" borderId="0" xfId="0"/>
    <xf numFmtId="0" fontId="2" fillId="0" borderId="0" xfId="0" applyFont="1" applyFill="1" applyAlignment="1">
      <alignment vertical="center"/>
    </xf>
    <xf numFmtId="0" fontId="4" fillId="0" borderId="0" xfId="0" applyFont="1"/>
    <xf numFmtId="0" fontId="0" fillId="0" borderId="0"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164" fontId="0" fillId="0" borderId="0" xfId="0" applyNumberFormat="1"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right" indent="2"/>
    </xf>
    <xf numFmtId="0" fontId="2" fillId="0" borderId="0" xfId="0" applyFont="1" applyAlignment="1">
      <alignment horizontal="center"/>
    </xf>
    <xf numFmtId="0" fontId="2" fillId="0" borderId="0" xfId="0" applyFont="1"/>
    <xf numFmtId="49" fontId="2" fillId="0" borderId="0" xfId="0" applyNumberFormat="1" applyFont="1"/>
    <xf numFmtId="0" fontId="0" fillId="0" borderId="0" xfId="0" applyAlignment="1">
      <alignment horizontal="left"/>
    </xf>
    <xf numFmtId="0" fontId="0" fillId="0" borderId="0" xfId="0" applyNumberFormat="1"/>
    <xf numFmtId="0" fontId="0" fillId="0" borderId="0" xfId="0" applyAlignment="1">
      <alignment horizontal="center" wrapText="1"/>
    </xf>
    <xf numFmtId="0" fontId="0" fillId="0" borderId="0" xfId="0" applyAlignment="1">
      <alignment horizontal="center"/>
    </xf>
    <xf numFmtId="14" fontId="0" fillId="0" borderId="0" xfId="0" applyNumberFormat="1" applyAlignment="1">
      <alignment horizontal="center"/>
    </xf>
    <xf numFmtId="166" fontId="0" fillId="0" borderId="0" xfId="0" applyNumberFormat="1" applyAlignment="1">
      <alignment horizontal="left"/>
    </xf>
    <xf numFmtId="0" fontId="0" fillId="0" borderId="0" xfId="0" applyProtection="1"/>
    <xf numFmtId="166" fontId="0" fillId="0" borderId="0" xfId="0" applyNumberFormat="1" applyAlignment="1">
      <alignment horizontal="center"/>
    </xf>
    <xf numFmtId="164" fontId="0" fillId="0" borderId="0" xfId="0" applyNumberFormat="1" applyFont="1" applyFill="1" applyBorder="1" applyAlignment="1">
      <alignment vertical="center" wrapText="1"/>
    </xf>
    <xf numFmtId="167" fontId="0" fillId="0" borderId="0" xfId="0" applyNumberFormat="1"/>
    <xf numFmtId="167" fontId="0" fillId="0" borderId="0" xfId="0" applyNumberFormat="1" applyFont="1" applyFill="1" applyBorder="1" applyAlignment="1">
      <alignment vertical="center" wrapText="1"/>
    </xf>
    <xf numFmtId="164" fontId="0" fillId="0" borderId="0" xfId="0" applyNumberFormat="1" applyFont="1" applyFill="1" applyBorder="1" applyAlignment="1" applyProtection="1">
      <alignment horizontal="center" vertical="center"/>
      <protection locked="0"/>
    </xf>
    <xf numFmtId="167" fontId="0" fillId="0" borderId="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Protection="1">
      <protection locked="0"/>
    </xf>
    <xf numFmtId="0" fontId="14" fillId="0" borderId="0" xfId="0" applyFont="1" applyFill="1" applyBorder="1" applyAlignment="1">
      <alignment vertical="center"/>
    </xf>
    <xf numFmtId="49" fontId="14" fillId="0" borderId="0" xfId="0" applyNumberFormat="1" applyFont="1" applyFill="1" applyBorder="1" applyAlignment="1">
      <alignment horizontal="left" vertical="center"/>
    </xf>
    <xf numFmtId="0" fontId="14" fillId="0" borderId="0" xfId="0" applyFont="1" applyFill="1" applyBorder="1" applyAlignment="1">
      <alignment horizontal="center" vertical="center"/>
    </xf>
    <xf numFmtId="0" fontId="0" fillId="0" borderId="0" xfId="0" applyFont="1" applyBorder="1" applyAlignment="1">
      <alignment vertical="center"/>
    </xf>
    <xf numFmtId="0" fontId="16" fillId="0" borderId="0" xfId="0" applyFont="1" applyFill="1" applyAlignment="1">
      <alignment vertical="center"/>
    </xf>
    <xf numFmtId="0" fontId="17" fillId="0" borderId="0" xfId="0" applyFont="1" applyBorder="1" applyAlignment="1">
      <alignment vertical="center"/>
    </xf>
    <xf numFmtId="0" fontId="17" fillId="0" borderId="0" xfId="0" applyFont="1" applyBorder="1" applyAlignment="1">
      <alignment horizontal="right" vertical="center"/>
    </xf>
    <xf numFmtId="0" fontId="16" fillId="0" borderId="0" xfId="0" applyFont="1" applyFill="1" applyAlignment="1">
      <alignment horizontal="center" vertical="center"/>
    </xf>
    <xf numFmtId="0" fontId="18" fillId="10" borderId="0" xfId="0" applyFont="1" applyFill="1" applyBorder="1" applyAlignment="1">
      <alignment horizontal="center"/>
    </xf>
    <xf numFmtId="164" fontId="0" fillId="0" borderId="0" xfId="0" applyNumberFormat="1" applyAlignment="1">
      <alignment horizontal="center"/>
    </xf>
    <xf numFmtId="49" fontId="19" fillId="7" borderId="0" xfId="1" applyNumberFormat="1" applyFill="1" applyBorder="1" applyAlignment="1">
      <alignment vertical="center"/>
    </xf>
    <xf numFmtId="0" fontId="2" fillId="7" borderId="0" xfId="0" applyFont="1" applyFill="1" applyAlignment="1">
      <alignment vertical="center"/>
    </xf>
    <xf numFmtId="0" fontId="0" fillId="7" borderId="0" xfId="0" applyFill="1" applyBorder="1" applyAlignment="1">
      <alignment vertical="center"/>
    </xf>
    <xf numFmtId="0" fontId="3" fillId="7" borderId="0" xfId="0" applyFont="1" applyFill="1" applyBorder="1" applyAlignment="1">
      <alignment vertical="center"/>
    </xf>
    <xf numFmtId="0" fontId="2" fillId="7" borderId="0" xfId="0" applyFont="1" applyFill="1" applyAlignment="1">
      <alignment horizontal="center" vertical="center"/>
    </xf>
    <xf numFmtId="0" fontId="13" fillId="7" borderId="1" xfId="0" applyFont="1" applyFill="1" applyBorder="1" applyAlignment="1">
      <alignment horizontal="center"/>
    </xf>
    <xf numFmtId="0" fontId="0" fillId="7" borderId="0" xfId="0" applyFill="1"/>
    <xf numFmtId="0" fontId="21" fillId="0" borderId="0" xfId="0" applyFont="1" applyFill="1" applyAlignment="1">
      <alignment horizontal="right" vertical="center"/>
    </xf>
    <xf numFmtId="0" fontId="0" fillId="0" borderId="0" xfId="0" applyFont="1" applyFill="1" applyBorder="1" applyAlignment="1">
      <alignment vertical="center"/>
    </xf>
    <xf numFmtId="49" fontId="0" fillId="0" borderId="0" xfId="0" applyNumberFormat="1" applyFont="1" applyFill="1" applyBorder="1" applyAlignment="1">
      <alignment horizontal="left" vertical="center"/>
    </xf>
    <xf numFmtId="0" fontId="0" fillId="0" borderId="0" xfId="0" applyFont="1" applyFill="1" applyBorder="1" applyProtection="1">
      <protection locked="0"/>
    </xf>
    <xf numFmtId="164" fontId="0" fillId="0" borderId="0" xfId="0" applyNumberFormat="1" applyFont="1" applyFill="1" applyBorder="1"/>
    <xf numFmtId="164" fontId="0" fillId="0" borderId="0" xfId="0" applyNumberFormat="1" applyFont="1" applyFill="1" applyBorder="1" applyAlignment="1">
      <alignment horizontal="center"/>
    </xf>
    <xf numFmtId="0" fontId="23" fillId="0" borderId="0" xfId="0" applyFont="1" applyFill="1" applyBorder="1" applyAlignment="1">
      <alignment horizontal="left" vertical="center"/>
    </xf>
    <xf numFmtId="0" fontId="25" fillId="11" borderId="0" xfId="0" applyFont="1" applyFill="1" applyBorder="1" applyAlignment="1">
      <alignment horizontal="center" vertical="center"/>
    </xf>
    <xf numFmtId="0" fontId="25" fillId="9" borderId="0" xfId="0" applyFont="1" applyFill="1" applyBorder="1" applyAlignment="1">
      <alignment horizontal="center" vertical="center"/>
    </xf>
    <xf numFmtId="0" fontId="25" fillId="8" borderId="0" xfId="0" applyFont="1" applyFill="1" applyBorder="1" applyAlignment="1">
      <alignment horizontal="center" vertical="center"/>
    </xf>
    <xf numFmtId="0" fontId="25" fillId="10" borderId="0" xfId="0" applyFont="1" applyFill="1" applyBorder="1" applyAlignment="1">
      <alignment horizontal="center" vertical="center"/>
    </xf>
    <xf numFmtId="0" fontId="25" fillId="12" borderId="0" xfId="0" applyFont="1" applyFill="1" applyBorder="1" applyAlignment="1">
      <alignment horizontal="center" vertical="center"/>
    </xf>
    <xf numFmtId="0" fontId="25" fillId="0" borderId="0" xfId="0" applyFont="1" applyBorder="1" applyAlignment="1">
      <alignment vertical="center"/>
    </xf>
    <xf numFmtId="0" fontId="26" fillId="7" borderId="0" xfId="0" applyFont="1" applyFill="1" applyBorder="1" applyAlignment="1">
      <alignment horizontal="right" vertical="center"/>
    </xf>
    <xf numFmtId="0" fontId="26" fillId="7" borderId="0" xfId="0" applyFont="1" applyFill="1" applyBorder="1" applyAlignment="1">
      <alignment horizontal="center" vertical="center"/>
    </xf>
    <xf numFmtId="0" fontId="25" fillId="0" borderId="0" xfId="0" applyFont="1" applyAlignment="1">
      <alignment vertical="center"/>
    </xf>
    <xf numFmtId="0" fontId="11" fillId="7" borderId="7" xfId="0" applyFont="1" applyFill="1" applyBorder="1"/>
    <xf numFmtId="17" fontId="24" fillId="7" borderId="4" xfId="0" applyNumberFormat="1" applyFont="1" applyFill="1" applyBorder="1" applyAlignment="1">
      <alignment horizontal="left" vertical="center"/>
    </xf>
    <xf numFmtId="0" fontId="5" fillId="7" borderId="0" xfId="0" applyFont="1" applyFill="1" applyBorder="1" applyAlignment="1" applyProtection="1">
      <alignment vertical="center"/>
    </xf>
    <xf numFmtId="0" fontId="6" fillId="7" borderId="0" xfId="0" applyFont="1" applyFill="1" applyBorder="1" applyAlignment="1" applyProtection="1">
      <alignment horizontal="right" vertical="center"/>
    </xf>
    <xf numFmtId="0" fontId="0" fillId="7" borderId="0" xfId="0" applyFill="1" applyProtection="1"/>
    <xf numFmtId="0" fontId="19" fillId="7" borderId="0" xfId="1" applyFill="1" applyBorder="1" applyAlignment="1" applyProtection="1">
      <alignment vertical="center"/>
    </xf>
    <xf numFmtId="167" fontId="8" fillId="0" borderId="0" xfId="3" applyNumberFormat="1" applyBorder="1" applyAlignment="1" applyProtection="1">
      <alignment horizontal="left" vertical="center" wrapText="1" indent="1"/>
    </xf>
    <xf numFmtId="166" fontId="8" fillId="0" borderId="0" xfId="5" applyBorder="1" applyAlignment="1" applyProtection="1">
      <alignment horizontal="left" vertical="center" wrapText="1" indent="1"/>
    </xf>
    <xf numFmtId="0" fontId="25" fillId="0" borderId="0" xfId="0" applyFont="1" applyAlignment="1">
      <alignment horizontal="left" vertical="center"/>
    </xf>
    <xf numFmtId="0" fontId="0" fillId="10" borderId="0" xfId="0" applyFont="1" applyFill="1" applyBorder="1" applyAlignment="1">
      <alignment horizontal="center"/>
    </xf>
    <xf numFmtId="0" fontId="28" fillId="0" borderId="0" xfId="0" applyFont="1"/>
    <xf numFmtId="0" fontId="28" fillId="11" borderId="0" xfId="0" applyFont="1" applyFill="1" applyAlignment="1">
      <alignment horizontal="center"/>
    </xf>
    <xf numFmtId="0" fontId="28" fillId="9" borderId="0" xfId="0" applyFont="1" applyFill="1" applyAlignment="1">
      <alignment horizontal="center"/>
    </xf>
    <xf numFmtId="0" fontId="28" fillId="8" borderId="0" xfId="0" applyFont="1" applyFill="1" applyAlignment="1">
      <alignment horizontal="center"/>
    </xf>
    <xf numFmtId="0" fontId="28" fillId="0" borderId="0" xfId="0" applyFont="1" applyProtection="1"/>
    <xf numFmtId="0" fontId="28" fillId="10" borderId="0" xfId="0" applyFont="1" applyFill="1" applyAlignment="1">
      <alignment horizontal="center"/>
    </xf>
    <xf numFmtId="0" fontId="28" fillId="12" borderId="0" xfId="0" applyFont="1" applyFill="1" applyAlignment="1">
      <alignment horizontal="center"/>
    </xf>
    <xf numFmtId="167" fontId="10" fillId="0" borderId="0" xfId="3" applyNumberFormat="1" applyFont="1" applyBorder="1" applyAlignment="1" applyProtection="1">
      <alignment horizontal="left"/>
    </xf>
    <xf numFmtId="167" fontId="10" fillId="0" borderId="0" xfId="3" applyNumberFormat="1" applyFont="1" applyBorder="1" applyAlignment="1" applyProtection="1">
      <alignment horizontal="left" vertical="center" wrapText="1" indent="1"/>
    </xf>
    <xf numFmtId="166" fontId="10" fillId="0" borderId="0" xfId="5" applyFont="1" applyBorder="1" applyAlignment="1" applyProtection="1">
      <alignment horizontal="left" vertical="center" wrapText="1" indent="1"/>
    </xf>
    <xf numFmtId="167" fontId="29" fillId="7" borderId="0" xfId="1" applyNumberFormat="1" applyFont="1" applyFill="1" applyBorder="1" applyAlignment="1" applyProtection="1">
      <alignment vertical="center"/>
    </xf>
    <xf numFmtId="0" fontId="30" fillId="7" borderId="0" xfId="1" applyFont="1" applyFill="1" applyBorder="1" applyAlignment="1" applyProtection="1">
      <alignment horizontal="left" vertical="center" indent="1"/>
    </xf>
    <xf numFmtId="0" fontId="1" fillId="7" borderId="0" xfId="0" applyFont="1" applyFill="1"/>
    <xf numFmtId="0" fontId="0" fillId="0" borderId="0" xfId="0" applyAlignment="1">
      <alignment horizontal="center" vertical="center" wrapText="1"/>
    </xf>
    <xf numFmtId="0" fontId="0" fillId="0" borderId="0" xfId="0" applyAlignment="1">
      <alignment horizontal="left" vertical="center" wrapText="1"/>
    </xf>
    <xf numFmtId="0" fontId="19" fillId="7" borderId="0" xfId="1" applyFill="1" applyAlignment="1">
      <alignment horizontal="left" vertical="center" indent="1"/>
    </xf>
    <xf numFmtId="0" fontId="31" fillId="0" borderId="0" xfId="11"/>
    <xf numFmtId="0" fontId="0" fillId="0" borderId="0" xfId="0" applyAlignment="1">
      <alignment wrapText="1"/>
    </xf>
    <xf numFmtId="0" fontId="0" fillId="0" borderId="0" xfId="0" applyAlignment="1">
      <alignment vertical="center"/>
    </xf>
    <xf numFmtId="0" fontId="0" fillId="0" borderId="0" xfId="0" applyAlignment="1">
      <alignment vertical="top"/>
    </xf>
    <xf numFmtId="0" fontId="0" fillId="0" borderId="0" xfId="0" applyAlignment="1">
      <alignment vertical="top" wrapText="1"/>
    </xf>
    <xf numFmtId="49" fontId="0" fillId="11" borderId="0" xfId="0" applyNumberFormat="1" applyFont="1" applyFill="1" applyBorder="1" applyAlignment="1">
      <alignment horizontal="center"/>
    </xf>
    <xf numFmtId="0" fontId="0" fillId="0" borderId="0" xfId="0" quotePrefix="1" applyAlignment="1">
      <alignment vertical="top"/>
    </xf>
    <xf numFmtId="0" fontId="0" fillId="0" borderId="0" xfId="0" applyFill="1"/>
    <xf numFmtId="0" fontId="0" fillId="0" borderId="0" xfId="0" applyAlignment="1">
      <alignment vertical="center" wrapText="1"/>
    </xf>
    <xf numFmtId="0" fontId="31" fillId="0" borderId="0" xfId="11" applyAlignment="1">
      <alignment vertical="top"/>
    </xf>
    <xf numFmtId="0" fontId="19" fillId="7" borderId="0" xfId="1" applyFont="1" applyFill="1" applyAlignment="1">
      <alignment horizontal="left" vertical="center" indent="1"/>
    </xf>
    <xf numFmtId="0" fontId="0" fillId="0" borderId="0" xfId="0" applyAlignment="1">
      <alignment wrapText="1"/>
    </xf>
    <xf numFmtId="168" fontId="36" fillId="2" borderId="9" xfId="2" applyNumberFormat="1" applyFont="1" applyFill="1" applyBorder="1" applyAlignment="1" applyProtection="1">
      <alignment vertical="center"/>
    </xf>
    <xf numFmtId="168" fontId="36" fillId="2" borderId="10" xfId="2" applyNumberFormat="1" applyFont="1" applyFill="1" applyBorder="1" applyAlignment="1" applyProtection="1">
      <alignment vertical="center"/>
    </xf>
    <xf numFmtId="0" fontId="37" fillId="0" borderId="8" xfId="3" applyFont="1" applyBorder="1" applyAlignment="1" applyProtection="1">
      <alignment horizontal="center" vertical="center" wrapText="1"/>
      <protection locked="0"/>
    </xf>
    <xf numFmtId="0" fontId="39" fillId="2" borderId="12" xfId="0" applyFont="1" applyFill="1" applyBorder="1" applyAlignment="1" applyProtection="1">
      <alignment horizontal="center" vertical="center"/>
    </xf>
    <xf numFmtId="164" fontId="41" fillId="0" borderId="8" xfId="8" applyNumberFormat="1" applyFont="1" applyFill="1" applyBorder="1" applyProtection="1">
      <alignment horizontal="center" vertical="center"/>
    </xf>
    <xf numFmtId="164" fontId="39" fillId="2" borderId="8" xfId="0" applyNumberFormat="1" applyFont="1" applyFill="1" applyBorder="1" applyAlignment="1" applyProtection="1">
      <alignment horizontal="center" vertical="center"/>
    </xf>
    <xf numFmtId="0" fontId="42" fillId="0" borderId="0" xfId="0" applyFont="1" applyProtection="1"/>
    <xf numFmtId="0" fontId="37" fillId="0" borderId="0" xfId="0" applyFont="1" applyFill="1" applyBorder="1" applyProtection="1"/>
    <xf numFmtId="164" fontId="40" fillId="0" borderId="8" xfId="7" applyNumberFormat="1" applyFont="1" applyFill="1" applyBorder="1" applyProtection="1">
      <alignment horizontal="center" vertical="center"/>
    </xf>
    <xf numFmtId="0" fontId="36" fillId="2" borderId="8" xfId="2" applyNumberFormat="1" applyFont="1" applyFill="1" applyBorder="1" applyAlignment="1" applyProtection="1">
      <alignment vertical="center"/>
    </xf>
    <xf numFmtId="0" fontId="44" fillId="11" borderId="13" xfId="0" applyFont="1" applyFill="1" applyBorder="1" applyAlignment="1" applyProtection="1">
      <alignment horizontal="center" vertical="center"/>
    </xf>
    <xf numFmtId="0" fontId="44" fillId="9" borderId="14" xfId="0" applyFont="1" applyFill="1" applyBorder="1" applyAlignment="1" applyProtection="1">
      <alignment horizontal="center" vertical="center"/>
    </xf>
    <xf numFmtId="0" fontId="44" fillId="8" borderId="14" xfId="0" applyFont="1" applyFill="1" applyBorder="1" applyAlignment="1" applyProtection="1">
      <alignment horizontal="center" vertical="center"/>
    </xf>
    <xf numFmtId="0" fontId="44" fillId="10" borderId="14" xfId="0" applyFont="1" applyFill="1" applyBorder="1" applyAlignment="1" applyProtection="1">
      <alignment horizontal="center" vertical="center"/>
    </xf>
    <xf numFmtId="0" fontId="19" fillId="7" borderId="0" xfId="1" applyNumberFormat="1" applyFill="1" applyBorder="1" applyAlignment="1">
      <alignment vertical="center"/>
    </xf>
    <xf numFmtId="0" fontId="0" fillId="0" borderId="0" xfId="0" applyAlignment="1">
      <alignment vertical="top" wrapText="1"/>
    </xf>
    <xf numFmtId="0" fontId="0" fillId="0" borderId="0" xfId="0" applyAlignment="1">
      <alignment vertical="center" wrapText="1"/>
    </xf>
    <xf numFmtId="0" fontId="0" fillId="0" borderId="0" xfId="0" applyAlignment="1">
      <alignment wrapText="1"/>
    </xf>
    <xf numFmtId="0" fontId="33" fillId="0" borderId="0" xfId="12" quotePrefix="1" applyAlignment="1">
      <alignment vertical="top" wrapText="1"/>
    </xf>
    <xf numFmtId="0" fontId="15" fillId="7" borderId="4" xfId="0" applyFont="1" applyFill="1" applyBorder="1" applyAlignment="1">
      <alignment horizontal="center"/>
    </xf>
    <xf numFmtId="0" fontId="15" fillId="7" borderId="5" xfId="0" applyFont="1" applyFill="1" applyBorder="1" applyAlignment="1">
      <alignment horizontal="center"/>
    </xf>
    <xf numFmtId="0" fontId="15" fillId="7" borderId="6" xfId="0" applyFont="1" applyFill="1" applyBorder="1" applyAlignment="1">
      <alignment horizontal="center"/>
    </xf>
    <xf numFmtId="0" fontId="15" fillId="7" borderId="1" xfId="0" applyFont="1" applyFill="1" applyBorder="1" applyAlignment="1">
      <alignment horizontal="center"/>
    </xf>
    <xf numFmtId="168" fontId="36" fillId="2" borderId="8" xfId="2" applyNumberFormat="1" applyFont="1" applyFill="1" applyBorder="1" applyProtection="1">
      <alignment vertical="center"/>
    </xf>
    <xf numFmtId="167" fontId="37" fillId="0" borderId="8" xfId="3" applyNumberFormat="1" applyFont="1" applyBorder="1" applyAlignment="1" applyProtection="1">
      <alignment horizontal="left" vertical="center" wrapText="1" indent="1"/>
    </xf>
    <xf numFmtId="166" fontId="37" fillId="0" borderId="8" xfId="5" applyFont="1" applyBorder="1" applyAlignment="1" applyProtection="1">
      <alignment horizontal="left" vertical="center" wrapText="1" indent="1"/>
    </xf>
    <xf numFmtId="167" fontId="37" fillId="0" borderId="8" xfId="3" applyNumberFormat="1" applyFont="1" applyBorder="1" applyAlignment="1" applyProtection="1">
      <alignment horizontal="center" vertical="center" wrapText="1"/>
    </xf>
    <xf numFmtId="14" fontId="37" fillId="0" borderId="8" xfId="4" applyNumberFormat="1" applyFont="1" applyBorder="1" applyAlignment="1" applyProtection="1">
      <alignment horizontal="center" vertical="center" wrapText="1"/>
    </xf>
    <xf numFmtId="0" fontId="37" fillId="0" borderId="8" xfId="3" applyFont="1" applyBorder="1" applyAlignment="1" applyProtection="1">
      <alignment horizontal="left" vertical="center" wrapText="1" indent="1"/>
      <protection locked="0"/>
    </xf>
    <xf numFmtId="168" fontId="36" fillId="2" borderId="8" xfId="2" applyNumberFormat="1" applyFont="1" applyFill="1" applyBorder="1" applyAlignment="1" applyProtection="1">
      <alignment vertical="center"/>
    </xf>
    <xf numFmtId="0" fontId="27" fillId="7" borderId="0" xfId="0" applyFont="1" applyFill="1" applyBorder="1" applyAlignment="1" applyProtection="1">
      <alignment horizontal="center" vertical="center"/>
    </xf>
    <xf numFmtId="0" fontId="27" fillId="7" borderId="11" xfId="0" applyFont="1" applyFill="1" applyBorder="1" applyAlignment="1" applyProtection="1">
      <alignment horizontal="center" vertical="center"/>
    </xf>
    <xf numFmtId="0" fontId="36" fillId="2" borderId="8" xfId="2" applyNumberFormat="1" applyFont="1" applyFill="1" applyBorder="1" applyProtection="1">
      <alignment vertical="center"/>
    </xf>
    <xf numFmtId="0" fontId="37" fillId="0" borderId="8" xfId="3" applyFont="1" applyBorder="1" applyAlignment="1" applyProtection="1">
      <alignment horizontal="center" vertical="center" wrapText="1"/>
      <protection locked="0"/>
    </xf>
    <xf numFmtId="0" fontId="12" fillId="7" borderId="0" xfId="0" applyFont="1" applyFill="1" applyBorder="1" applyAlignment="1" applyProtection="1">
      <alignment horizontal="center" vertical="center"/>
    </xf>
    <xf numFmtId="0" fontId="38" fillId="2" borderId="12" xfId="6" applyFont="1" applyFill="1" applyBorder="1" applyProtection="1">
      <alignment horizontal="center" vertical="center"/>
    </xf>
    <xf numFmtId="0" fontId="38" fillId="2" borderId="8" xfId="6" applyFont="1" applyFill="1" applyBorder="1" applyProtection="1">
      <alignment horizontal="center" vertical="center"/>
    </xf>
    <xf numFmtId="164" fontId="40" fillId="0" borderId="12" xfId="7" applyNumberFormat="1" applyFont="1" applyFill="1" applyBorder="1" applyProtection="1">
      <alignment horizontal="center" vertical="center"/>
    </xf>
    <xf numFmtId="164" fontId="40" fillId="0" borderId="8" xfId="7" applyNumberFormat="1" applyFont="1" applyFill="1" applyBorder="1" applyProtection="1">
      <alignment horizontal="center" vertical="center"/>
    </xf>
    <xf numFmtId="164" fontId="40" fillId="0" borderId="15" xfId="7" applyNumberFormat="1" applyFont="1" applyFill="1" applyBorder="1" applyProtection="1">
      <alignment horizontal="center" vertical="center"/>
    </xf>
    <xf numFmtId="0" fontId="43" fillId="0" borderId="0" xfId="0" applyFont="1" applyFill="1" applyBorder="1" applyAlignment="1" applyProtection="1">
      <alignment horizontal="right" vertical="center"/>
    </xf>
    <xf numFmtId="0" fontId="38" fillId="2" borderId="15" xfId="6" applyFont="1" applyFill="1" applyBorder="1" applyProtection="1">
      <alignment horizontal="center" vertical="center"/>
    </xf>
    <xf numFmtId="0" fontId="46" fillId="0" borderId="16" xfId="0" applyFont="1" applyBorder="1" applyAlignment="1">
      <alignment horizontal="center" vertical="center"/>
    </xf>
    <xf numFmtId="0" fontId="46" fillId="0" borderId="16" xfId="0" applyFont="1" applyBorder="1" applyAlignment="1">
      <alignment horizontal="left" vertical="center"/>
    </xf>
    <xf numFmtId="164" fontId="46" fillId="0" borderId="16" xfId="0" applyNumberFormat="1" applyFont="1" applyBorder="1" applyAlignment="1">
      <alignment horizontal="center" vertical="center"/>
    </xf>
    <xf numFmtId="0" fontId="46" fillId="0" borderId="0" xfId="0" applyFont="1" applyFill="1" applyBorder="1" applyAlignment="1">
      <alignment horizontal="center" vertical="center"/>
    </xf>
    <xf numFmtId="0" fontId="46" fillId="0" borderId="0" xfId="0" applyFont="1" applyFill="1" applyBorder="1" applyAlignment="1">
      <alignment horizontal="left" vertical="center"/>
    </xf>
    <xf numFmtId="164" fontId="46" fillId="0" borderId="0" xfId="0" applyNumberFormat="1" applyFont="1" applyFill="1" applyBorder="1" applyAlignment="1">
      <alignment horizontal="center" vertical="center"/>
    </xf>
  </cellXfs>
  <cellStyles count="13">
    <cellStyle name="Attendance Totals" xfId="7"/>
    <cellStyle name="Birthdate" xfId="4"/>
    <cellStyle name="Hiperpovezava" xfId="12" builtinId="8"/>
    <cellStyle name="Month" xfId="6"/>
    <cellStyle name="Naslov" xfId="1" builtinId="15" customBuiltin="1"/>
    <cellStyle name="Naslov 1" xfId="10" builtinId="16" customBuiltin="1"/>
    <cellStyle name="Naslov 2" xfId="11" builtinId="17" customBuiltin="1"/>
    <cellStyle name="Navadno" xfId="0" builtinId="0" customBuiltin="1"/>
    <cellStyle name="Phone Number" xfId="5"/>
    <cellStyle name="Student Information" xfId="2"/>
    <cellStyle name="Student Information - user entered" xfId="3"/>
    <cellStyle name="Weekday" xfId="8"/>
    <cellStyle name="Weekend" xfId="9"/>
  </cellStyles>
  <dxfs count="998">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alignment horizontal="center" vertical="center" textRotation="0" wrapText="0" indent="0" justifyLastLine="0" shrinkToFit="0" readingOrder="0"/>
      <border diagonalUp="0" diagonalDown="0" outline="0">
        <left style="thin">
          <color theme="3" tint="0.59996337778862885"/>
        </left>
        <right style="thin">
          <color theme="3" tint="0.59996337778862885"/>
        </right>
        <top style="double">
          <color theme="1"/>
        </top>
        <bottom style="thin">
          <color theme="3" tint="0.59996337778862885"/>
        </bottom>
      </border>
    </dxf>
    <dxf>
      <font>
        <b val="0"/>
        <i val="0"/>
        <strike val="0"/>
        <condense val="0"/>
        <extend val="0"/>
        <outline val="0"/>
        <shadow val="0"/>
        <u val="none"/>
        <vertAlign val="baseline"/>
        <sz val="10"/>
        <color theme="1"/>
        <name val="Century Gothic"/>
        <scheme val="minor"/>
      </font>
      <numFmt numFmtId="164" formatCode="0;0;"/>
      <alignment horizontal="center" vertical="center" textRotation="0" wrapText="0" indent="0" justifyLastLine="0" shrinkToFit="0" readingOrder="0"/>
      <border diagonalUp="0" diagonalDown="0" outline="0">
        <left style="thin">
          <color theme="3" tint="0.59996337778862885"/>
        </left>
        <right style="thin">
          <color theme="3" tint="0.59996337778862885"/>
        </right>
        <top style="double">
          <color theme="1"/>
        </top>
        <bottom style="thin">
          <color theme="3" tint="0.59996337778862885"/>
        </bottom>
      </border>
    </dxf>
    <dxf>
      <font>
        <b val="0"/>
        <i val="0"/>
        <strike val="0"/>
        <condense val="0"/>
        <extend val="0"/>
        <outline val="0"/>
        <shadow val="0"/>
        <u val="none"/>
        <vertAlign val="baseline"/>
        <sz val="10"/>
        <color theme="1"/>
        <name val="Century Gothic"/>
        <scheme val="minor"/>
      </font>
      <numFmt numFmtId="164" formatCode="0;0;"/>
      <alignment horizontal="center" vertical="center" textRotation="0" wrapText="0" indent="0" justifyLastLine="0" shrinkToFit="0" readingOrder="0"/>
      <border diagonalUp="0" diagonalDown="0" outline="0">
        <left style="thin">
          <color theme="3" tint="0.59996337778862885"/>
        </left>
        <right style="thin">
          <color theme="3" tint="0.59996337778862885"/>
        </right>
        <top style="double">
          <color theme="1"/>
        </top>
        <bottom style="thin">
          <color theme="3" tint="0.59996337778862885"/>
        </bottom>
      </border>
    </dxf>
    <dxf>
      <font>
        <b val="0"/>
        <i val="0"/>
        <strike val="0"/>
        <condense val="0"/>
        <extend val="0"/>
        <outline val="0"/>
        <shadow val="0"/>
        <u val="none"/>
        <vertAlign val="baseline"/>
        <sz val="10"/>
        <color theme="1"/>
        <name val="Century Gothic"/>
        <scheme val="minor"/>
      </font>
      <numFmt numFmtId="164" formatCode="0;0;"/>
      <alignment horizontal="center" vertical="center" textRotation="0" wrapText="0" indent="0" justifyLastLine="0" shrinkToFit="0" readingOrder="0"/>
      <border diagonalUp="0" diagonalDown="0" outline="0">
        <left style="thin">
          <color theme="3" tint="0.59996337778862885"/>
        </left>
        <right style="thin">
          <color theme="3" tint="0.59996337778862885"/>
        </right>
        <top style="double">
          <color theme="1"/>
        </top>
        <bottom style="thin">
          <color theme="3" tint="0.59996337778862885"/>
        </bottom>
      </border>
    </dxf>
    <dxf>
      <font>
        <b val="0"/>
        <i val="0"/>
        <strike val="0"/>
        <condense val="0"/>
        <extend val="0"/>
        <outline val="0"/>
        <shadow val="0"/>
        <u val="none"/>
        <vertAlign val="baseline"/>
        <sz val="10"/>
        <color theme="1"/>
        <name val="Century Gothic"/>
        <scheme val="minor"/>
      </font>
      <numFmt numFmtId="164" formatCode="0;0;"/>
      <alignment horizontal="center" vertical="center" textRotation="0" wrapText="0" indent="0" justifyLastLine="0" shrinkToFit="0" readingOrder="0"/>
      <border diagonalUp="0" diagonalDown="0" outline="0">
        <left style="thin">
          <color theme="3" tint="0.59996337778862885"/>
        </left>
        <right style="thin">
          <color theme="3" tint="0.59996337778862885"/>
        </right>
        <top style="double">
          <color theme="1"/>
        </top>
        <bottom style="thin">
          <color theme="3" tint="0.59996337778862885"/>
        </bottom>
      </border>
    </dxf>
    <dxf>
      <font>
        <b val="0"/>
        <i val="0"/>
        <strike val="0"/>
        <condense val="0"/>
        <extend val="0"/>
        <outline val="0"/>
        <shadow val="0"/>
        <u val="none"/>
        <vertAlign val="baseline"/>
        <sz val="10"/>
        <color theme="1"/>
        <name val="Century Gothic"/>
        <scheme val="minor"/>
      </font>
      <numFmt numFmtId="164" formatCode="0;0;"/>
      <alignment horizontal="center" vertical="center" textRotation="0" wrapText="0" indent="0" justifyLastLine="0" shrinkToFit="0" readingOrder="0"/>
      <border diagonalUp="0" diagonalDown="0" outline="0">
        <left style="thin">
          <color theme="3" tint="0.59996337778862885"/>
        </left>
        <right style="thin">
          <color theme="3" tint="0.59996337778862885"/>
        </right>
        <top style="double">
          <color theme="1"/>
        </top>
        <bottom style="thin">
          <color theme="3" tint="0.59996337778862885"/>
        </bottom>
      </border>
    </dxf>
    <dxf>
      <font>
        <b val="0"/>
        <i val="0"/>
        <strike val="0"/>
        <condense val="0"/>
        <extend val="0"/>
        <outline val="0"/>
        <shadow val="0"/>
        <u val="none"/>
        <vertAlign val="baseline"/>
        <sz val="10"/>
        <color theme="1"/>
        <name val="Century Gothic"/>
        <scheme val="minor"/>
      </font>
      <numFmt numFmtId="164" formatCode="0;0;"/>
      <alignment horizontal="center" vertical="center" textRotation="0" wrapText="0" indent="0" justifyLastLine="0" shrinkToFit="0" readingOrder="0"/>
      <border diagonalUp="0" diagonalDown="0" outline="0">
        <left style="thin">
          <color theme="3" tint="0.59996337778862885"/>
        </left>
        <right style="thin">
          <color theme="3" tint="0.59996337778862885"/>
        </right>
        <top style="double">
          <color theme="1"/>
        </top>
        <bottom style="thin">
          <color theme="3" tint="0.59996337778862885"/>
        </bottom>
      </border>
    </dxf>
    <dxf>
      <font>
        <b val="0"/>
        <i val="0"/>
        <strike val="0"/>
        <condense val="0"/>
        <extend val="0"/>
        <outline val="0"/>
        <shadow val="0"/>
        <u val="none"/>
        <vertAlign val="baseline"/>
        <sz val="10"/>
        <color theme="1"/>
        <name val="Century Gothic"/>
        <scheme val="minor"/>
      </font>
      <numFmt numFmtId="164" formatCode="0;0;"/>
      <alignment horizontal="center" vertical="center" textRotation="0" wrapText="0" indent="0" justifyLastLine="0" shrinkToFit="0" readingOrder="0"/>
      <border diagonalUp="0" diagonalDown="0" outline="0">
        <left style="thin">
          <color theme="3" tint="0.59996337778862885"/>
        </left>
        <right style="thin">
          <color theme="3" tint="0.59996337778862885"/>
        </right>
        <top style="double">
          <color theme="1"/>
        </top>
        <bottom style="thin">
          <color theme="3" tint="0.59996337778862885"/>
        </bottom>
      </border>
    </dxf>
    <dxf>
      <font>
        <b val="0"/>
        <i val="0"/>
        <strike val="0"/>
        <condense val="0"/>
        <extend val="0"/>
        <outline val="0"/>
        <shadow val="0"/>
        <u val="none"/>
        <vertAlign val="baseline"/>
        <sz val="10"/>
        <color theme="1"/>
        <name val="Century Gothic"/>
        <scheme val="minor"/>
      </font>
      <numFmt numFmtId="164" formatCode="0;0;"/>
      <alignment horizontal="center" vertical="center" textRotation="0" wrapText="0" indent="0" justifyLastLine="0" shrinkToFit="0" readingOrder="0"/>
      <border diagonalUp="0" diagonalDown="0" outline="0">
        <left style="thin">
          <color theme="3" tint="0.59996337778862885"/>
        </left>
        <right style="thin">
          <color theme="3" tint="0.59996337778862885"/>
        </right>
        <top style="double">
          <color theme="1"/>
        </top>
        <bottom style="thin">
          <color theme="3" tint="0.59996337778862885"/>
        </bottom>
      </border>
    </dxf>
    <dxf>
      <font>
        <b val="0"/>
        <i val="0"/>
        <strike val="0"/>
        <condense val="0"/>
        <extend val="0"/>
        <outline val="0"/>
        <shadow val="0"/>
        <u val="none"/>
        <vertAlign val="baseline"/>
        <sz val="10"/>
        <color theme="1"/>
        <name val="Century Gothic"/>
        <scheme val="minor"/>
      </font>
      <numFmt numFmtId="164" formatCode="0;0;"/>
      <alignment horizontal="center" vertical="center" textRotation="0" wrapText="0" indent="0" justifyLastLine="0" shrinkToFit="0" readingOrder="0"/>
      <border diagonalUp="0" diagonalDown="0" outline="0">
        <left style="thin">
          <color theme="3" tint="0.59996337778862885"/>
        </left>
        <right style="thin">
          <color theme="3" tint="0.59996337778862885"/>
        </right>
        <top style="double">
          <color theme="1"/>
        </top>
        <bottom style="thin">
          <color theme="3" tint="0.59996337778862885"/>
        </bottom>
      </border>
    </dxf>
    <dxf>
      <font>
        <b val="0"/>
        <i val="0"/>
        <strike val="0"/>
        <condense val="0"/>
        <extend val="0"/>
        <outline val="0"/>
        <shadow val="0"/>
        <u val="none"/>
        <vertAlign val="baseline"/>
        <sz val="10"/>
        <color theme="1"/>
        <name val="Century Gothic"/>
        <scheme val="minor"/>
      </font>
      <numFmt numFmtId="164" formatCode="0;0;"/>
      <alignment horizontal="center" vertical="center" textRotation="0" wrapText="0" indent="0" justifyLastLine="0" shrinkToFit="0" readingOrder="0"/>
      <border diagonalUp="0" diagonalDown="0" outline="0">
        <left style="thin">
          <color theme="3" tint="0.59996337778862885"/>
        </left>
        <right style="thin">
          <color theme="3" tint="0.59996337778862885"/>
        </right>
        <top style="double">
          <color theme="1"/>
        </top>
        <bottom style="thin">
          <color theme="3" tint="0.59996337778862885"/>
        </bottom>
      </border>
    </dxf>
    <dxf>
      <font>
        <b val="0"/>
        <i val="0"/>
        <strike val="0"/>
        <condense val="0"/>
        <extend val="0"/>
        <outline val="0"/>
        <shadow val="0"/>
        <u val="none"/>
        <vertAlign val="baseline"/>
        <sz val="10"/>
        <color theme="1"/>
        <name val="Century Gothic"/>
        <scheme val="minor"/>
      </font>
      <numFmt numFmtId="164" formatCode="0;0;"/>
      <alignment horizontal="center" vertical="center" textRotation="0" wrapText="0" indent="0" justifyLastLine="0" shrinkToFit="0" readingOrder="0"/>
      <border diagonalUp="0" diagonalDown="0" outline="0">
        <left style="thin">
          <color theme="3" tint="0.59996337778862885"/>
        </left>
        <right style="thin">
          <color theme="3" tint="0.59996337778862885"/>
        </right>
        <top style="double">
          <color theme="1"/>
        </top>
        <bottom style="thin">
          <color theme="3" tint="0.59996337778862885"/>
        </bottom>
      </border>
    </dxf>
    <dxf>
      <font>
        <b val="0"/>
        <i val="0"/>
        <strike val="0"/>
        <condense val="0"/>
        <extend val="0"/>
        <outline val="0"/>
        <shadow val="0"/>
        <u val="none"/>
        <vertAlign val="baseline"/>
        <sz val="10"/>
        <color theme="1"/>
        <name val="Century Gothic"/>
        <scheme val="minor"/>
      </font>
      <numFmt numFmtId="164" formatCode="0;0;"/>
      <alignment horizontal="center" vertical="center" textRotation="0" wrapText="0" indent="0" justifyLastLine="0" shrinkToFit="0" readingOrder="0"/>
      <border diagonalUp="0" diagonalDown="0" outline="0">
        <left style="thin">
          <color theme="3" tint="0.59996337778862885"/>
        </left>
        <right style="thin">
          <color theme="3" tint="0.59996337778862885"/>
        </right>
        <top style="double">
          <color theme="1"/>
        </top>
        <bottom style="thin">
          <color theme="3" tint="0.59996337778862885"/>
        </bottom>
      </border>
    </dxf>
    <dxf>
      <font>
        <b val="0"/>
        <i val="0"/>
        <strike val="0"/>
        <condense val="0"/>
        <extend val="0"/>
        <outline val="0"/>
        <shadow val="0"/>
        <u val="none"/>
        <vertAlign val="baseline"/>
        <sz val="10"/>
        <color theme="1"/>
        <name val="Century Gothic"/>
        <scheme val="minor"/>
      </font>
      <numFmt numFmtId="164" formatCode="0;0;"/>
      <alignment horizontal="center" vertical="center" textRotation="0" wrapText="0" indent="0" justifyLastLine="0" shrinkToFit="0" readingOrder="0"/>
      <border diagonalUp="0" diagonalDown="0" outline="0">
        <left style="thin">
          <color theme="3" tint="0.59996337778862885"/>
        </left>
        <right style="thin">
          <color theme="3" tint="0.59996337778862885"/>
        </right>
        <top style="double">
          <color theme="1"/>
        </top>
        <bottom style="thin">
          <color theme="3" tint="0.59996337778862885"/>
        </bottom>
      </border>
    </dxf>
    <dxf>
      <font>
        <b val="0"/>
        <i val="0"/>
        <strike val="0"/>
        <condense val="0"/>
        <extend val="0"/>
        <outline val="0"/>
        <shadow val="0"/>
        <u val="none"/>
        <vertAlign val="baseline"/>
        <sz val="10"/>
        <color theme="1"/>
        <name val="Century Gothic"/>
        <scheme val="minor"/>
      </font>
      <numFmt numFmtId="164" formatCode="0;0;"/>
      <alignment horizontal="center" vertical="center" textRotation="0" wrapText="0" indent="0" justifyLastLine="0" shrinkToFit="0" readingOrder="0"/>
      <border diagonalUp="0" diagonalDown="0" outline="0">
        <left style="thin">
          <color theme="3" tint="0.59996337778862885"/>
        </left>
        <right style="thin">
          <color theme="3" tint="0.59996337778862885"/>
        </right>
        <top style="double">
          <color theme="1"/>
        </top>
        <bottom style="thin">
          <color theme="3" tint="0.59996337778862885"/>
        </bottom>
      </border>
    </dxf>
    <dxf>
      <font>
        <b val="0"/>
        <i val="0"/>
        <strike val="0"/>
        <condense val="0"/>
        <extend val="0"/>
        <outline val="0"/>
        <shadow val="0"/>
        <u val="none"/>
        <vertAlign val="baseline"/>
        <sz val="10"/>
        <color theme="1"/>
        <name val="Century Gothic"/>
        <scheme val="minor"/>
      </font>
      <numFmt numFmtId="164" formatCode="0;0;"/>
      <alignment horizontal="center" vertical="center" textRotation="0" wrapText="0" indent="0" justifyLastLine="0" shrinkToFit="0" readingOrder="0"/>
      <border diagonalUp="0" diagonalDown="0" outline="0">
        <left style="thin">
          <color theme="3" tint="0.59996337778862885"/>
        </left>
        <right style="thin">
          <color theme="3" tint="0.59996337778862885"/>
        </right>
        <top style="double">
          <color theme="1"/>
        </top>
        <bottom style="thin">
          <color theme="3" tint="0.59996337778862885"/>
        </bottom>
      </border>
    </dxf>
    <dxf>
      <font>
        <b val="0"/>
        <i val="0"/>
        <strike val="0"/>
        <condense val="0"/>
        <extend val="0"/>
        <outline val="0"/>
        <shadow val="0"/>
        <u val="none"/>
        <vertAlign val="baseline"/>
        <sz val="10"/>
        <color theme="1"/>
        <name val="Century Gothic"/>
        <scheme val="minor"/>
      </font>
      <numFmt numFmtId="164" formatCode="0;0;"/>
      <alignment horizontal="center" vertical="center" textRotation="0" wrapText="0" indent="0" justifyLastLine="0" shrinkToFit="0" readingOrder="0"/>
      <border diagonalUp="0" diagonalDown="0" outline="0">
        <left style="thin">
          <color theme="3" tint="0.59996337778862885"/>
        </left>
        <right style="thin">
          <color theme="3" tint="0.59996337778862885"/>
        </right>
        <top style="double">
          <color theme="1"/>
        </top>
        <bottom style="thin">
          <color theme="3" tint="0.59996337778862885"/>
        </bottom>
      </border>
    </dxf>
    <dxf>
      <font>
        <b val="0"/>
        <i val="0"/>
        <strike val="0"/>
        <condense val="0"/>
        <extend val="0"/>
        <outline val="0"/>
        <shadow val="0"/>
        <u val="none"/>
        <vertAlign val="baseline"/>
        <sz val="10"/>
        <color theme="1"/>
        <name val="Century Gothic"/>
        <scheme val="minor"/>
      </font>
      <numFmt numFmtId="164" formatCode="0;0;"/>
      <alignment horizontal="center" vertical="center" textRotation="0" wrapText="0" indent="0" justifyLastLine="0" shrinkToFit="0" readingOrder="0"/>
      <border diagonalUp="0" diagonalDown="0" outline="0">
        <left style="thin">
          <color theme="3" tint="0.59996337778862885"/>
        </left>
        <right style="thin">
          <color theme="3" tint="0.59996337778862885"/>
        </right>
        <top style="double">
          <color theme="1"/>
        </top>
        <bottom style="thin">
          <color theme="3" tint="0.59996337778862885"/>
        </bottom>
      </border>
    </dxf>
    <dxf>
      <font>
        <b val="0"/>
        <i val="0"/>
        <strike val="0"/>
        <condense val="0"/>
        <extend val="0"/>
        <outline val="0"/>
        <shadow val="0"/>
        <u val="none"/>
        <vertAlign val="baseline"/>
        <sz val="10"/>
        <color theme="1"/>
        <name val="Century Gothic"/>
        <scheme val="minor"/>
      </font>
      <numFmt numFmtId="164" formatCode="0;0;"/>
      <alignment horizontal="center" vertical="center" textRotation="0" wrapText="0" indent="0" justifyLastLine="0" shrinkToFit="0" readingOrder="0"/>
      <border diagonalUp="0" diagonalDown="0" outline="0">
        <left style="thin">
          <color theme="3" tint="0.59996337778862885"/>
        </left>
        <right style="thin">
          <color theme="3" tint="0.59996337778862885"/>
        </right>
        <top style="double">
          <color theme="1"/>
        </top>
        <bottom style="thin">
          <color theme="3" tint="0.59996337778862885"/>
        </bottom>
      </border>
    </dxf>
    <dxf>
      <font>
        <b val="0"/>
        <i val="0"/>
        <strike val="0"/>
        <condense val="0"/>
        <extend val="0"/>
        <outline val="0"/>
        <shadow val="0"/>
        <u val="none"/>
        <vertAlign val="baseline"/>
        <sz val="10"/>
        <color theme="1"/>
        <name val="Century Gothic"/>
        <scheme val="minor"/>
      </font>
      <numFmt numFmtId="164" formatCode="0;0;"/>
      <alignment horizontal="center" vertical="center" textRotation="0" wrapText="0" indent="0" justifyLastLine="0" shrinkToFit="0" readingOrder="0"/>
      <border diagonalUp="0" diagonalDown="0" outline="0">
        <left style="thin">
          <color theme="3" tint="0.59996337778862885"/>
        </left>
        <right style="thin">
          <color theme="3" tint="0.59996337778862885"/>
        </right>
        <top style="double">
          <color theme="1"/>
        </top>
        <bottom style="thin">
          <color theme="3" tint="0.59996337778862885"/>
        </bottom>
      </border>
    </dxf>
    <dxf>
      <font>
        <b val="0"/>
        <i val="0"/>
        <strike val="0"/>
        <condense val="0"/>
        <extend val="0"/>
        <outline val="0"/>
        <shadow val="0"/>
        <u val="none"/>
        <vertAlign val="baseline"/>
        <sz val="10"/>
        <color theme="1"/>
        <name val="Century Gothic"/>
        <scheme val="minor"/>
      </font>
      <numFmt numFmtId="164" formatCode="0;0;"/>
      <alignment horizontal="center" vertical="center" textRotation="0" wrapText="0" indent="0" justifyLastLine="0" shrinkToFit="0" readingOrder="0"/>
      <border diagonalUp="0" diagonalDown="0" outline="0">
        <left style="thin">
          <color theme="3" tint="0.59996337778862885"/>
        </left>
        <right style="thin">
          <color theme="3" tint="0.59996337778862885"/>
        </right>
        <top style="double">
          <color theme="1"/>
        </top>
        <bottom style="thin">
          <color theme="3" tint="0.59996337778862885"/>
        </bottom>
      </border>
    </dxf>
    <dxf>
      <font>
        <b val="0"/>
        <i val="0"/>
        <strike val="0"/>
        <condense val="0"/>
        <extend val="0"/>
        <outline val="0"/>
        <shadow val="0"/>
        <u val="none"/>
        <vertAlign val="baseline"/>
        <sz val="10"/>
        <color theme="1"/>
        <name val="Century Gothic"/>
        <scheme val="minor"/>
      </font>
      <numFmt numFmtId="164" formatCode="0;0;"/>
      <alignment horizontal="center" vertical="center" textRotation="0" wrapText="0" indent="0" justifyLastLine="0" shrinkToFit="0" readingOrder="0"/>
      <border diagonalUp="0" diagonalDown="0" outline="0">
        <left style="thin">
          <color theme="3" tint="0.59996337778862885"/>
        </left>
        <right style="thin">
          <color theme="3" tint="0.59996337778862885"/>
        </right>
        <top style="double">
          <color theme="1"/>
        </top>
        <bottom style="thin">
          <color theme="3" tint="0.59996337778862885"/>
        </bottom>
      </border>
    </dxf>
    <dxf>
      <font>
        <b val="0"/>
        <i val="0"/>
        <strike val="0"/>
        <condense val="0"/>
        <extend val="0"/>
        <outline val="0"/>
        <shadow val="0"/>
        <u val="none"/>
        <vertAlign val="baseline"/>
        <sz val="10"/>
        <color theme="1"/>
        <name val="Century Gothic"/>
        <scheme val="minor"/>
      </font>
      <numFmt numFmtId="164" formatCode="0;0;"/>
      <alignment horizontal="center" vertical="center" textRotation="0" wrapText="0" indent="0" justifyLastLine="0" shrinkToFit="0" readingOrder="0"/>
      <border diagonalUp="0" diagonalDown="0" outline="0">
        <left style="thin">
          <color theme="3" tint="0.59996337778862885"/>
        </left>
        <right style="thin">
          <color theme="3" tint="0.59996337778862885"/>
        </right>
        <top style="double">
          <color theme="1"/>
        </top>
        <bottom style="thin">
          <color theme="3" tint="0.59996337778862885"/>
        </bottom>
      </border>
    </dxf>
    <dxf>
      <font>
        <b val="0"/>
        <i val="0"/>
        <strike val="0"/>
        <condense val="0"/>
        <extend val="0"/>
        <outline val="0"/>
        <shadow val="0"/>
        <u val="none"/>
        <vertAlign val="baseline"/>
        <sz val="10"/>
        <color theme="1"/>
        <name val="Century Gothic"/>
        <scheme val="minor"/>
      </font>
      <numFmt numFmtId="164" formatCode="0;0;"/>
      <alignment horizontal="center" vertical="center" textRotation="0" wrapText="0" indent="0" justifyLastLine="0" shrinkToFit="0" readingOrder="0"/>
      <border diagonalUp="0" diagonalDown="0" outline="0">
        <left style="thin">
          <color theme="3" tint="0.59996337778862885"/>
        </left>
        <right style="thin">
          <color theme="3" tint="0.59996337778862885"/>
        </right>
        <top style="double">
          <color theme="1"/>
        </top>
        <bottom style="thin">
          <color theme="3" tint="0.59996337778862885"/>
        </bottom>
      </border>
    </dxf>
    <dxf>
      <font>
        <b val="0"/>
        <i val="0"/>
        <strike val="0"/>
        <condense val="0"/>
        <extend val="0"/>
        <outline val="0"/>
        <shadow val="0"/>
        <u val="none"/>
        <vertAlign val="baseline"/>
        <sz val="10"/>
        <color theme="1"/>
        <name val="Century Gothic"/>
        <scheme val="minor"/>
      </font>
      <numFmt numFmtId="164" formatCode="0;0;"/>
      <alignment horizontal="center" vertical="center" textRotation="0" wrapText="0" indent="0" justifyLastLine="0" shrinkToFit="0" readingOrder="0"/>
      <border diagonalUp="0" diagonalDown="0" outline="0">
        <left style="thin">
          <color theme="3" tint="0.59996337778862885"/>
        </left>
        <right style="thin">
          <color theme="3" tint="0.59996337778862885"/>
        </right>
        <top style="double">
          <color theme="1"/>
        </top>
        <bottom style="thin">
          <color theme="3" tint="0.59996337778862885"/>
        </bottom>
      </border>
    </dxf>
    <dxf>
      <font>
        <b val="0"/>
        <i val="0"/>
        <strike val="0"/>
        <condense val="0"/>
        <extend val="0"/>
        <outline val="0"/>
        <shadow val="0"/>
        <u val="none"/>
        <vertAlign val="baseline"/>
        <sz val="10"/>
        <color theme="1"/>
        <name val="Century Gothic"/>
        <scheme val="minor"/>
      </font>
      <numFmt numFmtId="164" formatCode="0;0;"/>
      <alignment horizontal="center" vertical="center" textRotation="0" wrapText="0" indent="0" justifyLastLine="0" shrinkToFit="0" readingOrder="0"/>
      <border diagonalUp="0" diagonalDown="0" outline="0">
        <left style="thin">
          <color theme="3" tint="0.59996337778862885"/>
        </left>
        <right style="thin">
          <color theme="3" tint="0.59996337778862885"/>
        </right>
        <top style="double">
          <color theme="1"/>
        </top>
        <bottom style="thin">
          <color theme="3" tint="0.59996337778862885"/>
        </bottom>
      </border>
    </dxf>
    <dxf>
      <font>
        <b val="0"/>
        <i val="0"/>
        <strike val="0"/>
        <condense val="0"/>
        <extend val="0"/>
        <outline val="0"/>
        <shadow val="0"/>
        <u val="none"/>
        <vertAlign val="baseline"/>
        <sz val="10"/>
        <color theme="1"/>
        <name val="Century Gothic"/>
        <scheme val="minor"/>
      </font>
      <numFmt numFmtId="164" formatCode="0;0;"/>
      <alignment horizontal="center" vertical="center" textRotation="0" wrapText="0" indent="0" justifyLastLine="0" shrinkToFit="0" readingOrder="0"/>
      <border diagonalUp="0" diagonalDown="0" outline="0">
        <left style="thin">
          <color theme="3" tint="0.59996337778862885"/>
        </left>
        <right style="thin">
          <color theme="3" tint="0.59996337778862885"/>
        </right>
        <top style="double">
          <color theme="1"/>
        </top>
        <bottom style="thin">
          <color theme="3" tint="0.59996337778862885"/>
        </bottom>
      </border>
    </dxf>
    <dxf>
      <font>
        <b val="0"/>
        <i val="0"/>
        <strike val="0"/>
        <condense val="0"/>
        <extend val="0"/>
        <outline val="0"/>
        <shadow val="0"/>
        <u val="none"/>
        <vertAlign val="baseline"/>
        <sz val="10"/>
        <color theme="1"/>
        <name val="Century Gothic"/>
        <scheme val="minor"/>
      </font>
      <numFmt numFmtId="164" formatCode="0;0;"/>
      <alignment horizontal="center" vertical="center" textRotation="0" wrapText="0" indent="0" justifyLastLine="0" shrinkToFit="0" readingOrder="0"/>
      <border diagonalUp="0" diagonalDown="0" outline="0">
        <left style="thin">
          <color theme="3" tint="0.59996337778862885"/>
        </left>
        <right style="thin">
          <color theme="3" tint="0.59996337778862885"/>
        </right>
        <top style="double">
          <color theme="1"/>
        </top>
        <bottom style="thin">
          <color theme="3" tint="0.59996337778862885"/>
        </bottom>
      </border>
    </dxf>
    <dxf>
      <font>
        <b val="0"/>
        <i val="0"/>
        <strike val="0"/>
        <condense val="0"/>
        <extend val="0"/>
        <outline val="0"/>
        <shadow val="0"/>
        <u val="none"/>
        <vertAlign val="baseline"/>
        <sz val="10"/>
        <color theme="1"/>
        <name val="Century Gothic"/>
        <scheme val="minor"/>
      </font>
      <numFmt numFmtId="164" formatCode="0;0;"/>
      <alignment horizontal="center" vertical="center" textRotation="0" wrapText="0" indent="0" justifyLastLine="0" shrinkToFit="0" readingOrder="0"/>
      <border diagonalUp="0" diagonalDown="0" outline="0">
        <left style="thin">
          <color theme="3" tint="0.59996337778862885"/>
        </left>
        <right style="thin">
          <color theme="3" tint="0.59996337778862885"/>
        </right>
        <top style="double">
          <color theme="1"/>
        </top>
        <bottom style="thin">
          <color theme="3" tint="0.59996337778862885"/>
        </bottom>
      </border>
    </dxf>
    <dxf>
      <font>
        <b val="0"/>
        <i val="0"/>
        <strike val="0"/>
        <condense val="0"/>
        <extend val="0"/>
        <outline val="0"/>
        <shadow val="0"/>
        <u val="none"/>
        <vertAlign val="baseline"/>
        <sz val="10"/>
        <color theme="1"/>
        <name val="Century Gothic"/>
        <scheme val="minor"/>
      </font>
      <numFmt numFmtId="164" formatCode="0;0;"/>
      <alignment horizontal="center" vertical="center" textRotation="0" wrapText="0" indent="0" justifyLastLine="0" shrinkToFit="0" readingOrder="0"/>
      <border diagonalUp="0" diagonalDown="0" outline="0">
        <left style="thin">
          <color theme="3" tint="0.59996337778862885"/>
        </left>
        <right style="thin">
          <color theme="3" tint="0.59996337778862885"/>
        </right>
        <top style="double">
          <color theme="1"/>
        </top>
        <bottom style="thin">
          <color theme="3" tint="0.59996337778862885"/>
        </bottom>
      </border>
    </dxf>
    <dxf>
      <font>
        <b val="0"/>
        <i val="0"/>
        <strike val="0"/>
        <condense val="0"/>
        <extend val="0"/>
        <outline val="0"/>
        <shadow val="0"/>
        <u val="none"/>
        <vertAlign val="baseline"/>
        <sz val="10"/>
        <color theme="1"/>
        <name val="Century Gothic"/>
        <scheme val="minor"/>
      </font>
      <numFmt numFmtId="164" formatCode="0;0;"/>
      <alignment horizontal="center" vertical="center" textRotation="0" wrapText="0" indent="0" justifyLastLine="0" shrinkToFit="0" readingOrder="0"/>
      <border diagonalUp="0" diagonalDown="0" outline="0">
        <left style="thin">
          <color theme="3" tint="0.59996337778862885"/>
        </left>
        <right style="thin">
          <color theme="3" tint="0.59996337778862885"/>
        </right>
        <top style="double">
          <color theme="1"/>
        </top>
        <bottom style="thin">
          <color theme="3" tint="0.59996337778862885"/>
        </bottom>
      </border>
    </dxf>
    <dxf>
      <font>
        <b val="0"/>
        <i val="0"/>
        <strike val="0"/>
        <condense val="0"/>
        <extend val="0"/>
        <outline val="0"/>
        <shadow val="0"/>
        <u val="none"/>
        <vertAlign val="baseline"/>
        <sz val="10"/>
        <color theme="1"/>
        <name val="Century Gothic"/>
        <scheme val="minor"/>
      </font>
      <numFmt numFmtId="164" formatCode="0;0;"/>
      <alignment horizontal="center" vertical="center" textRotation="0" wrapText="0" indent="0" justifyLastLine="0" shrinkToFit="0" readingOrder="0"/>
      <border diagonalUp="0" diagonalDown="0" outline="0">
        <left style="thin">
          <color theme="3" tint="0.59996337778862885"/>
        </left>
        <right style="thin">
          <color theme="3" tint="0.59996337778862885"/>
        </right>
        <top style="double">
          <color theme="1"/>
        </top>
        <bottom style="thin">
          <color theme="3" tint="0.59996337778862885"/>
        </bottom>
      </border>
    </dxf>
    <dxf>
      <font>
        <b val="0"/>
        <i val="0"/>
        <strike val="0"/>
        <condense val="0"/>
        <extend val="0"/>
        <outline val="0"/>
        <shadow val="0"/>
        <u val="none"/>
        <vertAlign val="baseline"/>
        <sz val="10"/>
        <color theme="1"/>
        <name val="Century Gothic"/>
        <scheme val="minor"/>
      </font>
      <numFmt numFmtId="164" formatCode="0;0;"/>
      <alignment horizontal="center" vertical="center" textRotation="0" wrapText="0" indent="0" justifyLastLine="0" shrinkToFit="0" readingOrder="0"/>
      <border diagonalUp="0" diagonalDown="0" outline="0">
        <left style="thin">
          <color theme="3" tint="0.59996337778862885"/>
        </left>
        <right style="thin">
          <color theme="3" tint="0.59996337778862885"/>
        </right>
        <top style="double">
          <color theme="1"/>
        </top>
        <bottom style="thin">
          <color theme="3" tint="0.59996337778862885"/>
        </bottom>
      </border>
    </dxf>
    <dxf>
      <font>
        <b val="0"/>
        <i val="0"/>
        <strike val="0"/>
        <condense val="0"/>
        <extend val="0"/>
        <outline val="0"/>
        <shadow val="0"/>
        <u val="none"/>
        <vertAlign val="baseline"/>
        <sz val="10"/>
        <color theme="1"/>
        <name val="Century Gothic"/>
        <scheme val="minor"/>
      </font>
      <numFmt numFmtId="164" formatCode="0;0;"/>
      <alignment horizontal="center" vertical="center" textRotation="0" wrapText="0" indent="0" justifyLastLine="0" shrinkToFit="0" readingOrder="0"/>
      <border diagonalUp="0" diagonalDown="0" outline="0">
        <left style="thin">
          <color theme="3" tint="0.59996337778862885"/>
        </left>
        <right style="thin">
          <color theme="3" tint="0.59996337778862885"/>
        </right>
        <top style="double">
          <color theme="1"/>
        </top>
        <bottom style="thin">
          <color theme="3" tint="0.59996337778862885"/>
        </bottom>
      </border>
    </dxf>
    <dxf>
      <font>
        <b val="0"/>
        <i val="0"/>
        <strike val="0"/>
        <condense val="0"/>
        <extend val="0"/>
        <outline val="0"/>
        <shadow val="0"/>
        <u val="none"/>
        <vertAlign val="baseline"/>
        <sz val="10"/>
        <color theme="1"/>
        <name val="Century Gothic"/>
        <scheme val="minor"/>
      </font>
      <numFmt numFmtId="164" formatCode="0;0;"/>
      <alignment horizontal="center" vertical="center" textRotation="0" wrapText="0" indent="0" justifyLastLine="0" shrinkToFit="0" readingOrder="0"/>
      <border diagonalUp="0" diagonalDown="0" outline="0">
        <left style="thin">
          <color theme="3" tint="0.59996337778862885"/>
        </left>
        <right style="thin">
          <color theme="3" tint="0.59996337778862885"/>
        </right>
        <top style="double">
          <color theme="1"/>
        </top>
        <bottom style="thin">
          <color theme="3" tint="0.59996337778862885"/>
        </bottom>
      </border>
    </dxf>
    <dxf>
      <font>
        <b val="0"/>
        <i val="0"/>
        <strike val="0"/>
        <condense val="0"/>
        <extend val="0"/>
        <outline val="0"/>
        <shadow val="0"/>
        <u val="none"/>
        <vertAlign val="baseline"/>
        <sz val="10"/>
        <color theme="1"/>
        <name val="Century Gothic"/>
        <scheme val="minor"/>
      </font>
      <numFmt numFmtId="164" formatCode="0;0;"/>
      <alignment horizontal="center" vertical="center" textRotation="0" wrapText="0" indent="0" justifyLastLine="0" shrinkToFit="0" readingOrder="0"/>
      <border diagonalUp="0" diagonalDown="0" outline="0">
        <left style="thin">
          <color theme="3" tint="0.59996337778862885"/>
        </left>
        <right style="thin">
          <color theme="3" tint="0.59996337778862885"/>
        </right>
        <top style="double">
          <color theme="1"/>
        </top>
        <bottom style="thin">
          <color theme="3" tint="0.59996337778862885"/>
        </bottom>
      </border>
    </dxf>
    <dxf>
      <font>
        <b val="0"/>
        <i val="0"/>
        <strike val="0"/>
        <condense val="0"/>
        <extend val="0"/>
        <outline val="0"/>
        <shadow val="0"/>
        <u val="none"/>
        <vertAlign val="baseline"/>
        <sz val="10"/>
        <color theme="1"/>
        <name val="Century Gothic"/>
        <scheme val="minor"/>
      </font>
      <alignment horizontal="left" vertical="center" textRotation="0" wrapText="0" indent="0" justifyLastLine="0" shrinkToFit="0" readingOrder="0"/>
      <border diagonalUp="0" diagonalDown="0" outline="0">
        <left style="thin">
          <color theme="3" tint="0.59996337778862885"/>
        </left>
        <right style="thin">
          <color theme="3" tint="0.59996337778862885"/>
        </right>
        <top style="double">
          <color theme="1"/>
        </top>
        <bottom style="thin">
          <color theme="3" tint="0.59996337778862885"/>
        </bottom>
      </border>
    </dxf>
    <dxf>
      <font>
        <b val="0"/>
        <i val="0"/>
        <strike val="0"/>
        <condense val="0"/>
        <extend val="0"/>
        <outline val="0"/>
        <shadow val="0"/>
        <u val="none"/>
        <vertAlign val="baseline"/>
        <sz val="10"/>
        <color theme="1"/>
        <name val="Century Gothic"/>
        <scheme val="minor"/>
      </font>
      <alignment horizontal="center" vertical="center" textRotation="0" wrapText="0" indent="0" justifyLastLine="0" shrinkToFit="0" readingOrder="0"/>
      <border diagonalUp="0" diagonalDown="0" outline="0">
        <left style="thin">
          <color theme="3" tint="0.59996337778862885"/>
        </left>
        <right style="thin">
          <color theme="3" tint="0.59996337778862885"/>
        </right>
        <top style="double">
          <color theme="1"/>
        </top>
        <bottom style="thin">
          <color theme="3" tint="0.59996337778862885"/>
        </bottom>
      </border>
    </dxf>
    <dxf>
      <alignment horizontal="center" textRotation="0" wrapText="0" indent="0" justifyLastLine="0" shrinkToFit="0" readingOrder="0"/>
    </dxf>
    <dxf>
      <font>
        <color theme="4" tint="0.79998168889431442"/>
      </font>
    </dxf>
    <dxf>
      <fill>
        <patternFill>
          <bgColor theme="8" tint="0.59996337778862885"/>
        </patternFill>
      </fill>
    </dxf>
    <dxf>
      <fill>
        <patternFill>
          <bgColor theme="8" tint="0.79998168889431442"/>
        </patternFill>
      </fill>
    </dxf>
    <dxf>
      <fill>
        <patternFill>
          <bgColor theme="6"/>
        </patternFill>
      </fill>
    </dxf>
    <dxf>
      <fill>
        <patternFill>
          <bgColor theme="5"/>
        </patternFill>
      </fill>
    </dxf>
    <dxf>
      <fill>
        <patternFill>
          <bgColor theme="7"/>
        </patternFill>
      </fill>
    </dxf>
    <dxf>
      <alignment horizontal="center" vertical="center"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dxf>
    <dxf>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name val="Century Gothic"/>
        <scheme val="major"/>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alignment horizontal="center" vertical="center"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dxf>
    <dxf>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name val="Century Gothic"/>
        <scheme val="major"/>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alignment horizontal="center" vertical="center"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dxf>
    <dxf>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name val="Century Gothic"/>
        <scheme val="major"/>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alignment horizontal="center" vertical="center"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dxf>
    <dxf>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name val="Century Gothic"/>
        <scheme val="major"/>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alignment horizontal="center" vertical="center"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dxf>
    <dxf>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name val="Century Gothic"/>
        <scheme val="major"/>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alignment horizontal="center" vertical="center"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dxf>
    <dxf>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name val="Century Gothic"/>
        <scheme val="major"/>
      </font>
    </dxf>
    <dxf>
      <font>
        <color theme="4" tint="0.79998168889431442"/>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color theme="4"/>
      </font>
    </dxf>
    <dxf>
      <alignment horizontal="center" vertical="center"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alignment horizontal="center" vertical="center" textRotation="0" wrapText="0" indent="0" justifyLastLine="0" shrinkToFit="0" readingOrder="0"/>
      <protection locked="0" hidden="0"/>
    </dxf>
    <dxf>
      <numFmt numFmtId="167" formatCode="0;0;;@"/>
    </dxf>
    <dxf>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name val="Century Gothic"/>
        <scheme val="major"/>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numFmt numFmtId="164" formatCode="0;0;"/>
      <alignment horizontal="center" textRotation="0" wrapText="0" indent="0" justifyLastLine="0" shrinkToFit="0" readingOrder="0"/>
    </dxf>
    <dxf>
      <numFmt numFmtId="164" formatCode="0;0;"/>
      <alignment horizontal="center" textRotation="0" wrapText="0" indent="0" justifyLastLine="0" shrinkToFit="0" readingOrder="0"/>
    </dxf>
    <dxf>
      <numFmt numFmtId="164" formatCode="0;0;"/>
      <alignment horizontal="center" textRotation="0" wrapText="0" indent="0" justifyLastLine="0" shrinkToFit="0" readingOrder="0"/>
    </dxf>
    <dxf>
      <alignment horizontal="center" textRotation="0" wrapText="0" indent="0" justifyLastLine="0" shrinkToFit="0" readingOrder="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numFmt numFmtId="164" formatCode="0;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numFmt numFmtId="164" formatCode="0;0;"/>
      <alignment horizontal="center" textRotation="0" wrapText="0" indent="0" justifyLastLine="0" shrinkToFit="0" readingOrder="0"/>
    </dxf>
    <dxf>
      <numFmt numFmtId="164" formatCode="0;0;"/>
      <alignment horizontal="center" textRotation="0" wrapText="0" indent="0" justifyLastLine="0" shrinkToFit="0" readingOrder="0"/>
    </dxf>
    <dxf>
      <numFmt numFmtId="164" formatCode="0;0;"/>
      <alignment horizontal="center" textRotation="0" wrapText="0" indent="0" justifyLastLine="0" shrinkToFit="0" readingOrder="0"/>
    </dxf>
    <dxf>
      <alignment horizontal="center" textRotation="0" wrapText="0" indent="0" justifyLastLine="0" shrinkToFit="0" readingOrder="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numFmt numFmtId="164" formatCode="0;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numFmt numFmtId="164" formatCode="0;0;"/>
      <alignment horizontal="center" textRotation="0" wrapText="0" indent="0" justifyLastLine="0" shrinkToFit="0" readingOrder="0"/>
    </dxf>
    <dxf>
      <numFmt numFmtId="164" formatCode="0;0;"/>
      <alignment horizontal="center" textRotation="0" wrapText="0" indent="0" justifyLastLine="0" shrinkToFit="0" readingOrder="0"/>
    </dxf>
    <dxf>
      <numFmt numFmtId="164" formatCode="0;0;"/>
      <alignment horizontal="center" textRotation="0" wrapText="0" indent="0" justifyLastLine="0" shrinkToFit="0" readingOrder="0"/>
    </dxf>
    <dxf>
      <alignment horizontal="center" textRotation="0" wrapText="0" indent="0" justifyLastLine="0" shrinkToFit="0" readingOrder="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numFmt numFmtId="164" formatCode="0;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numFmt numFmtId="164" formatCode="0;0;"/>
      <alignment horizontal="center" textRotation="0" wrapText="0" indent="0" justifyLastLine="0" shrinkToFit="0" readingOrder="0"/>
    </dxf>
    <dxf>
      <numFmt numFmtId="164" formatCode="0;0;"/>
      <alignment horizontal="center" textRotation="0" wrapText="0" indent="0" justifyLastLine="0" shrinkToFit="0" readingOrder="0"/>
    </dxf>
    <dxf>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numFmt numFmtId="164" formatCode="0;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numFmt numFmtId="164" formatCode="0;0;"/>
      <alignment horizontal="center" textRotation="0" wrapText="0" indent="0" justifyLastLine="0" shrinkToFit="0" readingOrder="0"/>
    </dxf>
    <dxf>
      <numFmt numFmtId="164" formatCode="0;0;"/>
      <alignment horizontal="center" textRotation="0" wrapText="0" indent="0" justifyLastLine="0" shrinkToFit="0" readingOrder="0"/>
    </dxf>
    <dxf>
      <numFmt numFmtId="164" formatCode="0;0;"/>
      <alignment horizontal="center" textRotation="0" wrapText="0" indent="0" justifyLastLine="0" shrinkToFit="0" readingOrder="0"/>
    </dxf>
    <dxf>
      <alignment horizontal="center" textRotation="0" wrapText="0" indent="0" justifyLastLine="0" shrinkToFit="0" readingOrder="0"/>
    </dxf>
    <dxf>
      <border outline="0">
        <top style="double">
          <color theme="1"/>
        </top>
      </border>
    </dxf>
    <dxf>
      <font>
        <b val="0"/>
        <i val="0"/>
        <strike val="0"/>
        <condense val="0"/>
        <extend val="0"/>
        <outline val="0"/>
        <shadow val="0"/>
        <u val="none"/>
        <vertAlign val="baseline"/>
        <sz val="10"/>
        <color theme="1"/>
        <name val="Century Gothic"/>
        <scheme val="minor"/>
      </font>
      <numFmt numFmtId="164" formatCode="0;0;"/>
      <alignment horizontal="center" vertical="center" textRotation="0" wrapText="0" indent="0" justifyLastLine="0" shrinkToFit="0" readingOrder="0"/>
      <border diagonalUp="0" diagonalDown="0" outline="0">
        <left style="thin">
          <color theme="3" tint="0.59996337778862885"/>
        </left>
        <right style="thin">
          <color theme="3" tint="0.59996337778862885"/>
        </right>
        <top/>
        <bottom/>
      </border>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numFmt numFmtId="0" formatCode="General"/>
      <alignment horizontal="left" vertical="bottom" textRotation="0" wrapText="0" indent="0" justifyLastLine="0" shrinkToFit="0" readingOrder="0"/>
    </dxf>
    <dxf>
      <numFmt numFmtId="166" formatCode="[&lt;=9999999]###\-####;\(###\)\ ###\-####"/>
      <alignment horizontal="center" vertical="bottom" textRotation="0" wrapText="0" indent="0" justifyLastLine="0" shrinkToFit="0" readingOrder="0"/>
    </dxf>
    <dxf>
      <numFmt numFmtId="166" formatCode="[&lt;=9999999]###\-####;\(###\)\ ###\-####"/>
      <alignment horizontal="center"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166" formatCode="[&lt;=9999999]###\-####;\(###\)\ ###\-####"/>
      <alignment horizontal="center" vertical="bottom" textRotation="0" wrapText="0" indent="0" justifyLastLine="0" shrinkToFit="0" readingOrder="0"/>
    </dxf>
    <dxf>
      <numFmt numFmtId="166" formatCode="[&lt;=9999999]###\-####;\(###\)\ ###\-####"/>
      <alignment horizontal="center" vertical="bottom" textRotation="0" wrapText="0" indent="0" justifyLastLine="0" shrinkToFit="0" readingOrder="0"/>
    </dxf>
    <dxf>
      <numFmt numFmtId="166" formatCode="[&lt;=9999999]###\-####;\(###\)\ ###\-####"/>
      <alignment horizontal="left" vertical="bottom" textRotation="0" wrapText="0" indent="0" justifyLastLine="0" shrinkToFit="0" readingOrder="0"/>
    </dxf>
    <dxf>
      <numFmt numFmtId="166" formatCode="[&lt;=9999999]###\-####;\(###\)\ ###\-####"/>
      <alignment horizontal="left" vertical="bottom" textRotation="0" wrapText="0" indent="0" justifyLastLine="0" shrinkToFit="0" readingOrder="0"/>
    </dxf>
    <dxf>
      <numFmt numFmtId="166" formatCode="[&lt;=9999999]###\-####;\(###\)\ ###\-####"/>
      <alignment horizontal="center" vertical="bottom" textRotation="0" wrapText="0" indent="0" justifyLastLine="0" shrinkToFit="0" readingOrder="0"/>
    </dxf>
    <dxf>
      <numFmt numFmtId="166" formatCode="[&lt;=9999999]###\-####;\(###\)\ ###\-####"/>
      <alignment horizontal="center"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19" formatCode="d/m/yyyy"/>
      <alignment horizontal="center"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center" vertical="center" textRotation="0" wrapText="1" indent="0" justifyLastLine="0" shrinkToFit="0" readingOrder="0"/>
    </dxf>
    <dxf>
      <fill>
        <patternFill>
          <bgColor theme="4" tint="0.79998168889431442"/>
        </patternFill>
      </fill>
    </dxf>
    <dxf>
      <fill>
        <patternFill patternType="none">
          <fgColor indexed="64"/>
          <bgColor auto="1"/>
        </patternFill>
      </fill>
    </dxf>
    <dxf>
      <font>
        <b val="0"/>
        <i val="0"/>
      </font>
      <border>
        <top style="double">
          <color theme="1"/>
        </top>
      </border>
    </dxf>
    <dxf>
      <font>
        <b/>
        <i val="0"/>
        <color theme="0"/>
      </font>
      <fill>
        <patternFill>
          <bgColor theme="4"/>
        </patternFill>
      </fill>
      <border>
        <left style="thin">
          <color theme="3"/>
        </left>
        <right style="thin">
          <color theme="3"/>
        </right>
        <top style="thin">
          <color theme="4" tint="-0.499984740745262"/>
        </top>
        <bottom style="medium">
          <color theme="4" tint="-0.499984740745262"/>
        </bottom>
        <vertical style="thin">
          <color theme="3"/>
        </vertical>
        <horizontal style="thin">
          <color theme="3"/>
        </horizontal>
      </border>
    </dxf>
    <dxf>
      <font>
        <color theme="3" tint="-0.24994659260841701"/>
      </font>
      <border>
        <left style="thin">
          <color theme="3" tint="0.59996337778862885"/>
        </left>
        <right style="thin">
          <color theme="3" tint="0.59996337778862885"/>
        </right>
        <top style="thin">
          <color theme="3" tint="0.59996337778862885"/>
        </top>
        <bottom style="thin">
          <color theme="3" tint="0.59996337778862885"/>
        </bottom>
        <vertical style="thin">
          <color theme="3" tint="0.59996337778862885"/>
        </vertical>
        <horizontal style="thin">
          <color theme="3" tint="0.59996337778862885"/>
        </horizontal>
      </border>
    </dxf>
    <dxf>
      <fill>
        <patternFill>
          <bgColor theme="4" tint="0.79998168889431442"/>
        </patternFill>
      </fill>
    </dxf>
    <dxf>
      <fill>
        <patternFill patternType="none">
          <fgColor indexed="64"/>
          <bgColor auto="1"/>
        </patternFill>
      </fill>
    </dxf>
    <dxf>
      <font>
        <b val="0"/>
        <i val="0"/>
      </font>
      <border>
        <top style="double">
          <color theme="1"/>
        </top>
      </border>
    </dxf>
    <dxf>
      <font>
        <color theme="1"/>
      </font>
      <fill>
        <patternFill>
          <bgColor theme="4" tint="0.79998168889431442"/>
        </patternFill>
      </fill>
      <border>
        <left style="thin">
          <color theme="3"/>
        </left>
        <right style="thin">
          <color theme="3"/>
        </right>
        <top style="medium">
          <color theme="3"/>
        </top>
        <bottom style="thin">
          <color theme="3"/>
        </bottom>
        <vertical style="thin">
          <color theme="3"/>
        </vertical>
        <horizontal style="thin">
          <color theme="3"/>
        </horizontal>
      </border>
    </dxf>
    <dxf>
      <font>
        <color theme="1"/>
      </font>
      <border>
        <left style="thin">
          <color theme="3" tint="0.59996337778862885"/>
        </left>
        <right style="thin">
          <color theme="3" tint="0.59996337778862885"/>
        </right>
        <top style="thin">
          <color theme="3" tint="0.59996337778862885"/>
        </top>
        <bottom style="thin">
          <color theme="3" tint="0.59996337778862885"/>
        </bottom>
        <vertical style="thin">
          <color theme="3" tint="0.59996337778862885"/>
        </vertical>
        <horizontal style="thin">
          <color theme="3" tint="0.59996337778862885"/>
        </horizontal>
      </border>
    </dxf>
  </dxfs>
  <tableStyles count="2" defaultTableStyle="TableStyleMedium2" defaultPivotStyle="PivotStyleLight16">
    <tableStyle name="Employee Absence Table" pivot="0" count="5">
      <tableStyleElement type="wholeTable" dxfId="997"/>
      <tableStyleElement type="headerRow" dxfId="996"/>
      <tableStyleElement type="totalRow" dxfId="995"/>
      <tableStyleElement type="firstRowStripe" dxfId="994"/>
      <tableStyleElement type="secondRowStripe" dxfId="993"/>
    </tableStyle>
    <tableStyle name="Student List" pivot="0" count="5">
      <tableStyleElement type="wholeTable" dxfId="992"/>
      <tableStyleElement type="headerRow" dxfId="991"/>
      <tableStyleElement type="totalRow" dxfId="990"/>
      <tableStyleElement type="firstRowStripe" dxfId="989"/>
      <tableStyleElement type="secondRowStripe" dxfId="988"/>
    </tableStyle>
  </tableStyles>
  <colors>
    <mruColors>
      <color rgb="FFF0D2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trlProps/ctrlProp1.xml><?xml version="1.0" encoding="utf-8"?>
<formControlPr xmlns="http://schemas.microsoft.com/office/spreadsheetml/2009/9/main" objectType="Spin" dx="16" fmlaLink="KoledarskoLeto" max="3000" min="2010" page="10" val="2012"/>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39</xdr:col>
          <xdr:colOff>38100</xdr:colOff>
          <xdr:row>0</xdr:row>
          <xdr:rowOff>104775</xdr:rowOff>
        </xdr:from>
        <xdr:to>
          <xdr:col>39</xdr:col>
          <xdr:colOff>209550</xdr:colOff>
          <xdr:row>0</xdr:row>
          <xdr:rowOff>419100</xdr:rowOff>
        </xdr:to>
        <xdr:sp macro="" textlink="">
          <xdr:nvSpPr>
            <xdr:cNvPr id="2049" name="Pomikalnik 1" descr="Calendar Year Spinner. Click the spinner to change the school calendar year or type the year in cell AM."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tables/table1.xml><?xml version="1.0" encoding="utf-8"?>
<table xmlns="http://schemas.openxmlformats.org/spreadsheetml/2006/main" id="1" name="SeznamUčencev" displayName="SeznamUčencev" ref="B3:S8" totalsRowShown="0" headerRowDxfId="987">
  <autoFilter ref="B3:S8"/>
  <tableColumns count="18">
    <tableColumn id="1" name="ID študenta" dataDxfId="986"/>
    <tableColumn id="2" name="Ime študenta"/>
    <tableColumn id="3" name="Priimek študenta" dataDxfId="985"/>
    <tableColumn id="5" name="Spol" dataDxfId="984"/>
    <tableColumn id="6" name="Datum rojstva" dataDxfId="983"/>
    <tableColumn id="7" name="Starši ali skrbnik 1" dataDxfId="982"/>
    <tableColumn id="10" name="Odnos: starši/skrbnik 1" dataDxfId="981"/>
    <tableColumn id="9" name="Službena številka staršev/skrbnika 1" dataDxfId="980"/>
    <tableColumn id="8" name="Domača številka staršev/skrbnika 1" dataDxfId="979"/>
    <tableColumn id="18" name="Starši/skrbnik 2" dataDxfId="978"/>
    <tableColumn id="15" name="Odnos: starši/skrbnik 2" dataDxfId="977"/>
    <tableColumn id="16" name="Službena številka staršev/skrbnika 2" dataDxfId="976"/>
    <tableColumn id="17" name="Domača številka staršev/skrbnika 2" dataDxfId="975"/>
    <tableColumn id="13" name="Stik v sili" dataDxfId="974"/>
    <tableColumn id="12" name="Odnos: stik v sili" dataDxfId="973"/>
    <tableColumn id="11" name="Službena številka stika v sili" dataDxfId="972"/>
    <tableColumn id="14" name="Domača številka stika v sili" dataDxfId="971"/>
    <tableColumn id="4" name="Polno ime študenta" dataDxfId="970"/>
  </tableColumns>
  <tableStyleInfo name="Student List" showFirstColumn="0" showLastColumn="0" showRowStripes="1" showColumnStripes="0"/>
  <extLst>
    <ext xmlns:x14="http://schemas.microsoft.com/office/spreadsheetml/2009/9/main" uri="{504A1905-F514-4f6f-8877-14C23A59335A}">
      <x14:table altText="Seznam študentov" altTextSummary="Seznam z vsemi imeni študentov, kontaktnimi podatki skrbnikov in kontaktnimi podatki stikov v sili."/>
    </ext>
  </extLst>
</table>
</file>

<file path=xl/tables/table10.xml><?xml version="1.0" encoding="utf-8"?>
<table xmlns="http://schemas.openxmlformats.org/spreadsheetml/2006/main" id="9" name="PrisotnostAprila" displayName="PrisotnostAprila" ref="B6:AM12" totalsRowCount="1" headerRowDxfId="637" totalsRowDxfId="636">
  <tableColumns count="38">
    <tableColumn id="38" name="ID študenta" dataDxfId="635" totalsRowDxfId="151"/>
    <tableColumn id="1" name="Ime študenta" totalsRowLabel="Skupno odsoten dni" dataDxfId="634" totalsRowDxfId="150"/>
    <tableColumn id="2" name="1" totalsRowFunction="custom" dataDxfId="633" totalsRowDxfId="149">
      <totalsRowFormula>COUNTIF(PrisotnostAprila[1],"N")+COUNTIF(PrisotnostAprila[1],"E")</totalsRowFormula>
    </tableColumn>
    <tableColumn id="3" name="2" totalsRowFunction="custom" dataDxfId="632" totalsRowDxfId="148">
      <totalsRowFormula>COUNTIF(PrisotnostAprila[2],"N")+COUNTIF(PrisotnostAprila[2],"E")</totalsRowFormula>
    </tableColumn>
    <tableColumn id="4" name="3" totalsRowFunction="custom" dataDxfId="631" totalsRowDxfId="147">
      <totalsRowFormula>COUNTIF(PrisotnostAprila[3],"N")+COUNTIF(PrisotnostAprila[3],"E")</totalsRowFormula>
    </tableColumn>
    <tableColumn id="5" name="4" totalsRowFunction="custom" dataDxfId="630" totalsRowDxfId="146">
      <totalsRowFormula>COUNTIF(PrisotnostAprila[4],"N")+COUNTIF(PrisotnostAprila[4],"E")</totalsRowFormula>
    </tableColumn>
    <tableColumn id="6" name="5" totalsRowFunction="custom" dataDxfId="629" totalsRowDxfId="145">
      <totalsRowFormula>COUNTIF(PrisotnostAprila[5],"N")+COUNTIF(PrisotnostAprila[5],"E")</totalsRowFormula>
    </tableColumn>
    <tableColumn id="7" name="6" totalsRowFunction="custom" dataDxfId="628" totalsRowDxfId="144">
      <totalsRowFormula>COUNTIF(PrisotnostAprila[6],"N")+COUNTIF(PrisotnostAprila[6],"E")</totalsRowFormula>
    </tableColumn>
    <tableColumn id="8" name="7" totalsRowFunction="custom" dataDxfId="627" totalsRowDxfId="143">
      <totalsRowFormula>COUNTIF(PrisotnostAprila[7],"N")+COUNTIF(PrisotnostAprila[7],"E")</totalsRowFormula>
    </tableColumn>
    <tableColumn id="9" name="8" totalsRowFunction="custom" dataDxfId="626" totalsRowDxfId="142">
      <totalsRowFormula>COUNTIF(PrisotnostAprila[8],"N")+COUNTIF(PrisotnostAprila[8],"E")</totalsRowFormula>
    </tableColumn>
    <tableColumn id="10" name="9" totalsRowFunction="custom" dataDxfId="625" totalsRowDxfId="141">
      <totalsRowFormula>COUNTIF(PrisotnostAprila[9],"N")+COUNTIF(PrisotnostAprila[9],"E")</totalsRowFormula>
    </tableColumn>
    <tableColumn id="11" name="10" totalsRowFunction="custom" dataDxfId="624" totalsRowDxfId="140">
      <totalsRowFormula>COUNTIF(PrisotnostAprila[10],"N")+COUNTIF(PrisotnostAprila[10],"E")</totalsRowFormula>
    </tableColumn>
    <tableColumn id="12" name="11" totalsRowFunction="custom" dataDxfId="623" totalsRowDxfId="139">
      <totalsRowFormula>COUNTIF(PrisotnostAprila[11],"N")+COUNTIF(PrisotnostAprila[11],"E")</totalsRowFormula>
    </tableColumn>
    <tableColumn id="13" name="12" totalsRowFunction="custom" dataDxfId="622" totalsRowDxfId="138">
      <totalsRowFormula>COUNTIF(PrisotnostAprila[12],"N")+COUNTIF(PrisotnostAprila[12],"E")</totalsRowFormula>
    </tableColumn>
    <tableColumn id="14" name="13" totalsRowFunction="custom" dataDxfId="621" totalsRowDxfId="137">
      <totalsRowFormula>COUNTIF(PrisotnostAprila[13],"N")+COUNTIF(PrisotnostAprila[13],"E")</totalsRowFormula>
    </tableColumn>
    <tableColumn id="15" name="14" totalsRowFunction="custom" dataDxfId="620" totalsRowDxfId="136">
      <totalsRowFormula>COUNTIF(PrisotnostAprila[14],"N")+COUNTIF(PrisotnostAprila[14],"E")</totalsRowFormula>
    </tableColumn>
    <tableColumn id="16" name="15" totalsRowFunction="custom" dataDxfId="619" totalsRowDxfId="135">
      <totalsRowFormula>COUNTIF(PrisotnostAprila[15],"N")+COUNTIF(PrisotnostAprila[15],"E")</totalsRowFormula>
    </tableColumn>
    <tableColumn id="17" name="16" totalsRowFunction="custom" dataDxfId="618" totalsRowDxfId="134">
      <totalsRowFormula>COUNTIF(PrisotnostAprila[16],"N")+COUNTIF(PrisotnostAprila[16],"E")</totalsRowFormula>
    </tableColumn>
    <tableColumn id="18" name="17" totalsRowFunction="custom" dataDxfId="617" totalsRowDxfId="133">
      <totalsRowFormula>COUNTIF(PrisotnostAprila[17],"N")+COUNTIF(PrisotnostAprila[17],"E")</totalsRowFormula>
    </tableColumn>
    <tableColumn id="19" name="18" totalsRowFunction="custom" dataDxfId="616" totalsRowDxfId="132">
      <totalsRowFormula>COUNTIF(PrisotnostAprila[18],"N")+COUNTIF(PrisotnostAprila[18],"E")</totalsRowFormula>
    </tableColumn>
    <tableColumn id="20" name="19" totalsRowFunction="custom" dataDxfId="615" totalsRowDxfId="131">
      <totalsRowFormula>COUNTIF(PrisotnostAprila[19],"N")+COUNTIF(PrisotnostAprila[19],"E")</totalsRowFormula>
    </tableColumn>
    <tableColumn id="21" name="20" totalsRowFunction="custom" dataDxfId="614" totalsRowDxfId="130">
      <totalsRowFormula>COUNTIF(PrisotnostAprila[20],"N")+COUNTIF(PrisotnostAprila[20],"E")</totalsRowFormula>
    </tableColumn>
    <tableColumn id="22" name="21" totalsRowFunction="custom" dataDxfId="613" totalsRowDxfId="129">
      <totalsRowFormula>COUNTIF(PrisotnostAprila[21],"N")+COUNTIF(PrisotnostAprila[21],"E")</totalsRowFormula>
    </tableColumn>
    <tableColumn id="23" name="22" totalsRowFunction="custom" dataDxfId="612" totalsRowDxfId="128">
      <totalsRowFormula>COUNTIF(PrisotnostAprila[22],"N")+COUNTIF(PrisotnostAprila[22],"E")</totalsRowFormula>
    </tableColumn>
    <tableColumn id="24" name="23" totalsRowFunction="custom" dataDxfId="611" totalsRowDxfId="127">
      <totalsRowFormula>COUNTIF(PrisotnostAprila[23],"N")+COUNTIF(PrisotnostAprila[23],"E")</totalsRowFormula>
    </tableColumn>
    <tableColumn id="25" name="24" totalsRowFunction="custom" dataDxfId="610" totalsRowDxfId="126">
      <totalsRowFormula>COUNTIF(PrisotnostAprila[24],"N")+COUNTIF(PrisotnostAprila[24],"E")</totalsRowFormula>
    </tableColumn>
    <tableColumn id="26" name="25" totalsRowFunction="custom" dataDxfId="609" totalsRowDxfId="125">
      <totalsRowFormula>COUNTIF(PrisotnostAprila[25],"N")+COUNTIF(PrisotnostAprila[25],"E")</totalsRowFormula>
    </tableColumn>
    <tableColumn id="27" name="26" totalsRowFunction="custom" dataDxfId="608" totalsRowDxfId="124">
      <totalsRowFormula>COUNTIF(PrisotnostAprila[26],"N")+COUNTIF(PrisotnostAprila[26],"E")</totalsRowFormula>
    </tableColumn>
    <tableColumn id="28" name="27" totalsRowFunction="custom" dataDxfId="607" totalsRowDxfId="123">
      <totalsRowFormula>COUNTIF(PrisotnostAprila[27],"N")+COUNTIF(PrisotnostAprila[27],"E")</totalsRowFormula>
    </tableColumn>
    <tableColumn id="29" name="28" totalsRowFunction="custom" dataDxfId="606" totalsRowDxfId="122">
      <totalsRowFormula>COUNTIF(PrisotnostAprila[28],"N")+COUNTIF(PrisotnostAprila[28],"E")</totalsRowFormula>
    </tableColumn>
    <tableColumn id="30" name="29" totalsRowFunction="custom" dataDxfId="605" totalsRowDxfId="121">
      <totalsRowFormula>COUNTIF(PrisotnostAprila[29],"N")+COUNTIF(PrisotnostAprila[29],"E")</totalsRowFormula>
    </tableColumn>
    <tableColumn id="31" name="30" dataDxfId="604" totalsRowDxfId="120"/>
    <tableColumn id="32" name=" " dataDxfId="603" totalsRowDxfId="119"/>
    <tableColumn id="35" name="Po" totalsRowFunction="sum" dataDxfId="602" totalsRowDxfId="118">
      <calculatedColumnFormula>COUNTIF(PrisotnostAprila[[#This Row],[1]:[ ]],Koda1)</calculatedColumnFormula>
    </tableColumn>
    <tableColumn id="34" name="E" totalsRowFunction="sum" dataDxfId="601" totalsRowDxfId="117">
      <calculatedColumnFormula>COUNTIF(PrisotnostAprila[[#This Row],[1]:[ ]],Koda2)</calculatedColumnFormula>
    </tableColumn>
    <tableColumn id="37" name="N" totalsRowFunction="sum" dataDxfId="600" totalsRowDxfId="116">
      <calculatedColumnFormula>COUNTIF(PrisotnostAprila[[#This Row],[1]:[ ]],Koda3)</calculatedColumnFormula>
    </tableColumn>
    <tableColumn id="36" name="P" totalsRowFunction="sum" dataDxfId="599" totalsRowDxfId="115">
      <calculatedColumnFormula>COUNTIF(PrisotnostAprila[[#This Row],[1]:[ ]],Koda4)</calculatedColumnFormula>
    </tableColumn>
    <tableColumn id="33" name="Dni odsoten" totalsRowFunction="sum" dataDxfId="598" totalsRowDxfId="114"/>
  </tableColumns>
  <tableStyleInfo name="Employee Absence Table" showFirstColumn="0" showLastColumn="0" showRowStripes="1" showColumnStripes="1"/>
  <extLst>
    <ext xmlns:x14="http://schemas.microsoft.com/office/spreadsheetml/2009/9/main" uri="{504A1905-F514-4f6f-8877-14C23A59335A}">
      <x14:table altText="Evidenca prisotnosti za februar" altTextSummary="Beleži študentovo prisotnost, recimo K=Kasen, O=Opravičen, N=Neopravičen, P=Prisoten, S=Ni šole, za mesec april."/>
    </ext>
  </extLst>
</table>
</file>

<file path=xl/tables/table11.xml><?xml version="1.0" encoding="utf-8"?>
<table xmlns="http://schemas.openxmlformats.org/spreadsheetml/2006/main" id="11" name="PrisotnostMaja" displayName="PrisotnostMaja" ref="B6:AM12" totalsRowCount="1" headerRowDxfId="592" totalsRowDxfId="591">
  <tableColumns count="38">
    <tableColumn id="38" name="ID študenta" dataDxfId="590" totalsRowDxfId="113"/>
    <tableColumn id="1" name="Ime študenta" totalsRowLabel="Skupno odsoten dni" dataDxfId="589" totalsRowDxfId="112"/>
    <tableColumn id="2" name="1" totalsRowFunction="custom" dataDxfId="588" totalsRowDxfId="111">
      <totalsRowFormula>COUNTIF(PrisotnostMaja[1],"N")+COUNTIF(PrisotnostMaja[1],"E")</totalsRowFormula>
    </tableColumn>
    <tableColumn id="3" name="2" totalsRowFunction="custom" dataDxfId="587" totalsRowDxfId="110">
      <totalsRowFormula>COUNTIF(PrisotnostMaja[2],"N")+COUNTIF(PrisotnostMaja[2],"E")</totalsRowFormula>
    </tableColumn>
    <tableColumn id="4" name="3" totalsRowFunction="custom" dataDxfId="586" totalsRowDxfId="109">
      <totalsRowFormula>COUNTIF(PrisotnostMaja[3],"N")+COUNTIF(PrisotnostMaja[3],"E")</totalsRowFormula>
    </tableColumn>
    <tableColumn id="5" name="4" totalsRowFunction="custom" dataDxfId="585" totalsRowDxfId="108">
      <totalsRowFormula>COUNTIF(PrisotnostMaja[4],"N")+COUNTIF(PrisotnostMaja[4],"E")</totalsRowFormula>
    </tableColumn>
    <tableColumn id="6" name="5" totalsRowFunction="custom" dataDxfId="584" totalsRowDxfId="107">
      <totalsRowFormula>COUNTIF(PrisotnostMaja[5],"N")+COUNTIF(PrisotnostMaja[5],"E")</totalsRowFormula>
    </tableColumn>
    <tableColumn id="7" name="6" totalsRowFunction="custom" dataDxfId="583" totalsRowDxfId="106">
      <totalsRowFormula>COUNTIF(PrisotnostMaja[6],"N")+COUNTIF(PrisotnostMaja[6],"E")</totalsRowFormula>
    </tableColumn>
    <tableColumn id="8" name="7" totalsRowFunction="custom" dataDxfId="582" totalsRowDxfId="105">
      <totalsRowFormula>COUNTIF(PrisotnostMaja[7],"N")+COUNTIF(PrisotnostMaja[7],"E")</totalsRowFormula>
    </tableColumn>
    <tableColumn id="9" name="8" totalsRowFunction="custom" dataDxfId="581" totalsRowDxfId="104">
      <totalsRowFormula>COUNTIF(PrisotnostMaja[8],"N")+COUNTIF(PrisotnostMaja[8],"E")</totalsRowFormula>
    </tableColumn>
    <tableColumn id="10" name="9" totalsRowFunction="custom" dataDxfId="580" totalsRowDxfId="103">
      <totalsRowFormula>COUNTIF(PrisotnostMaja[9],"N")+COUNTIF(PrisotnostMaja[9],"E")</totalsRowFormula>
    </tableColumn>
    <tableColumn id="11" name="10" totalsRowFunction="custom" dataDxfId="579" totalsRowDxfId="102">
      <totalsRowFormula>COUNTIF(PrisotnostMaja[10],"N")+COUNTIF(PrisotnostMaja[10],"E")</totalsRowFormula>
    </tableColumn>
    <tableColumn id="12" name="11" totalsRowFunction="custom" dataDxfId="578" totalsRowDxfId="101">
      <totalsRowFormula>COUNTIF(PrisotnostMaja[11],"N")+COUNTIF(PrisotnostMaja[11],"E")</totalsRowFormula>
    </tableColumn>
    <tableColumn id="13" name="12" totalsRowFunction="custom" dataDxfId="577" totalsRowDxfId="100">
      <totalsRowFormula>COUNTIF(PrisotnostMaja[12],"N")+COUNTIF(PrisotnostMaja[12],"E")</totalsRowFormula>
    </tableColumn>
    <tableColumn id="14" name="13" totalsRowFunction="custom" dataDxfId="576" totalsRowDxfId="99">
      <totalsRowFormula>COUNTIF(PrisotnostMaja[13],"N")+COUNTIF(PrisotnostMaja[13],"E")</totalsRowFormula>
    </tableColumn>
    <tableColumn id="15" name="14" totalsRowFunction="custom" dataDxfId="575" totalsRowDxfId="98">
      <totalsRowFormula>COUNTIF(PrisotnostMaja[14],"N")+COUNTIF(PrisotnostMaja[14],"E")</totalsRowFormula>
    </tableColumn>
    <tableColumn id="16" name="15" totalsRowFunction="custom" dataDxfId="574" totalsRowDxfId="97">
      <totalsRowFormula>COUNTIF(PrisotnostMaja[15],"N")+COUNTIF(PrisotnostMaja[15],"E")</totalsRowFormula>
    </tableColumn>
    <tableColumn id="17" name="16" totalsRowFunction="custom" dataDxfId="573" totalsRowDxfId="96">
      <totalsRowFormula>COUNTIF(PrisotnostMaja[16],"N")+COUNTIF(PrisotnostMaja[16],"E")</totalsRowFormula>
    </tableColumn>
    <tableColumn id="18" name="17" totalsRowFunction="custom" dataDxfId="572" totalsRowDxfId="95">
      <totalsRowFormula>COUNTIF(PrisotnostMaja[17],"N")+COUNTIF(PrisotnostMaja[17],"E")</totalsRowFormula>
    </tableColumn>
    <tableColumn id="19" name="18" totalsRowFunction="custom" dataDxfId="571" totalsRowDxfId="94">
      <totalsRowFormula>COUNTIF(PrisotnostMaja[18],"N")+COUNTIF(PrisotnostMaja[18],"E")</totalsRowFormula>
    </tableColumn>
    <tableColumn id="20" name="19" totalsRowFunction="custom" dataDxfId="570" totalsRowDxfId="93">
      <totalsRowFormula>COUNTIF(PrisotnostMaja[19],"N")+COUNTIF(PrisotnostMaja[19],"E")</totalsRowFormula>
    </tableColumn>
    <tableColumn id="21" name="20" totalsRowFunction="custom" dataDxfId="569" totalsRowDxfId="92">
      <totalsRowFormula>COUNTIF(PrisotnostMaja[20],"N")+COUNTIF(PrisotnostMaja[20],"E")</totalsRowFormula>
    </tableColumn>
    <tableColumn id="22" name="21" totalsRowFunction="custom" dataDxfId="568" totalsRowDxfId="91">
      <totalsRowFormula>COUNTIF(PrisotnostMaja[21],"N")+COUNTIF(PrisotnostMaja[21],"E")</totalsRowFormula>
    </tableColumn>
    <tableColumn id="23" name="22" totalsRowFunction="custom" dataDxfId="567" totalsRowDxfId="90">
      <totalsRowFormula>COUNTIF(PrisotnostMaja[22],"N")+COUNTIF(PrisotnostMaja[22],"E")</totalsRowFormula>
    </tableColumn>
    <tableColumn id="24" name="23" totalsRowFunction="custom" dataDxfId="566" totalsRowDxfId="89">
      <totalsRowFormula>COUNTIF(PrisotnostMaja[23],"N")+COUNTIF(PrisotnostMaja[23],"E")</totalsRowFormula>
    </tableColumn>
    <tableColumn id="25" name="24" totalsRowFunction="custom" dataDxfId="565" totalsRowDxfId="88">
      <totalsRowFormula>COUNTIF(PrisotnostMaja[24],"N")+COUNTIF(PrisotnostMaja[24],"E")</totalsRowFormula>
    </tableColumn>
    <tableColumn id="26" name="25" totalsRowFunction="custom" dataDxfId="564" totalsRowDxfId="87">
      <totalsRowFormula>COUNTIF(PrisotnostMaja[25],"N")+COUNTIF(PrisotnostMaja[25],"E")</totalsRowFormula>
    </tableColumn>
    <tableColumn id="27" name="26" totalsRowFunction="custom" dataDxfId="563" totalsRowDxfId="86">
      <totalsRowFormula>COUNTIF(PrisotnostMaja[26],"N")+COUNTIF(PrisotnostMaja[26],"E")</totalsRowFormula>
    </tableColumn>
    <tableColumn id="28" name="27" totalsRowFunction="custom" dataDxfId="562" totalsRowDxfId="85">
      <totalsRowFormula>COUNTIF(PrisotnostMaja[27],"N")+COUNTIF(PrisotnostMaja[27],"E")</totalsRowFormula>
    </tableColumn>
    <tableColumn id="29" name="28" totalsRowFunction="custom" dataDxfId="561" totalsRowDxfId="84">
      <totalsRowFormula>COUNTIF(PrisotnostMaja[28],"N")+COUNTIF(PrisotnostMaja[28],"E")</totalsRowFormula>
    </tableColumn>
    <tableColumn id="30" name="29" totalsRowFunction="custom" dataDxfId="560" totalsRowDxfId="83">
      <totalsRowFormula>COUNTIF(PrisotnostMaja[29],"N")+COUNTIF(PrisotnostMaja[29],"E")</totalsRowFormula>
    </tableColumn>
    <tableColumn id="31" name="30" dataDxfId="559" totalsRowDxfId="82"/>
    <tableColumn id="32" name="31" dataDxfId="558" totalsRowDxfId="81"/>
    <tableColumn id="35" name="Po" totalsRowFunction="sum" dataDxfId="557" totalsRowDxfId="80">
      <calculatedColumnFormula>COUNTIF(PrisotnostMaja[[#This Row],[1]:[31]],Koda1)</calculatedColumnFormula>
    </tableColumn>
    <tableColumn id="34" name="E" totalsRowFunction="sum" dataDxfId="556" totalsRowDxfId="79">
      <calculatedColumnFormula>COUNTIF(PrisotnostMaja[[#This Row],[1]:[31]],Koda2)</calculatedColumnFormula>
    </tableColumn>
    <tableColumn id="37" name="N" totalsRowFunction="sum" dataDxfId="555" totalsRowDxfId="78">
      <calculatedColumnFormula>COUNTIF(PrisotnostMaja[[#This Row],[1]:[31]],Koda3)</calculatedColumnFormula>
    </tableColumn>
    <tableColumn id="36" name="P" totalsRowFunction="sum" dataDxfId="554" totalsRowDxfId="77">
      <calculatedColumnFormula>COUNTIF(PrisotnostMaja[[#This Row],[1]:[31]],Koda4)</calculatedColumnFormula>
    </tableColumn>
    <tableColumn id="33" name="Dni odsoten" totalsRowFunction="sum" dataDxfId="553" totalsRowDxfId="76"/>
  </tableColumns>
  <tableStyleInfo name="Employee Absence Table" showFirstColumn="0" showLastColumn="0" showRowStripes="1" showColumnStripes="1"/>
  <extLst>
    <ext xmlns:x14="http://schemas.microsoft.com/office/spreadsheetml/2009/9/main" uri="{504A1905-F514-4f6f-8877-14C23A59335A}">
      <x14:table altText="Evidenca prisotnosti za februar" altTextSummary="Beleži študentovo prisotnost, recimo K=Kasen, O=Opravičen, N=Neopravičen, P=Prisoten, S=Ni šole, za mesec maj."/>
    </ext>
  </extLst>
</table>
</file>

<file path=xl/tables/table12.xml><?xml version="1.0" encoding="utf-8"?>
<table xmlns="http://schemas.openxmlformats.org/spreadsheetml/2006/main" id="12" name="PrisotnostJunija" displayName="PrisotnostJunija" ref="B6:AM12" totalsRowCount="1" headerRowDxfId="547" totalsRowDxfId="546">
  <tableColumns count="38">
    <tableColumn id="38" name="ID študenta" dataDxfId="545" totalsRowDxfId="75"/>
    <tableColumn id="1" name="Ime študenta" totalsRowLabel="Skupno odsoten dni" dataDxfId="544" totalsRowDxfId="74"/>
    <tableColumn id="2" name="1" totalsRowFunction="custom" dataDxfId="543" totalsRowDxfId="73">
      <totalsRowFormula>COUNTIF(PrisotnostJunija[1],"N")+COUNTIF(PrisotnostJunija[1],"E")</totalsRowFormula>
    </tableColumn>
    <tableColumn id="3" name="2" totalsRowFunction="custom" dataDxfId="542" totalsRowDxfId="72">
      <totalsRowFormula>COUNTIF(PrisotnostJunija[2],"N")+COUNTIF(PrisotnostJunija[2],"E")</totalsRowFormula>
    </tableColumn>
    <tableColumn id="4" name="3" totalsRowFunction="custom" dataDxfId="541" totalsRowDxfId="71">
      <totalsRowFormula>COUNTIF(PrisotnostJunija[3],"N")+COUNTIF(PrisotnostJunija[3],"E")</totalsRowFormula>
    </tableColumn>
    <tableColumn id="5" name="4" totalsRowFunction="custom" dataDxfId="540" totalsRowDxfId="70">
      <totalsRowFormula>COUNTIF(PrisotnostJunija[4],"N")+COUNTIF(PrisotnostJunija[4],"E")</totalsRowFormula>
    </tableColumn>
    <tableColumn id="6" name="5" totalsRowFunction="custom" dataDxfId="539" totalsRowDxfId="69">
      <totalsRowFormula>COUNTIF(PrisotnostJunija[5],"N")+COUNTIF(PrisotnostJunija[5],"E")</totalsRowFormula>
    </tableColumn>
    <tableColumn id="7" name="6" totalsRowFunction="custom" dataDxfId="538" totalsRowDxfId="68">
      <totalsRowFormula>COUNTIF(PrisotnostJunija[6],"N")+COUNTIF(PrisotnostJunija[6],"E")</totalsRowFormula>
    </tableColumn>
    <tableColumn id="8" name="7" totalsRowFunction="custom" dataDxfId="537" totalsRowDxfId="67">
      <totalsRowFormula>COUNTIF(PrisotnostJunija[7],"N")+COUNTIF(PrisotnostJunija[7],"E")</totalsRowFormula>
    </tableColumn>
    <tableColumn id="9" name="8" totalsRowFunction="custom" dataDxfId="536" totalsRowDxfId="66">
      <totalsRowFormula>COUNTIF(PrisotnostJunija[8],"N")+COUNTIF(PrisotnostJunija[8],"E")</totalsRowFormula>
    </tableColumn>
    <tableColumn id="10" name="9" totalsRowFunction="custom" dataDxfId="535" totalsRowDxfId="65">
      <totalsRowFormula>COUNTIF(PrisotnostJunija[9],"N")+COUNTIF(PrisotnostJunija[9],"E")</totalsRowFormula>
    </tableColumn>
    <tableColumn id="11" name="10" totalsRowFunction="custom" dataDxfId="534" totalsRowDxfId="64">
      <totalsRowFormula>COUNTIF(PrisotnostJunija[10],"N")+COUNTIF(PrisotnostJunija[10],"E")</totalsRowFormula>
    </tableColumn>
    <tableColumn id="12" name="11" totalsRowFunction="custom" dataDxfId="533" totalsRowDxfId="63">
      <totalsRowFormula>COUNTIF(PrisotnostJunija[11],"N")+COUNTIF(PrisotnostJunija[11],"E")</totalsRowFormula>
    </tableColumn>
    <tableColumn id="13" name="12" totalsRowFunction="custom" dataDxfId="532" totalsRowDxfId="62">
      <totalsRowFormula>COUNTIF(PrisotnostJunija[12],"N")+COUNTIF(PrisotnostJunija[12],"E")</totalsRowFormula>
    </tableColumn>
    <tableColumn id="14" name="13" totalsRowFunction="custom" dataDxfId="531" totalsRowDxfId="61">
      <totalsRowFormula>COUNTIF(PrisotnostJunija[13],"N")+COUNTIF(PrisotnostJunija[13],"E")</totalsRowFormula>
    </tableColumn>
    <tableColumn id="15" name="14" totalsRowFunction="custom" dataDxfId="530" totalsRowDxfId="60">
      <totalsRowFormula>COUNTIF(PrisotnostJunija[14],"N")+COUNTIF(PrisotnostJunija[14],"E")</totalsRowFormula>
    </tableColumn>
    <tableColumn id="16" name="15" totalsRowFunction="custom" dataDxfId="529" totalsRowDxfId="59">
      <totalsRowFormula>COUNTIF(PrisotnostJunija[15],"N")+COUNTIF(PrisotnostJunija[15],"E")</totalsRowFormula>
    </tableColumn>
    <tableColumn id="17" name="16" totalsRowFunction="custom" dataDxfId="528" totalsRowDxfId="58">
      <totalsRowFormula>COUNTIF(PrisotnostJunija[16],"N")+COUNTIF(PrisotnostJunija[16],"E")</totalsRowFormula>
    </tableColumn>
    <tableColumn id="18" name="17" totalsRowFunction="custom" dataDxfId="527" totalsRowDxfId="57">
      <totalsRowFormula>COUNTIF(PrisotnostJunija[17],"N")+COUNTIF(PrisotnostJunija[17],"E")</totalsRowFormula>
    </tableColumn>
    <tableColumn id="19" name="18" totalsRowFunction="custom" dataDxfId="526" totalsRowDxfId="56">
      <totalsRowFormula>COUNTIF(PrisotnostJunija[18],"N")+COUNTIF(PrisotnostJunija[18],"E")</totalsRowFormula>
    </tableColumn>
    <tableColumn id="20" name="19" totalsRowFunction="custom" dataDxfId="525" totalsRowDxfId="55">
      <totalsRowFormula>COUNTIF(PrisotnostJunija[19],"N")+COUNTIF(PrisotnostJunija[19],"E")</totalsRowFormula>
    </tableColumn>
    <tableColumn id="21" name="20" totalsRowFunction="custom" dataDxfId="524" totalsRowDxfId="54">
      <totalsRowFormula>COUNTIF(PrisotnostJunija[20],"N")+COUNTIF(PrisotnostJunija[20],"E")</totalsRowFormula>
    </tableColumn>
    <tableColumn id="22" name="21" totalsRowFunction="custom" dataDxfId="523" totalsRowDxfId="53">
      <totalsRowFormula>COUNTIF(PrisotnostJunija[21],"N")+COUNTIF(PrisotnostJunija[21],"E")</totalsRowFormula>
    </tableColumn>
    <tableColumn id="23" name="22" totalsRowFunction="custom" dataDxfId="522" totalsRowDxfId="52">
      <totalsRowFormula>COUNTIF(PrisotnostJunija[22],"N")+COUNTIF(PrisotnostJunija[22],"E")</totalsRowFormula>
    </tableColumn>
    <tableColumn id="24" name="23" totalsRowFunction="custom" dataDxfId="521" totalsRowDxfId="51">
      <totalsRowFormula>COUNTIF(PrisotnostJunija[23],"N")+COUNTIF(PrisotnostJunija[23],"E")</totalsRowFormula>
    </tableColumn>
    <tableColumn id="25" name="24" totalsRowFunction="custom" dataDxfId="520" totalsRowDxfId="50">
      <totalsRowFormula>COUNTIF(PrisotnostJunija[24],"N")+COUNTIF(PrisotnostJunija[24],"E")</totalsRowFormula>
    </tableColumn>
    <tableColumn id="26" name="25" totalsRowFunction="custom" dataDxfId="519" totalsRowDxfId="49">
      <totalsRowFormula>COUNTIF(PrisotnostJunija[25],"N")+COUNTIF(PrisotnostJunija[25],"E")</totalsRowFormula>
    </tableColumn>
    <tableColumn id="27" name="26" totalsRowFunction="custom" dataDxfId="518" totalsRowDxfId="48">
      <totalsRowFormula>COUNTIF(PrisotnostJunija[26],"N")+COUNTIF(PrisotnostJunija[26],"E")</totalsRowFormula>
    </tableColumn>
    <tableColumn id="28" name="27" totalsRowFunction="custom" dataDxfId="517" totalsRowDxfId="47">
      <totalsRowFormula>COUNTIF(PrisotnostJunija[27],"N")+COUNTIF(PrisotnostJunija[27],"E")</totalsRowFormula>
    </tableColumn>
    <tableColumn id="29" name="28" totalsRowFunction="custom" dataDxfId="516" totalsRowDxfId="46">
      <totalsRowFormula>COUNTIF(PrisotnostJunija[28],"N")+COUNTIF(PrisotnostJunija[28],"E")</totalsRowFormula>
    </tableColumn>
    <tableColumn id="30" name="29" totalsRowFunction="custom" dataDxfId="515" totalsRowDxfId="45">
      <totalsRowFormula>COUNTIF(PrisotnostJunija[29],"N")+COUNTIF(PrisotnostJunija[29],"E")</totalsRowFormula>
    </tableColumn>
    <tableColumn id="31" name="30" dataDxfId="514" totalsRowDxfId="44"/>
    <tableColumn id="32" name=" " dataDxfId="513" totalsRowDxfId="43"/>
    <tableColumn id="35" name="Po" totalsRowFunction="sum" dataDxfId="512" totalsRowDxfId="42">
      <calculatedColumnFormula>COUNTIF(PrisotnostJunija[[#This Row],[1]:[ ]],Koda1)</calculatedColumnFormula>
    </tableColumn>
    <tableColumn id="34" name="E" totalsRowFunction="sum" dataDxfId="511" totalsRowDxfId="41">
      <calculatedColumnFormula>COUNTIF(PrisotnostJunija[[#This Row],[1]:[ ]],Koda2)</calculatedColumnFormula>
    </tableColumn>
    <tableColumn id="37" name="N" totalsRowFunction="sum" dataDxfId="510" totalsRowDxfId="40">
      <calculatedColumnFormula>COUNTIF(PrisotnostJunija[[#This Row],[1]:[ ]],Koda3)</calculatedColumnFormula>
    </tableColumn>
    <tableColumn id="36" name="P" totalsRowFunction="sum" dataDxfId="509" totalsRowDxfId="39">
      <calculatedColumnFormula>COUNTIF(PrisotnostJunija[[#This Row],[1]:[ ]],Koda4)</calculatedColumnFormula>
    </tableColumn>
    <tableColumn id="33" name="Dni odsoten" totalsRowFunction="sum" dataDxfId="508" totalsRowDxfId="38"/>
  </tableColumns>
  <tableStyleInfo name="Employee Absence Table" showFirstColumn="0" showLastColumn="0" showRowStripes="1" showColumnStripes="1"/>
  <extLst>
    <ext xmlns:x14="http://schemas.microsoft.com/office/spreadsheetml/2009/9/main" uri="{504A1905-F514-4f6f-8877-14C23A59335A}">
      <x14:table altText="Evidenca prisotnosti za februar" altTextSummary="Beleži študentovo prisotnost, recimo K=Kasen, O=Opravičen, N=Neopravičen, P=Prisoten, S=Ni šole, za mesec junij."/>
    </ext>
  </extLst>
</table>
</file>

<file path=xl/tables/table13.xml><?xml version="1.0" encoding="utf-8"?>
<table xmlns="http://schemas.openxmlformats.org/spreadsheetml/2006/main" id="13" name="PrisotnostJulija" displayName="PrisotnostJulija" ref="B6:AM12" totalsRowCount="1" headerRowDxfId="502" totalsRowDxfId="501">
  <tableColumns count="38">
    <tableColumn id="38" name="ID študenta" dataDxfId="500" totalsRowDxfId="37"/>
    <tableColumn id="1" name="Ime študenta" totalsRowLabel="Skupno odsoten dni" dataDxfId="499" totalsRowDxfId="36"/>
    <tableColumn id="2" name="1" totalsRowFunction="custom" dataDxfId="498" totalsRowDxfId="35">
      <totalsRowFormula>COUNTIF(PrisotnostJulija[1],"N")+COUNTIF(PrisotnostJulija[1],"E")</totalsRowFormula>
    </tableColumn>
    <tableColumn id="3" name="2" totalsRowFunction="custom" dataDxfId="497" totalsRowDxfId="34">
      <totalsRowFormula>COUNTIF(PrisotnostJulija[2],"N")+COUNTIF(PrisotnostJulija[2],"E")</totalsRowFormula>
    </tableColumn>
    <tableColumn id="4" name="3" totalsRowFunction="custom" dataDxfId="496" totalsRowDxfId="33">
      <totalsRowFormula>COUNTIF(PrisotnostJulija[3],"N")+COUNTIF(PrisotnostJulija[3],"E")</totalsRowFormula>
    </tableColumn>
    <tableColumn id="5" name="4" totalsRowFunction="custom" dataDxfId="495" totalsRowDxfId="32">
      <totalsRowFormula>COUNTIF(PrisotnostJulija[4],"N")+COUNTIF(PrisotnostJulija[4],"E")</totalsRowFormula>
    </tableColumn>
    <tableColumn id="6" name="5" totalsRowFunction="custom" dataDxfId="494" totalsRowDxfId="31">
      <totalsRowFormula>COUNTIF(PrisotnostJulija[5],"N")+COUNTIF(PrisotnostJulija[5],"E")</totalsRowFormula>
    </tableColumn>
    <tableColumn id="7" name="6" totalsRowFunction="custom" dataDxfId="493" totalsRowDxfId="30">
      <totalsRowFormula>COUNTIF(PrisotnostJulija[6],"N")+COUNTIF(PrisotnostJulija[6],"E")</totalsRowFormula>
    </tableColumn>
    <tableColumn id="8" name="7" totalsRowFunction="custom" dataDxfId="492" totalsRowDxfId="29">
      <totalsRowFormula>COUNTIF(PrisotnostJulija[7],"N")+COUNTIF(PrisotnostJulija[7],"E")</totalsRowFormula>
    </tableColumn>
    <tableColumn id="9" name="8" totalsRowFunction="custom" dataDxfId="491" totalsRowDxfId="28">
      <totalsRowFormula>COUNTIF(PrisotnostJulija[8],"N")+COUNTIF(PrisotnostJulija[8],"E")</totalsRowFormula>
    </tableColumn>
    <tableColumn id="10" name="9" totalsRowFunction="custom" dataDxfId="490" totalsRowDxfId="27">
      <totalsRowFormula>COUNTIF(PrisotnostJulija[9],"N")+COUNTIF(PrisotnostJulija[9],"E")</totalsRowFormula>
    </tableColumn>
    <tableColumn id="11" name="10" totalsRowFunction="custom" dataDxfId="489" totalsRowDxfId="26">
      <totalsRowFormula>COUNTIF(PrisotnostJulija[10],"N")+COUNTIF(PrisotnostJulija[10],"E")</totalsRowFormula>
    </tableColumn>
    <tableColumn id="12" name="11" totalsRowFunction="custom" dataDxfId="488" totalsRowDxfId="25">
      <totalsRowFormula>COUNTIF(PrisotnostJulija[11],"N")+COUNTIF(PrisotnostJulija[11],"E")</totalsRowFormula>
    </tableColumn>
    <tableColumn id="13" name="12" totalsRowFunction="custom" dataDxfId="487" totalsRowDxfId="24">
      <totalsRowFormula>COUNTIF(PrisotnostJulija[12],"N")+COUNTIF(PrisotnostJulija[12],"E")</totalsRowFormula>
    </tableColumn>
    <tableColumn id="14" name="13" totalsRowFunction="custom" dataDxfId="486" totalsRowDxfId="23">
      <totalsRowFormula>COUNTIF(PrisotnostJulija[13],"N")+COUNTIF(PrisotnostJulija[13],"E")</totalsRowFormula>
    </tableColumn>
    <tableColumn id="15" name="14" totalsRowFunction="custom" dataDxfId="485" totalsRowDxfId="22">
      <totalsRowFormula>COUNTIF(PrisotnostJulija[14],"N")+COUNTIF(PrisotnostJulija[14],"E")</totalsRowFormula>
    </tableColumn>
    <tableColumn id="16" name="15" totalsRowFunction="custom" dataDxfId="484" totalsRowDxfId="21">
      <totalsRowFormula>COUNTIF(PrisotnostJulija[15],"N")+COUNTIF(PrisotnostJulija[15],"E")</totalsRowFormula>
    </tableColumn>
    <tableColumn id="17" name="16" totalsRowFunction="custom" dataDxfId="483" totalsRowDxfId="20">
      <totalsRowFormula>COUNTIF(PrisotnostJulija[16],"N")+COUNTIF(PrisotnostJulija[16],"E")</totalsRowFormula>
    </tableColumn>
    <tableColumn id="18" name="17" totalsRowFunction="custom" dataDxfId="482" totalsRowDxfId="19">
      <totalsRowFormula>COUNTIF(PrisotnostJulija[17],"N")+COUNTIF(PrisotnostJulija[17],"E")</totalsRowFormula>
    </tableColumn>
    <tableColumn id="19" name="18" totalsRowFunction="custom" dataDxfId="481" totalsRowDxfId="18">
      <totalsRowFormula>COUNTIF(PrisotnostJulija[18],"N")+COUNTIF(PrisotnostJulija[18],"E")</totalsRowFormula>
    </tableColumn>
    <tableColumn id="20" name="19" totalsRowFunction="custom" dataDxfId="480" totalsRowDxfId="17">
      <totalsRowFormula>COUNTIF(PrisotnostJulija[19],"N")+COUNTIF(PrisotnostJulija[19],"E")</totalsRowFormula>
    </tableColumn>
    <tableColumn id="21" name="20" totalsRowFunction="custom" dataDxfId="479" totalsRowDxfId="16">
      <totalsRowFormula>COUNTIF(PrisotnostJulija[20],"N")+COUNTIF(PrisotnostJulija[20],"E")</totalsRowFormula>
    </tableColumn>
    <tableColumn id="22" name="21" totalsRowFunction="custom" dataDxfId="478" totalsRowDxfId="15">
      <totalsRowFormula>COUNTIF(PrisotnostJulija[21],"N")+COUNTIF(PrisotnostJulija[21],"E")</totalsRowFormula>
    </tableColumn>
    <tableColumn id="23" name="22" totalsRowFunction="custom" dataDxfId="477" totalsRowDxfId="14">
      <totalsRowFormula>COUNTIF(PrisotnostJulija[22],"N")+COUNTIF(PrisotnostJulija[22],"E")</totalsRowFormula>
    </tableColumn>
    <tableColumn id="24" name="23" totalsRowFunction="custom" dataDxfId="476" totalsRowDxfId="13">
      <totalsRowFormula>COUNTIF(PrisotnostJulija[23],"N")+COUNTIF(PrisotnostJulija[23],"E")</totalsRowFormula>
    </tableColumn>
    <tableColumn id="25" name="24" totalsRowFunction="custom" dataDxfId="475" totalsRowDxfId="12">
      <totalsRowFormula>COUNTIF(PrisotnostJulija[24],"N")+COUNTIF(PrisotnostJulija[24],"E")</totalsRowFormula>
    </tableColumn>
    <tableColumn id="26" name="25" totalsRowFunction="custom" dataDxfId="474" totalsRowDxfId="11">
      <totalsRowFormula>COUNTIF(PrisotnostJulija[25],"N")+COUNTIF(PrisotnostJulija[25],"E")</totalsRowFormula>
    </tableColumn>
    <tableColumn id="27" name="26" totalsRowFunction="custom" dataDxfId="473" totalsRowDxfId="10">
      <totalsRowFormula>COUNTIF(PrisotnostJulija[26],"N")+COUNTIF(PrisotnostJulija[26],"E")</totalsRowFormula>
    </tableColumn>
    <tableColumn id="28" name="27" totalsRowFunction="custom" dataDxfId="472" totalsRowDxfId="9">
      <totalsRowFormula>COUNTIF(PrisotnostJulija[27],"N")+COUNTIF(PrisotnostJulija[27],"E")</totalsRowFormula>
    </tableColumn>
    <tableColumn id="29" name="28" totalsRowFunction="custom" dataDxfId="471" totalsRowDxfId="8">
      <totalsRowFormula>COUNTIF(PrisotnostJulija[28],"N")+COUNTIF(PrisotnostJulija[28],"E")</totalsRowFormula>
    </tableColumn>
    <tableColumn id="30" name="29" totalsRowFunction="custom" dataDxfId="470" totalsRowDxfId="7">
      <totalsRowFormula>COUNTIF(PrisotnostJulija[29],"N")+COUNTIF(PrisotnostJulija[29],"E")</totalsRowFormula>
    </tableColumn>
    <tableColumn id="31" name="30" dataDxfId="469" totalsRowDxfId="6"/>
    <tableColumn id="32" name="31" dataDxfId="468" totalsRowDxfId="5"/>
    <tableColumn id="35" name="Po" totalsRowFunction="sum" dataDxfId="467" totalsRowDxfId="4">
      <calculatedColumnFormula>COUNTIF(PrisotnostJulija[[#This Row],[1]:[31]],Koda1)</calculatedColumnFormula>
    </tableColumn>
    <tableColumn id="34" name="E" totalsRowFunction="sum" dataDxfId="466" totalsRowDxfId="3">
      <calculatedColumnFormula>COUNTIF(PrisotnostJulija[[#This Row],[1]:[31]],Koda2)</calculatedColumnFormula>
    </tableColumn>
    <tableColumn id="37" name="N" totalsRowFunction="sum" dataDxfId="465" totalsRowDxfId="2">
      <calculatedColumnFormula>COUNTIF(PrisotnostJulija[[#This Row],[1]:[31]],Koda3)</calculatedColumnFormula>
    </tableColumn>
    <tableColumn id="36" name="P" totalsRowFunction="sum" dataDxfId="464" totalsRowDxfId="1">
      <calculatedColumnFormula>COUNTIF(PrisotnostJulija[[#This Row],[1]:[31]],Koda4)</calculatedColumnFormula>
    </tableColumn>
    <tableColumn id="33" name="Dni odsoten" totalsRowFunction="sum" dataDxfId="463" totalsRowDxfId="0"/>
  </tableColumns>
  <tableStyleInfo name="Employee Absence Table" showFirstColumn="0" showLastColumn="0" showRowStripes="1" showColumnStripes="1"/>
  <extLst>
    <ext xmlns:x14="http://schemas.microsoft.com/office/spreadsheetml/2009/9/main" uri="{504A1905-F514-4f6f-8877-14C23A59335A}">
      <x14:table altText="Evidenca prisotnosti za februar" altTextSummary="Beleži študentovo prisotnost, recimo K=Kasen, O=Opravičen, N=Neopravičen, P=Prisoten, S=Ni šole, za mesec julij."/>
    </ext>
  </extLst>
</table>
</file>

<file path=xl/tables/table2.xml><?xml version="1.0" encoding="utf-8"?>
<table xmlns="http://schemas.openxmlformats.org/spreadsheetml/2006/main" id="3" name="PrisotnostAvgusta" displayName="PrisotnostAvgusta" ref="B6:AM12" totalsRowCount="1" totalsRowDxfId="964" totalsRowBorderDxfId="963">
  <tableColumns count="38">
    <tableColumn id="38" name="ID študenta" totalsRowDxfId="455"/>
    <tableColumn id="1" name="Ime študenta" totalsRowLabel="Skupno odsoten dni" totalsRowDxfId="454"/>
    <tableColumn id="2" name="1" totalsRowFunction="custom" totalsRowDxfId="453">
      <totalsRowFormula>COUNTIF(PrisotnostAvgusta[1],"N")+COUNTIF(PrisotnostAvgusta[1],"E")</totalsRowFormula>
    </tableColumn>
    <tableColumn id="3" name="2" totalsRowFunction="custom" totalsRowDxfId="452">
      <totalsRowFormula>COUNTIF(PrisotnostAvgusta[2],"N")+COUNTIF(PrisotnostAvgusta[2],"E")</totalsRowFormula>
    </tableColumn>
    <tableColumn id="4" name="3" totalsRowFunction="custom" totalsRowDxfId="451">
      <totalsRowFormula>COUNTIF(PrisotnostAvgusta[3],"N")+COUNTIF(PrisotnostAvgusta[3],"E")</totalsRowFormula>
    </tableColumn>
    <tableColumn id="5" name="4" totalsRowFunction="custom" totalsRowDxfId="450">
      <totalsRowFormula>COUNTIF(PrisotnostAvgusta[4],"N")+COUNTIF(PrisotnostAvgusta[4],"E")</totalsRowFormula>
    </tableColumn>
    <tableColumn id="6" name="5" totalsRowFunction="custom" totalsRowDxfId="449">
      <totalsRowFormula>COUNTIF(PrisotnostAvgusta[5],"N")+COUNTIF(PrisotnostAvgusta[5],"E")</totalsRowFormula>
    </tableColumn>
    <tableColumn id="7" name="6" totalsRowFunction="custom" totalsRowDxfId="448">
      <totalsRowFormula>COUNTIF(PrisotnostAvgusta[6],"N")+COUNTIF(PrisotnostAvgusta[6],"E")</totalsRowFormula>
    </tableColumn>
    <tableColumn id="8" name="7" totalsRowFunction="custom" totalsRowDxfId="447">
      <totalsRowFormula>COUNTIF(PrisotnostAvgusta[7],"N")+COUNTIF(PrisotnostAvgusta[7],"E")</totalsRowFormula>
    </tableColumn>
    <tableColumn id="9" name="8" totalsRowFunction="custom" totalsRowDxfId="446">
      <totalsRowFormula>COUNTIF(PrisotnostAvgusta[8],"N")+COUNTIF(PrisotnostAvgusta[8],"E")</totalsRowFormula>
    </tableColumn>
    <tableColumn id="10" name="9" totalsRowFunction="custom" totalsRowDxfId="445">
      <totalsRowFormula>COUNTIF(PrisotnostAvgusta[9],"N")+COUNTIF(PrisotnostAvgusta[9],"E")</totalsRowFormula>
    </tableColumn>
    <tableColumn id="11" name="10" totalsRowFunction="custom" totalsRowDxfId="444">
      <totalsRowFormula>COUNTIF(PrisotnostAvgusta[10],"N")+COUNTIF(PrisotnostAvgusta[10],"E")</totalsRowFormula>
    </tableColumn>
    <tableColumn id="12" name="11" totalsRowFunction="custom" totalsRowDxfId="443">
      <totalsRowFormula>COUNTIF(PrisotnostAvgusta[11],"N")+COUNTIF(PrisotnostAvgusta[11],"E")</totalsRowFormula>
    </tableColumn>
    <tableColumn id="13" name="12" totalsRowFunction="custom" totalsRowDxfId="442">
      <totalsRowFormula>COUNTIF(PrisotnostAvgusta[12],"N")+COUNTIF(PrisotnostAvgusta[12],"E")</totalsRowFormula>
    </tableColumn>
    <tableColumn id="14" name="13" totalsRowFunction="custom" totalsRowDxfId="441">
      <totalsRowFormula>COUNTIF(PrisotnostAvgusta[13],"N")+COUNTIF(PrisotnostAvgusta[13],"E")</totalsRowFormula>
    </tableColumn>
    <tableColumn id="15" name="14" totalsRowFunction="custom" totalsRowDxfId="440">
      <totalsRowFormula>COUNTIF(PrisotnostAvgusta[14],"N")+COUNTIF(PrisotnostAvgusta[14],"E")</totalsRowFormula>
    </tableColumn>
    <tableColumn id="16" name="15" totalsRowFunction="custom" totalsRowDxfId="439">
      <totalsRowFormula>COUNTIF(PrisotnostAvgusta[15],"N")+COUNTIF(PrisotnostAvgusta[15],"E")</totalsRowFormula>
    </tableColumn>
    <tableColumn id="17" name="16" totalsRowFunction="custom" totalsRowDxfId="438">
      <totalsRowFormula>COUNTIF(PrisotnostAvgusta[16],"N")+COUNTIF(PrisotnostAvgusta[16],"E")</totalsRowFormula>
    </tableColumn>
    <tableColumn id="18" name="17" totalsRowFunction="custom" totalsRowDxfId="437">
      <totalsRowFormula>COUNTIF(PrisotnostAvgusta[17],"N")+COUNTIF(PrisotnostAvgusta[17],"E")</totalsRowFormula>
    </tableColumn>
    <tableColumn id="19" name="18" totalsRowFunction="custom" totalsRowDxfId="436">
      <totalsRowFormula>COUNTIF(PrisotnostAvgusta[18],"N")+COUNTIF(PrisotnostAvgusta[18],"E")</totalsRowFormula>
    </tableColumn>
    <tableColumn id="20" name="19" totalsRowFunction="custom" totalsRowDxfId="435">
      <totalsRowFormula>COUNTIF(PrisotnostAvgusta[19],"N")+COUNTIF(PrisotnostAvgusta[19],"E")</totalsRowFormula>
    </tableColumn>
    <tableColumn id="21" name="20" totalsRowFunction="custom" totalsRowDxfId="434">
      <totalsRowFormula>COUNTIF(PrisotnostAvgusta[20],"N")+COUNTIF(PrisotnostAvgusta[20],"E")</totalsRowFormula>
    </tableColumn>
    <tableColumn id="22" name="21" totalsRowFunction="custom" totalsRowDxfId="433">
      <totalsRowFormula>COUNTIF(PrisotnostAvgusta[21],"N")+COUNTIF(PrisotnostAvgusta[21],"E")</totalsRowFormula>
    </tableColumn>
    <tableColumn id="23" name="22" totalsRowFunction="custom" totalsRowDxfId="432">
      <totalsRowFormula>COUNTIF(PrisotnostAvgusta[22],"N")+COUNTIF(PrisotnostAvgusta[22],"E")</totalsRowFormula>
    </tableColumn>
    <tableColumn id="24" name="23" totalsRowFunction="custom" totalsRowDxfId="431">
      <totalsRowFormula>COUNTIF(PrisotnostAvgusta[23],"N")+COUNTIF(PrisotnostAvgusta[23],"E")</totalsRowFormula>
    </tableColumn>
    <tableColumn id="25" name="24" totalsRowFunction="custom" totalsRowDxfId="430">
      <totalsRowFormula>COUNTIF(PrisotnostAvgusta[24],"N")+COUNTIF(PrisotnostAvgusta[24],"E")</totalsRowFormula>
    </tableColumn>
    <tableColumn id="26" name="25" totalsRowFunction="custom" totalsRowDxfId="429">
      <totalsRowFormula>COUNTIF(PrisotnostAvgusta[25],"N")+COUNTIF(PrisotnostAvgusta[25],"E")</totalsRowFormula>
    </tableColumn>
    <tableColumn id="27" name="26" totalsRowFunction="custom" totalsRowDxfId="428">
      <totalsRowFormula>COUNTIF(PrisotnostAvgusta[26],"N")+COUNTIF(PrisotnostAvgusta[26],"E")</totalsRowFormula>
    </tableColumn>
    <tableColumn id="28" name="27" totalsRowFunction="custom" totalsRowDxfId="427">
      <totalsRowFormula>COUNTIF(PrisotnostAvgusta[27],"N")+COUNTIF(PrisotnostAvgusta[27],"E")</totalsRowFormula>
    </tableColumn>
    <tableColumn id="29" name="28" totalsRowFunction="custom" totalsRowDxfId="426">
      <totalsRowFormula>COUNTIF(PrisotnostAvgusta[28],"N")+COUNTIF(PrisotnostAvgusta[28],"E")</totalsRowFormula>
    </tableColumn>
    <tableColumn id="30" name="29" totalsRowFunction="custom" totalsRowDxfId="425">
      <totalsRowFormula>COUNTIF(PrisotnostAvgusta[29],"N")+COUNTIF(PrisotnostAvgusta[29],"E")</totalsRowFormula>
    </tableColumn>
    <tableColumn id="31" name="30" totalsRowFunction="custom" totalsRowDxfId="424">
      <totalsRowFormula>COUNTIF(PrisotnostAvgusta[30],"N")+COUNTIF(PrisotnostAvgusta[30],"E")</totalsRowFormula>
    </tableColumn>
    <tableColumn id="32" name="31" totalsRowFunction="custom" totalsRowDxfId="423">
      <totalsRowFormula>COUNTIF(PrisotnostAvgusta[31],"N")+COUNTIF(PrisotnostAvgusta[31],"E")</totalsRowFormula>
    </tableColumn>
    <tableColumn id="35" name="Po" totalsRowFunction="sum" dataDxfId="962" totalsRowDxfId="422">
      <calculatedColumnFormula>COUNTIF(PrisotnostAvgusta[[#This Row],[1]:[31]],Koda1)</calculatedColumnFormula>
    </tableColumn>
    <tableColumn id="34" name="E" totalsRowFunction="sum" dataDxfId="961" totalsRowDxfId="421">
      <calculatedColumnFormula>COUNTIF(PrisotnostAvgusta[[#This Row],[1]:[31]],Koda2)</calculatedColumnFormula>
    </tableColumn>
    <tableColumn id="37" name="N" totalsRowFunction="sum" dataDxfId="960" totalsRowDxfId="420">
      <calculatedColumnFormula>COUNTIF(PrisotnostAvgusta[[#This Row],[1]:[31]],Koda3)</calculatedColumnFormula>
    </tableColumn>
    <tableColumn id="36" name="P" totalsRowFunction="sum" dataDxfId="959" totalsRowDxfId="419">
      <calculatedColumnFormula>COUNTIF(PrisotnostAvgusta[[#This Row],[1]:[31]],Koda4)</calculatedColumnFormula>
    </tableColumn>
    <tableColumn id="33" name="Dni odsoten" totalsRowFunction="sum" totalsRowDxfId="418"/>
  </tableColumns>
  <tableStyleInfo name="Employee Absence Table" showFirstColumn="0" showLastColumn="1" showRowStripes="1" showColumnStripes="1"/>
  <extLst>
    <ext xmlns:x14="http://schemas.microsoft.com/office/spreadsheetml/2009/9/main" uri="{504A1905-F514-4f6f-8877-14C23A59335A}">
      <x14:table altText="Evidenca prisotnosti za avgust" altTextSummary="Beleži študentovo prisotnost, recimo K=Kasen, O=Opravičen, N=Neopravičen, P=Prisoten, S=Ni šole, za mesec avgust."/>
    </ext>
  </extLst>
</table>
</file>

<file path=xl/tables/table3.xml><?xml version="1.0" encoding="utf-8"?>
<table xmlns="http://schemas.openxmlformats.org/spreadsheetml/2006/main" id="10" name="PrisotnostSeptembra" displayName="PrisotnostSeptembra" ref="B6:AM12" totalsRowCount="1" totalsRowDxfId="948">
  <tableColumns count="38">
    <tableColumn id="38" name="ID študenta" totalsRowDxfId="417"/>
    <tableColumn id="1" name="Ime študenta" totalsRowLabel="Skupno odsoten dni" dataDxfId="947" totalsRowDxfId="416"/>
    <tableColumn id="2" name="1" totalsRowFunction="custom" dataDxfId="946" totalsRowDxfId="415">
      <totalsRowFormula>COUNTIF(PrisotnostSeptembra[1],"N")+COUNTIF(PrisotnostSeptembra[1],"E")</totalsRowFormula>
    </tableColumn>
    <tableColumn id="3" name="2" totalsRowFunction="custom" dataDxfId="945" totalsRowDxfId="414">
      <totalsRowFormula>COUNTIF(PrisotnostSeptembra[2],"N")+COUNTIF(PrisotnostSeptembra[2],"E")</totalsRowFormula>
    </tableColumn>
    <tableColumn id="4" name="3" totalsRowFunction="custom" dataDxfId="944" totalsRowDxfId="413">
      <totalsRowFormula>COUNTIF(PrisotnostSeptembra[3],"N")+COUNTIF(PrisotnostSeptembra[3],"E")</totalsRowFormula>
    </tableColumn>
    <tableColumn id="5" name="4" totalsRowFunction="custom" dataDxfId="943" totalsRowDxfId="412">
      <totalsRowFormula>COUNTIF(PrisotnostSeptembra[4],"N")+COUNTIF(PrisotnostSeptembra[4],"E")</totalsRowFormula>
    </tableColumn>
    <tableColumn id="6" name="5" totalsRowFunction="custom" dataDxfId="942" totalsRowDxfId="411">
      <totalsRowFormula>COUNTIF(PrisotnostSeptembra[5],"N")+COUNTIF(PrisotnostSeptembra[5],"E")</totalsRowFormula>
    </tableColumn>
    <tableColumn id="7" name="6" totalsRowFunction="custom" dataDxfId="941" totalsRowDxfId="410">
      <totalsRowFormula>COUNTIF(PrisotnostSeptembra[6],"N")+COUNTIF(PrisotnostSeptembra[6],"E")</totalsRowFormula>
    </tableColumn>
    <tableColumn id="8" name="7" totalsRowFunction="custom" dataDxfId="940" totalsRowDxfId="409">
      <totalsRowFormula>COUNTIF(PrisotnostSeptembra[7],"N")+COUNTIF(PrisotnostSeptembra[7],"E")</totalsRowFormula>
    </tableColumn>
    <tableColumn id="9" name="8" totalsRowFunction="custom" dataDxfId="939" totalsRowDxfId="408">
      <totalsRowFormula>COUNTIF(PrisotnostSeptembra[8],"N")+COUNTIF(PrisotnostSeptembra[8],"E")</totalsRowFormula>
    </tableColumn>
    <tableColumn id="10" name="9" totalsRowFunction="custom" dataDxfId="938" totalsRowDxfId="407">
      <totalsRowFormula>COUNTIF(PrisotnostSeptembra[9],"N")+COUNTIF(PrisotnostSeptembra[9],"E")</totalsRowFormula>
    </tableColumn>
    <tableColumn id="11" name="10" totalsRowFunction="custom" dataDxfId="937" totalsRowDxfId="406">
      <totalsRowFormula>COUNTIF(PrisotnostSeptembra[10],"N")+COUNTIF(PrisotnostSeptembra[10],"E")</totalsRowFormula>
    </tableColumn>
    <tableColumn id="12" name="11" totalsRowFunction="custom" dataDxfId="936" totalsRowDxfId="405">
      <totalsRowFormula>COUNTIF(PrisotnostSeptembra[11],"N")+COUNTIF(PrisotnostSeptembra[11],"E")</totalsRowFormula>
    </tableColumn>
    <tableColumn id="13" name="12" totalsRowFunction="custom" dataDxfId="935" totalsRowDxfId="404">
      <totalsRowFormula>COUNTIF(PrisotnostSeptembra[12],"N")+COUNTIF(PrisotnostSeptembra[12],"E")</totalsRowFormula>
    </tableColumn>
    <tableColumn id="14" name="13" totalsRowFunction="custom" dataDxfId="934" totalsRowDxfId="403">
      <totalsRowFormula>COUNTIF(PrisotnostSeptembra[13],"N")+COUNTIF(PrisotnostSeptembra[13],"E")</totalsRowFormula>
    </tableColumn>
    <tableColumn id="15" name="14" totalsRowFunction="custom" dataDxfId="933" totalsRowDxfId="402">
      <totalsRowFormula>COUNTIF(PrisotnostSeptembra[14],"N")+COUNTIF(PrisotnostSeptembra[14],"E")</totalsRowFormula>
    </tableColumn>
    <tableColumn id="16" name="15" totalsRowFunction="custom" dataDxfId="932" totalsRowDxfId="401">
      <totalsRowFormula>COUNTIF(PrisotnostSeptembra[15],"N")+COUNTIF(PrisotnostSeptembra[15],"E")</totalsRowFormula>
    </tableColumn>
    <tableColumn id="17" name="16" totalsRowFunction="custom" dataDxfId="931" totalsRowDxfId="400">
      <totalsRowFormula>COUNTIF(PrisotnostSeptembra[16],"N")+COUNTIF(PrisotnostSeptembra[16],"E")</totalsRowFormula>
    </tableColumn>
    <tableColumn id="18" name="17" totalsRowFunction="custom" dataDxfId="930" totalsRowDxfId="399">
      <totalsRowFormula>COUNTIF(PrisotnostSeptembra[17],"N")+COUNTIF(PrisotnostSeptembra[17],"E")</totalsRowFormula>
    </tableColumn>
    <tableColumn id="19" name="18" totalsRowFunction="custom" dataDxfId="929" totalsRowDxfId="398">
      <totalsRowFormula>COUNTIF(PrisotnostSeptembra[18],"N")+COUNTIF(PrisotnostSeptembra[18],"E")</totalsRowFormula>
    </tableColumn>
    <tableColumn id="20" name="19" totalsRowFunction="custom" dataDxfId="928" totalsRowDxfId="397">
      <totalsRowFormula>COUNTIF(PrisotnostSeptembra[19],"N")+COUNTIF(PrisotnostSeptembra[19],"E")</totalsRowFormula>
    </tableColumn>
    <tableColumn id="21" name="20" totalsRowFunction="custom" dataDxfId="927" totalsRowDxfId="396">
      <totalsRowFormula>COUNTIF(PrisotnostSeptembra[20],"N")+COUNTIF(PrisotnostSeptembra[20],"E")</totalsRowFormula>
    </tableColumn>
    <tableColumn id="22" name="21" totalsRowFunction="custom" dataDxfId="926" totalsRowDxfId="395">
      <totalsRowFormula>COUNTIF(PrisotnostSeptembra[21],"N")+COUNTIF(PrisotnostSeptembra[21],"E")</totalsRowFormula>
    </tableColumn>
    <tableColumn id="23" name="22" totalsRowFunction="custom" dataDxfId="925" totalsRowDxfId="394">
      <totalsRowFormula>COUNTIF(PrisotnostSeptembra[22],"N")+COUNTIF(PrisotnostSeptembra[22],"E")</totalsRowFormula>
    </tableColumn>
    <tableColumn id="24" name="23" totalsRowFunction="custom" dataDxfId="924" totalsRowDxfId="393">
      <totalsRowFormula>COUNTIF(PrisotnostSeptembra[23],"N")+COUNTIF(PrisotnostSeptembra[23],"E")</totalsRowFormula>
    </tableColumn>
    <tableColumn id="25" name="24" totalsRowFunction="custom" dataDxfId="923" totalsRowDxfId="392">
      <totalsRowFormula>COUNTIF(PrisotnostSeptembra[24],"N")+COUNTIF(PrisotnostSeptembra[24],"E")</totalsRowFormula>
    </tableColumn>
    <tableColumn id="26" name="25" totalsRowFunction="custom" dataDxfId="922" totalsRowDxfId="391">
      <totalsRowFormula>COUNTIF(PrisotnostSeptembra[25],"N")+COUNTIF(PrisotnostSeptembra[25],"E")</totalsRowFormula>
    </tableColumn>
    <tableColumn id="27" name="26" totalsRowFunction="custom" dataDxfId="921" totalsRowDxfId="390">
      <totalsRowFormula>COUNTIF(PrisotnostSeptembra[26],"N")+COUNTIF(PrisotnostSeptembra[26],"E")</totalsRowFormula>
    </tableColumn>
    <tableColumn id="28" name="27" totalsRowFunction="custom" dataDxfId="920" totalsRowDxfId="389">
      <totalsRowFormula>COUNTIF(PrisotnostSeptembra[27],"N")+COUNTIF(PrisotnostSeptembra[27],"E")</totalsRowFormula>
    </tableColumn>
    <tableColumn id="29" name="28" totalsRowFunction="custom" dataDxfId="919" totalsRowDxfId="388">
      <totalsRowFormula>COUNTIF(PrisotnostSeptembra[28],"N")+COUNTIF(PrisotnostSeptembra[28],"E")</totalsRowFormula>
    </tableColumn>
    <tableColumn id="30" name="29" totalsRowFunction="custom" dataDxfId="918" totalsRowDxfId="387">
      <totalsRowFormula>COUNTIF(PrisotnostSeptembra[29],"N")+COUNTIF(PrisotnostSeptembra[29],"E")</totalsRowFormula>
    </tableColumn>
    <tableColumn id="31" name="30" totalsRowFunction="custom" totalsRowDxfId="386">
      <totalsRowFormula>COUNTIF(PrisotnostSeptembra[30],"N")+COUNTIF(PrisotnostSeptembra[30],"E")</totalsRowFormula>
    </tableColumn>
    <tableColumn id="32" name=" " totalsRowFunction="custom" totalsRowDxfId="385">
      <totalsRowFormula>COUNTIF(PrisotnostSeptembra[[ ]],"N")+COUNTIF(PrisotnostSeptembra[[ ]],"E")</totalsRowFormula>
    </tableColumn>
    <tableColumn id="35" name="Po" totalsRowFunction="sum" dataDxfId="456" totalsRowDxfId="384">
      <calculatedColumnFormula>COUNTIF(PrisotnostSeptembra[[#This Row],[1]:[ ]],Koda1)</calculatedColumnFormula>
    </tableColumn>
    <tableColumn id="34" name="E" totalsRowFunction="sum" dataDxfId="917" totalsRowDxfId="383">
      <calculatedColumnFormula>COUNTIF(PrisotnostSeptembra[[#This Row],[1]:[ ]],Koda2)</calculatedColumnFormula>
    </tableColumn>
    <tableColumn id="37" name="N" totalsRowFunction="sum" dataDxfId="916" totalsRowDxfId="382">
      <calculatedColumnFormula>COUNTIF(PrisotnostSeptembra[[#This Row],[1]:[ ]],Koda3)</calculatedColumnFormula>
    </tableColumn>
    <tableColumn id="36" name="P" totalsRowFunction="sum" dataDxfId="915" totalsRowDxfId="381">
      <calculatedColumnFormula>COUNTIF(PrisotnostSeptembra[[#This Row],[1]:[ ]],Koda4)</calculatedColumnFormula>
    </tableColumn>
    <tableColumn id="33" name="Dni odsoten" totalsRowFunction="sum" totalsRowDxfId="380"/>
  </tableColumns>
  <tableStyleInfo name="Employee Absence Table" showFirstColumn="0" showLastColumn="1" showRowStripes="1" showColumnStripes="1"/>
  <extLst>
    <ext xmlns:x14="http://schemas.microsoft.com/office/spreadsheetml/2009/9/main" uri="{504A1905-F514-4f6f-8877-14C23A59335A}">
      <x14:table altText="Evidenca prisotnosti za avgust" altTextSummary="Beleži študentovo prisotnost, recimo K=Kasen, O=Opravičen, N=Neopravičen, P=Prisoten, S=Ni šole, za mesec september."/>
    </ext>
  </extLst>
</table>
</file>

<file path=xl/tables/table4.xml><?xml version="1.0" encoding="utf-8"?>
<table xmlns="http://schemas.openxmlformats.org/spreadsheetml/2006/main" id="2" name="PrisotnostOktobra" displayName="PrisotnostOktobra" ref="B6:AM12" totalsRowCount="1" totalsRowDxfId="904">
  <tableColumns count="38">
    <tableColumn id="38" name="ID študenta" totalsRowDxfId="379"/>
    <tableColumn id="1" name="Ime študenta" totalsRowLabel="Skupno odsoten dni" dataDxfId="903" totalsRowDxfId="378"/>
    <tableColumn id="2" name="1" totalsRowFunction="custom" dataDxfId="902" totalsRowDxfId="377">
      <totalsRowFormula>COUNTIF(PrisotnostOktobra[1],"N")+COUNTIF(PrisotnostOktobra[1],"E")</totalsRowFormula>
    </tableColumn>
    <tableColumn id="3" name="2" totalsRowFunction="custom" dataDxfId="901" totalsRowDxfId="376">
      <totalsRowFormula>COUNTIF(PrisotnostOktobra[2],"N")+COUNTIF(PrisotnostOktobra[2],"E")</totalsRowFormula>
    </tableColumn>
    <tableColumn id="4" name="3" totalsRowFunction="custom" dataDxfId="900" totalsRowDxfId="375">
      <totalsRowFormula>COUNTIF(PrisotnostOktobra[3],"N")+COUNTIF(PrisotnostOktobra[3],"E")</totalsRowFormula>
    </tableColumn>
    <tableColumn id="5" name="4" totalsRowFunction="custom" dataDxfId="899" totalsRowDxfId="374">
      <totalsRowFormula>COUNTIF(PrisotnostOktobra[4],"N")+COUNTIF(PrisotnostOktobra[4],"E")</totalsRowFormula>
    </tableColumn>
    <tableColumn id="6" name="5" totalsRowFunction="custom" dataDxfId="898" totalsRowDxfId="373">
      <totalsRowFormula>COUNTIF(PrisotnostOktobra[5],"N")+COUNTIF(PrisotnostOktobra[5],"E")</totalsRowFormula>
    </tableColumn>
    <tableColumn id="7" name="6" totalsRowFunction="custom" dataDxfId="897" totalsRowDxfId="372">
      <totalsRowFormula>COUNTIF(PrisotnostOktobra[6],"N")+COUNTIF(PrisotnostOktobra[6],"E")</totalsRowFormula>
    </tableColumn>
    <tableColumn id="8" name="7" totalsRowFunction="custom" dataDxfId="896" totalsRowDxfId="371">
      <totalsRowFormula>COUNTIF(PrisotnostOktobra[7],"N")+COUNTIF(PrisotnostOktobra[7],"E")</totalsRowFormula>
    </tableColumn>
    <tableColumn id="9" name="8" totalsRowFunction="custom" dataDxfId="895" totalsRowDxfId="370">
      <totalsRowFormula>COUNTIF(PrisotnostOktobra[8],"N")+COUNTIF(PrisotnostOktobra[8],"E")</totalsRowFormula>
    </tableColumn>
    <tableColumn id="10" name="9" totalsRowFunction="custom" dataDxfId="894" totalsRowDxfId="369">
      <totalsRowFormula>COUNTIF(PrisotnostOktobra[9],"N")+COUNTIF(PrisotnostOktobra[9],"E")</totalsRowFormula>
    </tableColumn>
    <tableColumn id="11" name="10" totalsRowFunction="custom" dataDxfId="893" totalsRowDxfId="368">
      <totalsRowFormula>COUNTIF(PrisotnostOktobra[10],"N")+COUNTIF(PrisotnostOktobra[10],"E")</totalsRowFormula>
    </tableColumn>
    <tableColumn id="12" name="11" totalsRowFunction="custom" dataDxfId="892" totalsRowDxfId="367">
      <totalsRowFormula>COUNTIF(PrisotnostOktobra[11],"N")+COUNTIF(PrisotnostOktobra[11],"E")</totalsRowFormula>
    </tableColumn>
    <tableColumn id="13" name="12" totalsRowFunction="custom" dataDxfId="891" totalsRowDxfId="366">
      <totalsRowFormula>COUNTIF(PrisotnostOktobra[12],"N")+COUNTIF(PrisotnostOktobra[12],"E")</totalsRowFormula>
    </tableColumn>
    <tableColumn id="14" name="13" totalsRowFunction="custom" dataDxfId="890" totalsRowDxfId="365">
      <totalsRowFormula>COUNTIF(PrisotnostOktobra[13],"N")+COUNTIF(PrisotnostOktobra[13],"E")</totalsRowFormula>
    </tableColumn>
    <tableColumn id="15" name="14" totalsRowFunction="custom" dataDxfId="889" totalsRowDxfId="364">
      <totalsRowFormula>COUNTIF(PrisotnostOktobra[14],"N")+COUNTIF(PrisotnostOktobra[14],"E")</totalsRowFormula>
    </tableColumn>
    <tableColumn id="16" name="15" totalsRowFunction="custom" dataDxfId="888" totalsRowDxfId="363">
      <totalsRowFormula>COUNTIF(PrisotnostOktobra[15],"N")+COUNTIF(PrisotnostOktobra[15],"E")</totalsRowFormula>
    </tableColumn>
    <tableColumn id="17" name="16" totalsRowFunction="custom" dataDxfId="887" totalsRowDxfId="362">
      <totalsRowFormula>COUNTIF(PrisotnostOktobra[16],"N")+COUNTIF(PrisotnostOktobra[16],"E")</totalsRowFormula>
    </tableColumn>
    <tableColumn id="18" name="17" totalsRowFunction="custom" dataDxfId="886" totalsRowDxfId="361">
      <totalsRowFormula>COUNTIF(PrisotnostOktobra[17],"N")+COUNTIF(PrisotnostOktobra[17],"E")</totalsRowFormula>
    </tableColumn>
    <tableColumn id="19" name="18" totalsRowFunction="custom" dataDxfId="885" totalsRowDxfId="360">
      <totalsRowFormula>COUNTIF(PrisotnostOktobra[18],"N")+COUNTIF(PrisotnostOktobra[18],"E")</totalsRowFormula>
    </tableColumn>
    <tableColumn id="20" name="19" totalsRowFunction="custom" dataDxfId="884" totalsRowDxfId="359">
      <totalsRowFormula>COUNTIF(PrisotnostOktobra[19],"N")+COUNTIF(PrisotnostOktobra[19],"E")</totalsRowFormula>
    </tableColumn>
    <tableColumn id="21" name="20" totalsRowFunction="custom" dataDxfId="883" totalsRowDxfId="358">
      <totalsRowFormula>COUNTIF(PrisotnostOktobra[20],"N")+COUNTIF(PrisotnostOktobra[20],"E")</totalsRowFormula>
    </tableColumn>
    <tableColumn id="22" name="21" totalsRowFunction="custom" dataDxfId="882" totalsRowDxfId="357">
      <totalsRowFormula>COUNTIF(PrisotnostOktobra[21],"N")+COUNTIF(PrisotnostOktobra[21],"E")</totalsRowFormula>
    </tableColumn>
    <tableColumn id="23" name="22" totalsRowFunction="custom" dataDxfId="881" totalsRowDxfId="356">
      <totalsRowFormula>COUNTIF(PrisotnostOktobra[22],"N")+COUNTIF(PrisotnostOktobra[22],"E")</totalsRowFormula>
    </tableColumn>
    <tableColumn id="24" name="23" totalsRowFunction="custom" dataDxfId="880" totalsRowDxfId="355">
      <totalsRowFormula>COUNTIF(PrisotnostOktobra[23],"N")+COUNTIF(PrisotnostOktobra[23],"E")</totalsRowFormula>
    </tableColumn>
    <tableColumn id="25" name="24" totalsRowFunction="custom" dataDxfId="879" totalsRowDxfId="354">
      <totalsRowFormula>COUNTIF(PrisotnostOktobra[24],"N")+COUNTIF(PrisotnostOktobra[24],"E")</totalsRowFormula>
    </tableColumn>
    <tableColumn id="26" name="25" totalsRowFunction="custom" dataDxfId="878" totalsRowDxfId="353">
      <totalsRowFormula>COUNTIF(PrisotnostOktobra[25],"N")+COUNTIF(PrisotnostOktobra[25],"E")</totalsRowFormula>
    </tableColumn>
    <tableColumn id="27" name="26" totalsRowFunction="custom" dataDxfId="877" totalsRowDxfId="352">
      <totalsRowFormula>COUNTIF(PrisotnostOktobra[26],"N")+COUNTIF(PrisotnostOktobra[26],"E")</totalsRowFormula>
    </tableColumn>
    <tableColumn id="28" name="27" totalsRowFunction="custom" dataDxfId="876" totalsRowDxfId="351">
      <totalsRowFormula>COUNTIF(PrisotnostOktobra[27],"N")+COUNTIF(PrisotnostOktobra[27],"E")</totalsRowFormula>
    </tableColumn>
    <tableColumn id="29" name="28" totalsRowFunction="custom" dataDxfId="875" totalsRowDxfId="350">
      <totalsRowFormula>COUNTIF(PrisotnostOktobra[28],"N")+COUNTIF(PrisotnostOktobra[28],"E")</totalsRowFormula>
    </tableColumn>
    <tableColumn id="30" name="29" totalsRowFunction="custom" dataDxfId="874" totalsRowDxfId="349">
      <totalsRowFormula>COUNTIF(PrisotnostOktobra[29],"N")+COUNTIF(PrisotnostOktobra[29],"E")</totalsRowFormula>
    </tableColumn>
    <tableColumn id="31" name="30" totalsRowFunction="custom" totalsRowDxfId="348">
      <totalsRowFormula>COUNTIF(PrisotnostOktobra[30],"N")+COUNTIF(PrisotnostOktobra[30],"E")</totalsRowFormula>
    </tableColumn>
    <tableColumn id="32" name="31" totalsRowFunction="custom" totalsRowDxfId="347">
      <totalsRowFormula>COUNTIF(PrisotnostOktobra[31],"N")+COUNTIF(PrisotnostOktobra[31],"E")</totalsRowFormula>
    </tableColumn>
    <tableColumn id="35" name="Po" totalsRowFunction="sum" dataDxfId="873" totalsRowDxfId="346">
      <calculatedColumnFormula>COUNTIF(PrisotnostOktobra[[#This Row],[1]:[31]],Koda1)</calculatedColumnFormula>
    </tableColumn>
    <tableColumn id="34" name="E" totalsRowFunction="sum" dataDxfId="872" totalsRowDxfId="345">
      <calculatedColumnFormula>COUNTIF(PrisotnostOktobra[[#This Row],[1]:[31]],Koda2)</calculatedColumnFormula>
    </tableColumn>
    <tableColumn id="37" name="N" totalsRowFunction="sum" dataDxfId="871" totalsRowDxfId="344">
      <calculatedColumnFormula>COUNTIF(PrisotnostOktobra[[#This Row],[1]:[31]],Koda3)</calculatedColumnFormula>
    </tableColumn>
    <tableColumn id="36" name="P" totalsRowFunction="sum" dataDxfId="870" totalsRowDxfId="343">
      <calculatedColumnFormula>COUNTIF(PrisotnostOktobra[[#This Row],[1]:[31]],Koda4)</calculatedColumnFormula>
    </tableColumn>
    <tableColumn id="33" name="Dni odsoten" totalsRowFunction="sum" totalsRowDxfId="342"/>
  </tableColumns>
  <tableStyleInfo name="Employee Absence Table" showFirstColumn="0" showLastColumn="1" showRowStripes="1" showColumnStripes="1"/>
  <extLst>
    <ext xmlns:x14="http://schemas.microsoft.com/office/spreadsheetml/2009/9/main" uri="{504A1905-F514-4f6f-8877-14C23A59335A}">
      <x14:table altText="Evidenca prisotnosti za avgust" altTextSummary="Beleži študentovo prisotnost, recimo K=Kasen, O=Opravičen, N=Neopravičen, P=Prisoten, S=Ni šole, za mesec oktober."/>
    </ext>
  </extLst>
</table>
</file>

<file path=xl/tables/table5.xml><?xml version="1.0" encoding="utf-8"?>
<table xmlns="http://schemas.openxmlformats.org/spreadsheetml/2006/main" id="4" name="PrisotnostNovembra" displayName="PrisotnostNovembra" ref="B6:AM12" totalsRowCount="1" totalsRowDxfId="859">
  <tableColumns count="38">
    <tableColumn id="38" name="ID študenta" totalsRowDxfId="341"/>
    <tableColumn id="1" name="Ime študenta" totalsRowLabel="Skupno odsoten dni" dataDxfId="858" totalsRowDxfId="340"/>
    <tableColumn id="2" name="1" totalsRowFunction="custom" dataDxfId="857" totalsRowDxfId="339">
      <totalsRowFormula>COUNTIF(PrisotnostNovembra[1],"N")+COUNTIF(PrisotnostNovembra[1],"E")</totalsRowFormula>
    </tableColumn>
    <tableColumn id="3" name="2" totalsRowFunction="custom" dataDxfId="856" totalsRowDxfId="338">
      <totalsRowFormula>COUNTIF(PrisotnostNovembra[2],"N")+COUNTIF(PrisotnostNovembra[2],"E")</totalsRowFormula>
    </tableColumn>
    <tableColumn id="4" name="3" totalsRowFunction="custom" dataDxfId="855" totalsRowDxfId="337">
      <totalsRowFormula>COUNTIF(PrisotnostNovembra[3],"N")+COUNTIF(PrisotnostNovembra[3],"E")</totalsRowFormula>
    </tableColumn>
    <tableColumn id="5" name="4" totalsRowFunction="custom" dataDxfId="854" totalsRowDxfId="336">
      <totalsRowFormula>COUNTIF(PrisotnostNovembra[4],"N")+COUNTIF(PrisotnostNovembra[4],"E")</totalsRowFormula>
    </tableColumn>
    <tableColumn id="6" name="5" totalsRowFunction="custom" dataDxfId="853" totalsRowDxfId="335">
      <totalsRowFormula>COUNTIF(PrisotnostNovembra[5],"N")+COUNTIF(PrisotnostNovembra[5],"E")</totalsRowFormula>
    </tableColumn>
    <tableColumn id="7" name="6" totalsRowFunction="custom" dataDxfId="852" totalsRowDxfId="334">
      <totalsRowFormula>COUNTIF(PrisotnostNovembra[6],"N")+COUNTIF(PrisotnostNovembra[6],"E")</totalsRowFormula>
    </tableColumn>
    <tableColumn id="8" name="7" totalsRowFunction="custom" dataDxfId="851" totalsRowDxfId="333">
      <totalsRowFormula>COUNTIF(PrisotnostNovembra[7],"N")+COUNTIF(PrisotnostNovembra[7],"E")</totalsRowFormula>
    </tableColumn>
    <tableColumn id="9" name="8" totalsRowFunction="custom" dataDxfId="850" totalsRowDxfId="332">
      <totalsRowFormula>COUNTIF(PrisotnostNovembra[8],"N")+COUNTIF(PrisotnostNovembra[8],"E")</totalsRowFormula>
    </tableColumn>
    <tableColumn id="10" name="9" totalsRowFunction="custom" dataDxfId="849" totalsRowDxfId="331">
      <totalsRowFormula>COUNTIF(PrisotnostNovembra[9],"N")+COUNTIF(PrisotnostNovembra[9],"E")</totalsRowFormula>
    </tableColumn>
    <tableColumn id="11" name="10" totalsRowFunction="custom" dataDxfId="848" totalsRowDxfId="330">
      <totalsRowFormula>COUNTIF(PrisotnostNovembra[10],"N")+COUNTIF(PrisotnostNovembra[10],"E")</totalsRowFormula>
    </tableColumn>
    <tableColumn id="12" name="11" totalsRowFunction="custom" dataDxfId="847" totalsRowDxfId="329">
      <totalsRowFormula>COUNTIF(PrisotnostNovembra[11],"N")+COUNTIF(PrisotnostNovembra[11],"E")</totalsRowFormula>
    </tableColumn>
    <tableColumn id="13" name="12" totalsRowFunction="custom" dataDxfId="846" totalsRowDxfId="328">
      <totalsRowFormula>COUNTIF(PrisotnostNovembra[12],"N")+COUNTIF(PrisotnostNovembra[12],"E")</totalsRowFormula>
    </tableColumn>
    <tableColumn id="14" name="13" totalsRowFunction="custom" dataDxfId="845" totalsRowDxfId="327">
      <totalsRowFormula>COUNTIF(PrisotnostNovembra[13],"N")+COUNTIF(PrisotnostNovembra[13],"E")</totalsRowFormula>
    </tableColumn>
    <tableColumn id="15" name="14" totalsRowFunction="custom" dataDxfId="844" totalsRowDxfId="326">
      <totalsRowFormula>COUNTIF(PrisotnostNovembra[14],"N")+COUNTIF(PrisotnostNovembra[14],"E")</totalsRowFormula>
    </tableColumn>
    <tableColumn id="16" name="15" totalsRowFunction="custom" dataDxfId="843" totalsRowDxfId="325">
      <totalsRowFormula>COUNTIF(PrisotnostNovembra[15],"N")+COUNTIF(PrisotnostNovembra[15],"E")</totalsRowFormula>
    </tableColumn>
    <tableColumn id="17" name="16" totalsRowFunction="custom" dataDxfId="842" totalsRowDxfId="324">
      <totalsRowFormula>COUNTIF(PrisotnostNovembra[16],"N")+COUNTIF(PrisotnostNovembra[16],"E")</totalsRowFormula>
    </tableColumn>
    <tableColumn id="18" name="17" totalsRowFunction="custom" dataDxfId="841" totalsRowDxfId="323">
      <totalsRowFormula>COUNTIF(PrisotnostNovembra[17],"N")+COUNTIF(PrisotnostNovembra[17],"E")</totalsRowFormula>
    </tableColumn>
    <tableColumn id="19" name="18" totalsRowFunction="custom" dataDxfId="840" totalsRowDxfId="322">
      <totalsRowFormula>COUNTIF(PrisotnostNovembra[18],"N")+COUNTIF(PrisotnostNovembra[18],"E")</totalsRowFormula>
    </tableColumn>
    <tableColumn id="20" name="19" totalsRowFunction="custom" dataDxfId="839" totalsRowDxfId="321">
      <totalsRowFormula>COUNTIF(PrisotnostNovembra[19],"N")+COUNTIF(PrisotnostNovembra[19],"E")</totalsRowFormula>
    </tableColumn>
    <tableColumn id="21" name="20" totalsRowFunction="custom" dataDxfId="838" totalsRowDxfId="320">
      <totalsRowFormula>COUNTIF(PrisotnostNovembra[20],"N")+COUNTIF(PrisotnostNovembra[20],"E")</totalsRowFormula>
    </tableColumn>
    <tableColumn id="22" name="21" totalsRowFunction="custom" dataDxfId="837" totalsRowDxfId="319">
      <totalsRowFormula>COUNTIF(PrisotnostNovembra[21],"N")+COUNTIF(PrisotnostNovembra[21],"E")</totalsRowFormula>
    </tableColumn>
    <tableColumn id="23" name="22" totalsRowFunction="custom" dataDxfId="836" totalsRowDxfId="318">
      <totalsRowFormula>COUNTIF(PrisotnostNovembra[22],"N")+COUNTIF(PrisotnostNovembra[22],"E")</totalsRowFormula>
    </tableColumn>
    <tableColumn id="24" name="23" totalsRowFunction="custom" dataDxfId="835" totalsRowDxfId="317">
      <totalsRowFormula>COUNTIF(PrisotnostNovembra[23],"N")+COUNTIF(PrisotnostNovembra[23],"E")</totalsRowFormula>
    </tableColumn>
    <tableColumn id="25" name="24" totalsRowFunction="custom" dataDxfId="834" totalsRowDxfId="316">
      <totalsRowFormula>COUNTIF(PrisotnostNovembra[24],"N")+COUNTIF(PrisotnostNovembra[24],"E")</totalsRowFormula>
    </tableColumn>
    <tableColumn id="26" name="25" totalsRowFunction="custom" dataDxfId="833" totalsRowDxfId="315">
      <totalsRowFormula>COUNTIF(PrisotnostNovembra[25],"N")+COUNTIF(PrisotnostNovembra[25],"E")</totalsRowFormula>
    </tableColumn>
    <tableColumn id="27" name="26" totalsRowFunction="custom" dataDxfId="832" totalsRowDxfId="314">
      <totalsRowFormula>COUNTIF(PrisotnostNovembra[26],"N")+COUNTIF(PrisotnostNovembra[26],"E")</totalsRowFormula>
    </tableColumn>
    <tableColumn id="28" name="27" totalsRowFunction="custom" dataDxfId="831" totalsRowDxfId="313">
      <totalsRowFormula>COUNTIF(PrisotnostNovembra[27],"N")+COUNTIF(PrisotnostNovembra[27],"E")</totalsRowFormula>
    </tableColumn>
    <tableColumn id="29" name="28" totalsRowFunction="custom" dataDxfId="830" totalsRowDxfId="312">
      <totalsRowFormula>COUNTIF(PrisotnostNovembra[28],"N")+COUNTIF(PrisotnostNovembra[28],"E")</totalsRowFormula>
    </tableColumn>
    <tableColumn id="30" name="29" totalsRowFunction="custom" dataDxfId="829" totalsRowDxfId="311">
      <totalsRowFormula>COUNTIF(PrisotnostNovembra[29],"N")+COUNTIF(PrisotnostNovembra[29],"E")</totalsRowFormula>
    </tableColumn>
    <tableColumn id="31" name="30" totalsRowFunction="custom" totalsRowDxfId="310">
      <totalsRowFormula>COUNTIF(PrisotnostNovembra[30],"N")+COUNTIF(PrisotnostNovembra[30],"E")</totalsRowFormula>
    </tableColumn>
    <tableColumn id="32" name=" " totalsRowFunction="custom" totalsRowDxfId="309">
      <totalsRowFormula>COUNTIF(PrisotnostNovembra[[ ]],"N")+COUNTIF(PrisotnostNovembra[[ ]],"E")</totalsRowFormula>
    </tableColumn>
    <tableColumn id="35" name="Po" totalsRowFunction="sum" dataDxfId="828" totalsRowDxfId="308">
      <calculatedColumnFormula>COUNTIF(PrisotnostNovembra[[#This Row],[1]:[ ]],Koda1)</calculatedColumnFormula>
    </tableColumn>
    <tableColumn id="34" name="E" totalsRowFunction="sum" dataDxfId="827" totalsRowDxfId="307">
      <calculatedColumnFormula>COUNTIF(PrisotnostNovembra[[#This Row],[1]:[ ]],Koda2)</calculatedColumnFormula>
    </tableColumn>
    <tableColumn id="37" name="N" totalsRowFunction="sum" dataDxfId="826" totalsRowDxfId="306">
      <calculatedColumnFormula>COUNTIF(PrisotnostNovembra[[#This Row],[1]:[ ]],Koda3)</calculatedColumnFormula>
    </tableColumn>
    <tableColumn id="36" name="P" totalsRowFunction="sum" dataDxfId="825" totalsRowDxfId="305">
      <calculatedColumnFormula>COUNTIF(PrisotnostNovembra[[#This Row],[1]:[ ]],Koda4)</calculatedColumnFormula>
    </tableColumn>
    <tableColumn id="33" name="Dni odsoten" totalsRowFunction="sum" totalsRowDxfId="304"/>
  </tableColumns>
  <tableStyleInfo name="Employee Absence Table" showFirstColumn="0" showLastColumn="1" showRowStripes="1" showColumnStripes="1"/>
  <extLst>
    <ext xmlns:x14="http://schemas.microsoft.com/office/spreadsheetml/2009/9/main" uri="{504A1905-F514-4f6f-8877-14C23A59335A}">
      <x14:table altText="Evidenca prisotnosti za avgust" altTextSummary="Beleži študentovo prisotnost, kot K=Kasen, O=Opravičen, N=Neopravičen, P=Prisoten, S=Ni šole, za mesec november."/>
    </ext>
  </extLst>
</table>
</file>

<file path=xl/tables/table6.xml><?xml version="1.0" encoding="utf-8"?>
<table xmlns="http://schemas.openxmlformats.org/spreadsheetml/2006/main" id="6" name="PrisotnostDecembra" displayName="PrisotnostDecembra" ref="B6:AM12" totalsRowCount="1" totalsRowDxfId="814">
  <tableColumns count="38">
    <tableColumn id="38" name="ID študenta" totalsRowDxfId="303"/>
    <tableColumn id="1" name="Ime študenta" totalsRowLabel="Skupno odsoten dni" dataDxfId="813" totalsRowDxfId="302"/>
    <tableColumn id="2" name="1" totalsRowFunction="custom" dataDxfId="812" totalsRowDxfId="301">
      <totalsRowFormula>COUNTIF(PrisotnostDecembra[1],"N")+COUNTIF(PrisotnostDecembra[1],"E")</totalsRowFormula>
    </tableColumn>
    <tableColumn id="3" name="2" totalsRowFunction="custom" dataDxfId="811" totalsRowDxfId="300">
      <totalsRowFormula>COUNTIF(PrisotnostDecembra[2],"N")+COUNTIF(PrisotnostDecembra[2],"E")</totalsRowFormula>
    </tableColumn>
    <tableColumn id="4" name="3" totalsRowFunction="custom" dataDxfId="810" totalsRowDxfId="299">
      <totalsRowFormula>COUNTIF(PrisotnostDecembra[3],"N")+COUNTIF(PrisotnostDecembra[3],"E")</totalsRowFormula>
    </tableColumn>
    <tableColumn id="5" name="4" totalsRowFunction="custom" dataDxfId="809" totalsRowDxfId="298">
      <totalsRowFormula>COUNTIF(PrisotnostDecembra[4],"N")+COUNTIF(PrisotnostDecembra[4],"E")</totalsRowFormula>
    </tableColumn>
    <tableColumn id="6" name="5" totalsRowFunction="custom" dataDxfId="808" totalsRowDxfId="297">
      <totalsRowFormula>COUNTIF(PrisotnostDecembra[5],"N")+COUNTIF(PrisotnostDecembra[5],"E")</totalsRowFormula>
    </tableColumn>
    <tableColumn id="7" name="6" totalsRowFunction="custom" dataDxfId="807" totalsRowDxfId="296">
      <totalsRowFormula>COUNTIF(PrisotnostDecembra[6],"N")+COUNTIF(PrisotnostDecembra[6],"E")</totalsRowFormula>
    </tableColumn>
    <tableColumn id="8" name="7" totalsRowFunction="custom" dataDxfId="806" totalsRowDxfId="295">
      <totalsRowFormula>COUNTIF(PrisotnostDecembra[7],"N")+COUNTIF(PrisotnostDecembra[7],"E")</totalsRowFormula>
    </tableColumn>
    <tableColumn id="9" name="8" totalsRowFunction="custom" dataDxfId="805" totalsRowDxfId="294">
      <totalsRowFormula>COUNTIF(PrisotnostDecembra[8],"N")+COUNTIF(PrisotnostDecembra[8],"E")</totalsRowFormula>
    </tableColumn>
    <tableColumn id="10" name="9" totalsRowFunction="custom" dataDxfId="804" totalsRowDxfId="293">
      <totalsRowFormula>COUNTIF(PrisotnostDecembra[9],"N")+COUNTIF(PrisotnostDecembra[9],"E")</totalsRowFormula>
    </tableColumn>
    <tableColumn id="11" name="10" totalsRowFunction="custom" dataDxfId="803" totalsRowDxfId="292">
      <totalsRowFormula>COUNTIF(PrisotnostDecembra[10],"N")+COUNTIF(PrisotnostDecembra[10],"E")</totalsRowFormula>
    </tableColumn>
    <tableColumn id="12" name="11" totalsRowFunction="custom" dataDxfId="802" totalsRowDxfId="291">
      <totalsRowFormula>COUNTIF(PrisotnostDecembra[11],"N")+COUNTIF(PrisotnostDecembra[11],"E")</totalsRowFormula>
    </tableColumn>
    <tableColumn id="13" name="12" totalsRowFunction="custom" dataDxfId="801" totalsRowDxfId="290">
      <totalsRowFormula>COUNTIF(PrisotnostDecembra[12],"N")+COUNTIF(PrisotnostDecembra[12],"E")</totalsRowFormula>
    </tableColumn>
    <tableColumn id="14" name="13" totalsRowFunction="custom" dataDxfId="800" totalsRowDxfId="289">
      <totalsRowFormula>COUNTIF(PrisotnostDecembra[13],"N")+COUNTIF(PrisotnostDecembra[13],"E")</totalsRowFormula>
    </tableColumn>
    <tableColumn id="15" name="14" totalsRowFunction="custom" dataDxfId="799" totalsRowDxfId="288">
      <totalsRowFormula>COUNTIF(PrisotnostDecembra[14],"N")+COUNTIF(PrisotnostDecembra[14],"E")</totalsRowFormula>
    </tableColumn>
    <tableColumn id="16" name="15" totalsRowFunction="custom" dataDxfId="798" totalsRowDxfId="287">
      <totalsRowFormula>COUNTIF(PrisotnostDecembra[15],"N")+COUNTIF(PrisotnostDecembra[15],"E")</totalsRowFormula>
    </tableColumn>
    <tableColumn id="17" name="16" totalsRowFunction="custom" dataDxfId="797" totalsRowDxfId="286">
      <totalsRowFormula>COUNTIF(PrisotnostDecembra[16],"N")+COUNTIF(PrisotnostDecembra[16],"E")</totalsRowFormula>
    </tableColumn>
    <tableColumn id="18" name="17" totalsRowFunction="custom" dataDxfId="796" totalsRowDxfId="285">
      <totalsRowFormula>COUNTIF(PrisotnostDecembra[17],"N")+COUNTIF(PrisotnostDecembra[17],"E")</totalsRowFormula>
    </tableColumn>
    <tableColumn id="19" name="18" totalsRowFunction="custom" dataDxfId="795" totalsRowDxfId="284">
      <totalsRowFormula>COUNTIF(PrisotnostDecembra[18],"N")+COUNTIF(PrisotnostDecembra[18],"E")</totalsRowFormula>
    </tableColumn>
    <tableColumn id="20" name="19" totalsRowFunction="custom" dataDxfId="794" totalsRowDxfId="283">
      <totalsRowFormula>COUNTIF(PrisotnostDecembra[19],"N")+COUNTIF(PrisotnostDecembra[19],"E")</totalsRowFormula>
    </tableColumn>
    <tableColumn id="21" name="20" totalsRowFunction="custom" dataDxfId="793" totalsRowDxfId="282">
      <totalsRowFormula>COUNTIF(PrisotnostDecembra[20],"N")+COUNTIF(PrisotnostDecembra[20],"E")</totalsRowFormula>
    </tableColumn>
    <tableColumn id="22" name="21" totalsRowFunction="custom" dataDxfId="792" totalsRowDxfId="281">
      <totalsRowFormula>COUNTIF(PrisotnostDecembra[21],"N")+COUNTIF(PrisotnostDecembra[21],"E")</totalsRowFormula>
    </tableColumn>
    <tableColumn id="23" name="22" totalsRowFunction="custom" dataDxfId="791" totalsRowDxfId="280">
      <totalsRowFormula>COUNTIF(PrisotnostDecembra[22],"N")+COUNTIF(PrisotnostDecembra[22],"E")</totalsRowFormula>
    </tableColumn>
    <tableColumn id="24" name="23" totalsRowFunction="custom" dataDxfId="790" totalsRowDxfId="279">
      <totalsRowFormula>COUNTIF(PrisotnostDecembra[23],"N")+COUNTIF(PrisotnostDecembra[23],"E")</totalsRowFormula>
    </tableColumn>
    <tableColumn id="25" name="24" totalsRowFunction="custom" dataDxfId="789" totalsRowDxfId="278">
      <totalsRowFormula>COUNTIF(PrisotnostDecembra[24],"N")+COUNTIF(PrisotnostDecembra[24],"E")</totalsRowFormula>
    </tableColumn>
    <tableColumn id="26" name="25" totalsRowFunction="custom" dataDxfId="788" totalsRowDxfId="277">
      <totalsRowFormula>COUNTIF(PrisotnostDecembra[25],"N")+COUNTIF(PrisotnostDecembra[25],"E")</totalsRowFormula>
    </tableColumn>
    <tableColumn id="27" name="26" totalsRowFunction="custom" dataDxfId="787" totalsRowDxfId="276">
      <totalsRowFormula>COUNTIF(PrisotnostDecembra[26],"N")+COUNTIF(PrisotnostDecembra[26],"E")</totalsRowFormula>
    </tableColumn>
    <tableColumn id="28" name="27" totalsRowFunction="custom" dataDxfId="786" totalsRowDxfId="275">
      <totalsRowFormula>COUNTIF(PrisotnostDecembra[27],"N")+COUNTIF(PrisotnostDecembra[27],"E")</totalsRowFormula>
    </tableColumn>
    <tableColumn id="29" name="28" totalsRowFunction="custom" dataDxfId="785" totalsRowDxfId="274">
      <totalsRowFormula>COUNTIF(PrisotnostDecembra[28],"N")+COUNTIF(PrisotnostDecembra[28],"E")</totalsRowFormula>
    </tableColumn>
    <tableColumn id="30" name="29" totalsRowFunction="custom" dataDxfId="784" totalsRowDxfId="273">
      <totalsRowFormula>COUNTIF(PrisotnostDecembra[29],"N")+COUNTIF(PrisotnostDecembra[29],"E")</totalsRowFormula>
    </tableColumn>
    <tableColumn id="31" name="30" totalsRowFunction="custom" totalsRowDxfId="272">
      <totalsRowFormula>COUNTIF(PrisotnostDecembra[30],"N")+COUNTIF(PrisotnostDecembra[30],"E")</totalsRowFormula>
    </tableColumn>
    <tableColumn id="32" name="31" totalsRowFunction="custom" totalsRowDxfId="271">
      <totalsRowFormula>COUNTIF(PrisotnostDecembra[31],"N")+COUNTIF(PrisotnostDecembra[31],"E")</totalsRowFormula>
    </tableColumn>
    <tableColumn id="35" name="Po" totalsRowFunction="sum" dataDxfId="783" totalsRowDxfId="270">
      <calculatedColumnFormula>COUNTIF(PrisotnostDecembra[[#This Row],[1]:[31]],Koda1)</calculatedColumnFormula>
    </tableColumn>
    <tableColumn id="34" name="E" totalsRowFunction="sum" dataDxfId="782" totalsRowDxfId="269">
      <calculatedColumnFormula>COUNTIF(PrisotnostDecembra[[#This Row],[1]:[31]],Koda2)</calculatedColumnFormula>
    </tableColumn>
    <tableColumn id="37" name="N" totalsRowFunction="sum" dataDxfId="781" totalsRowDxfId="268">
      <calculatedColumnFormula>COUNTIF(PrisotnostDecembra[[#This Row],[1]:[31]],Koda3)</calculatedColumnFormula>
    </tableColumn>
    <tableColumn id="36" name="P" totalsRowFunction="sum" dataDxfId="780" totalsRowDxfId="267">
      <calculatedColumnFormula>COUNTIF(PrisotnostDecembra[[#This Row],[1]:[31]],Koda4)</calculatedColumnFormula>
    </tableColumn>
    <tableColumn id="33" name="Dni odsoten" totalsRowFunction="sum" totalsRowDxfId="266"/>
  </tableColumns>
  <tableStyleInfo name="Employee Absence Table" showFirstColumn="0" showLastColumn="1" showRowStripes="1" showColumnStripes="1"/>
  <extLst>
    <ext xmlns:x14="http://schemas.microsoft.com/office/spreadsheetml/2009/9/main" uri="{504A1905-F514-4f6f-8877-14C23A59335A}">
      <x14:table altText="Evidenca prisotnosti za avgust" altTextSummary="Beleži študentovo prisotnost, kot K=Kasen, O=Opravičen, N=Neopravičen, P=Prisoten, S=Ni šole, za mesec december."/>
    </ext>
  </extLst>
</table>
</file>

<file path=xl/tables/table7.xml><?xml version="1.0" encoding="utf-8"?>
<table xmlns="http://schemas.openxmlformats.org/spreadsheetml/2006/main" id="7" name="PrisotnostJanuarja" displayName="PrisotnostJanuarja" ref="B6:AM12" totalsRowCount="1" headerRowDxfId="774" totalsRowDxfId="773">
  <tableColumns count="38">
    <tableColumn id="38" name="ID študenta" dataDxfId="772" totalsRowDxfId="265"/>
    <tableColumn id="1" name="Ime študenta" totalsRowLabel="Skupno odsoten dni" dataDxfId="771" totalsRowDxfId="264"/>
    <tableColumn id="2" name="1" totalsRowFunction="custom" dataDxfId="770" totalsRowDxfId="263">
      <totalsRowFormula>COUNTIF(PrisotnostJanuarja[1],"N")+COUNTIF(PrisotnostJanuarja[1],"E")</totalsRowFormula>
    </tableColumn>
    <tableColumn id="3" name="2" totalsRowFunction="custom" dataDxfId="769" totalsRowDxfId="262">
      <totalsRowFormula>COUNTIF(PrisotnostJanuarja[2],"N")+COUNTIF(PrisotnostJanuarja[2],"E")</totalsRowFormula>
    </tableColumn>
    <tableColumn id="4" name="3" totalsRowFunction="custom" dataDxfId="768" totalsRowDxfId="261">
      <totalsRowFormula>COUNTIF(PrisotnostJanuarja[3],"N")+COUNTIF(PrisotnostJanuarja[3],"E")</totalsRowFormula>
    </tableColumn>
    <tableColumn id="5" name="4" totalsRowFunction="custom" dataDxfId="767" totalsRowDxfId="260">
      <totalsRowFormula>COUNTIF(PrisotnostJanuarja[4],"N")+COUNTIF(PrisotnostJanuarja[4],"E")</totalsRowFormula>
    </tableColumn>
    <tableColumn id="6" name="5" totalsRowFunction="custom" dataDxfId="766" totalsRowDxfId="259">
      <totalsRowFormula>COUNTIF(PrisotnostJanuarja[5],"N")+COUNTIF(PrisotnostJanuarja[5],"E")</totalsRowFormula>
    </tableColumn>
    <tableColumn id="7" name="6" totalsRowFunction="custom" dataDxfId="765" totalsRowDxfId="258">
      <totalsRowFormula>COUNTIF(PrisotnostJanuarja[6],"N")+COUNTIF(PrisotnostJanuarja[6],"E")</totalsRowFormula>
    </tableColumn>
    <tableColumn id="8" name="7" totalsRowFunction="custom" dataDxfId="764" totalsRowDxfId="257">
      <totalsRowFormula>COUNTIF(PrisotnostJanuarja[7],"N")+COUNTIF(PrisotnostJanuarja[7],"E")</totalsRowFormula>
    </tableColumn>
    <tableColumn id="9" name="8" totalsRowFunction="custom" dataDxfId="763" totalsRowDxfId="256">
      <totalsRowFormula>COUNTIF(PrisotnostJanuarja[8],"N")+COUNTIF(PrisotnostJanuarja[8],"E")</totalsRowFormula>
    </tableColumn>
    <tableColumn id="10" name="9" totalsRowFunction="custom" dataDxfId="762" totalsRowDxfId="255">
      <totalsRowFormula>COUNTIF(PrisotnostJanuarja[9],"N")+COUNTIF(PrisotnostJanuarja[9],"E")</totalsRowFormula>
    </tableColumn>
    <tableColumn id="11" name="10" totalsRowFunction="custom" dataDxfId="761" totalsRowDxfId="254">
      <totalsRowFormula>COUNTIF(PrisotnostJanuarja[10],"N")+COUNTIF(PrisotnostJanuarja[10],"E")</totalsRowFormula>
    </tableColumn>
    <tableColumn id="12" name="11" totalsRowFunction="custom" dataDxfId="760" totalsRowDxfId="253">
      <totalsRowFormula>COUNTIF(PrisotnostJanuarja[11],"N")+COUNTIF(PrisotnostJanuarja[11],"E")</totalsRowFormula>
    </tableColumn>
    <tableColumn id="13" name="12" totalsRowFunction="custom" dataDxfId="759" totalsRowDxfId="252">
      <totalsRowFormula>COUNTIF(PrisotnostJanuarja[12],"N")+COUNTIF(PrisotnostJanuarja[12],"E")</totalsRowFormula>
    </tableColumn>
    <tableColumn id="14" name="13" totalsRowFunction="custom" dataDxfId="758" totalsRowDxfId="251">
      <totalsRowFormula>COUNTIF(PrisotnostJanuarja[13],"N")+COUNTIF(PrisotnostJanuarja[13],"E")</totalsRowFormula>
    </tableColumn>
    <tableColumn id="15" name="14" totalsRowFunction="custom" dataDxfId="757" totalsRowDxfId="250">
      <totalsRowFormula>COUNTIF(PrisotnostJanuarja[14],"N")+COUNTIF(PrisotnostJanuarja[14],"E")</totalsRowFormula>
    </tableColumn>
    <tableColumn id="16" name="15" totalsRowFunction="custom" dataDxfId="756" totalsRowDxfId="249">
      <totalsRowFormula>COUNTIF(PrisotnostJanuarja[15],"N")+COUNTIF(PrisotnostJanuarja[15],"E")</totalsRowFormula>
    </tableColumn>
    <tableColumn id="17" name="16" totalsRowFunction="custom" dataDxfId="755" totalsRowDxfId="248">
      <totalsRowFormula>COUNTIF(PrisotnostJanuarja[16],"N")+COUNTIF(PrisotnostJanuarja[16],"E")</totalsRowFormula>
    </tableColumn>
    <tableColumn id="18" name="17" totalsRowFunction="custom" dataDxfId="754" totalsRowDxfId="247">
      <totalsRowFormula>COUNTIF(PrisotnostJanuarja[17],"N")+COUNTIF(PrisotnostJanuarja[17],"E")</totalsRowFormula>
    </tableColumn>
    <tableColumn id="19" name="18" totalsRowFunction="custom" dataDxfId="753" totalsRowDxfId="246">
      <totalsRowFormula>COUNTIF(PrisotnostJanuarja[18],"N")+COUNTIF(PrisotnostJanuarja[18],"E")</totalsRowFormula>
    </tableColumn>
    <tableColumn id="20" name="19" totalsRowFunction="custom" dataDxfId="752" totalsRowDxfId="245">
      <totalsRowFormula>COUNTIF(PrisotnostJanuarja[19],"N")+COUNTIF(PrisotnostJanuarja[19],"E")</totalsRowFormula>
    </tableColumn>
    <tableColumn id="21" name="20" totalsRowFunction="custom" dataDxfId="751" totalsRowDxfId="244">
      <totalsRowFormula>COUNTIF(PrisotnostJanuarja[20],"N")+COUNTIF(PrisotnostJanuarja[20],"E")</totalsRowFormula>
    </tableColumn>
    <tableColumn id="22" name="21" totalsRowFunction="custom" dataDxfId="750" totalsRowDxfId="243">
      <totalsRowFormula>COUNTIF(PrisotnostJanuarja[21],"N")+COUNTIF(PrisotnostJanuarja[21],"E")</totalsRowFormula>
    </tableColumn>
    <tableColumn id="23" name="22" totalsRowFunction="custom" dataDxfId="749" totalsRowDxfId="242">
      <totalsRowFormula>COUNTIF(PrisotnostJanuarja[22],"N")+COUNTIF(PrisotnostJanuarja[22],"E")</totalsRowFormula>
    </tableColumn>
    <tableColumn id="24" name="23" totalsRowFunction="custom" dataDxfId="748" totalsRowDxfId="241">
      <totalsRowFormula>COUNTIF(PrisotnostJanuarja[23],"N")+COUNTIF(PrisotnostJanuarja[23],"E")</totalsRowFormula>
    </tableColumn>
    <tableColumn id="25" name="24" totalsRowFunction="custom" dataDxfId="747" totalsRowDxfId="240">
      <totalsRowFormula>COUNTIF(PrisotnostJanuarja[24],"N")+COUNTIF(PrisotnostJanuarja[24],"E")</totalsRowFormula>
    </tableColumn>
    <tableColumn id="26" name="25" totalsRowFunction="custom" dataDxfId="746" totalsRowDxfId="239">
      <totalsRowFormula>COUNTIF(PrisotnostJanuarja[25],"N")+COUNTIF(PrisotnostJanuarja[25],"E")</totalsRowFormula>
    </tableColumn>
    <tableColumn id="27" name="26" totalsRowFunction="custom" dataDxfId="745" totalsRowDxfId="238">
      <totalsRowFormula>COUNTIF(PrisotnostJanuarja[26],"N")+COUNTIF(PrisotnostJanuarja[26],"E")</totalsRowFormula>
    </tableColumn>
    <tableColumn id="28" name="27" totalsRowFunction="custom" dataDxfId="744" totalsRowDxfId="237">
      <totalsRowFormula>COUNTIF(PrisotnostJanuarja[27],"N")+COUNTIF(PrisotnostJanuarja[27],"E")</totalsRowFormula>
    </tableColumn>
    <tableColumn id="29" name="28" totalsRowFunction="custom" dataDxfId="743" totalsRowDxfId="236">
      <totalsRowFormula>COUNTIF(PrisotnostJanuarja[28],"N")+COUNTIF(PrisotnostJanuarja[28],"E")</totalsRowFormula>
    </tableColumn>
    <tableColumn id="30" name="29" totalsRowFunction="custom" dataDxfId="742" totalsRowDxfId="235">
      <totalsRowFormula>COUNTIF(PrisotnostJanuarja[29],"N")+COUNTIF(PrisotnostJanuarja[29],"E")</totalsRowFormula>
    </tableColumn>
    <tableColumn id="31" name="30" dataDxfId="741" totalsRowDxfId="234"/>
    <tableColumn id="32" name="31" dataDxfId="740" totalsRowDxfId="233"/>
    <tableColumn id="35" name="Po" totalsRowFunction="sum" dataDxfId="739" totalsRowDxfId="232">
      <calculatedColumnFormula>COUNTIF(PrisotnostJanuarja[[#This Row],[1]:[31]],Koda1)</calculatedColumnFormula>
    </tableColumn>
    <tableColumn id="34" name="E" totalsRowFunction="custom" dataDxfId="738" totalsRowDxfId="231">
      <calculatedColumnFormula>COUNTIF(PrisotnostJanuarja[[#This Row],[1]:[31]],Koda2)</calculatedColumnFormula>
      <totalsRowFormula>SUBTOTAL(109,PrisotnostJanuarja[N])</totalsRowFormula>
    </tableColumn>
    <tableColumn id="37" name="N" totalsRowFunction="sum" dataDxfId="737" totalsRowDxfId="230">
      <calculatedColumnFormula>COUNTIF(PrisotnostJanuarja[[#This Row],[1]:[31]],Koda3)</calculatedColumnFormula>
    </tableColumn>
    <tableColumn id="36" name="P" totalsRowFunction="sum" dataDxfId="736" totalsRowDxfId="229">
      <calculatedColumnFormula>COUNTIF(PrisotnostJanuarja[[#This Row],[1]:[31]],Koda4)</calculatedColumnFormula>
    </tableColumn>
    <tableColumn id="33" name="Dni odsoten" totalsRowFunction="sum" dataDxfId="735" totalsRowDxfId="228"/>
  </tableColumns>
  <tableStyleInfo name="Employee Absence Table" showFirstColumn="0" showLastColumn="0" showRowStripes="1" showColumnStripes="1"/>
  <extLst>
    <ext xmlns:x14="http://schemas.microsoft.com/office/spreadsheetml/2009/9/main" uri="{504A1905-F514-4f6f-8877-14C23A59335A}">
      <x14:table altText="Evidenca prisotnosti za februar" altTextSummary="Beleži študentovo prisotnost, kot K=Kasen, O=Opravičen, N=Neopravičen, P=Prisoten, S=Ni šole, za mesec januar."/>
    </ext>
  </extLst>
</table>
</file>

<file path=xl/tables/table8.xml><?xml version="1.0" encoding="utf-8"?>
<table xmlns="http://schemas.openxmlformats.org/spreadsheetml/2006/main" id="5" name="PrisotnostFebruarja" displayName="PrisotnostFebruarja" ref="B6:AM12" totalsRowCount="1" headerRowDxfId="727" totalsRowDxfId="726">
  <tableColumns count="38">
    <tableColumn id="38" name="ID študenta" dataDxfId="725" totalsRowDxfId="227"/>
    <tableColumn id="1" name="Ime študenta" totalsRowLabel="Skupno odsoten dni" dataDxfId="724" totalsRowDxfId="226"/>
    <tableColumn id="2" name="1" totalsRowFunction="custom" dataDxfId="723" totalsRowDxfId="225">
      <totalsRowFormula>COUNTIF(PrisotnostFebruarja[1],"N")+COUNTIF(PrisotnostFebruarja[1],"E")</totalsRowFormula>
    </tableColumn>
    <tableColumn id="3" name="2" totalsRowFunction="custom" dataDxfId="722" totalsRowDxfId="224">
      <totalsRowFormula>COUNTIF(PrisotnostFebruarja[2],"N")+COUNTIF(PrisotnostFebruarja[2],"E")</totalsRowFormula>
    </tableColumn>
    <tableColumn id="4" name="3" totalsRowFunction="custom" dataDxfId="721" totalsRowDxfId="223">
      <totalsRowFormula>COUNTIF(PrisotnostFebruarja[3],"N")+COUNTIF(PrisotnostFebruarja[3],"E")</totalsRowFormula>
    </tableColumn>
    <tableColumn id="5" name="4" totalsRowFunction="custom" dataDxfId="720" totalsRowDxfId="222">
      <totalsRowFormula>COUNTIF(PrisotnostFebruarja[4],"N")+COUNTIF(PrisotnostFebruarja[4],"E")</totalsRowFormula>
    </tableColumn>
    <tableColumn id="6" name="5" totalsRowFunction="custom" dataDxfId="719" totalsRowDxfId="221">
      <totalsRowFormula>COUNTIF(PrisotnostFebruarja[5],"N")+COUNTIF(PrisotnostFebruarja[5],"E")</totalsRowFormula>
    </tableColumn>
    <tableColumn id="7" name="6" totalsRowFunction="custom" dataDxfId="718" totalsRowDxfId="220">
      <totalsRowFormula>COUNTIF(PrisotnostFebruarja[6],"N")+COUNTIF(PrisotnostFebruarja[6],"E")</totalsRowFormula>
    </tableColumn>
    <tableColumn id="8" name="7" totalsRowFunction="custom" dataDxfId="717" totalsRowDxfId="219">
      <totalsRowFormula>COUNTIF(PrisotnostFebruarja[7],"N")+COUNTIF(PrisotnostFebruarja[7],"E")</totalsRowFormula>
    </tableColumn>
    <tableColumn id="9" name="8" totalsRowFunction="custom" dataDxfId="716" totalsRowDxfId="218">
      <totalsRowFormula>COUNTIF(PrisotnostFebruarja[8],"N")+COUNTIF(PrisotnostFebruarja[8],"E")</totalsRowFormula>
    </tableColumn>
    <tableColumn id="10" name="9" totalsRowFunction="custom" dataDxfId="715" totalsRowDxfId="217">
      <totalsRowFormula>COUNTIF(PrisotnostFebruarja[9],"N")+COUNTIF(PrisotnostFebruarja[9],"E")</totalsRowFormula>
    </tableColumn>
    <tableColumn id="11" name="10" totalsRowFunction="custom" dataDxfId="714" totalsRowDxfId="216">
      <totalsRowFormula>COUNTIF(PrisotnostFebruarja[10],"N")+COUNTIF(PrisotnostFebruarja[10],"E")</totalsRowFormula>
    </tableColumn>
    <tableColumn id="12" name="11" totalsRowFunction="custom" dataDxfId="713" totalsRowDxfId="215">
      <totalsRowFormula>COUNTIF(PrisotnostFebruarja[11],"N")+COUNTIF(PrisotnostFebruarja[11],"E")</totalsRowFormula>
    </tableColumn>
    <tableColumn id="13" name="12" totalsRowFunction="custom" dataDxfId="712" totalsRowDxfId="214">
      <totalsRowFormula>COUNTIF(PrisotnostFebruarja[12],"N")+COUNTIF(PrisotnostFebruarja[12],"E")</totalsRowFormula>
    </tableColumn>
    <tableColumn id="14" name="13" totalsRowFunction="custom" dataDxfId="711" totalsRowDxfId="213">
      <totalsRowFormula>COUNTIF(PrisotnostFebruarja[13],"N")+COUNTIF(PrisotnostFebruarja[13],"E")</totalsRowFormula>
    </tableColumn>
    <tableColumn id="15" name="14" totalsRowFunction="custom" dataDxfId="710" totalsRowDxfId="212">
      <totalsRowFormula>COUNTIF(PrisotnostFebruarja[14],"N")+COUNTIF(PrisotnostFebruarja[14],"E")</totalsRowFormula>
    </tableColumn>
    <tableColumn id="16" name="15" totalsRowFunction="custom" dataDxfId="709" totalsRowDxfId="211">
      <totalsRowFormula>COUNTIF(PrisotnostFebruarja[15],"N")+COUNTIF(PrisotnostFebruarja[15],"E")</totalsRowFormula>
    </tableColumn>
    <tableColumn id="17" name="16" totalsRowFunction="custom" dataDxfId="708" totalsRowDxfId="210">
      <totalsRowFormula>COUNTIF(PrisotnostFebruarja[16],"N")+COUNTIF(PrisotnostFebruarja[16],"E")</totalsRowFormula>
    </tableColumn>
    <tableColumn id="18" name="17" totalsRowFunction="custom" dataDxfId="707" totalsRowDxfId="209">
      <totalsRowFormula>COUNTIF(PrisotnostFebruarja[17],"N")+COUNTIF(PrisotnostFebruarja[17],"E")</totalsRowFormula>
    </tableColumn>
    <tableColumn id="19" name="18" totalsRowFunction="custom" dataDxfId="706" totalsRowDxfId="208">
      <totalsRowFormula>COUNTIF(PrisotnostFebruarja[18],"N")+COUNTIF(PrisotnostFebruarja[18],"E")</totalsRowFormula>
    </tableColumn>
    <tableColumn id="20" name="19" totalsRowFunction="custom" dataDxfId="705" totalsRowDxfId="207">
      <totalsRowFormula>COUNTIF(PrisotnostFebruarja[19],"N")+COUNTIF(PrisotnostFebruarja[19],"E")</totalsRowFormula>
    </tableColumn>
    <tableColumn id="21" name="20" totalsRowFunction="custom" dataDxfId="704" totalsRowDxfId="206">
      <totalsRowFormula>COUNTIF(PrisotnostFebruarja[20],"N")+COUNTIF(PrisotnostFebruarja[20],"E")</totalsRowFormula>
    </tableColumn>
    <tableColumn id="22" name="21" totalsRowFunction="custom" dataDxfId="703" totalsRowDxfId="205">
      <totalsRowFormula>COUNTIF(PrisotnostFebruarja[21],"N")+COUNTIF(PrisotnostFebruarja[21],"E")</totalsRowFormula>
    </tableColumn>
    <tableColumn id="23" name="22" totalsRowFunction="custom" dataDxfId="702" totalsRowDxfId="204">
      <totalsRowFormula>COUNTIF(PrisotnostFebruarja[22],"N")+COUNTIF(PrisotnostFebruarja[22],"E")</totalsRowFormula>
    </tableColumn>
    <tableColumn id="24" name="23" totalsRowFunction="custom" dataDxfId="701" totalsRowDxfId="203">
      <totalsRowFormula>COUNTIF(PrisotnostFebruarja[23],"N")+COUNTIF(PrisotnostFebruarja[23],"E")</totalsRowFormula>
    </tableColumn>
    <tableColumn id="25" name="24" totalsRowFunction="custom" dataDxfId="700" totalsRowDxfId="202">
      <totalsRowFormula>COUNTIF(PrisotnostFebruarja[24],"N")+COUNTIF(PrisotnostFebruarja[24],"E")</totalsRowFormula>
    </tableColumn>
    <tableColumn id="26" name="25" totalsRowFunction="custom" dataDxfId="699" totalsRowDxfId="201">
      <totalsRowFormula>COUNTIF(PrisotnostFebruarja[25],"N")+COUNTIF(PrisotnostFebruarja[25],"E")</totalsRowFormula>
    </tableColumn>
    <tableColumn id="27" name="26" totalsRowFunction="custom" dataDxfId="698" totalsRowDxfId="200">
      <totalsRowFormula>COUNTIF(PrisotnostFebruarja[26],"N")+COUNTIF(PrisotnostFebruarja[26],"E")</totalsRowFormula>
    </tableColumn>
    <tableColumn id="28" name="27" totalsRowFunction="custom" dataDxfId="697" totalsRowDxfId="199">
      <totalsRowFormula>COUNTIF(PrisotnostFebruarja[27],"N")+COUNTIF(PrisotnostFebruarja[27],"E")</totalsRowFormula>
    </tableColumn>
    <tableColumn id="29" name="28" totalsRowFunction="custom" dataDxfId="696" totalsRowDxfId="198">
      <totalsRowFormula>COUNTIF(PrisotnostFebruarja[28],"N")+COUNTIF(PrisotnostFebruarja[28],"E")</totalsRowFormula>
    </tableColumn>
    <tableColumn id="30" name="29" totalsRowFunction="custom" dataDxfId="695" totalsRowDxfId="197">
      <totalsRowFormula>COUNTIF(PrisotnostFebruarja[29],"N")+COUNTIF(PrisotnostFebruarja[29],"E")</totalsRowFormula>
    </tableColumn>
    <tableColumn id="31" name="30" dataDxfId="694" totalsRowDxfId="196"/>
    <tableColumn id="32" name="31" dataDxfId="693" totalsRowDxfId="195"/>
    <tableColumn id="35" name="Po" totalsRowFunction="sum" dataDxfId="692" totalsRowDxfId="194">
      <calculatedColumnFormula>COUNTIF(PrisotnostFebruarja[[#This Row],[1]:[31]],Koda1)</calculatedColumnFormula>
    </tableColumn>
    <tableColumn id="34" name="E" totalsRowFunction="sum" dataDxfId="691" totalsRowDxfId="193">
      <calculatedColumnFormula>COUNTIF(PrisotnostFebruarja[[#This Row],[1]:[31]],Koda2)</calculatedColumnFormula>
    </tableColumn>
    <tableColumn id="37" name="N" totalsRowFunction="sum" dataDxfId="690" totalsRowDxfId="192">
      <calculatedColumnFormula>COUNTIF(PrisotnostFebruarja[[#This Row],[1]:[31]],Koda3)</calculatedColumnFormula>
    </tableColumn>
    <tableColumn id="36" name="P" totalsRowFunction="sum" dataDxfId="689" totalsRowDxfId="191">
      <calculatedColumnFormula>COUNTIF(PrisotnostFebruarja[[#This Row],[1]:[31]],Koda4)</calculatedColumnFormula>
    </tableColumn>
    <tableColumn id="33" name="Dni odsoten" totalsRowFunction="sum" dataDxfId="688" totalsRowDxfId="190"/>
  </tableColumns>
  <tableStyleInfo name="Employee Absence Table" showFirstColumn="0" showLastColumn="0" showRowStripes="1" showColumnStripes="1"/>
  <extLst>
    <ext xmlns:x14="http://schemas.microsoft.com/office/spreadsheetml/2009/9/main" uri="{504A1905-F514-4f6f-8877-14C23A59335A}">
      <x14:table altText="Evidenca prisotnosti za februar" altTextSummary="Beleži študentovo prisotnost, kot K=Kasen, O=Opravičen, N=Neopravičen, P=Prisoten, S=Ni šole, za mesec februar."/>
    </ext>
  </extLst>
</table>
</file>

<file path=xl/tables/table9.xml><?xml version="1.0" encoding="utf-8"?>
<table xmlns="http://schemas.openxmlformats.org/spreadsheetml/2006/main" id="8" name="PrisotnostMarca" displayName="PrisotnostMarca" ref="B6:AM12" totalsRowCount="1" headerRowDxfId="682" totalsRowDxfId="681">
  <tableColumns count="38">
    <tableColumn id="38" name="ID študenta" dataDxfId="680" totalsRowDxfId="189"/>
    <tableColumn id="1" name="Ime študenta" totalsRowLabel="Skupno odsoten dni" dataDxfId="679" totalsRowDxfId="188"/>
    <tableColumn id="2" name="1" totalsRowFunction="custom" dataDxfId="678" totalsRowDxfId="187">
      <totalsRowFormula>COUNTIF(PrisotnostMarca[1],"N")+COUNTIF(PrisotnostMarca[1],"E")</totalsRowFormula>
    </tableColumn>
    <tableColumn id="3" name="2" totalsRowFunction="custom" dataDxfId="677" totalsRowDxfId="186">
      <totalsRowFormula>COUNTIF(PrisotnostMarca[2],"N")+COUNTIF(PrisotnostMarca[2],"E")</totalsRowFormula>
    </tableColumn>
    <tableColumn id="4" name="3" totalsRowFunction="custom" dataDxfId="676" totalsRowDxfId="185">
      <totalsRowFormula>COUNTIF(PrisotnostMarca[3],"N")+COUNTIF(PrisotnostMarca[3],"E")</totalsRowFormula>
    </tableColumn>
    <tableColumn id="5" name="4" totalsRowFunction="custom" dataDxfId="675" totalsRowDxfId="184">
      <totalsRowFormula>COUNTIF(PrisotnostMarca[4],"N")+COUNTIF(PrisotnostMarca[4],"E")</totalsRowFormula>
    </tableColumn>
    <tableColumn id="6" name="5" totalsRowFunction="custom" dataDxfId="674" totalsRowDxfId="183">
      <totalsRowFormula>COUNTIF(PrisotnostMarca[5],"N")+COUNTIF(PrisotnostMarca[5],"E")</totalsRowFormula>
    </tableColumn>
    <tableColumn id="7" name="6" totalsRowFunction="custom" dataDxfId="673" totalsRowDxfId="182">
      <totalsRowFormula>COUNTIF(PrisotnostMarca[6],"N")+COUNTIF(PrisotnostMarca[6],"E")</totalsRowFormula>
    </tableColumn>
    <tableColumn id="8" name="7" totalsRowFunction="custom" dataDxfId="672" totalsRowDxfId="181">
      <totalsRowFormula>COUNTIF(PrisotnostMarca[7],"N")+COUNTIF(PrisotnostMarca[7],"E")</totalsRowFormula>
    </tableColumn>
    <tableColumn id="9" name="8" totalsRowFunction="custom" dataDxfId="671" totalsRowDxfId="180">
      <totalsRowFormula>COUNTIF(PrisotnostMarca[8],"N")+COUNTIF(PrisotnostMarca[8],"E")</totalsRowFormula>
    </tableColumn>
    <tableColumn id="10" name="9" totalsRowFunction="custom" dataDxfId="670" totalsRowDxfId="179">
      <totalsRowFormula>COUNTIF(PrisotnostMarca[9],"N")+COUNTIF(PrisotnostMarca[9],"E")</totalsRowFormula>
    </tableColumn>
    <tableColumn id="11" name="10" totalsRowFunction="custom" dataDxfId="669" totalsRowDxfId="178">
      <totalsRowFormula>COUNTIF(PrisotnostMarca[10],"N")+COUNTIF(PrisotnostMarca[10],"E")</totalsRowFormula>
    </tableColumn>
    <tableColumn id="12" name="11" totalsRowFunction="custom" dataDxfId="668" totalsRowDxfId="177">
      <totalsRowFormula>COUNTIF(PrisotnostMarca[11],"N")+COUNTIF(PrisotnostMarca[11],"E")</totalsRowFormula>
    </tableColumn>
    <tableColumn id="13" name="12" totalsRowFunction="custom" dataDxfId="667" totalsRowDxfId="176">
      <totalsRowFormula>COUNTIF(PrisotnostMarca[12],"N")+COUNTIF(PrisotnostMarca[12],"E")</totalsRowFormula>
    </tableColumn>
    <tableColumn id="14" name="13" totalsRowFunction="custom" dataDxfId="666" totalsRowDxfId="175">
      <totalsRowFormula>COUNTIF(PrisotnostMarca[13],"N")+COUNTIF(PrisotnostMarca[13],"E")</totalsRowFormula>
    </tableColumn>
    <tableColumn id="15" name="14" totalsRowFunction="custom" dataDxfId="665" totalsRowDxfId="174">
      <totalsRowFormula>COUNTIF(PrisotnostMarca[14],"N")+COUNTIF(PrisotnostMarca[14],"E")</totalsRowFormula>
    </tableColumn>
    <tableColumn id="16" name="15" totalsRowFunction="custom" dataDxfId="664" totalsRowDxfId="173">
      <totalsRowFormula>COUNTIF(PrisotnostMarca[15],"N")+COUNTIF(PrisotnostMarca[15],"E")</totalsRowFormula>
    </tableColumn>
    <tableColumn id="17" name="16" totalsRowFunction="custom" dataDxfId="663" totalsRowDxfId="172">
      <totalsRowFormula>COUNTIF(PrisotnostMarca[16],"N")+COUNTIF(PrisotnostMarca[16],"E")</totalsRowFormula>
    </tableColumn>
    <tableColumn id="18" name="17" totalsRowFunction="custom" dataDxfId="662" totalsRowDxfId="171">
      <totalsRowFormula>COUNTIF(PrisotnostMarca[17],"N")+COUNTIF(PrisotnostMarca[17],"E")</totalsRowFormula>
    </tableColumn>
    <tableColumn id="19" name="18" totalsRowFunction="custom" dataDxfId="661" totalsRowDxfId="170">
      <totalsRowFormula>COUNTIF(PrisotnostMarca[18],"N")+COUNTIF(PrisotnostMarca[18],"E")</totalsRowFormula>
    </tableColumn>
    <tableColumn id="20" name="19" totalsRowFunction="custom" dataDxfId="660" totalsRowDxfId="169">
      <totalsRowFormula>COUNTIF(PrisotnostMarca[19],"N")+COUNTIF(PrisotnostMarca[19],"E")</totalsRowFormula>
    </tableColumn>
    <tableColumn id="21" name="20" totalsRowFunction="custom" dataDxfId="659" totalsRowDxfId="168">
      <totalsRowFormula>COUNTIF(PrisotnostMarca[20],"N")+COUNTIF(PrisotnostMarca[20],"E")</totalsRowFormula>
    </tableColumn>
    <tableColumn id="22" name="21" totalsRowFunction="custom" dataDxfId="658" totalsRowDxfId="167">
      <totalsRowFormula>COUNTIF(PrisotnostMarca[21],"N")+COUNTIF(PrisotnostMarca[21],"E")</totalsRowFormula>
    </tableColumn>
    <tableColumn id="23" name="22" totalsRowFunction="custom" dataDxfId="657" totalsRowDxfId="166">
      <totalsRowFormula>COUNTIF(PrisotnostMarca[22],"N")+COUNTIF(PrisotnostMarca[22],"E")</totalsRowFormula>
    </tableColumn>
    <tableColumn id="24" name="23" totalsRowFunction="custom" dataDxfId="656" totalsRowDxfId="165">
      <totalsRowFormula>COUNTIF(PrisotnostMarca[23],"N")+COUNTIF(PrisotnostMarca[23],"E")</totalsRowFormula>
    </tableColumn>
    <tableColumn id="25" name="24" totalsRowFunction="custom" dataDxfId="655" totalsRowDxfId="164">
      <totalsRowFormula>COUNTIF(PrisotnostMarca[24],"N")+COUNTIF(PrisotnostMarca[24],"E")</totalsRowFormula>
    </tableColumn>
    <tableColumn id="26" name="25" totalsRowFunction="custom" dataDxfId="654" totalsRowDxfId="163">
      <totalsRowFormula>COUNTIF(PrisotnostMarca[25],"N")+COUNTIF(PrisotnostMarca[25],"E")</totalsRowFormula>
    </tableColumn>
    <tableColumn id="27" name="26" totalsRowFunction="custom" dataDxfId="653" totalsRowDxfId="162">
      <totalsRowFormula>COUNTIF(PrisotnostMarca[26],"N")+COUNTIF(PrisotnostMarca[26],"E")</totalsRowFormula>
    </tableColumn>
    <tableColumn id="28" name="27" totalsRowFunction="custom" dataDxfId="652" totalsRowDxfId="161">
      <totalsRowFormula>COUNTIF(PrisotnostMarca[27],"N")+COUNTIF(PrisotnostMarca[27],"E")</totalsRowFormula>
    </tableColumn>
    <tableColumn id="29" name="28" totalsRowFunction="custom" dataDxfId="651" totalsRowDxfId="160">
      <totalsRowFormula>COUNTIF(PrisotnostMarca[28],"N")+COUNTIF(PrisotnostMarca[28],"E")</totalsRowFormula>
    </tableColumn>
    <tableColumn id="30" name="29" totalsRowFunction="custom" dataDxfId="650" totalsRowDxfId="159">
      <totalsRowFormula>COUNTIF(PrisotnostMarca[29],"N")+COUNTIF(PrisotnostMarca[29],"E")</totalsRowFormula>
    </tableColumn>
    <tableColumn id="31" name="30" dataDxfId="649" totalsRowDxfId="158"/>
    <tableColumn id="32" name="31" dataDxfId="648" totalsRowDxfId="157"/>
    <tableColumn id="35" name="Po" totalsRowFunction="sum" dataDxfId="647" totalsRowDxfId="156">
      <calculatedColumnFormula>COUNTIF(PrisotnostMarca[[#This Row],[1]:[31]],Koda1)</calculatedColumnFormula>
    </tableColumn>
    <tableColumn id="34" name="E" totalsRowFunction="sum" dataDxfId="646" totalsRowDxfId="155">
      <calculatedColumnFormula>COUNTIF(PrisotnostMarca[[#This Row],[1]:[31]],Koda2)</calculatedColumnFormula>
    </tableColumn>
    <tableColumn id="37" name="N" totalsRowFunction="sum" dataDxfId="645" totalsRowDxfId="154">
      <calculatedColumnFormula>COUNTIF(PrisotnostMarca[[#This Row],[1]:[31]],Koda3)</calculatedColumnFormula>
    </tableColumn>
    <tableColumn id="36" name="P" totalsRowFunction="sum" dataDxfId="644" totalsRowDxfId="153">
      <calculatedColumnFormula>COUNTIF(PrisotnostMarca[[#This Row],[1]:[31]],Koda4)</calculatedColumnFormula>
    </tableColumn>
    <tableColumn id="33" name="Dni odsoten" totalsRowFunction="sum" dataDxfId="643" totalsRowDxfId="152"/>
  </tableColumns>
  <tableStyleInfo name="Employee Absence Table" showFirstColumn="0" showLastColumn="0" showRowStripes="1" showColumnStripes="1"/>
  <extLst>
    <ext xmlns:x14="http://schemas.microsoft.com/office/spreadsheetml/2009/9/main" uri="{504A1905-F514-4f6f-8877-14C23A59335A}">
      <x14:table altText="Evidenca prisotnosti za februar" altTextSummary="Beleži študentovo prisotnost, kot K=Kasen, O=Opravičen, N=Neopravičen, P=Prisoten, S=Ni šole, za mesec marec."/>
    </ext>
  </extLst>
</table>
</file>

<file path=xl/theme/theme1.xml><?xml version="1.0" encoding="utf-8"?>
<a:theme xmlns:a="http://schemas.openxmlformats.org/drawingml/2006/main" name="Office Theme">
  <a:themeElements>
    <a:clrScheme name="Student Attendance Record">
      <a:dk1>
        <a:sysClr val="windowText" lastClr="000000"/>
      </a:dk1>
      <a:lt1>
        <a:sysClr val="window" lastClr="FFFFFF"/>
      </a:lt1>
      <a:dk2>
        <a:srgbClr val="645050"/>
      </a:dk2>
      <a:lt2>
        <a:srgbClr val="FAF0DC"/>
      </a:lt2>
      <a:accent1>
        <a:srgbClr val="4BACC6"/>
      </a:accent1>
      <a:accent2>
        <a:srgbClr val="FFD264"/>
      </a:accent2>
      <a:accent3>
        <a:srgbClr val="FF9354"/>
      </a:accent3>
      <a:accent4>
        <a:srgbClr val="B4D23C"/>
      </a:accent4>
      <a:accent5>
        <a:srgbClr val="AE701E"/>
      </a:accent5>
      <a:accent6>
        <a:srgbClr val="003CC9"/>
      </a:accent6>
      <a:hlink>
        <a:srgbClr val="457CFF"/>
      </a:hlink>
      <a:folHlink>
        <a:srgbClr val="EDC796"/>
      </a:folHlink>
    </a:clrScheme>
    <a:fontScheme name="Student Attendance Record">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office.microsoft.com/client/helppreview14.aspx?AssetId=HA010354866&amp;lcid=1033&amp;NS=EXCEL&amp;Version=14&amp;tl=2&amp;respos=0&amp;CTT=1&amp;queryid=d38d00d08c94494fb55f055eb667c2c9"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table" Target="../tables/table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P32"/>
  <sheetViews>
    <sheetView showGridLines="0" showRowColHeaders="0" tabSelected="1" workbookViewId="0"/>
  </sheetViews>
  <sheetFormatPr defaultRowHeight="13.5" x14ac:dyDescent="0.25"/>
  <cols>
    <col min="1" max="3" width="3.28515625" customWidth="1"/>
    <col min="4" max="4" width="3.85546875" customWidth="1"/>
    <col min="14" max="14" width="2.42578125" customWidth="1"/>
  </cols>
  <sheetData>
    <row r="1" spans="1:16" ht="42" customHeight="1" x14ac:dyDescent="0.25">
      <c r="A1" s="86" t="s">
        <v>117</v>
      </c>
      <c r="B1" s="86"/>
      <c r="C1" s="86"/>
      <c r="D1" s="86"/>
      <c r="E1" s="44"/>
      <c r="F1" s="44"/>
      <c r="G1" s="44"/>
      <c r="H1" s="44"/>
      <c r="I1" s="44"/>
      <c r="J1" s="44"/>
      <c r="K1" s="44"/>
      <c r="L1" s="44"/>
      <c r="M1" s="44"/>
      <c r="N1" s="44"/>
      <c r="O1" s="94"/>
      <c r="P1" s="94"/>
    </row>
    <row r="2" spans="1:16" ht="6.75" customHeight="1" x14ac:dyDescent="0.25"/>
    <row r="3" spans="1:16" ht="17.25" x14ac:dyDescent="0.3">
      <c r="B3" s="87" t="s">
        <v>102</v>
      </c>
      <c r="C3" s="87"/>
      <c r="D3" s="87"/>
      <c r="E3" s="87"/>
      <c r="F3" s="87"/>
    </row>
    <row r="4" spans="1:16" ht="28.5" customHeight="1" x14ac:dyDescent="0.25">
      <c r="C4" s="115" t="s">
        <v>106</v>
      </c>
      <c r="D4" s="115"/>
      <c r="E4" s="115"/>
      <c r="F4" s="115"/>
      <c r="G4" s="115"/>
      <c r="H4" s="115"/>
      <c r="I4" s="115"/>
      <c r="J4" s="115"/>
      <c r="K4" s="115"/>
      <c r="L4" s="115"/>
      <c r="M4" s="115"/>
    </row>
    <row r="5" spans="1:16" ht="85.5" customHeight="1" x14ac:dyDescent="0.25">
      <c r="D5" s="93" t="s">
        <v>98</v>
      </c>
      <c r="E5" s="114" t="s">
        <v>124</v>
      </c>
      <c r="F5" s="114"/>
      <c r="G5" s="114"/>
      <c r="H5" s="114"/>
      <c r="I5" s="114"/>
      <c r="J5" s="114"/>
      <c r="K5" s="114"/>
      <c r="L5" s="114"/>
      <c r="M5" s="114"/>
      <c r="N5" s="88"/>
    </row>
    <row r="6" spans="1:16" ht="61.5" customHeight="1" x14ac:dyDescent="0.25">
      <c r="C6" s="88"/>
      <c r="D6" s="93" t="s">
        <v>99</v>
      </c>
      <c r="E6" s="114" t="s">
        <v>125</v>
      </c>
      <c r="F6" s="114"/>
      <c r="G6" s="114"/>
      <c r="H6" s="114"/>
      <c r="I6" s="114"/>
      <c r="J6" s="114"/>
      <c r="K6" s="114"/>
      <c r="L6" s="114"/>
      <c r="M6" s="114"/>
      <c r="N6" s="88"/>
    </row>
    <row r="7" spans="1:16" ht="84.75" customHeight="1" x14ac:dyDescent="0.25">
      <c r="C7" s="88"/>
      <c r="D7" s="93" t="s">
        <v>100</v>
      </c>
      <c r="E7" s="114" t="s">
        <v>126</v>
      </c>
      <c r="F7" s="114"/>
      <c r="G7" s="114"/>
      <c r="H7" s="114"/>
      <c r="I7" s="114"/>
      <c r="J7" s="114"/>
      <c r="K7" s="114"/>
      <c r="L7" s="114"/>
      <c r="M7" s="114"/>
      <c r="N7" s="88"/>
    </row>
    <row r="8" spans="1:16" ht="57" customHeight="1" x14ac:dyDescent="0.25">
      <c r="C8" s="88"/>
      <c r="D8" s="93"/>
      <c r="E8" s="116" t="s">
        <v>121</v>
      </c>
      <c r="F8" s="116"/>
      <c r="G8" s="116"/>
      <c r="H8" s="116"/>
      <c r="I8" s="116"/>
      <c r="J8" s="116"/>
      <c r="K8" s="116"/>
      <c r="L8" s="116"/>
      <c r="M8" s="116"/>
      <c r="N8" s="88"/>
    </row>
    <row r="9" spans="1:16" ht="16.5" customHeight="1" x14ac:dyDescent="0.25">
      <c r="E9" s="117" t="s">
        <v>118</v>
      </c>
      <c r="F9" s="117"/>
      <c r="G9" s="117"/>
      <c r="H9" s="117"/>
    </row>
    <row r="10" spans="1:16" ht="6.75" customHeight="1" x14ac:dyDescent="0.25"/>
    <row r="11" spans="1:16" ht="16.5" customHeight="1" x14ac:dyDescent="0.3">
      <c r="B11" s="87" t="s">
        <v>103</v>
      </c>
      <c r="C11" s="87"/>
      <c r="D11" s="87"/>
      <c r="E11" s="87"/>
      <c r="F11" s="87"/>
      <c r="G11" s="87"/>
      <c r="H11" s="87"/>
      <c r="I11" s="87"/>
    </row>
    <row r="12" spans="1:16" s="89" customFormat="1" ht="35.25" customHeight="1" x14ac:dyDescent="0.25">
      <c r="C12" s="115" t="s">
        <v>101</v>
      </c>
      <c r="D12" s="115"/>
      <c r="E12" s="115"/>
      <c r="F12" s="115"/>
      <c r="G12" s="115"/>
      <c r="H12" s="115"/>
      <c r="I12" s="115"/>
      <c r="J12" s="115"/>
      <c r="K12" s="115"/>
      <c r="L12" s="115"/>
      <c r="M12" s="115"/>
    </row>
    <row r="13" spans="1:16" ht="35.25" customHeight="1" x14ac:dyDescent="0.25">
      <c r="D13" s="93" t="s">
        <v>98</v>
      </c>
      <c r="E13" s="114" t="s">
        <v>127</v>
      </c>
      <c r="F13" s="114"/>
      <c r="G13" s="114"/>
      <c r="H13" s="114"/>
      <c r="I13" s="114"/>
      <c r="J13" s="114"/>
      <c r="K13" s="114"/>
      <c r="L13" s="114"/>
      <c r="M13" s="114"/>
      <c r="N13" s="88"/>
      <c r="O13" s="88"/>
    </row>
    <row r="14" spans="1:16" ht="47.25" customHeight="1" x14ac:dyDescent="0.25">
      <c r="D14" s="93"/>
      <c r="E14" s="114" t="s">
        <v>120</v>
      </c>
      <c r="F14" s="114"/>
      <c r="G14" s="114"/>
      <c r="H14" s="114"/>
      <c r="I14" s="114"/>
      <c r="J14" s="114"/>
      <c r="K14" s="114"/>
      <c r="L14" s="114"/>
      <c r="M14" s="114"/>
      <c r="N14" s="98"/>
      <c r="O14" s="98"/>
    </row>
    <row r="15" spans="1:16" s="90" customFormat="1" ht="57.75" customHeight="1" x14ac:dyDescent="0.25">
      <c r="D15" s="93" t="s">
        <v>99</v>
      </c>
      <c r="E15" s="114" t="s">
        <v>111</v>
      </c>
      <c r="F15" s="114"/>
      <c r="G15" s="114"/>
      <c r="H15" s="114"/>
      <c r="I15" s="114"/>
      <c r="J15" s="114"/>
      <c r="K15" s="114"/>
      <c r="L15" s="114"/>
      <c r="M15" s="114"/>
      <c r="N15" s="91"/>
      <c r="O15" s="91"/>
    </row>
    <row r="16" spans="1:16" ht="6.75" customHeight="1" x14ac:dyDescent="0.25"/>
    <row r="17" spans="2:13" ht="17.25" x14ac:dyDescent="0.3">
      <c r="B17" s="87" t="s">
        <v>104</v>
      </c>
      <c r="C17" s="87"/>
      <c r="D17" s="87"/>
      <c r="E17" s="87"/>
      <c r="F17" s="87"/>
      <c r="G17" s="87"/>
      <c r="H17" s="87"/>
      <c r="I17" s="87"/>
      <c r="J17" s="87"/>
    </row>
    <row r="18" spans="2:13" ht="30.75" customHeight="1" x14ac:dyDescent="0.25">
      <c r="B18" s="89"/>
      <c r="C18" s="115" t="s">
        <v>112</v>
      </c>
      <c r="D18" s="115"/>
      <c r="E18" s="115"/>
      <c r="F18" s="115"/>
      <c r="G18" s="115"/>
      <c r="H18" s="115"/>
      <c r="I18" s="115"/>
      <c r="J18" s="115"/>
      <c r="K18" s="115"/>
      <c r="L18" s="115"/>
      <c r="M18" s="115"/>
    </row>
    <row r="19" spans="2:13" ht="34.5" customHeight="1" x14ac:dyDescent="0.25">
      <c r="B19" s="89"/>
      <c r="C19" s="95"/>
      <c r="D19" s="90" t="s">
        <v>97</v>
      </c>
      <c r="E19" s="115" t="s">
        <v>108</v>
      </c>
      <c r="F19" s="115"/>
      <c r="G19" s="115"/>
      <c r="H19" s="115"/>
      <c r="I19" s="115"/>
      <c r="J19" s="115"/>
      <c r="K19" s="115"/>
      <c r="L19" s="115"/>
      <c r="M19" s="115"/>
    </row>
    <row r="20" spans="2:13" s="90" customFormat="1" ht="34.5" customHeight="1" x14ac:dyDescent="0.25">
      <c r="D20" s="90" t="s">
        <v>97</v>
      </c>
      <c r="E20" s="114" t="s">
        <v>109</v>
      </c>
      <c r="F20" s="114"/>
      <c r="G20" s="114"/>
      <c r="H20" s="114"/>
      <c r="I20" s="114"/>
      <c r="J20" s="114"/>
      <c r="K20" s="114"/>
      <c r="L20" s="114"/>
      <c r="M20" s="114"/>
    </row>
    <row r="21" spans="2:13" s="90" customFormat="1" ht="34.5" customHeight="1" x14ac:dyDescent="0.25">
      <c r="D21" s="90" t="s">
        <v>97</v>
      </c>
      <c r="E21" s="114" t="s">
        <v>128</v>
      </c>
      <c r="F21" s="114"/>
      <c r="G21" s="114"/>
      <c r="H21" s="114"/>
      <c r="I21" s="114"/>
      <c r="J21" s="114"/>
      <c r="K21" s="114"/>
      <c r="L21" s="114"/>
      <c r="M21" s="114"/>
    </row>
    <row r="22" spans="2:13" s="90" customFormat="1" ht="29.25" customHeight="1" x14ac:dyDescent="0.25">
      <c r="D22" s="90" t="s">
        <v>97</v>
      </c>
      <c r="E22" s="114" t="s">
        <v>110</v>
      </c>
      <c r="F22" s="114"/>
      <c r="G22" s="114"/>
      <c r="H22" s="114"/>
      <c r="I22" s="114"/>
      <c r="J22" s="114"/>
      <c r="K22" s="114"/>
      <c r="L22" s="114"/>
      <c r="M22" s="114"/>
    </row>
    <row r="23" spans="2:13" ht="6.75" customHeight="1" x14ac:dyDescent="0.25"/>
    <row r="24" spans="2:13" s="90" customFormat="1" ht="16.5" customHeight="1" x14ac:dyDescent="0.25">
      <c r="B24" s="96" t="s">
        <v>105</v>
      </c>
      <c r="C24" s="96"/>
      <c r="D24" s="96"/>
      <c r="E24" s="96"/>
      <c r="F24" s="96"/>
      <c r="G24" s="96"/>
      <c r="H24" s="96"/>
      <c r="I24" s="96"/>
      <c r="J24" s="96"/>
      <c r="K24" s="96"/>
    </row>
    <row r="25" spans="2:13" s="90" customFormat="1" ht="96" customHeight="1" x14ac:dyDescent="0.25">
      <c r="C25" s="115" t="s">
        <v>119</v>
      </c>
      <c r="D25" s="115"/>
      <c r="E25" s="115"/>
      <c r="F25" s="115"/>
      <c r="G25" s="115"/>
      <c r="H25" s="115"/>
      <c r="I25" s="115"/>
      <c r="J25" s="115"/>
      <c r="K25" s="115"/>
      <c r="L25" s="115"/>
      <c r="M25" s="115"/>
    </row>
    <row r="26" spans="2:13" s="90" customFormat="1" ht="16.5" customHeight="1" x14ac:dyDescent="0.25"/>
    <row r="27" spans="2:13" s="90" customFormat="1" ht="16.5" customHeight="1" x14ac:dyDescent="0.25"/>
    <row r="28" spans="2:13" s="90" customFormat="1" ht="16.5" customHeight="1" x14ac:dyDescent="0.25"/>
    <row r="29" spans="2:13" s="90" customFormat="1" ht="16.5" customHeight="1" x14ac:dyDescent="0.25"/>
    <row r="30" spans="2:13" s="90" customFormat="1" ht="16.5" customHeight="1" x14ac:dyDescent="0.25"/>
    <row r="31" spans="2:13" s="90" customFormat="1" ht="16.5" customHeight="1" x14ac:dyDescent="0.25"/>
    <row r="32" spans="2:13" ht="16.5" customHeight="1" x14ac:dyDescent="0.25"/>
  </sheetData>
  <mergeCells count="16">
    <mergeCell ref="C12:M12"/>
    <mergeCell ref="C4:M4"/>
    <mergeCell ref="E5:M5"/>
    <mergeCell ref="E6:M6"/>
    <mergeCell ref="E7:M7"/>
    <mergeCell ref="E8:M8"/>
    <mergeCell ref="E9:H9"/>
    <mergeCell ref="E22:M22"/>
    <mergeCell ref="C25:M25"/>
    <mergeCell ref="E13:M13"/>
    <mergeCell ref="E15:M15"/>
    <mergeCell ref="C18:M18"/>
    <mergeCell ref="E19:M19"/>
    <mergeCell ref="E20:M20"/>
    <mergeCell ref="E21:M21"/>
    <mergeCell ref="E14:M14"/>
  </mergeCells>
  <hyperlinks>
    <hyperlink ref="E9:F9" r:id="rId1" location="_Toc261352312" display="Customize a document theme."/>
  </hyperlinks>
  <printOptions horizontalCentered="1"/>
  <pageMargins left="0.25" right="0.25" top="0.75" bottom="0.75" header="0.3" footer="0.3"/>
  <pageSetup paperSize="9" scale="84" orientation="portrait" r:id="rId2"/>
  <ignoredErrors>
    <ignoredError sqref="D15 D5:D7 D13"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M264"/>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x14ac:dyDescent="0.25"/>
  <cols>
    <col min="1" max="1" width="2.7109375" style="11" customWidth="1"/>
    <col min="2" max="2" width="11.5703125" style="11" bestFit="1" customWidth="1"/>
    <col min="3" max="3" width="28.85546875" style="12" customWidth="1"/>
    <col min="4" max="34" width="5" style="10" customWidth="1"/>
    <col min="35" max="35" width="4.7109375" style="9" customWidth="1"/>
    <col min="36" max="36" width="4.7109375" style="10" customWidth="1"/>
    <col min="37" max="38" width="4.7109375" style="11" customWidth="1"/>
    <col min="39" max="39" width="12.7109375" style="11" customWidth="1"/>
    <col min="40" max="16384" width="9.140625" style="11"/>
  </cols>
  <sheetData>
    <row r="1" spans="1:39" s="1" customFormat="1" ht="42" customHeight="1" x14ac:dyDescent="0.25">
      <c r="A1" s="38" t="s">
        <v>84</v>
      </c>
      <c r="B1" s="39"/>
      <c r="C1" s="39"/>
      <c r="D1" s="40"/>
      <c r="E1" s="40"/>
      <c r="F1" s="40"/>
      <c r="G1" s="40"/>
      <c r="H1" s="40"/>
      <c r="I1" s="40"/>
      <c r="J1" s="40"/>
      <c r="K1" s="40"/>
      <c r="L1" s="40"/>
      <c r="M1" s="40"/>
      <c r="N1" s="40"/>
      <c r="O1" s="40"/>
      <c r="P1" s="40"/>
      <c r="Q1" s="40"/>
      <c r="R1" s="40"/>
      <c r="S1" s="40"/>
      <c r="T1" s="40"/>
      <c r="U1" s="40"/>
      <c r="V1" s="40"/>
      <c r="W1" s="40"/>
      <c r="X1" s="40"/>
      <c r="Y1" s="40"/>
      <c r="Z1" s="40"/>
      <c r="AA1" s="40"/>
      <c r="AB1" s="40"/>
      <c r="AC1" s="39"/>
      <c r="AD1" s="39"/>
      <c r="AE1" s="39"/>
      <c r="AF1" s="39"/>
      <c r="AG1" s="41"/>
      <c r="AH1" s="39"/>
      <c r="AI1" s="39"/>
      <c r="AJ1" s="42"/>
      <c r="AK1" s="39"/>
      <c r="AL1" s="58" t="s">
        <v>70</v>
      </c>
      <c r="AM1" s="59">
        <f>KoledarskoLeto</f>
        <v>2012</v>
      </c>
    </row>
    <row r="2" spans="1:39" customFormat="1" ht="13.5" x14ac:dyDescent="0.25"/>
    <row r="3" spans="1:39" s="32" customFormat="1" ht="12.75" customHeight="1" x14ac:dyDescent="0.25">
      <c r="C3" s="45" t="str">
        <f>BesediloBarvnegaKljuča</f>
        <v>BARVNI KLJUČ</v>
      </c>
      <c r="D3" s="52" t="str">
        <f>Koda1</f>
        <v>Po</v>
      </c>
      <c r="E3" s="69" t="str">
        <f>BesediloKode1</f>
        <v>Pozen</v>
      </c>
      <c r="F3" s="60"/>
      <c r="H3" s="53" t="str">
        <f>Koda2</f>
        <v>E</v>
      </c>
      <c r="I3" s="57" t="str">
        <f>BesediloKode2</f>
        <v>Opravičen</v>
      </c>
      <c r="L3" s="54" t="str">
        <f>Koda3</f>
        <v>N</v>
      </c>
      <c r="M3" s="57" t="str">
        <f>BesediloKode3</f>
        <v>Neopravičen</v>
      </c>
      <c r="P3" s="55" t="str">
        <f>Koda4</f>
        <v>P</v>
      </c>
      <c r="Q3" s="57" t="str">
        <f>BesediloKode4</f>
        <v>Prisoten</v>
      </c>
      <c r="T3" s="56" t="str">
        <f>Koda5</f>
        <v>Ni</v>
      </c>
      <c r="U3" s="57" t="str">
        <f>BesediloKode5</f>
        <v>Ni pouka</v>
      </c>
      <c r="W3"/>
      <c r="X3"/>
      <c r="Y3"/>
      <c r="AD3" s="31"/>
      <c r="AE3" s="31"/>
      <c r="AH3" s="33"/>
      <c r="AI3" s="34"/>
      <c r="AK3" s="35"/>
    </row>
    <row r="4" spans="1:39" customFormat="1" ht="16.5" customHeight="1" x14ac:dyDescent="0.25"/>
    <row r="5" spans="1:39" s="2" customFormat="1" ht="18" customHeight="1" x14ac:dyDescent="0.3">
      <c r="B5" s="62">
        <f>DATE(KoledarskoLeto+1,3,1)</f>
        <v>41334</v>
      </c>
      <c r="C5" s="61"/>
      <c r="D5" s="43" t="str">
        <f>TEXT(WEEKDAY(DATE(KoledarskoLeto+1,3,1),1),"aaa")</f>
        <v>pet</v>
      </c>
      <c r="E5" s="43" t="str">
        <f>TEXT(WEEKDAY(DATE(KoledarskoLeto+1,3,2),1),"aaa")</f>
        <v>sob</v>
      </c>
      <c r="F5" s="43" t="str">
        <f>TEXT(WEEKDAY(DATE(KoledarskoLeto+1,3,3),1),"aaa")</f>
        <v>ned</v>
      </c>
      <c r="G5" s="43" t="str">
        <f>TEXT(WEEKDAY(DATE(KoledarskoLeto+1,3,4),1),"aaa")</f>
        <v>pon</v>
      </c>
      <c r="H5" s="43" t="str">
        <f>TEXT(WEEKDAY(DATE(KoledarskoLeto+1,3,5),1),"aaa")</f>
        <v>tor</v>
      </c>
      <c r="I5" s="43" t="str">
        <f>TEXT(WEEKDAY(DATE(KoledarskoLeto+1,3,6),1),"aaa")</f>
        <v>sre</v>
      </c>
      <c r="J5" s="43" t="str">
        <f>TEXT(WEEKDAY(DATE(KoledarskoLeto+1,3,7),1),"aaa")</f>
        <v>čet</v>
      </c>
      <c r="K5" s="43" t="str">
        <f>TEXT(WEEKDAY(DATE(KoledarskoLeto+1,3,8),1),"aaa")</f>
        <v>pet</v>
      </c>
      <c r="L5" s="43" t="str">
        <f>TEXT(WEEKDAY(DATE(KoledarskoLeto+1,3,9),1),"aaa")</f>
        <v>sob</v>
      </c>
      <c r="M5" s="43" t="str">
        <f>TEXT(WEEKDAY(DATE(KoledarskoLeto+1,3,10),1),"aaa")</f>
        <v>ned</v>
      </c>
      <c r="N5" s="43" t="str">
        <f>TEXT(WEEKDAY(DATE(KoledarskoLeto+1,3,11),1),"aaa")</f>
        <v>pon</v>
      </c>
      <c r="O5" s="43" t="str">
        <f>TEXT(WEEKDAY(DATE(KoledarskoLeto+1,3,12),1),"aaa")</f>
        <v>tor</v>
      </c>
      <c r="P5" s="43" t="str">
        <f>TEXT(WEEKDAY(DATE(KoledarskoLeto+1,3,13),1),"aaa")</f>
        <v>sre</v>
      </c>
      <c r="Q5" s="43" t="str">
        <f>TEXT(WEEKDAY(DATE(KoledarskoLeto+1,3,14),1),"aaa")</f>
        <v>čet</v>
      </c>
      <c r="R5" s="43" t="str">
        <f>TEXT(WEEKDAY(DATE(KoledarskoLeto+1,3,15),1),"aaa")</f>
        <v>pet</v>
      </c>
      <c r="S5" s="43" t="str">
        <f>TEXT(WEEKDAY(DATE(KoledarskoLeto+1,3,16),1),"aaa")</f>
        <v>sob</v>
      </c>
      <c r="T5" s="43" t="str">
        <f>TEXT(WEEKDAY(DATE(KoledarskoLeto+1,3,17),1),"aaa")</f>
        <v>ned</v>
      </c>
      <c r="U5" s="43" t="str">
        <f>TEXT(WEEKDAY(DATE(KoledarskoLeto+1,3,18),1),"aaa")</f>
        <v>pon</v>
      </c>
      <c r="V5" s="43" t="str">
        <f>TEXT(WEEKDAY(DATE(KoledarskoLeto+1,3,19),1),"aaa")</f>
        <v>tor</v>
      </c>
      <c r="W5" s="43" t="str">
        <f>TEXT(WEEKDAY(DATE(KoledarskoLeto+1,3,20),1),"aaa")</f>
        <v>sre</v>
      </c>
      <c r="X5" s="43" t="str">
        <f>TEXT(WEEKDAY(DATE(KoledarskoLeto+1,3,21),1),"aaa")</f>
        <v>čet</v>
      </c>
      <c r="Y5" s="43" t="str">
        <f>TEXT(WEEKDAY(DATE(KoledarskoLeto+1,3,22),1),"aaa")</f>
        <v>pet</v>
      </c>
      <c r="Z5" s="43" t="str">
        <f>TEXT(WEEKDAY(DATE(KoledarskoLeto+1,3,23),1),"aaa")</f>
        <v>sob</v>
      </c>
      <c r="AA5" s="43" t="str">
        <f>TEXT(WEEKDAY(DATE(KoledarskoLeto+1,3,24),1),"aaa")</f>
        <v>ned</v>
      </c>
      <c r="AB5" s="43" t="str">
        <f>TEXT(WEEKDAY(DATE(KoledarskoLeto+1,3,25),1),"aaa")</f>
        <v>pon</v>
      </c>
      <c r="AC5" s="43" t="str">
        <f>TEXT(WEEKDAY(DATE(KoledarskoLeto+1,3,26),1),"aaa")</f>
        <v>tor</v>
      </c>
      <c r="AD5" s="43" t="str">
        <f>TEXT(WEEKDAY(DATE(KoledarskoLeto+1,3,27),1),"aaa")</f>
        <v>sre</v>
      </c>
      <c r="AE5" s="43" t="str">
        <f>TEXT(WEEKDAY(DATE(KoledarskoLeto+1,3,28),1),"aaa")</f>
        <v>čet</v>
      </c>
      <c r="AF5" s="43" t="str">
        <f>TEXT(WEEKDAY(DATE(KoledarskoLeto+1,3,29),1),"aaa")</f>
        <v>pet</v>
      </c>
      <c r="AG5" s="43" t="str">
        <f>TEXT(WEEKDAY(DATE(KoledarskoLeto+1,3,30),1),"aaa")</f>
        <v>sob</v>
      </c>
      <c r="AH5" s="43" t="str">
        <f>TEXT(WEEKDAY(DATE(KoledarskoLeto+1,3,31),1),"aaa")</f>
        <v>ned</v>
      </c>
      <c r="AI5" s="121" t="s">
        <v>41</v>
      </c>
      <c r="AJ5" s="121"/>
      <c r="AK5" s="121"/>
      <c r="AL5" s="121"/>
      <c r="AM5" s="121"/>
    </row>
    <row r="6" spans="1:39" ht="14.25" customHeight="1" x14ac:dyDescent="0.25">
      <c r="B6" s="28" t="s">
        <v>34</v>
      </c>
      <c r="C6" s="29" t="s">
        <v>36</v>
      </c>
      <c r="D6" s="30" t="s">
        <v>0</v>
      </c>
      <c r="E6" s="30" t="s">
        <v>1</v>
      </c>
      <c r="F6" s="30" t="s">
        <v>2</v>
      </c>
      <c r="G6" s="30" t="s">
        <v>3</v>
      </c>
      <c r="H6" s="30" t="s">
        <v>4</v>
      </c>
      <c r="I6" s="30" t="s">
        <v>5</v>
      </c>
      <c r="J6" s="30" t="s">
        <v>6</v>
      </c>
      <c r="K6" s="30" t="s">
        <v>7</v>
      </c>
      <c r="L6" s="30" t="s">
        <v>8</v>
      </c>
      <c r="M6" s="30" t="s">
        <v>9</v>
      </c>
      <c r="N6" s="30" t="s">
        <v>10</v>
      </c>
      <c r="O6" s="30" t="s">
        <v>11</v>
      </c>
      <c r="P6" s="30" t="s">
        <v>12</v>
      </c>
      <c r="Q6" s="30" t="s">
        <v>13</v>
      </c>
      <c r="R6" s="30" t="s">
        <v>14</v>
      </c>
      <c r="S6" s="30" t="s">
        <v>15</v>
      </c>
      <c r="T6" s="30" t="s">
        <v>16</v>
      </c>
      <c r="U6" s="30" t="s">
        <v>17</v>
      </c>
      <c r="V6" s="30" t="s">
        <v>18</v>
      </c>
      <c r="W6" s="30" t="s">
        <v>19</v>
      </c>
      <c r="X6" s="30" t="s">
        <v>20</v>
      </c>
      <c r="Y6" s="30" t="s">
        <v>21</v>
      </c>
      <c r="Z6" s="30" t="s">
        <v>22</v>
      </c>
      <c r="AA6" s="30" t="s">
        <v>23</v>
      </c>
      <c r="AB6" s="30" t="s">
        <v>24</v>
      </c>
      <c r="AC6" s="30" t="s">
        <v>25</v>
      </c>
      <c r="AD6" s="30" t="s">
        <v>26</v>
      </c>
      <c r="AE6" s="30" t="s">
        <v>27</v>
      </c>
      <c r="AF6" s="30" t="s">
        <v>28</v>
      </c>
      <c r="AG6" s="30" t="s">
        <v>29</v>
      </c>
      <c r="AH6" s="30" t="s">
        <v>30</v>
      </c>
      <c r="AI6" s="52" t="s">
        <v>133</v>
      </c>
      <c r="AJ6" s="53" t="s">
        <v>39</v>
      </c>
      <c r="AK6" s="54" t="s">
        <v>38</v>
      </c>
      <c r="AL6" s="36" t="s">
        <v>31</v>
      </c>
      <c r="AM6" t="s">
        <v>40</v>
      </c>
    </row>
    <row r="7" spans="1:39" ht="16.5" customHeight="1" x14ac:dyDescent="0.25">
      <c r="B7" s="27"/>
      <c r="C7" s="22" t="str">
        <f>IFERROR(VLOOKUP(PrisotnostMarca[[#This Row],[ID študenta]],SeznamUčencev[],18,FALSE),"")</f>
        <v/>
      </c>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6"/>
      <c r="AG7" s="3"/>
      <c r="AH7" s="3"/>
      <c r="AI7" s="37">
        <f>COUNTIF(PrisotnostMarca[[#This Row],[1]:[31]],Koda1)</f>
        <v>0</v>
      </c>
      <c r="AJ7" s="37">
        <f>COUNTIF(PrisotnostMarca[[#This Row],[1]:[31]],Koda2)</f>
        <v>0</v>
      </c>
      <c r="AK7" s="37">
        <f>COUNTIF(PrisotnostMarca[[#This Row],[1]:[31]],Koda3)</f>
        <v>0</v>
      </c>
      <c r="AL7" s="37">
        <f>COUNTIF(PrisotnostMarca[[#This Row],[1]:[31]],Koda4)</f>
        <v>0</v>
      </c>
      <c r="AM7" s="6">
        <f>SUM(PrisotnostMarca[[#This Row],[E]:[N]])</f>
        <v>0</v>
      </c>
    </row>
    <row r="8" spans="1:39" ht="16.5" customHeight="1" x14ac:dyDescent="0.25">
      <c r="B8" s="27"/>
      <c r="C8" s="23" t="str">
        <f>IFERROR(VLOOKUP(PrisotnostMarca[[#This Row],[ID študenta]],SeznamUčencev[],18,FALSE),"")</f>
        <v/>
      </c>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6"/>
      <c r="AG8" s="3"/>
      <c r="AH8" s="3"/>
      <c r="AI8" s="37">
        <f>COUNTIF(PrisotnostMarca[[#This Row],[1]:[31]],Koda1)</f>
        <v>0</v>
      </c>
      <c r="AJ8" s="37">
        <f>COUNTIF(PrisotnostMarca[[#This Row],[1]:[31]],Koda2)</f>
        <v>0</v>
      </c>
      <c r="AK8" s="37">
        <f>COUNTIF(PrisotnostMarca[[#This Row],[1]:[31]],Koda3)</f>
        <v>0</v>
      </c>
      <c r="AL8" s="37">
        <f>COUNTIF(PrisotnostMarca[[#This Row],[1]:[31]],Koda4)</f>
        <v>0</v>
      </c>
      <c r="AM8" s="6">
        <f>SUM(PrisotnostMarca[[#This Row],[E]:[N]])</f>
        <v>0</v>
      </c>
    </row>
    <row r="9" spans="1:39" ht="16.5" customHeight="1" x14ac:dyDescent="0.25">
      <c r="B9" s="27"/>
      <c r="C9" s="23" t="str">
        <f>IFERROR(VLOOKUP(PrisotnostMarca[[#This Row],[ID študenta]],SeznamUčencev[],18,FALSE),"")</f>
        <v/>
      </c>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6"/>
      <c r="AG9" s="3"/>
      <c r="AH9" s="3"/>
      <c r="AI9" s="37">
        <f>COUNTIF(PrisotnostMarca[[#This Row],[1]:[31]],Koda1)</f>
        <v>0</v>
      </c>
      <c r="AJ9" s="37">
        <f>COUNTIF(PrisotnostMarca[[#This Row],[1]:[31]],Koda2)</f>
        <v>0</v>
      </c>
      <c r="AK9" s="37">
        <f>COUNTIF(PrisotnostMarca[[#This Row],[1]:[31]],Koda3)</f>
        <v>0</v>
      </c>
      <c r="AL9" s="37">
        <f>COUNTIF(PrisotnostMarca[[#This Row],[1]:[31]],Koda4)</f>
        <v>0</v>
      </c>
      <c r="AM9" s="6">
        <f>SUM(PrisotnostMarca[[#This Row],[E]:[N]])</f>
        <v>0</v>
      </c>
    </row>
    <row r="10" spans="1:39" ht="16.5" customHeight="1" x14ac:dyDescent="0.25">
      <c r="B10" s="27"/>
      <c r="C10" s="23" t="str">
        <f>IFERROR(VLOOKUP(PrisotnostMarca[[#This Row],[ID študenta]],SeznamUčencev[],18,FALSE),"")</f>
        <v/>
      </c>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6"/>
      <c r="AG10" s="3"/>
      <c r="AH10" s="3"/>
      <c r="AI10" s="37">
        <f>COUNTIF(PrisotnostMarca[[#This Row],[1]:[31]],Koda1)</f>
        <v>0</v>
      </c>
      <c r="AJ10" s="37">
        <f>COUNTIF(PrisotnostMarca[[#This Row],[1]:[31]],Koda2)</f>
        <v>0</v>
      </c>
      <c r="AK10" s="37">
        <f>COUNTIF(PrisotnostMarca[[#This Row],[1]:[31]],Koda3)</f>
        <v>0</v>
      </c>
      <c r="AL10" s="37">
        <f>COUNTIF(PrisotnostMarca[[#This Row],[1]:[31]],Koda4)</f>
        <v>0</v>
      </c>
      <c r="AM10" s="6">
        <f>SUM(PrisotnostMarca[[#This Row],[E]:[N]])</f>
        <v>0</v>
      </c>
    </row>
    <row r="11" spans="1:39" ht="16.5" customHeight="1" x14ac:dyDescent="0.25">
      <c r="B11" s="27"/>
      <c r="C11" s="23" t="str">
        <f>IFERROR(VLOOKUP(PrisotnostMarca[[#This Row],[ID študenta]],SeznamUčencev[],18,FALSE),"")</f>
        <v/>
      </c>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6"/>
      <c r="AG11" s="3"/>
      <c r="AH11" s="3"/>
      <c r="AI11" s="37">
        <f>COUNTIF(PrisotnostMarca[[#This Row],[1]:[31]],Koda1)</f>
        <v>0</v>
      </c>
      <c r="AJ11" s="37">
        <f>COUNTIF(PrisotnostMarca[[#This Row],[1]:[31]],Koda2)</f>
        <v>0</v>
      </c>
      <c r="AK11" s="37">
        <f>COUNTIF(PrisotnostMarca[[#This Row],[1]:[31]],Koda3)</f>
        <v>0</v>
      </c>
      <c r="AL11" s="37">
        <f>COUNTIF(PrisotnostMarca[[#This Row],[1]:[31]],Koda4)</f>
        <v>0</v>
      </c>
      <c r="AM11" s="6">
        <f>SUM(PrisotnostMarca[[#This Row],[E]:[N]])</f>
        <v>0</v>
      </c>
    </row>
    <row r="12" spans="1:39" ht="16.5" customHeight="1" x14ac:dyDescent="0.25">
      <c r="B12" s="144"/>
      <c r="C12" s="145" t="s">
        <v>115</v>
      </c>
      <c r="D12" s="146">
        <f>COUNTIF(PrisotnostMarca[1],"N")+COUNTIF(PrisotnostMarca[1],"E")</f>
        <v>0</v>
      </c>
      <c r="E12" s="146">
        <f>COUNTIF(PrisotnostMarca[2],"N")+COUNTIF(PrisotnostMarca[2],"E")</f>
        <v>0</v>
      </c>
      <c r="F12" s="146">
        <f>COUNTIF(PrisotnostMarca[3],"N")+COUNTIF(PrisotnostMarca[3],"E")</f>
        <v>0</v>
      </c>
      <c r="G12" s="146">
        <f>COUNTIF(PrisotnostMarca[4],"N")+COUNTIF(PrisotnostMarca[4],"E")</f>
        <v>0</v>
      </c>
      <c r="H12" s="146">
        <f>COUNTIF(PrisotnostMarca[5],"N")+COUNTIF(PrisotnostMarca[5],"E")</f>
        <v>0</v>
      </c>
      <c r="I12" s="146">
        <f>COUNTIF(PrisotnostMarca[6],"N")+COUNTIF(PrisotnostMarca[6],"E")</f>
        <v>0</v>
      </c>
      <c r="J12" s="146">
        <f>COUNTIF(PrisotnostMarca[7],"N")+COUNTIF(PrisotnostMarca[7],"E")</f>
        <v>0</v>
      </c>
      <c r="K12" s="146">
        <f>COUNTIF(PrisotnostMarca[8],"N")+COUNTIF(PrisotnostMarca[8],"E")</f>
        <v>0</v>
      </c>
      <c r="L12" s="146">
        <f>COUNTIF(PrisotnostMarca[9],"N")+COUNTIF(PrisotnostMarca[9],"E")</f>
        <v>0</v>
      </c>
      <c r="M12" s="146">
        <f>COUNTIF(PrisotnostMarca[10],"N")+COUNTIF(PrisotnostMarca[10],"E")</f>
        <v>0</v>
      </c>
      <c r="N12" s="146">
        <f>COUNTIF(PrisotnostMarca[11],"N")+COUNTIF(PrisotnostMarca[11],"E")</f>
        <v>0</v>
      </c>
      <c r="O12" s="146">
        <f>COUNTIF(PrisotnostMarca[12],"N")+COUNTIF(PrisotnostMarca[12],"E")</f>
        <v>0</v>
      </c>
      <c r="P12" s="146">
        <f>COUNTIF(PrisotnostMarca[13],"N")+COUNTIF(PrisotnostMarca[13],"E")</f>
        <v>0</v>
      </c>
      <c r="Q12" s="146">
        <f>COUNTIF(PrisotnostMarca[14],"N")+COUNTIF(PrisotnostMarca[14],"E")</f>
        <v>0</v>
      </c>
      <c r="R12" s="146">
        <f>COUNTIF(PrisotnostMarca[15],"N")+COUNTIF(PrisotnostMarca[15],"E")</f>
        <v>0</v>
      </c>
      <c r="S12" s="146">
        <f>COUNTIF(PrisotnostMarca[16],"N")+COUNTIF(PrisotnostMarca[16],"E")</f>
        <v>0</v>
      </c>
      <c r="T12" s="146">
        <f>COUNTIF(PrisotnostMarca[17],"N")+COUNTIF(PrisotnostMarca[17],"E")</f>
        <v>0</v>
      </c>
      <c r="U12" s="146">
        <f>COUNTIF(PrisotnostMarca[18],"N")+COUNTIF(PrisotnostMarca[18],"E")</f>
        <v>0</v>
      </c>
      <c r="V12" s="146">
        <f>COUNTIF(PrisotnostMarca[19],"N")+COUNTIF(PrisotnostMarca[19],"E")</f>
        <v>0</v>
      </c>
      <c r="W12" s="146">
        <f>COUNTIF(PrisotnostMarca[20],"N")+COUNTIF(PrisotnostMarca[20],"E")</f>
        <v>0</v>
      </c>
      <c r="X12" s="146">
        <f>COUNTIF(PrisotnostMarca[21],"N")+COUNTIF(PrisotnostMarca[21],"E")</f>
        <v>0</v>
      </c>
      <c r="Y12" s="146">
        <f>COUNTIF(PrisotnostMarca[22],"N")+COUNTIF(PrisotnostMarca[22],"E")</f>
        <v>0</v>
      </c>
      <c r="Z12" s="146">
        <f>COUNTIF(PrisotnostMarca[23],"N")+COUNTIF(PrisotnostMarca[23],"E")</f>
        <v>0</v>
      </c>
      <c r="AA12" s="146">
        <f>COUNTIF(PrisotnostMarca[24],"N")+COUNTIF(PrisotnostMarca[24],"E")</f>
        <v>0</v>
      </c>
      <c r="AB12" s="146">
        <f>COUNTIF(PrisotnostMarca[25],"N")+COUNTIF(PrisotnostMarca[25],"E")</f>
        <v>0</v>
      </c>
      <c r="AC12" s="146">
        <f>COUNTIF(PrisotnostMarca[26],"N")+COUNTIF(PrisotnostMarca[26],"E")</f>
        <v>0</v>
      </c>
      <c r="AD12" s="146">
        <f>COUNTIF(PrisotnostMarca[27],"N")+COUNTIF(PrisotnostMarca[27],"E")</f>
        <v>0</v>
      </c>
      <c r="AE12" s="146">
        <f>COUNTIF(PrisotnostMarca[28],"N")+COUNTIF(PrisotnostMarca[28],"E")</f>
        <v>0</v>
      </c>
      <c r="AF12" s="146">
        <f>COUNTIF(PrisotnostMarca[29],"N")+COUNTIF(PrisotnostMarca[29],"E")</f>
        <v>0</v>
      </c>
      <c r="AG12" s="146"/>
      <c r="AH12" s="146"/>
      <c r="AI12" s="146">
        <f>SUBTOTAL(109,PrisotnostMarca[Po])</f>
        <v>0</v>
      </c>
      <c r="AJ12" s="146">
        <f>SUBTOTAL(109,PrisotnostMarca[E])</f>
        <v>0</v>
      </c>
      <c r="AK12" s="146">
        <f>SUBTOTAL(109,PrisotnostMarca[N])</f>
        <v>0</v>
      </c>
      <c r="AL12" s="146">
        <f>SUBTOTAL(109,PrisotnostMarca[P])</f>
        <v>0</v>
      </c>
      <c r="AM12" s="146">
        <f>SUBTOTAL(109,PrisotnostMarca[Dni odsoten])</f>
        <v>0</v>
      </c>
    </row>
    <row r="14" spans="1:39" ht="16.5" customHeight="1" x14ac:dyDescent="0.25"/>
    <row r="15" spans="1:39" ht="16.5" customHeight="1" x14ac:dyDescent="0.25"/>
    <row r="16" spans="1:39"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sheetData>
  <sheetProtection formatCells="0" formatColumns="0" formatRows="0" insertColumns="0" insertRows="0" insertHyperlinks="0" deleteColumns="0" deleteRows="0" sort="0" autoFilter="0" pivotTables="0"/>
  <mergeCells count="1">
    <mergeCell ref="AI5:AM5"/>
  </mergeCells>
  <conditionalFormatting sqref="AM7:AM11">
    <cfRule type="dataBar" priority="1">
      <dataBar>
        <cfvo type="min"/>
        <cfvo type="num" val="DATEDIF(DATE(KoledarskoLeto,2,1),DATE(KoledarskoLeto,3,1),&quot;d&quot;)"/>
        <color theme="4"/>
      </dataBar>
      <extLst>
        <ext xmlns:x14="http://schemas.microsoft.com/office/spreadsheetml/2009/9/main" uri="{B025F937-C7B1-47D3-B67F-A62EFF666E3E}">
          <x14:id>{FE16E06C-E989-439D-8944-FBFC073CA68C}</x14:id>
        </ext>
      </extLst>
    </cfRule>
  </conditionalFormatting>
  <conditionalFormatting sqref="D7:AF11">
    <cfRule type="expression" dxfId="687" priority="2" stopIfTrue="1">
      <formula>D7=Koda2</formula>
    </cfRule>
  </conditionalFormatting>
  <conditionalFormatting sqref="D7:AF11">
    <cfRule type="expression" dxfId="686" priority="3" stopIfTrue="1">
      <formula>D7=Koda5</formula>
    </cfRule>
    <cfRule type="expression" dxfId="685" priority="4" stopIfTrue="1">
      <formula>D7=Koda4</formula>
    </cfRule>
    <cfRule type="expression" dxfId="684" priority="5" stopIfTrue="1">
      <formula>D7=Koda3</formula>
    </cfRule>
    <cfRule type="expression" dxfId="683" priority="6" stopIfTrue="1">
      <formula>D7=Koda1</formula>
    </cfRule>
  </conditionalFormatting>
  <dataValidations count="1">
    <dataValidation type="list" errorStyle="warning" allowBlank="1" showInputMessage="1" showErrorMessage="1" errorTitle="Ups!" error="»ID študenta«, ki ste ga vnesli, ni na listu »Seznam študentov«. Kliknete lahko »Da«, če želite uporabiti, kar ste vnesli, ampak ta »ID študenta« ne bo na voljo na listu »Poročilo prisotnosti študentov«." sqref="B7:B11">
      <formula1>IDUčenca</formula1>
    </dataValidation>
  </dataValidations>
  <printOptions horizontalCentered="1"/>
  <pageMargins left="0.5" right="0.5" top="0.75" bottom="0.75" header="0.3" footer="0.3"/>
  <pageSetup paperSize="9" scale="60" fitToHeight="0" orientation="landscape" verticalDpi="12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E16E06C-E989-439D-8944-FBFC073CA68C}">
            <x14:dataBar minLength="0" maxLength="100" border="1" negativeBarBorderColorSameAsPositive="0">
              <x14:cfvo type="autoMin"/>
              <x14:cfvo type="num">
                <xm:f>DATEDIF(DATE(KoledarskoLeto,2,1),DATE(KoledarskoLeto,3,1),"d")</xm:f>
              </x14:cfvo>
              <x14:borderColor theme="4"/>
              <x14:negativeFillColor rgb="FFFF0000"/>
              <x14:negativeBorderColor rgb="FFFF0000"/>
              <x14:axisColor rgb="FF000000"/>
            </x14:dataBar>
          </x14:cfRule>
          <xm:sqref>AM7:AM11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M264"/>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x14ac:dyDescent="0.25"/>
  <cols>
    <col min="1" max="1" width="2.7109375" style="11" customWidth="1"/>
    <col min="2" max="2" width="11.5703125" style="11" bestFit="1" customWidth="1"/>
    <col min="3" max="3" width="28.85546875" style="12" customWidth="1"/>
    <col min="4" max="34" width="5" style="10" customWidth="1"/>
    <col min="35" max="35" width="4.7109375" style="9" customWidth="1"/>
    <col min="36" max="36" width="4.7109375" style="10" customWidth="1"/>
    <col min="37" max="38" width="4.7109375" style="11" customWidth="1"/>
    <col min="39" max="39" width="12.7109375" style="11" customWidth="1"/>
    <col min="40" max="16384" width="9.140625" style="11"/>
  </cols>
  <sheetData>
    <row r="1" spans="1:39" s="1" customFormat="1" ht="42" customHeight="1" x14ac:dyDescent="0.25">
      <c r="A1" s="38" t="s">
        <v>84</v>
      </c>
      <c r="B1" s="39"/>
      <c r="C1" s="39"/>
      <c r="D1" s="40"/>
      <c r="E1" s="40"/>
      <c r="F1" s="40"/>
      <c r="G1" s="40"/>
      <c r="H1" s="40"/>
      <c r="I1" s="40"/>
      <c r="J1" s="40"/>
      <c r="K1" s="40"/>
      <c r="L1" s="40"/>
      <c r="M1" s="40"/>
      <c r="N1" s="40"/>
      <c r="O1" s="40"/>
      <c r="P1" s="40"/>
      <c r="Q1" s="40"/>
      <c r="R1" s="40"/>
      <c r="S1" s="40"/>
      <c r="T1" s="40"/>
      <c r="U1" s="40"/>
      <c r="V1" s="40"/>
      <c r="W1" s="40"/>
      <c r="X1" s="40"/>
      <c r="Y1" s="40"/>
      <c r="Z1" s="40"/>
      <c r="AA1" s="40"/>
      <c r="AB1" s="40"/>
      <c r="AC1" s="39"/>
      <c r="AD1" s="39"/>
      <c r="AE1" s="39"/>
      <c r="AF1" s="39"/>
      <c r="AG1" s="41"/>
      <c r="AH1" s="39"/>
      <c r="AI1" s="39"/>
      <c r="AJ1" s="42"/>
      <c r="AK1" s="39"/>
      <c r="AL1" s="58" t="s">
        <v>70</v>
      </c>
      <c r="AM1" s="59">
        <f>KoledarskoLeto</f>
        <v>2012</v>
      </c>
    </row>
    <row r="2" spans="1:39" customFormat="1" ht="13.5" x14ac:dyDescent="0.25"/>
    <row r="3" spans="1:39" s="32" customFormat="1" ht="12.75" customHeight="1" x14ac:dyDescent="0.25">
      <c r="C3" s="45" t="str">
        <f>BesediloBarvnegaKljuča</f>
        <v>BARVNI KLJUČ</v>
      </c>
      <c r="D3" s="52" t="str">
        <f>Koda1</f>
        <v>Po</v>
      </c>
      <c r="E3" s="69" t="str">
        <f>BesediloKode1</f>
        <v>Pozen</v>
      </c>
      <c r="F3" s="60"/>
      <c r="H3" s="53" t="str">
        <f>Koda2</f>
        <v>E</v>
      </c>
      <c r="I3" s="57" t="str">
        <f>BesediloKode2</f>
        <v>Opravičen</v>
      </c>
      <c r="L3" s="54" t="str">
        <f>Koda3</f>
        <v>N</v>
      </c>
      <c r="M3" s="57" t="str">
        <f>BesediloKode3</f>
        <v>Neopravičen</v>
      </c>
      <c r="P3" s="55" t="str">
        <f>Koda4</f>
        <v>P</v>
      </c>
      <c r="Q3" s="57" t="str">
        <f>BesediloKode4</f>
        <v>Prisoten</v>
      </c>
      <c r="T3" s="56" t="str">
        <f>Koda5</f>
        <v>Ni</v>
      </c>
      <c r="U3" s="57" t="str">
        <f>BesediloKode5</f>
        <v>Ni pouka</v>
      </c>
      <c r="W3"/>
      <c r="X3"/>
      <c r="Y3"/>
      <c r="AD3" s="31"/>
      <c r="AE3" s="31"/>
      <c r="AH3" s="33"/>
      <c r="AI3" s="34"/>
      <c r="AK3" s="35"/>
    </row>
    <row r="4" spans="1:39" customFormat="1" ht="16.5" customHeight="1" x14ac:dyDescent="0.25"/>
    <row r="5" spans="1:39" s="2" customFormat="1" ht="18" customHeight="1" x14ac:dyDescent="0.3">
      <c r="B5" s="62">
        <f>DATE(KoledarskoLeto+1,4,1)</f>
        <v>41365</v>
      </c>
      <c r="C5" s="61"/>
      <c r="D5" s="43" t="str">
        <f>TEXT(WEEKDAY(DATE(KoledarskoLeto+1,4,1),1),"aaa")</f>
        <v>pon</v>
      </c>
      <c r="E5" s="43" t="str">
        <f>TEXT(WEEKDAY(DATE(KoledarskoLeto+1,4,2),1),"aaa")</f>
        <v>tor</v>
      </c>
      <c r="F5" s="43" t="str">
        <f>TEXT(WEEKDAY(DATE(KoledarskoLeto+1,4,3),1),"aaa")</f>
        <v>sre</v>
      </c>
      <c r="G5" s="43" t="str">
        <f>TEXT(WEEKDAY(DATE(KoledarskoLeto+1,4,4),1),"aaa")</f>
        <v>čet</v>
      </c>
      <c r="H5" s="43" t="str">
        <f>TEXT(WEEKDAY(DATE(KoledarskoLeto+1,4,5),1),"aaa")</f>
        <v>pet</v>
      </c>
      <c r="I5" s="43" t="str">
        <f>TEXT(WEEKDAY(DATE(KoledarskoLeto+1,4,6),1),"aaa")</f>
        <v>sob</v>
      </c>
      <c r="J5" s="43" t="str">
        <f>TEXT(WEEKDAY(DATE(KoledarskoLeto+1,4,7),1),"aaa")</f>
        <v>ned</v>
      </c>
      <c r="K5" s="43" t="str">
        <f>TEXT(WEEKDAY(DATE(KoledarskoLeto+1,4,8),1),"aaa")</f>
        <v>pon</v>
      </c>
      <c r="L5" s="43" t="str">
        <f>TEXT(WEEKDAY(DATE(KoledarskoLeto+1,4,9),1),"aaa")</f>
        <v>tor</v>
      </c>
      <c r="M5" s="43" t="str">
        <f>TEXT(WEEKDAY(DATE(KoledarskoLeto+1,4,10),1),"aaa")</f>
        <v>sre</v>
      </c>
      <c r="N5" s="43" t="str">
        <f>TEXT(WEEKDAY(DATE(KoledarskoLeto+1,4,11),1),"aaa")</f>
        <v>čet</v>
      </c>
      <c r="O5" s="43" t="str">
        <f>TEXT(WEEKDAY(DATE(KoledarskoLeto+1,4,12),1),"aaa")</f>
        <v>pet</v>
      </c>
      <c r="P5" s="43" t="str">
        <f>TEXT(WEEKDAY(DATE(KoledarskoLeto+1,4,13),1),"aaa")</f>
        <v>sob</v>
      </c>
      <c r="Q5" s="43" t="str">
        <f>TEXT(WEEKDAY(DATE(KoledarskoLeto+1,4,14),1),"aaa")</f>
        <v>ned</v>
      </c>
      <c r="R5" s="43" t="str">
        <f>TEXT(WEEKDAY(DATE(KoledarskoLeto+1,4,15),1),"aaa")</f>
        <v>pon</v>
      </c>
      <c r="S5" s="43" t="str">
        <f>TEXT(WEEKDAY(DATE(KoledarskoLeto+1,4,16),1),"aaa")</f>
        <v>tor</v>
      </c>
      <c r="T5" s="43" t="str">
        <f>TEXT(WEEKDAY(DATE(KoledarskoLeto+1,4,17),1),"aaa")</f>
        <v>sre</v>
      </c>
      <c r="U5" s="43" t="str">
        <f>TEXT(WEEKDAY(DATE(KoledarskoLeto+1,4,18),1),"aaa")</f>
        <v>čet</v>
      </c>
      <c r="V5" s="43" t="str">
        <f>TEXT(WEEKDAY(DATE(KoledarskoLeto+1,4,19),1),"aaa")</f>
        <v>pet</v>
      </c>
      <c r="W5" s="43" t="str">
        <f>TEXT(WEEKDAY(DATE(KoledarskoLeto+1,4,20),1),"aaa")</f>
        <v>sob</v>
      </c>
      <c r="X5" s="43" t="str">
        <f>TEXT(WEEKDAY(DATE(KoledarskoLeto+1,4,21),1),"aaa")</f>
        <v>ned</v>
      </c>
      <c r="Y5" s="43" t="str">
        <f>TEXT(WEEKDAY(DATE(KoledarskoLeto+1,4,22),1),"aaa")</f>
        <v>pon</v>
      </c>
      <c r="Z5" s="43" t="str">
        <f>TEXT(WEEKDAY(DATE(KoledarskoLeto+1,4,23),1),"aaa")</f>
        <v>tor</v>
      </c>
      <c r="AA5" s="43" t="str">
        <f>TEXT(WEEKDAY(DATE(KoledarskoLeto+1,4,24),1),"aaa")</f>
        <v>sre</v>
      </c>
      <c r="AB5" s="43" t="str">
        <f>TEXT(WEEKDAY(DATE(KoledarskoLeto+1,4,25),1),"aaa")</f>
        <v>čet</v>
      </c>
      <c r="AC5" s="43" t="str">
        <f>TEXT(WEEKDAY(DATE(KoledarskoLeto+1,4,26),1),"aaa")</f>
        <v>pet</v>
      </c>
      <c r="AD5" s="43" t="str">
        <f>TEXT(WEEKDAY(DATE(KoledarskoLeto+1,4,27),1),"aaa")</f>
        <v>sob</v>
      </c>
      <c r="AE5" s="43" t="str">
        <f>TEXT(WEEKDAY(DATE(KoledarskoLeto+1,4,28),1),"aaa")</f>
        <v>ned</v>
      </c>
      <c r="AF5" s="43" t="str">
        <f>TEXT(WEEKDAY(DATE(KoledarskoLeto+1,4,29),1),"aaa")</f>
        <v>pon</v>
      </c>
      <c r="AG5" s="43" t="str">
        <f>TEXT(WEEKDAY(DATE(KoledarskoLeto+1,4,30),1),"aaa")</f>
        <v>tor</v>
      </c>
      <c r="AH5" s="43"/>
      <c r="AI5" s="121" t="s">
        <v>41</v>
      </c>
      <c r="AJ5" s="121"/>
      <c r="AK5" s="121"/>
      <c r="AL5" s="121"/>
      <c r="AM5" s="121"/>
    </row>
    <row r="6" spans="1:39" ht="14.25" customHeight="1" x14ac:dyDescent="0.25">
      <c r="B6" s="28" t="s">
        <v>34</v>
      </c>
      <c r="C6" s="29" t="s">
        <v>36</v>
      </c>
      <c r="D6" s="30" t="s">
        <v>0</v>
      </c>
      <c r="E6" s="30" t="s">
        <v>1</v>
      </c>
      <c r="F6" s="30" t="s">
        <v>2</v>
      </c>
      <c r="G6" s="30" t="s">
        <v>3</v>
      </c>
      <c r="H6" s="30" t="s">
        <v>4</v>
      </c>
      <c r="I6" s="30" t="s">
        <v>5</v>
      </c>
      <c r="J6" s="30" t="s">
        <v>6</v>
      </c>
      <c r="K6" s="30" t="s">
        <v>7</v>
      </c>
      <c r="L6" s="30" t="s">
        <v>8</v>
      </c>
      <c r="M6" s="30" t="s">
        <v>9</v>
      </c>
      <c r="N6" s="30" t="s">
        <v>10</v>
      </c>
      <c r="O6" s="30" t="s">
        <v>11</v>
      </c>
      <c r="P6" s="30" t="s">
        <v>12</v>
      </c>
      <c r="Q6" s="30" t="s">
        <v>13</v>
      </c>
      <c r="R6" s="30" t="s">
        <v>14</v>
      </c>
      <c r="S6" s="30" t="s">
        <v>15</v>
      </c>
      <c r="T6" s="30" t="s">
        <v>16</v>
      </c>
      <c r="U6" s="30" t="s">
        <v>17</v>
      </c>
      <c r="V6" s="30" t="s">
        <v>18</v>
      </c>
      <c r="W6" s="30" t="s">
        <v>19</v>
      </c>
      <c r="X6" s="30" t="s">
        <v>20</v>
      </c>
      <c r="Y6" s="30" t="s">
        <v>21</v>
      </c>
      <c r="Z6" s="30" t="s">
        <v>22</v>
      </c>
      <c r="AA6" s="30" t="s">
        <v>23</v>
      </c>
      <c r="AB6" s="30" t="s">
        <v>24</v>
      </c>
      <c r="AC6" s="30" t="s">
        <v>25</v>
      </c>
      <c r="AD6" s="30" t="s">
        <v>26</v>
      </c>
      <c r="AE6" s="30" t="s">
        <v>27</v>
      </c>
      <c r="AF6" s="30" t="s">
        <v>28</v>
      </c>
      <c r="AG6" s="30" t="s">
        <v>29</v>
      </c>
      <c r="AH6" s="30" t="s">
        <v>114</v>
      </c>
      <c r="AI6" s="52" t="s">
        <v>133</v>
      </c>
      <c r="AJ6" s="53" t="s">
        <v>39</v>
      </c>
      <c r="AK6" s="54" t="s">
        <v>38</v>
      </c>
      <c r="AL6" s="36" t="s">
        <v>31</v>
      </c>
      <c r="AM6" t="s">
        <v>40</v>
      </c>
    </row>
    <row r="7" spans="1:39" ht="16.5" customHeight="1" x14ac:dyDescent="0.25">
      <c r="B7" s="27"/>
      <c r="C7" s="22" t="str">
        <f>IFERROR(VLOOKUP(PrisotnostAprila[[#This Row],[ID študenta]],SeznamUčencev[],18,FALSE),"")</f>
        <v/>
      </c>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6"/>
      <c r="AG7" s="3"/>
      <c r="AH7" s="3"/>
      <c r="AI7" s="37">
        <f>COUNTIF(PrisotnostAprila[[#This Row],[1]:[ ]],Koda1)</f>
        <v>0</v>
      </c>
      <c r="AJ7" s="37">
        <f>COUNTIF(PrisotnostAprila[[#This Row],[1]:[ ]],Koda2)</f>
        <v>0</v>
      </c>
      <c r="AK7" s="37">
        <f>COUNTIF(PrisotnostAprila[[#This Row],[1]:[ ]],Koda3)</f>
        <v>0</v>
      </c>
      <c r="AL7" s="37">
        <f>COUNTIF(PrisotnostAprila[[#This Row],[1]:[ ]],Koda4)</f>
        <v>0</v>
      </c>
      <c r="AM7" s="6">
        <f>SUM(PrisotnostAprila[[#This Row],[E]:[N]])</f>
        <v>0</v>
      </c>
    </row>
    <row r="8" spans="1:39" ht="16.5" customHeight="1" x14ac:dyDescent="0.25">
      <c r="B8" s="27"/>
      <c r="C8" s="23" t="str">
        <f>IFERROR(VLOOKUP(PrisotnostAprila[[#This Row],[ID študenta]],SeznamUčencev[],18,FALSE),"")</f>
        <v/>
      </c>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6"/>
      <c r="AG8" s="3"/>
      <c r="AH8" s="3"/>
      <c r="AI8" s="37">
        <f>COUNTIF(PrisotnostAprila[[#This Row],[1]:[ ]],Koda1)</f>
        <v>0</v>
      </c>
      <c r="AJ8" s="37">
        <f>COUNTIF(PrisotnostAprila[[#This Row],[1]:[ ]],Koda2)</f>
        <v>0</v>
      </c>
      <c r="AK8" s="37">
        <f>COUNTIF(PrisotnostAprila[[#This Row],[1]:[ ]],Koda3)</f>
        <v>0</v>
      </c>
      <c r="AL8" s="37">
        <f>COUNTIF(PrisotnostAprila[[#This Row],[1]:[ ]],Koda4)</f>
        <v>0</v>
      </c>
      <c r="AM8" s="6">
        <f>SUM(PrisotnostAprila[[#This Row],[E]:[N]])</f>
        <v>0</v>
      </c>
    </row>
    <row r="9" spans="1:39" ht="16.5" customHeight="1" x14ac:dyDescent="0.25">
      <c r="B9" s="27"/>
      <c r="C9" s="23" t="str">
        <f>IFERROR(VLOOKUP(PrisotnostAprila[[#This Row],[ID študenta]],SeznamUčencev[],18,FALSE),"")</f>
        <v/>
      </c>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6"/>
      <c r="AG9" s="3"/>
      <c r="AH9" s="3"/>
      <c r="AI9" s="37">
        <f>COUNTIF(PrisotnostAprila[[#This Row],[1]:[ ]],Koda1)</f>
        <v>0</v>
      </c>
      <c r="AJ9" s="37">
        <f>COUNTIF(PrisotnostAprila[[#This Row],[1]:[ ]],Koda2)</f>
        <v>0</v>
      </c>
      <c r="AK9" s="37">
        <f>COUNTIF(PrisotnostAprila[[#This Row],[1]:[ ]],Koda3)</f>
        <v>0</v>
      </c>
      <c r="AL9" s="37">
        <f>COUNTIF(PrisotnostAprila[[#This Row],[1]:[ ]],Koda4)</f>
        <v>0</v>
      </c>
      <c r="AM9" s="6">
        <f>SUM(PrisotnostAprila[[#This Row],[E]:[N]])</f>
        <v>0</v>
      </c>
    </row>
    <row r="10" spans="1:39" ht="16.5" customHeight="1" x14ac:dyDescent="0.25">
      <c r="B10" s="27"/>
      <c r="C10" s="23" t="str">
        <f>IFERROR(VLOOKUP(PrisotnostAprila[[#This Row],[ID študenta]],SeznamUčencev[],18,FALSE),"")</f>
        <v/>
      </c>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6"/>
      <c r="AG10" s="3"/>
      <c r="AH10" s="3"/>
      <c r="AI10" s="37">
        <f>COUNTIF(PrisotnostAprila[[#This Row],[1]:[ ]],Koda1)</f>
        <v>0</v>
      </c>
      <c r="AJ10" s="37">
        <f>COUNTIF(PrisotnostAprila[[#This Row],[1]:[ ]],Koda2)</f>
        <v>0</v>
      </c>
      <c r="AK10" s="37">
        <f>COUNTIF(PrisotnostAprila[[#This Row],[1]:[ ]],Koda3)</f>
        <v>0</v>
      </c>
      <c r="AL10" s="37">
        <f>COUNTIF(PrisotnostAprila[[#This Row],[1]:[ ]],Koda4)</f>
        <v>0</v>
      </c>
      <c r="AM10" s="6">
        <f>SUM(PrisotnostAprila[[#This Row],[E]:[N]])</f>
        <v>0</v>
      </c>
    </row>
    <row r="11" spans="1:39" ht="16.5" customHeight="1" x14ac:dyDescent="0.25">
      <c r="B11" s="27"/>
      <c r="C11" s="23" t="str">
        <f>IFERROR(VLOOKUP(PrisotnostAprila[[#This Row],[ID študenta]],SeznamUčencev[],18,FALSE),"")</f>
        <v/>
      </c>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6"/>
      <c r="AG11" s="3"/>
      <c r="AH11" s="3"/>
      <c r="AI11" s="37">
        <f>COUNTIF(PrisotnostAprila[[#This Row],[1]:[ ]],Koda1)</f>
        <v>0</v>
      </c>
      <c r="AJ11" s="37">
        <f>COUNTIF(PrisotnostAprila[[#This Row],[1]:[ ]],Koda2)</f>
        <v>0</v>
      </c>
      <c r="AK11" s="37">
        <f>COUNTIF(PrisotnostAprila[[#This Row],[1]:[ ]],Koda3)</f>
        <v>0</v>
      </c>
      <c r="AL11" s="37">
        <f>COUNTIF(PrisotnostAprila[[#This Row],[1]:[ ]],Koda4)</f>
        <v>0</v>
      </c>
      <c r="AM11" s="6">
        <f>SUM(PrisotnostAprila[[#This Row],[E]:[N]])</f>
        <v>0</v>
      </c>
    </row>
    <row r="12" spans="1:39" ht="16.5" customHeight="1" x14ac:dyDescent="0.25">
      <c r="B12" s="144"/>
      <c r="C12" s="145" t="s">
        <v>115</v>
      </c>
      <c r="D12" s="146">
        <f>COUNTIF(PrisotnostAprila[1],"N")+COUNTIF(PrisotnostAprila[1],"E")</f>
        <v>0</v>
      </c>
      <c r="E12" s="146">
        <f>COUNTIF(PrisotnostAprila[2],"N")+COUNTIF(PrisotnostAprila[2],"E")</f>
        <v>0</v>
      </c>
      <c r="F12" s="146">
        <f>COUNTIF(PrisotnostAprila[3],"N")+COUNTIF(PrisotnostAprila[3],"E")</f>
        <v>0</v>
      </c>
      <c r="G12" s="146">
        <f>COUNTIF(PrisotnostAprila[4],"N")+COUNTIF(PrisotnostAprila[4],"E")</f>
        <v>0</v>
      </c>
      <c r="H12" s="146">
        <f>COUNTIF(PrisotnostAprila[5],"N")+COUNTIF(PrisotnostAprila[5],"E")</f>
        <v>0</v>
      </c>
      <c r="I12" s="146">
        <f>COUNTIF(PrisotnostAprila[6],"N")+COUNTIF(PrisotnostAprila[6],"E")</f>
        <v>0</v>
      </c>
      <c r="J12" s="146">
        <f>COUNTIF(PrisotnostAprila[7],"N")+COUNTIF(PrisotnostAprila[7],"E")</f>
        <v>0</v>
      </c>
      <c r="K12" s="146">
        <f>COUNTIF(PrisotnostAprila[8],"N")+COUNTIF(PrisotnostAprila[8],"E")</f>
        <v>0</v>
      </c>
      <c r="L12" s="146">
        <f>COUNTIF(PrisotnostAprila[9],"N")+COUNTIF(PrisotnostAprila[9],"E")</f>
        <v>0</v>
      </c>
      <c r="M12" s="146">
        <f>COUNTIF(PrisotnostAprila[10],"N")+COUNTIF(PrisotnostAprila[10],"E")</f>
        <v>0</v>
      </c>
      <c r="N12" s="146">
        <f>COUNTIF(PrisotnostAprila[11],"N")+COUNTIF(PrisotnostAprila[11],"E")</f>
        <v>0</v>
      </c>
      <c r="O12" s="146">
        <f>COUNTIF(PrisotnostAprila[12],"N")+COUNTIF(PrisotnostAprila[12],"E")</f>
        <v>0</v>
      </c>
      <c r="P12" s="146">
        <f>COUNTIF(PrisotnostAprila[13],"N")+COUNTIF(PrisotnostAprila[13],"E")</f>
        <v>0</v>
      </c>
      <c r="Q12" s="146">
        <f>COUNTIF(PrisotnostAprila[14],"N")+COUNTIF(PrisotnostAprila[14],"E")</f>
        <v>0</v>
      </c>
      <c r="R12" s="146">
        <f>COUNTIF(PrisotnostAprila[15],"N")+COUNTIF(PrisotnostAprila[15],"E")</f>
        <v>0</v>
      </c>
      <c r="S12" s="146">
        <f>COUNTIF(PrisotnostAprila[16],"N")+COUNTIF(PrisotnostAprila[16],"E")</f>
        <v>0</v>
      </c>
      <c r="T12" s="146">
        <f>COUNTIF(PrisotnostAprila[17],"N")+COUNTIF(PrisotnostAprila[17],"E")</f>
        <v>0</v>
      </c>
      <c r="U12" s="146">
        <f>COUNTIF(PrisotnostAprila[18],"N")+COUNTIF(PrisotnostAprila[18],"E")</f>
        <v>0</v>
      </c>
      <c r="V12" s="146">
        <f>COUNTIF(PrisotnostAprila[19],"N")+COUNTIF(PrisotnostAprila[19],"E")</f>
        <v>0</v>
      </c>
      <c r="W12" s="146">
        <f>COUNTIF(PrisotnostAprila[20],"N")+COUNTIF(PrisotnostAprila[20],"E")</f>
        <v>0</v>
      </c>
      <c r="X12" s="146">
        <f>COUNTIF(PrisotnostAprila[21],"N")+COUNTIF(PrisotnostAprila[21],"E")</f>
        <v>0</v>
      </c>
      <c r="Y12" s="146">
        <f>COUNTIF(PrisotnostAprila[22],"N")+COUNTIF(PrisotnostAprila[22],"E")</f>
        <v>0</v>
      </c>
      <c r="Z12" s="146">
        <f>COUNTIF(PrisotnostAprila[23],"N")+COUNTIF(PrisotnostAprila[23],"E")</f>
        <v>0</v>
      </c>
      <c r="AA12" s="146">
        <f>COUNTIF(PrisotnostAprila[24],"N")+COUNTIF(PrisotnostAprila[24],"E")</f>
        <v>0</v>
      </c>
      <c r="AB12" s="146">
        <f>COUNTIF(PrisotnostAprila[25],"N")+COUNTIF(PrisotnostAprila[25],"E")</f>
        <v>0</v>
      </c>
      <c r="AC12" s="146">
        <f>COUNTIF(PrisotnostAprila[26],"N")+COUNTIF(PrisotnostAprila[26],"E")</f>
        <v>0</v>
      </c>
      <c r="AD12" s="146">
        <f>COUNTIF(PrisotnostAprila[27],"N")+COUNTIF(PrisotnostAprila[27],"E")</f>
        <v>0</v>
      </c>
      <c r="AE12" s="146">
        <f>COUNTIF(PrisotnostAprila[28],"N")+COUNTIF(PrisotnostAprila[28],"E")</f>
        <v>0</v>
      </c>
      <c r="AF12" s="146">
        <f>COUNTIF(PrisotnostAprila[29],"N")+COUNTIF(PrisotnostAprila[29],"E")</f>
        <v>0</v>
      </c>
      <c r="AG12" s="146"/>
      <c r="AH12" s="146"/>
      <c r="AI12" s="146">
        <f>SUBTOTAL(109,PrisotnostAprila[Po])</f>
        <v>0</v>
      </c>
      <c r="AJ12" s="146">
        <f>SUBTOTAL(109,PrisotnostAprila[E])</f>
        <v>0</v>
      </c>
      <c r="AK12" s="146">
        <f>SUBTOTAL(109,PrisotnostAprila[N])</f>
        <v>0</v>
      </c>
      <c r="AL12" s="146">
        <f>SUBTOTAL(109,PrisotnostAprila[P])</f>
        <v>0</v>
      </c>
      <c r="AM12" s="146">
        <f>SUBTOTAL(109,PrisotnostAprila[Dni odsoten])</f>
        <v>0</v>
      </c>
    </row>
    <row r="13" spans="1:39" ht="16.5" customHeight="1" x14ac:dyDescent="0.25"/>
    <row r="14" spans="1:39" ht="16.5" customHeight="1" x14ac:dyDescent="0.25"/>
    <row r="15" spans="1:39" ht="16.5" customHeight="1" x14ac:dyDescent="0.25"/>
    <row r="16" spans="1:39"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sheetData>
  <sheetProtection formatCells="0" formatColumns="0" formatRows="0" insertColumns="0" insertRows="0" insertHyperlinks="0" deleteColumns="0" deleteRows="0" sort="0" autoFilter="0" pivotTables="0"/>
  <mergeCells count="1">
    <mergeCell ref="AI5:AM5"/>
  </mergeCells>
  <conditionalFormatting sqref="AM7:AM11">
    <cfRule type="dataBar" priority="1">
      <dataBar>
        <cfvo type="min"/>
        <cfvo type="num" val="DATEDIF(DATE(KoledarskoLeto,2,1),DATE(KoledarskoLeto,3,1),&quot;d&quot;)"/>
        <color theme="4"/>
      </dataBar>
      <extLst>
        <ext xmlns:x14="http://schemas.microsoft.com/office/spreadsheetml/2009/9/main" uri="{B025F937-C7B1-47D3-B67F-A62EFF666E3E}">
          <x14:id>{9FD523D2-45CA-45DA-93F8-59B772F50C00}</x14:id>
        </ext>
      </extLst>
    </cfRule>
  </conditionalFormatting>
  <conditionalFormatting sqref="D7:AF11">
    <cfRule type="expression" dxfId="642" priority="2" stopIfTrue="1">
      <formula>D7=Koda2</formula>
    </cfRule>
  </conditionalFormatting>
  <conditionalFormatting sqref="D7:AF11">
    <cfRule type="expression" dxfId="641" priority="3" stopIfTrue="1">
      <formula>D7=Koda5</formula>
    </cfRule>
    <cfRule type="expression" dxfId="640" priority="4" stopIfTrue="1">
      <formula>D7=Koda4</formula>
    </cfRule>
    <cfRule type="expression" dxfId="639" priority="5" stopIfTrue="1">
      <formula>D7=Koda3</formula>
    </cfRule>
    <cfRule type="expression" dxfId="638" priority="6" stopIfTrue="1">
      <formula>D7=Koda1</formula>
    </cfRule>
  </conditionalFormatting>
  <dataValidations count="1">
    <dataValidation type="list" errorStyle="warning" allowBlank="1" showInputMessage="1" showErrorMessage="1" errorTitle="Ups!" error="»ID študenta«, ki ste ga vnesli, ni na listu »Seznam študentov«. Kliknete lahko »Da«, če želite uporabiti, kar ste vnesli, ampak ta »ID študenta« ne bo na voljo na listu »Poročilo prisotnosti študentov«." sqref="B7:B11">
      <formula1>IDUčenca</formula1>
    </dataValidation>
  </dataValidations>
  <printOptions horizontalCentered="1"/>
  <pageMargins left="0.5" right="0.5" top="0.75" bottom="0.75" header="0.3" footer="0.3"/>
  <pageSetup paperSize="9" scale="60" fitToHeight="0" orientation="landscape" verticalDpi="12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FD523D2-45CA-45DA-93F8-59B772F50C00}">
            <x14:dataBar minLength="0" maxLength="100" border="1" negativeBarBorderColorSameAsPositive="0">
              <x14:cfvo type="autoMin"/>
              <x14:cfvo type="num">
                <xm:f>DATEDIF(DATE(KoledarskoLeto,2,1),DATE(KoledarskoLeto,3,1),"d")</xm:f>
              </x14:cfvo>
              <x14:borderColor theme="4"/>
              <x14:negativeFillColor rgb="FFFF0000"/>
              <x14:negativeBorderColor rgb="FFFF0000"/>
              <x14:axisColor rgb="FF000000"/>
            </x14:dataBar>
          </x14:cfRule>
          <xm:sqref>AM7:AM11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M264"/>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x14ac:dyDescent="0.25"/>
  <cols>
    <col min="1" max="1" width="2.7109375" style="11" customWidth="1"/>
    <col min="2" max="2" width="11.5703125" style="11" bestFit="1" customWidth="1"/>
    <col min="3" max="3" width="28.85546875" style="12" customWidth="1"/>
    <col min="4" max="34" width="5" style="10" customWidth="1"/>
    <col min="35" max="35" width="4.7109375" style="9" customWidth="1"/>
    <col min="36" max="36" width="4.7109375" style="10" customWidth="1"/>
    <col min="37" max="38" width="4.7109375" style="11" customWidth="1"/>
    <col min="39" max="39" width="12.7109375" style="11" customWidth="1"/>
    <col min="40" max="16384" width="9.140625" style="11"/>
  </cols>
  <sheetData>
    <row r="1" spans="1:39" s="1" customFormat="1" ht="42" customHeight="1" x14ac:dyDescent="0.25">
      <c r="A1" s="38" t="s">
        <v>84</v>
      </c>
      <c r="B1" s="39"/>
      <c r="C1" s="39"/>
      <c r="D1" s="40"/>
      <c r="E1" s="40"/>
      <c r="F1" s="40"/>
      <c r="G1" s="40"/>
      <c r="H1" s="40"/>
      <c r="I1" s="40"/>
      <c r="J1" s="40"/>
      <c r="K1" s="40"/>
      <c r="L1" s="40"/>
      <c r="M1" s="40"/>
      <c r="N1" s="40"/>
      <c r="O1" s="40"/>
      <c r="P1" s="40"/>
      <c r="Q1" s="40"/>
      <c r="R1" s="40"/>
      <c r="S1" s="40"/>
      <c r="T1" s="40"/>
      <c r="U1" s="40"/>
      <c r="V1" s="40"/>
      <c r="W1" s="40"/>
      <c r="X1" s="40"/>
      <c r="Y1" s="40"/>
      <c r="Z1" s="40"/>
      <c r="AA1" s="40"/>
      <c r="AB1" s="40"/>
      <c r="AC1" s="39"/>
      <c r="AD1" s="39"/>
      <c r="AE1" s="39"/>
      <c r="AF1" s="39"/>
      <c r="AG1" s="41"/>
      <c r="AH1" s="39"/>
      <c r="AI1" s="39"/>
      <c r="AJ1" s="42"/>
      <c r="AK1" s="39"/>
      <c r="AL1" s="58" t="s">
        <v>70</v>
      </c>
      <c r="AM1" s="59">
        <f>KoledarskoLeto</f>
        <v>2012</v>
      </c>
    </row>
    <row r="2" spans="1:39" customFormat="1" ht="13.5" x14ac:dyDescent="0.25"/>
    <row r="3" spans="1:39" s="32" customFormat="1" ht="12.75" customHeight="1" x14ac:dyDescent="0.25">
      <c r="C3" s="45" t="str">
        <f>BesediloBarvnegaKljuča</f>
        <v>BARVNI KLJUČ</v>
      </c>
      <c r="D3" s="52" t="str">
        <f>Koda1</f>
        <v>Po</v>
      </c>
      <c r="E3" s="69" t="str">
        <f>BesediloKode1</f>
        <v>Pozen</v>
      </c>
      <c r="F3" s="60"/>
      <c r="H3" s="53" t="str">
        <f>Koda2</f>
        <v>E</v>
      </c>
      <c r="I3" s="57" t="str">
        <f>BesediloKode2</f>
        <v>Opravičen</v>
      </c>
      <c r="L3" s="54" t="str">
        <f>Koda3</f>
        <v>N</v>
      </c>
      <c r="M3" s="57" t="str">
        <f>BesediloKode3</f>
        <v>Neopravičen</v>
      </c>
      <c r="P3" s="55" t="str">
        <f>Koda4</f>
        <v>P</v>
      </c>
      <c r="Q3" s="57" t="str">
        <f>BesediloKode4</f>
        <v>Prisoten</v>
      </c>
      <c r="T3" s="56" t="str">
        <f>Koda5</f>
        <v>Ni</v>
      </c>
      <c r="U3" s="57" t="str">
        <f>BesediloKode5</f>
        <v>Ni pouka</v>
      </c>
      <c r="W3"/>
      <c r="X3"/>
      <c r="Y3"/>
      <c r="AD3" s="31"/>
      <c r="AE3" s="31"/>
      <c r="AH3" s="33"/>
      <c r="AI3" s="34"/>
      <c r="AK3" s="35"/>
    </row>
    <row r="4" spans="1:39" customFormat="1" ht="16.5" customHeight="1" x14ac:dyDescent="0.25"/>
    <row r="5" spans="1:39" s="2" customFormat="1" ht="18" customHeight="1" x14ac:dyDescent="0.3">
      <c r="B5" s="62">
        <f>DATE(KoledarskoLeto+1,5,1)</f>
        <v>41395</v>
      </c>
      <c r="C5" s="61"/>
      <c r="D5" s="43" t="str">
        <f>TEXT(WEEKDAY(DATE(KoledarskoLeto+1,5,1),1),"aaa")</f>
        <v>sre</v>
      </c>
      <c r="E5" s="43" t="str">
        <f>TEXT(WEEKDAY(DATE(KoledarskoLeto+1,5,2),1),"aaa")</f>
        <v>čet</v>
      </c>
      <c r="F5" s="43" t="str">
        <f>TEXT(WEEKDAY(DATE(KoledarskoLeto+1,5,3),1),"aaa")</f>
        <v>pet</v>
      </c>
      <c r="G5" s="43" t="str">
        <f>TEXT(WEEKDAY(DATE(KoledarskoLeto+1,5,4),1),"aaa")</f>
        <v>sob</v>
      </c>
      <c r="H5" s="43" t="str">
        <f>TEXT(WEEKDAY(DATE(KoledarskoLeto+1,5,5),1),"aaa")</f>
        <v>ned</v>
      </c>
      <c r="I5" s="43" t="str">
        <f>TEXT(WEEKDAY(DATE(KoledarskoLeto+1,5,6),1),"aaa")</f>
        <v>pon</v>
      </c>
      <c r="J5" s="43" t="str">
        <f>TEXT(WEEKDAY(DATE(KoledarskoLeto+1,5,7),1),"aaa")</f>
        <v>tor</v>
      </c>
      <c r="K5" s="43" t="str">
        <f>TEXT(WEEKDAY(DATE(KoledarskoLeto+1,5,8),1),"aaa")</f>
        <v>sre</v>
      </c>
      <c r="L5" s="43" t="str">
        <f>TEXT(WEEKDAY(DATE(KoledarskoLeto+1,5,9),1),"aaa")</f>
        <v>čet</v>
      </c>
      <c r="M5" s="43" t="str">
        <f>TEXT(WEEKDAY(DATE(KoledarskoLeto+1,5,10),1),"aaa")</f>
        <v>pet</v>
      </c>
      <c r="N5" s="43" t="str">
        <f>TEXT(WEEKDAY(DATE(KoledarskoLeto+1,5,11),1),"aaa")</f>
        <v>sob</v>
      </c>
      <c r="O5" s="43" t="str">
        <f>TEXT(WEEKDAY(DATE(KoledarskoLeto+1,5,12),1),"aaa")</f>
        <v>ned</v>
      </c>
      <c r="P5" s="43" t="str">
        <f>TEXT(WEEKDAY(DATE(KoledarskoLeto+1,5,13),1),"aaa")</f>
        <v>pon</v>
      </c>
      <c r="Q5" s="43" t="str">
        <f>TEXT(WEEKDAY(DATE(KoledarskoLeto+1,5,14),1),"aaa")</f>
        <v>tor</v>
      </c>
      <c r="R5" s="43" t="str">
        <f>TEXT(WEEKDAY(DATE(KoledarskoLeto+1,5,15),1),"aaa")</f>
        <v>sre</v>
      </c>
      <c r="S5" s="43" t="str">
        <f>TEXT(WEEKDAY(DATE(KoledarskoLeto+1,5,16),1),"aaa")</f>
        <v>čet</v>
      </c>
      <c r="T5" s="43" t="str">
        <f>TEXT(WEEKDAY(DATE(KoledarskoLeto+1,5,17),1),"aaa")</f>
        <v>pet</v>
      </c>
      <c r="U5" s="43" t="str">
        <f>TEXT(WEEKDAY(DATE(KoledarskoLeto+1,5,18),1),"aaa")</f>
        <v>sob</v>
      </c>
      <c r="V5" s="43" t="str">
        <f>TEXT(WEEKDAY(DATE(KoledarskoLeto+1,5,19),1),"aaa")</f>
        <v>ned</v>
      </c>
      <c r="W5" s="43" t="str">
        <f>TEXT(WEEKDAY(DATE(KoledarskoLeto+1,5,20),1),"aaa")</f>
        <v>pon</v>
      </c>
      <c r="X5" s="43" t="str">
        <f>TEXT(WEEKDAY(DATE(KoledarskoLeto+1,5,21),1),"aaa")</f>
        <v>tor</v>
      </c>
      <c r="Y5" s="43" t="str">
        <f>TEXT(WEEKDAY(DATE(KoledarskoLeto+1,5,22),1),"aaa")</f>
        <v>sre</v>
      </c>
      <c r="Z5" s="43" t="str">
        <f>TEXT(WEEKDAY(DATE(KoledarskoLeto+1,5,23),1),"aaa")</f>
        <v>čet</v>
      </c>
      <c r="AA5" s="43" t="str">
        <f>TEXT(WEEKDAY(DATE(KoledarskoLeto+1,5,24),1),"aaa")</f>
        <v>pet</v>
      </c>
      <c r="AB5" s="43" t="str">
        <f>TEXT(WEEKDAY(DATE(KoledarskoLeto+1,5,25),1),"aaa")</f>
        <v>sob</v>
      </c>
      <c r="AC5" s="43" t="str">
        <f>TEXT(WEEKDAY(DATE(KoledarskoLeto+1,5,26),1),"aaa")</f>
        <v>ned</v>
      </c>
      <c r="AD5" s="43" t="str">
        <f>TEXT(WEEKDAY(DATE(KoledarskoLeto+1,5,27),1),"aaa")</f>
        <v>pon</v>
      </c>
      <c r="AE5" s="43" t="str">
        <f>TEXT(WEEKDAY(DATE(KoledarskoLeto+1,5,28),1),"aaa")</f>
        <v>tor</v>
      </c>
      <c r="AF5" s="43" t="str">
        <f>TEXT(WEEKDAY(DATE(KoledarskoLeto+1,5,29),1),"aaa")</f>
        <v>sre</v>
      </c>
      <c r="AG5" s="43" t="str">
        <f>TEXT(WEEKDAY(DATE(KoledarskoLeto+1,5,30),1),"aaa")</f>
        <v>čet</v>
      </c>
      <c r="AH5" s="43" t="str">
        <f>TEXT(WEEKDAY(DATE(KoledarskoLeto+1,5,31),1),"aaa")</f>
        <v>pet</v>
      </c>
      <c r="AI5" s="121" t="s">
        <v>41</v>
      </c>
      <c r="AJ5" s="121"/>
      <c r="AK5" s="121"/>
      <c r="AL5" s="121"/>
      <c r="AM5" s="121"/>
    </row>
    <row r="6" spans="1:39" ht="14.25" customHeight="1" x14ac:dyDescent="0.25">
      <c r="B6" s="28" t="s">
        <v>34</v>
      </c>
      <c r="C6" s="29" t="s">
        <v>36</v>
      </c>
      <c r="D6" s="30" t="s">
        <v>0</v>
      </c>
      <c r="E6" s="30" t="s">
        <v>1</v>
      </c>
      <c r="F6" s="30" t="s">
        <v>2</v>
      </c>
      <c r="G6" s="30" t="s">
        <v>3</v>
      </c>
      <c r="H6" s="30" t="s">
        <v>4</v>
      </c>
      <c r="I6" s="30" t="s">
        <v>5</v>
      </c>
      <c r="J6" s="30" t="s">
        <v>6</v>
      </c>
      <c r="K6" s="30" t="s">
        <v>7</v>
      </c>
      <c r="L6" s="30" t="s">
        <v>8</v>
      </c>
      <c r="M6" s="30" t="s">
        <v>9</v>
      </c>
      <c r="N6" s="30" t="s">
        <v>10</v>
      </c>
      <c r="O6" s="30" t="s">
        <v>11</v>
      </c>
      <c r="P6" s="30" t="s">
        <v>12</v>
      </c>
      <c r="Q6" s="30" t="s">
        <v>13</v>
      </c>
      <c r="R6" s="30" t="s">
        <v>14</v>
      </c>
      <c r="S6" s="30" t="s">
        <v>15</v>
      </c>
      <c r="T6" s="30" t="s">
        <v>16</v>
      </c>
      <c r="U6" s="30" t="s">
        <v>17</v>
      </c>
      <c r="V6" s="30" t="s">
        <v>18</v>
      </c>
      <c r="W6" s="30" t="s">
        <v>19</v>
      </c>
      <c r="X6" s="30" t="s">
        <v>20</v>
      </c>
      <c r="Y6" s="30" t="s">
        <v>21</v>
      </c>
      <c r="Z6" s="30" t="s">
        <v>22</v>
      </c>
      <c r="AA6" s="30" t="s">
        <v>23</v>
      </c>
      <c r="AB6" s="30" t="s">
        <v>24</v>
      </c>
      <c r="AC6" s="30" t="s">
        <v>25</v>
      </c>
      <c r="AD6" s="30" t="s">
        <v>26</v>
      </c>
      <c r="AE6" s="30" t="s">
        <v>27</v>
      </c>
      <c r="AF6" s="30" t="s">
        <v>28</v>
      </c>
      <c r="AG6" s="30" t="s">
        <v>29</v>
      </c>
      <c r="AH6" s="30" t="s">
        <v>30</v>
      </c>
      <c r="AI6" s="52" t="s">
        <v>133</v>
      </c>
      <c r="AJ6" s="53" t="s">
        <v>39</v>
      </c>
      <c r="AK6" s="54" t="s">
        <v>38</v>
      </c>
      <c r="AL6" s="36" t="s">
        <v>31</v>
      </c>
      <c r="AM6" t="s">
        <v>40</v>
      </c>
    </row>
    <row r="7" spans="1:39" ht="16.5" customHeight="1" x14ac:dyDescent="0.25">
      <c r="B7" s="27"/>
      <c r="C7" s="22" t="str">
        <f>IFERROR(VLOOKUP(PrisotnostMaja[[#This Row],[ID študenta]],SeznamUčencev[],18,FALSE),"")</f>
        <v/>
      </c>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6"/>
      <c r="AG7" s="3"/>
      <c r="AH7" s="3"/>
      <c r="AI7" s="37">
        <f>COUNTIF(PrisotnostMaja[[#This Row],[1]:[31]],Koda1)</f>
        <v>0</v>
      </c>
      <c r="AJ7" s="37">
        <f>COUNTIF(PrisotnostMaja[[#This Row],[1]:[31]],Koda2)</f>
        <v>0</v>
      </c>
      <c r="AK7" s="37">
        <f>COUNTIF(PrisotnostMaja[[#This Row],[1]:[31]],Koda3)</f>
        <v>0</v>
      </c>
      <c r="AL7" s="37">
        <f>COUNTIF(PrisotnostMaja[[#This Row],[1]:[31]],Koda4)</f>
        <v>0</v>
      </c>
      <c r="AM7" s="6">
        <f>SUM(PrisotnostMaja[[#This Row],[E]:[N]])</f>
        <v>0</v>
      </c>
    </row>
    <row r="8" spans="1:39" ht="16.5" customHeight="1" x14ac:dyDescent="0.25">
      <c r="B8" s="27"/>
      <c r="C8" s="23" t="str">
        <f>IFERROR(VLOOKUP(PrisotnostMaja[[#This Row],[ID študenta]],SeznamUčencev[],18,FALSE),"")</f>
        <v/>
      </c>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6"/>
      <c r="AG8" s="3"/>
      <c r="AH8" s="3"/>
      <c r="AI8" s="37">
        <f>COUNTIF(PrisotnostMaja[[#This Row],[1]:[31]],Koda1)</f>
        <v>0</v>
      </c>
      <c r="AJ8" s="37">
        <f>COUNTIF(PrisotnostMaja[[#This Row],[1]:[31]],Koda2)</f>
        <v>0</v>
      </c>
      <c r="AK8" s="37">
        <f>COUNTIF(PrisotnostMaja[[#This Row],[1]:[31]],Koda3)</f>
        <v>0</v>
      </c>
      <c r="AL8" s="37">
        <f>COUNTIF(PrisotnostMaja[[#This Row],[1]:[31]],Koda4)</f>
        <v>0</v>
      </c>
      <c r="AM8" s="6">
        <f>SUM(PrisotnostMaja[[#This Row],[E]:[N]])</f>
        <v>0</v>
      </c>
    </row>
    <row r="9" spans="1:39" ht="16.5" customHeight="1" x14ac:dyDescent="0.25">
      <c r="B9" s="27"/>
      <c r="C9" s="23" t="str">
        <f>IFERROR(VLOOKUP(PrisotnostMaja[[#This Row],[ID študenta]],SeznamUčencev[],18,FALSE),"")</f>
        <v/>
      </c>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6"/>
      <c r="AG9" s="3"/>
      <c r="AH9" s="3"/>
      <c r="AI9" s="37">
        <f>COUNTIF(PrisotnostMaja[[#This Row],[1]:[31]],Koda1)</f>
        <v>0</v>
      </c>
      <c r="AJ9" s="37">
        <f>COUNTIF(PrisotnostMaja[[#This Row],[1]:[31]],Koda2)</f>
        <v>0</v>
      </c>
      <c r="AK9" s="37">
        <f>COUNTIF(PrisotnostMaja[[#This Row],[1]:[31]],Koda3)</f>
        <v>0</v>
      </c>
      <c r="AL9" s="37">
        <f>COUNTIF(PrisotnostMaja[[#This Row],[1]:[31]],Koda4)</f>
        <v>0</v>
      </c>
      <c r="AM9" s="6">
        <f>SUM(PrisotnostMaja[[#This Row],[E]:[N]])</f>
        <v>0</v>
      </c>
    </row>
    <row r="10" spans="1:39" ht="16.5" customHeight="1" x14ac:dyDescent="0.25">
      <c r="B10" s="27"/>
      <c r="C10" s="23" t="str">
        <f>IFERROR(VLOOKUP(PrisotnostMaja[[#This Row],[ID študenta]],SeznamUčencev[],18,FALSE),"")</f>
        <v/>
      </c>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6"/>
      <c r="AG10" s="3"/>
      <c r="AH10" s="3"/>
      <c r="AI10" s="37">
        <f>COUNTIF(PrisotnostMaja[[#This Row],[1]:[31]],Koda1)</f>
        <v>0</v>
      </c>
      <c r="AJ10" s="37">
        <f>COUNTIF(PrisotnostMaja[[#This Row],[1]:[31]],Koda2)</f>
        <v>0</v>
      </c>
      <c r="AK10" s="37">
        <f>COUNTIF(PrisotnostMaja[[#This Row],[1]:[31]],Koda3)</f>
        <v>0</v>
      </c>
      <c r="AL10" s="37">
        <f>COUNTIF(PrisotnostMaja[[#This Row],[1]:[31]],Koda4)</f>
        <v>0</v>
      </c>
      <c r="AM10" s="6">
        <f>SUM(PrisotnostMaja[[#This Row],[E]:[N]])</f>
        <v>0</v>
      </c>
    </row>
    <row r="11" spans="1:39" ht="16.5" customHeight="1" x14ac:dyDescent="0.25">
      <c r="B11" s="27"/>
      <c r="C11" s="23" t="str">
        <f>IFERROR(VLOOKUP(PrisotnostMaja[[#This Row],[ID študenta]],SeznamUčencev[],18,FALSE),"")</f>
        <v/>
      </c>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6"/>
      <c r="AG11" s="3"/>
      <c r="AH11" s="3"/>
      <c r="AI11" s="37">
        <f>COUNTIF(PrisotnostMaja[[#This Row],[1]:[31]],Koda1)</f>
        <v>0</v>
      </c>
      <c r="AJ11" s="37">
        <f>COUNTIF(PrisotnostMaja[[#This Row],[1]:[31]],Koda2)</f>
        <v>0</v>
      </c>
      <c r="AK11" s="37">
        <f>COUNTIF(PrisotnostMaja[[#This Row],[1]:[31]],Koda3)</f>
        <v>0</v>
      </c>
      <c r="AL11" s="37">
        <f>COUNTIF(PrisotnostMaja[[#This Row],[1]:[31]],Koda4)</f>
        <v>0</v>
      </c>
      <c r="AM11" s="6">
        <f>SUM(PrisotnostMaja[[#This Row],[E]:[N]])</f>
        <v>0</v>
      </c>
    </row>
    <row r="12" spans="1:39" ht="16.5" customHeight="1" x14ac:dyDescent="0.25">
      <c r="B12" s="144"/>
      <c r="C12" s="145" t="s">
        <v>115</v>
      </c>
      <c r="D12" s="146">
        <f>COUNTIF(PrisotnostMaja[1],"N")+COUNTIF(PrisotnostMaja[1],"E")</f>
        <v>0</v>
      </c>
      <c r="E12" s="146">
        <f>COUNTIF(PrisotnostMaja[2],"N")+COUNTIF(PrisotnostMaja[2],"E")</f>
        <v>0</v>
      </c>
      <c r="F12" s="146">
        <f>COUNTIF(PrisotnostMaja[3],"N")+COUNTIF(PrisotnostMaja[3],"E")</f>
        <v>0</v>
      </c>
      <c r="G12" s="146">
        <f>COUNTIF(PrisotnostMaja[4],"N")+COUNTIF(PrisotnostMaja[4],"E")</f>
        <v>0</v>
      </c>
      <c r="H12" s="146">
        <f>COUNTIF(PrisotnostMaja[5],"N")+COUNTIF(PrisotnostMaja[5],"E")</f>
        <v>0</v>
      </c>
      <c r="I12" s="146">
        <f>COUNTIF(PrisotnostMaja[6],"N")+COUNTIF(PrisotnostMaja[6],"E")</f>
        <v>0</v>
      </c>
      <c r="J12" s="146">
        <f>COUNTIF(PrisotnostMaja[7],"N")+COUNTIF(PrisotnostMaja[7],"E")</f>
        <v>0</v>
      </c>
      <c r="K12" s="146">
        <f>COUNTIF(PrisotnostMaja[8],"N")+COUNTIF(PrisotnostMaja[8],"E")</f>
        <v>0</v>
      </c>
      <c r="L12" s="146">
        <f>COUNTIF(PrisotnostMaja[9],"N")+COUNTIF(PrisotnostMaja[9],"E")</f>
        <v>0</v>
      </c>
      <c r="M12" s="146">
        <f>COUNTIF(PrisotnostMaja[10],"N")+COUNTIF(PrisotnostMaja[10],"E")</f>
        <v>0</v>
      </c>
      <c r="N12" s="146">
        <f>COUNTIF(PrisotnostMaja[11],"N")+COUNTIF(PrisotnostMaja[11],"E")</f>
        <v>0</v>
      </c>
      <c r="O12" s="146">
        <f>COUNTIF(PrisotnostMaja[12],"N")+COUNTIF(PrisotnostMaja[12],"E")</f>
        <v>0</v>
      </c>
      <c r="P12" s="146">
        <f>COUNTIF(PrisotnostMaja[13],"N")+COUNTIF(PrisotnostMaja[13],"E")</f>
        <v>0</v>
      </c>
      <c r="Q12" s="146">
        <f>COUNTIF(PrisotnostMaja[14],"N")+COUNTIF(PrisotnostMaja[14],"E")</f>
        <v>0</v>
      </c>
      <c r="R12" s="146">
        <f>COUNTIF(PrisotnostMaja[15],"N")+COUNTIF(PrisotnostMaja[15],"E")</f>
        <v>0</v>
      </c>
      <c r="S12" s="146">
        <f>COUNTIF(PrisotnostMaja[16],"N")+COUNTIF(PrisotnostMaja[16],"E")</f>
        <v>0</v>
      </c>
      <c r="T12" s="146">
        <f>COUNTIF(PrisotnostMaja[17],"N")+COUNTIF(PrisotnostMaja[17],"E")</f>
        <v>0</v>
      </c>
      <c r="U12" s="146">
        <f>COUNTIF(PrisotnostMaja[18],"N")+COUNTIF(PrisotnostMaja[18],"E")</f>
        <v>0</v>
      </c>
      <c r="V12" s="146">
        <f>COUNTIF(PrisotnostMaja[19],"N")+COUNTIF(PrisotnostMaja[19],"E")</f>
        <v>0</v>
      </c>
      <c r="W12" s="146">
        <f>COUNTIF(PrisotnostMaja[20],"N")+COUNTIF(PrisotnostMaja[20],"E")</f>
        <v>0</v>
      </c>
      <c r="X12" s="146">
        <f>COUNTIF(PrisotnostMaja[21],"N")+COUNTIF(PrisotnostMaja[21],"E")</f>
        <v>0</v>
      </c>
      <c r="Y12" s="146">
        <f>COUNTIF(PrisotnostMaja[22],"N")+COUNTIF(PrisotnostMaja[22],"E")</f>
        <v>0</v>
      </c>
      <c r="Z12" s="146">
        <f>COUNTIF(PrisotnostMaja[23],"N")+COUNTIF(PrisotnostMaja[23],"E")</f>
        <v>0</v>
      </c>
      <c r="AA12" s="146">
        <f>COUNTIF(PrisotnostMaja[24],"N")+COUNTIF(PrisotnostMaja[24],"E")</f>
        <v>0</v>
      </c>
      <c r="AB12" s="146">
        <f>COUNTIF(PrisotnostMaja[25],"N")+COUNTIF(PrisotnostMaja[25],"E")</f>
        <v>0</v>
      </c>
      <c r="AC12" s="146">
        <f>COUNTIF(PrisotnostMaja[26],"N")+COUNTIF(PrisotnostMaja[26],"E")</f>
        <v>0</v>
      </c>
      <c r="AD12" s="146">
        <f>COUNTIF(PrisotnostMaja[27],"N")+COUNTIF(PrisotnostMaja[27],"E")</f>
        <v>0</v>
      </c>
      <c r="AE12" s="146">
        <f>COUNTIF(PrisotnostMaja[28],"N")+COUNTIF(PrisotnostMaja[28],"E")</f>
        <v>0</v>
      </c>
      <c r="AF12" s="146">
        <f>COUNTIF(PrisotnostMaja[29],"N")+COUNTIF(PrisotnostMaja[29],"E")</f>
        <v>0</v>
      </c>
      <c r="AG12" s="146"/>
      <c r="AH12" s="146"/>
      <c r="AI12" s="146">
        <f>SUBTOTAL(109,PrisotnostMaja[Po])</f>
        <v>0</v>
      </c>
      <c r="AJ12" s="146">
        <f>SUBTOTAL(109,PrisotnostMaja[E])</f>
        <v>0</v>
      </c>
      <c r="AK12" s="146">
        <f>SUBTOTAL(109,PrisotnostMaja[N])</f>
        <v>0</v>
      </c>
      <c r="AL12" s="146">
        <f>SUBTOTAL(109,PrisotnostMaja[P])</f>
        <v>0</v>
      </c>
      <c r="AM12" s="146">
        <f>SUBTOTAL(109,PrisotnostMaja[Dni odsoten])</f>
        <v>0</v>
      </c>
    </row>
    <row r="14" spans="1:39" ht="16.5" customHeight="1" x14ac:dyDescent="0.25"/>
    <row r="15" spans="1:39" ht="16.5" customHeight="1" x14ac:dyDescent="0.25"/>
    <row r="16" spans="1:39"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sheetData>
  <sheetProtection formatCells="0" formatColumns="0" formatRows="0" insertColumns="0" insertRows="0" insertHyperlinks="0" deleteColumns="0" deleteRows="0" sort="0" autoFilter="0" pivotTables="0"/>
  <mergeCells count="1">
    <mergeCell ref="AI5:AM5"/>
  </mergeCells>
  <conditionalFormatting sqref="AM7:AM11">
    <cfRule type="dataBar" priority="1">
      <dataBar>
        <cfvo type="min"/>
        <cfvo type="num" val="DATEDIF(DATE(KoledarskoLeto,2,1),DATE(KoledarskoLeto,3,1),&quot;d&quot;)"/>
        <color theme="4"/>
      </dataBar>
      <extLst>
        <ext xmlns:x14="http://schemas.microsoft.com/office/spreadsheetml/2009/9/main" uri="{B025F937-C7B1-47D3-B67F-A62EFF666E3E}">
          <x14:id>{075C44B9-B707-434A-A9F0-95252D34B3EF}</x14:id>
        </ext>
      </extLst>
    </cfRule>
  </conditionalFormatting>
  <conditionalFormatting sqref="D7:AF11">
    <cfRule type="expression" dxfId="597" priority="2" stopIfTrue="1">
      <formula>D7=Koda2</formula>
    </cfRule>
  </conditionalFormatting>
  <conditionalFormatting sqref="D7:AF11">
    <cfRule type="expression" dxfId="596" priority="3" stopIfTrue="1">
      <formula>D7=Koda5</formula>
    </cfRule>
    <cfRule type="expression" dxfId="595" priority="4" stopIfTrue="1">
      <formula>D7=Koda4</formula>
    </cfRule>
    <cfRule type="expression" dxfId="594" priority="5" stopIfTrue="1">
      <formula>D7=Koda3</formula>
    </cfRule>
    <cfRule type="expression" dxfId="593" priority="6" stopIfTrue="1">
      <formula>D7=Koda1</formula>
    </cfRule>
  </conditionalFormatting>
  <dataValidations count="1">
    <dataValidation type="list" errorStyle="warning" allowBlank="1" showInputMessage="1" showErrorMessage="1" errorTitle="Ups!" error="»ID študenta«, ki ste ga vnesli, ni na listu »Seznam študentov«. Kliknete lahko »Da«, če želite uporabiti, kar ste vnesli, ampak ta »ID študenta« ne bo na voljo na listu »Poročilo prisotnosti študentov«." sqref="B7:B11">
      <formula1>IDUčenca</formula1>
    </dataValidation>
  </dataValidations>
  <printOptions horizontalCentered="1"/>
  <pageMargins left="0.5" right="0.5" top="0.75" bottom="0.75" header="0.3" footer="0.3"/>
  <pageSetup paperSize="9" scale="60" fitToHeight="0" orientation="landscape" verticalDpi="12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075C44B9-B707-434A-A9F0-95252D34B3EF}">
            <x14:dataBar minLength="0" maxLength="100" border="1" negativeBarBorderColorSameAsPositive="0">
              <x14:cfvo type="autoMin"/>
              <x14:cfvo type="num">
                <xm:f>DATEDIF(DATE(KoledarskoLeto,2,1),DATE(KoledarskoLeto,3,1),"d")</xm:f>
              </x14:cfvo>
              <x14:borderColor theme="4"/>
              <x14:negativeFillColor rgb="FFFF0000"/>
              <x14:negativeBorderColor rgb="FFFF0000"/>
              <x14:axisColor rgb="FF000000"/>
            </x14:dataBar>
          </x14:cfRule>
          <xm:sqref>AM7:AM11</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M264"/>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x14ac:dyDescent="0.25"/>
  <cols>
    <col min="1" max="1" width="2.7109375" style="11" customWidth="1"/>
    <col min="2" max="2" width="11.5703125" style="11" bestFit="1" customWidth="1"/>
    <col min="3" max="3" width="28.85546875" style="12" customWidth="1"/>
    <col min="4" max="34" width="5" style="10" customWidth="1"/>
    <col min="35" max="35" width="4.7109375" style="9" customWidth="1"/>
    <col min="36" max="36" width="4.7109375" style="10" customWidth="1"/>
    <col min="37" max="38" width="4.7109375" style="11" customWidth="1"/>
    <col min="39" max="39" width="12.7109375" style="11" customWidth="1"/>
    <col min="40" max="16384" width="9.140625" style="11"/>
  </cols>
  <sheetData>
    <row r="1" spans="1:39" s="1" customFormat="1" ht="42" customHeight="1" x14ac:dyDescent="0.25">
      <c r="A1" s="38" t="s">
        <v>84</v>
      </c>
      <c r="B1" s="39"/>
      <c r="C1" s="39"/>
      <c r="D1" s="40"/>
      <c r="E1" s="40"/>
      <c r="F1" s="40"/>
      <c r="G1" s="40"/>
      <c r="H1" s="40"/>
      <c r="I1" s="40"/>
      <c r="J1" s="40"/>
      <c r="K1" s="40"/>
      <c r="L1" s="40"/>
      <c r="M1" s="40"/>
      <c r="N1" s="40"/>
      <c r="O1" s="40"/>
      <c r="P1" s="40"/>
      <c r="Q1" s="40"/>
      <c r="R1" s="40"/>
      <c r="S1" s="40"/>
      <c r="T1" s="40"/>
      <c r="U1" s="40"/>
      <c r="V1" s="40"/>
      <c r="W1" s="40"/>
      <c r="X1" s="40"/>
      <c r="Y1" s="40"/>
      <c r="Z1" s="40"/>
      <c r="AA1" s="40"/>
      <c r="AB1" s="40"/>
      <c r="AC1" s="39"/>
      <c r="AD1" s="39"/>
      <c r="AE1" s="39"/>
      <c r="AF1" s="39"/>
      <c r="AG1" s="41"/>
      <c r="AH1" s="39"/>
      <c r="AI1" s="39"/>
      <c r="AJ1" s="42"/>
      <c r="AK1" s="39"/>
      <c r="AL1" s="58" t="s">
        <v>70</v>
      </c>
      <c r="AM1" s="59">
        <f>KoledarskoLeto</f>
        <v>2012</v>
      </c>
    </row>
    <row r="2" spans="1:39" customFormat="1" ht="13.5" x14ac:dyDescent="0.25"/>
    <row r="3" spans="1:39" s="32" customFormat="1" ht="12.75" customHeight="1" x14ac:dyDescent="0.25">
      <c r="C3" s="45" t="str">
        <f>BesediloBarvnegaKljuča</f>
        <v>BARVNI KLJUČ</v>
      </c>
      <c r="D3" s="52" t="str">
        <f>Koda1</f>
        <v>Po</v>
      </c>
      <c r="E3" s="69" t="str">
        <f>BesediloKode1</f>
        <v>Pozen</v>
      </c>
      <c r="F3" s="60"/>
      <c r="H3" s="53" t="str">
        <f>Koda2</f>
        <v>E</v>
      </c>
      <c r="I3" s="57" t="str">
        <f>BesediloKode2</f>
        <v>Opravičen</v>
      </c>
      <c r="L3" s="54" t="str">
        <f>Koda3</f>
        <v>N</v>
      </c>
      <c r="M3" s="57" t="str">
        <f>BesediloKode3</f>
        <v>Neopravičen</v>
      </c>
      <c r="P3" s="55" t="str">
        <f>Koda4</f>
        <v>P</v>
      </c>
      <c r="Q3" s="57" t="str">
        <f>BesediloKode4</f>
        <v>Prisoten</v>
      </c>
      <c r="T3" s="56" t="str">
        <f>Koda5</f>
        <v>Ni</v>
      </c>
      <c r="U3" s="57" t="str">
        <f>BesediloKode5</f>
        <v>Ni pouka</v>
      </c>
      <c r="W3"/>
      <c r="X3"/>
      <c r="Y3"/>
      <c r="AD3" s="31"/>
      <c r="AE3" s="31"/>
      <c r="AH3" s="33"/>
      <c r="AI3" s="34"/>
      <c r="AK3" s="35"/>
    </row>
    <row r="4" spans="1:39" customFormat="1" ht="16.5" customHeight="1" x14ac:dyDescent="0.25"/>
    <row r="5" spans="1:39" s="2" customFormat="1" ht="18" customHeight="1" x14ac:dyDescent="0.3">
      <c r="B5" s="62">
        <f>DATE(KoledarskoLeto+1,6,1)</f>
        <v>41426</v>
      </c>
      <c r="C5" s="61"/>
      <c r="D5" s="43" t="str">
        <f>TEXT(WEEKDAY(DATE(KoledarskoLeto+1,6,1),1),"aaa")</f>
        <v>sob</v>
      </c>
      <c r="E5" s="43" t="str">
        <f>TEXT(WEEKDAY(DATE(KoledarskoLeto+1,6,2),1),"aaa")</f>
        <v>ned</v>
      </c>
      <c r="F5" s="43" t="str">
        <f>TEXT(WEEKDAY(DATE(KoledarskoLeto+1,6,3),1),"aaa")</f>
        <v>pon</v>
      </c>
      <c r="G5" s="43" t="str">
        <f>TEXT(WEEKDAY(DATE(KoledarskoLeto+1,6,4),1),"aaa")</f>
        <v>tor</v>
      </c>
      <c r="H5" s="43" t="str">
        <f>TEXT(WEEKDAY(DATE(KoledarskoLeto+1,6,5),1),"aaa")</f>
        <v>sre</v>
      </c>
      <c r="I5" s="43" t="str">
        <f>TEXT(WEEKDAY(DATE(KoledarskoLeto+1,6,6),1),"aaa")</f>
        <v>čet</v>
      </c>
      <c r="J5" s="43" t="str">
        <f>TEXT(WEEKDAY(DATE(KoledarskoLeto+1,6,7),1),"aaa")</f>
        <v>pet</v>
      </c>
      <c r="K5" s="43" t="str">
        <f>TEXT(WEEKDAY(DATE(KoledarskoLeto+1,6,8),1),"aaa")</f>
        <v>sob</v>
      </c>
      <c r="L5" s="43" t="str">
        <f>TEXT(WEEKDAY(DATE(KoledarskoLeto+1,6,9),1),"aaa")</f>
        <v>ned</v>
      </c>
      <c r="M5" s="43" t="str">
        <f>TEXT(WEEKDAY(DATE(KoledarskoLeto+1,6,10),1),"aaa")</f>
        <v>pon</v>
      </c>
      <c r="N5" s="43" t="str">
        <f>TEXT(WEEKDAY(DATE(KoledarskoLeto+1,6,11),1),"aaa")</f>
        <v>tor</v>
      </c>
      <c r="O5" s="43" t="str">
        <f>TEXT(WEEKDAY(DATE(KoledarskoLeto+1,6,12),1),"aaa")</f>
        <v>sre</v>
      </c>
      <c r="P5" s="43" t="str">
        <f>TEXT(WEEKDAY(DATE(KoledarskoLeto+1,6,13),1),"aaa")</f>
        <v>čet</v>
      </c>
      <c r="Q5" s="43" t="str">
        <f>TEXT(WEEKDAY(DATE(KoledarskoLeto+1,6,14),1),"aaa")</f>
        <v>pet</v>
      </c>
      <c r="R5" s="43" t="str">
        <f>TEXT(WEEKDAY(DATE(KoledarskoLeto+1,6,15),1),"aaa")</f>
        <v>sob</v>
      </c>
      <c r="S5" s="43" t="str">
        <f>TEXT(WEEKDAY(DATE(KoledarskoLeto+1,6,16),1),"aaa")</f>
        <v>ned</v>
      </c>
      <c r="T5" s="43" t="str">
        <f>TEXT(WEEKDAY(DATE(KoledarskoLeto+1,6,17),1),"aaa")</f>
        <v>pon</v>
      </c>
      <c r="U5" s="43" t="str">
        <f>TEXT(WEEKDAY(DATE(KoledarskoLeto+1,6,18),1),"aaa")</f>
        <v>tor</v>
      </c>
      <c r="V5" s="43" t="str">
        <f>TEXT(WEEKDAY(DATE(KoledarskoLeto+1,6,19),1),"aaa")</f>
        <v>sre</v>
      </c>
      <c r="W5" s="43" t="str">
        <f>TEXT(WEEKDAY(DATE(KoledarskoLeto+1,6,20),1),"aaa")</f>
        <v>čet</v>
      </c>
      <c r="X5" s="43" t="str">
        <f>TEXT(WEEKDAY(DATE(KoledarskoLeto+1,6,21),1),"aaa")</f>
        <v>pet</v>
      </c>
      <c r="Y5" s="43" t="str">
        <f>TEXT(WEEKDAY(DATE(KoledarskoLeto+1,6,22),1),"aaa")</f>
        <v>sob</v>
      </c>
      <c r="Z5" s="43" t="str">
        <f>TEXT(WEEKDAY(DATE(KoledarskoLeto+1,6,23),1),"aaa")</f>
        <v>ned</v>
      </c>
      <c r="AA5" s="43" t="str">
        <f>TEXT(WEEKDAY(DATE(KoledarskoLeto+1,6,24),1),"aaa")</f>
        <v>pon</v>
      </c>
      <c r="AB5" s="43" t="str">
        <f>TEXT(WEEKDAY(DATE(KoledarskoLeto+1,6,25),1),"aaa")</f>
        <v>tor</v>
      </c>
      <c r="AC5" s="43" t="str">
        <f>TEXT(WEEKDAY(DATE(KoledarskoLeto+1,6,26),1),"aaa")</f>
        <v>sre</v>
      </c>
      <c r="AD5" s="43" t="str">
        <f>TEXT(WEEKDAY(DATE(KoledarskoLeto+1,6,27),1),"aaa")</f>
        <v>čet</v>
      </c>
      <c r="AE5" s="43" t="str">
        <f>TEXT(WEEKDAY(DATE(KoledarskoLeto+1,6,28),1),"aaa")</f>
        <v>pet</v>
      </c>
      <c r="AF5" s="43" t="str">
        <f>TEXT(WEEKDAY(DATE(KoledarskoLeto+1,6,29),1),"aaa")</f>
        <v>sob</v>
      </c>
      <c r="AG5" s="43" t="str">
        <f>TEXT(WEEKDAY(DATE(KoledarskoLeto+1,6,30),1),"aaa")</f>
        <v>ned</v>
      </c>
      <c r="AH5" s="43"/>
      <c r="AI5" s="121" t="s">
        <v>41</v>
      </c>
      <c r="AJ5" s="121"/>
      <c r="AK5" s="121"/>
      <c r="AL5" s="121"/>
      <c r="AM5" s="121"/>
    </row>
    <row r="6" spans="1:39" ht="14.25" customHeight="1" x14ac:dyDescent="0.25">
      <c r="B6" s="28" t="s">
        <v>34</v>
      </c>
      <c r="C6" s="29" t="s">
        <v>36</v>
      </c>
      <c r="D6" s="30" t="s">
        <v>0</v>
      </c>
      <c r="E6" s="30" t="s">
        <v>1</v>
      </c>
      <c r="F6" s="30" t="s">
        <v>2</v>
      </c>
      <c r="G6" s="30" t="s">
        <v>3</v>
      </c>
      <c r="H6" s="30" t="s">
        <v>4</v>
      </c>
      <c r="I6" s="30" t="s">
        <v>5</v>
      </c>
      <c r="J6" s="30" t="s">
        <v>6</v>
      </c>
      <c r="K6" s="30" t="s">
        <v>7</v>
      </c>
      <c r="L6" s="30" t="s">
        <v>8</v>
      </c>
      <c r="M6" s="30" t="s">
        <v>9</v>
      </c>
      <c r="N6" s="30" t="s">
        <v>10</v>
      </c>
      <c r="O6" s="30" t="s">
        <v>11</v>
      </c>
      <c r="P6" s="30" t="s">
        <v>12</v>
      </c>
      <c r="Q6" s="30" t="s">
        <v>13</v>
      </c>
      <c r="R6" s="30" t="s">
        <v>14</v>
      </c>
      <c r="S6" s="30" t="s">
        <v>15</v>
      </c>
      <c r="T6" s="30" t="s">
        <v>16</v>
      </c>
      <c r="U6" s="30" t="s">
        <v>17</v>
      </c>
      <c r="V6" s="30" t="s">
        <v>18</v>
      </c>
      <c r="W6" s="30" t="s">
        <v>19</v>
      </c>
      <c r="X6" s="30" t="s">
        <v>20</v>
      </c>
      <c r="Y6" s="30" t="s">
        <v>21</v>
      </c>
      <c r="Z6" s="30" t="s">
        <v>22</v>
      </c>
      <c r="AA6" s="30" t="s">
        <v>23</v>
      </c>
      <c r="AB6" s="30" t="s">
        <v>24</v>
      </c>
      <c r="AC6" s="30" t="s">
        <v>25</v>
      </c>
      <c r="AD6" s="30" t="s">
        <v>26</v>
      </c>
      <c r="AE6" s="30" t="s">
        <v>27</v>
      </c>
      <c r="AF6" s="30" t="s">
        <v>28</v>
      </c>
      <c r="AG6" s="30" t="s">
        <v>29</v>
      </c>
      <c r="AH6" s="30" t="s">
        <v>114</v>
      </c>
      <c r="AI6" s="52" t="s">
        <v>133</v>
      </c>
      <c r="AJ6" s="53" t="s">
        <v>39</v>
      </c>
      <c r="AK6" s="54" t="s">
        <v>38</v>
      </c>
      <c r="AL6" s="36" t="s">
        <v>31</v>
      </c>
      <c r="AM6" t="s">
        <v>40</v>
      </c>
    </row>
    <row r="7" spans="1:39" ht="16.5" customHeight="1" x14ac:dyDescent="0.25">
      <c r="B7" s="27"/>
      <c r="C7" s="22" t="str">
        <f>IFERROR(VLOOKUP(PrisotnostJunija[[#This Row],[ID študenta]],SeznamUčencev[],18,FALSE),"")</f>
        <v/>
      </c>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6"/>
      <c r="AG7" s="3"/>
      <c r="AH7" s="3"/>
      <c r="AI7" s="37">
        <f>COUNTIF(PrisotnostJunija[[#This Row],[1]:[ ]],Koda1)</f>
        <v>0</v>
      </c>
      <c r="AJ7" s="37">
        <f>COUNTIF(PrisotnostJunija[[#This Row],[1]:[ ]],Koda2)</f>
        <v>0</v>
      </c>
      <c r="AK7" s="37">
        <f>COUNTIF(PrisotnostJunija[[#This Row],[1]:[ ]],Koda3)</f>
        <v>0</v>
      </c>
      <c r="AL7" s="37">
        <f>COUNTIF(PrisotnostJunija[[#This Row],[1]:[ ]],Koda4)</f>
        <v>0</v>
      </c>
      <c r="AM7" s="6">
        <f>SUM(PrisotnostJunija[[#This Row],[E]:[N]])</f>
        <v>0</v>
      </c>
    </row>
    <row r="8" spans="1:39" ht="16.5" customHeight="1" x14ac:dyDescent="0.25">
      <c r="B8" s="27"/>
      <c r="C8" s="23" t="str">
        <f>IFERROR(VLOOKUP(PrisotnostJunija[[#This Row],[ID študenta]],SeznamUčencev[],18,FALSE),"")</f>
        <v/>
      </c>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6"/>
      <c r="AG8" s="3"/>
      <c r="AH8" s="3"/>
      <c r="AI8" s="37">
        <f>COUNTIF(PrisotnostJunija[[#This Row],[1]:[ ]],Koda1)</f>
        <v>0</v>
      </c>
      <c r="AJ8" s="37">
        <f>COUNTIF(PrisotnostJunija[[#This Row],[1]:[ ]],Koda2)</f>
        <v>0</v>
      </c>
      <c r="AK8" s="37">
        <f>COUNTIF(PrisotnostJunija[[#This Row],[1]:[ ]],Koda3)</f>
        <v>0</v>
      </c>
      <c r="AL8" s="37">
        <f>COUNTIF(PrisotnostJunija[[#This Row],[1]:[ ]],Koda4)</f>
        <v>0</v>
      </c>
      <c r="AM8" s="6">
        <f>SUM(PrisotnostJunija[[#This Row],[E]:[N]])</f>
        <v>0</v>
      </c>
    </row>
    <row r="9" spans="1:39" ht="16.5" customHeight="1" x14ac:dyDescent="0.25">
      <c r="B9" s="27"/>
      <c r="C9" s="23" t="str">
        <f>IFERROR(VLOOKUP(PrisotnostJunija[[#This Row],[ID študenta]],SeznamUčencev[],18,FALSE),"")</f>
        <v/>
      </c>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6"/>
      <c r="AG9" s="3"/>
      <c r="AH9" s="3"/>
      <c r="AI9" s="37">
        <f>COUNTIF(PrisotnostJunija[[#This Row],[1]:[ ]],Koda1)</f>
        <v>0</v>
      </c>
      <c r="AJ9" s="37">
        <f>COUNTIF(PrisotnostJunija[[#This Row],[1]:[ ]],Koda2)</f>
        <v>0</v>
      </c>
      <c r="AK9" s="37">
        <f>COUNTIF(PrisotnostJunija[[#This Row],[1]:[ ]],Koda3)</f>
        <v>0</v>
      </c>
      <c r="AL9" s="37">
        <f>COUNTIF(PrisotnostJunija[[#This Row],[1]:[ ]],Koda4)</f>
        <v>0</v>
      </c>
      <c r="AM9" s="6">
        <f>SUM(PrisotnostJunija[[#This Row],[E]:[N]])</f>
        <v>0</v>
      </c>
    </row>
    <row r="10" spans="1:39" ht="16.5" customHeight="1" x14ac:dyDescent="0.25">
      <c r="B10" s="27"/>
      <c r="C10" s="23" t="str">
        <f>IFERROR(VLOOKUP(PrisotnostJunija[[#This Row],[ID študenta]],SeznamUčencev[],18,FALSE),"")</f>
        <v/>
      </c>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6"/>
      <c r="AG10" s="3"/>
      <c r="AH10" s="3"/>
      <c r="AI10" s="37">
        <f>COUNTIF(PrisotnostJunija[[#This Row],[1]:[ ]],Koda1)</f>
        <v>0</v>
      </c>
      <c r="AJ10" s="37">
        <f>COUNTIF(PrisotnostJunija[[#This Row],[1]:[ ]],Koda2)</f>
        <v>0</v>
      </c>
      <c r="AK10" s="37">
        <f>COUNTIF(PrisotnostJunija[[#This Row],[1]:[ ]],Koda3)</f>
        <v>0</v>
      </c>
      <c r="AL10" s="37">
        <f>COUNTIF(PrisotnostJunija[[#This Row],[1]:[ ]],Koda4)</f>
        <v>0</v>
      </c>
      <c r="AM10" s="6">
        <f>SUM(PrisotnostJunija[[#This Row],[E]:[N]])</f>
        <v>0</v>
      </c>
    </row>
    <row r="11" spans="1:39" ht="16.5" customHeight="1" x14ac:dyDescent="0.25">
      <c r="B11" s="27"/>
      <c r="C11" s="23" t="str">
        <f>IFERROR(VLOOKUP(PrisotnostJunija[[#This Row],[ID študenta]],SeznamUčencev[],18,FALSE),"")</f>
        <v/>
      </c>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6"/>
      <c r="AG11" s="3"/>
      <c r="AH11" s="3"/>
      <c r="AI11" s="37">
        <f>COUNTIF(PrisotnostJunija[[#This Row],[1]:[ ]],Koda1)</f>
        <v>0</v>
      </c>
      <c r="AJ11" s="37">
        <f>COUNTIF(PrisotnostJunija[[#This Row],[1]:[ ]],Koda2)</f>
        <v>0</v>
      </c>
      <c r="AK11" s="37">
        <f>COUNTIF(PrisotnostJunija[[#This Row],[1]:[ ]],Koda3)</f>
        <v>0</v>
      </c>
      <c r="AL11" s="37">
        <f>COUNTIF(PrisotnostJunija[[#This Row],[1]:[ ]],Koda4)</f>
        <v>0</v>
      </c>
      <c r="AM11" s="6">
        <f>SUM(PrisotnostJunija[[#This Row],[E]:[N]])</f>
        <v>0</v>
      </c>
    </row>
    <row r="12" spans="1:39" ht="16.5" customHeight="1" x14ac:dyDescent="0.25">
      <c r="B12" s="144"/>
      <c r="C12" s="145" t="s">
        <v>115</v>
      </c>
      <c r="D12" s="146">
        <f>COUNTIF(PrisotnostJunija[1],"N")+COUNTIF(PrisotnostJunija[1],"E")</f>
        <v>0</v>
      </c>
      <c r="E12" s="146">
        <f>COUNTIF(PrisotnostJunija[2],"N")+COUNTIF(PrisotnostJunija[2],"E")</f>
        <v>0</v>
      </c>
      <c r="F12" s="146">
        <f>COUNTIF(PrisotnostJunija[3],"N")+COUNTIF(PrisotnostJunija[3],"E")</f>
        <v>0</v>
      </c>
      <c r="G12" s="146">
        <f>COUNTIF(PrisotnostJunija[4],"N")+COUNTIF(PrisotnostJunija[4],"E")</f>
        <v>0</v>
      </c>
      <c r="H12" s="146">
        <f>COUNTIF(PrisotnostJunija[5],"N")+COUNTIF(PrisotnostJunija[5],"E")</f>
        <v>0</v>
      </c>
      <c r="I12" s="146">
        <f>COUNTIF(PrisotnostJunija[6],"N")+COUNTIF(PrisotnostJunija[6],"E")</f>
        <v>0</v>
      </c>
      <c r="J12" s="146">
        <f>COUNTIF(PrisotnostJunija[7],"N")+COUNTIF(PrisotnostJunija[7],"E")</f>
        <v>0</v>
      </c>
      <c r="K12" s="146">
        <f>COUNTIF(PrisotnostJunija[8],"N")+COUNTIF(PrisotnostJunija[8],"E")</f>
        <v>0</v>
      </c>
      <c r="L12" s="146">
        <f>COUNTIF(PrisotnostJunija[9],"N")+COUNTIF(PrisotnostJunija[9],"E")</f>
        <v>0</v>
      </c>
      <c r="M12" s="146">
        <f>COUNTIF(PrisotnostJunija[10],"N")+COUNTIF(PrisotnostJunija[10],"E")</f>
        <v>0</v>
      </c>
      <c r="N12" s="146">
        <f>COUNTIF(PrisotnostJunija[11],"N")+COUNTIF(PrisotnostJunija[11],"E")</f>
        <v>0</v>
      </c>
      <c r="O12" s="146">
        <f>COUNTIF(PrisotnostJunija[12],"N")+COUNTIF(PrisotnostJunija[12],"E")</f>
        <v>0</v>
      </c>
      <c r="P12" s="146">
        <f>COUNTIF(PrisotnostJunija[13],"N")+COUNTIF(PrisotnostJunija[13],"E")</f>
        <v>0</v>
      </c>
      <c r="Q12" s="146">
        <f>COUNTIF(PrisotnostJunija[14],"N")+COUNTIF(PrisotnostJunija[14],"E")</f>
        <v>0</v>
      </c>
      <c r="R12" s="146">
        <f>COUNTIF(PrisotnostJunija[15],"N")+COUNTIF(PrisotnostJunija[15],"E")</f>
        <v>0</v>
      </c>
      <c r="S12" s="146">
        <f>COUNTIF(PrisotnostJunija[16],"N")+COUNTIF(PrisotnostJunija[16],"E")</f>
        <v>0</v>
      </c>
      <c r="T12" s="146">
        <f>COUNTIF(PrisotnostJunija[17],"N")+COUNTIF(PrisotnostJunija[17],"E")</f>
        <v>0</v>
      </c>
      <c r="U12" s="146">
        <f>COUNTIF(PrisotnostJunija[18],"N")+COUNTIF(PrisotnostJunija[18],"E")</f>
        <v>0</v>
      </c>
      <c r="V12" s="146">
        <f>COUNTIF(PrisotnostJunija[19],"N")+COUNTIF(PrisotnostJunija[19],"E")</f>
        <v>0</v>
      </c>
      <c r="W12" s="146">
        <f>COUNTIF(PrisotnostJunija[20],"N")+COUNTIF(PrisotnostJunija[20],"E")</f>
        <v>0</v>
      </c>
      <c r="X12" s="146">
        <f>COUNTIF(PrisotnostJunija[21],"N")+COUNTIF(PrisotnostJunija[21],"E")</f>
        <v>0</v>
      </c>
      <c r="Y12" s="146">
        <f>COUNTIF(PrisotnostJunija[22],"N")+COUNTIF(PrisotnostJunija[22],"E")</f>
        <v>0</v>
      </c>
      <c r="Z12" s="146">
        <f>COUNTIF(PrisotnostJunija[23],"N")+COUNTIF(PrisotnostJunija[23],"E")</f>
        <v>0</v>
      </c>
      <c r="AA12" s="146">
        <f>COUNTIF(PrisotnostJunija[24],"N")+COUNTIF(PrisotnostJunija[24],"E")</f>
        <v>0</v>
      </c>
      <c r="AB12" s="146">
        <f>COUNTIF(PrisotnostJunija[25],"N")+COUNTIF(PrisotnostJunija[25],"E")</f>
        <v>0</v>
      </c>
      <c r="AC12" s="146">
        <f>COUNTIF(PrisotnostJunija[26],"N")+COUNTIF(PrisotnostJunija[26],"E")</f>
        <v>0</v>
      </c>
      <c r="AD12" s="146">
        <f>COUNTIF(PrisotnostJunija[27],"N")+COUNTIF(PrisotnostJunija[27],"E")</f>
        <v>0</v>
      </c>
      <c r="AE12" s="146">
        <f>COUNTIF(PrisotnostJunija[28],"N")+COUNTIF(PrisotnostJunija[28],"E")</f>
        <v>0</v>
      </c>
      <c r="AF12" s="146">
        <f>COUNTIF(PrisotnostJunija[29],"N")+COUNTIF(PrisotnostJunija[29],"E")</f>
        <v>0</v>
      </c>
      <c r="AG12" s="146"/>
      <c r="AH12" s="146"/>
      <c r="AI12" s="146">
        <f>SUBTOTAL(109,PrisotnostJunija[Po])</f>
        <v>0</v>
      </c>
      <c r="AJ12" s="146">
        <f>SUBTOTAL(109,PrisotnostJunija[E])</f>
        <v>0</v>
      </c>
      <c r="AK12" s="146">
        <f>SUBTOTAL(109,PrisotnostJunija[N])</f>
        <v>0</v>
      </c>
      <c r="AL12" s="146">
        <f>SUBTOTAL(109,PrisotnostJunija[P])</f>
        <v>0</v>
      </c>
      <c r="AM12" s="146">
        <f>SUBTOTAL(109,PrisotnostJunija[Dni odsoten])</f>
        <v>0</v>
      </c>
    </row>
    <row r="14" spans="1:39" ht="16.5" customHeight="1" x14ac:dyDescent="0.25"/>
    <row r="15" spans="1:39" ht="16.5" customHeight="1" x14ac:dyDescent="0.25"/>
    <row r="16" spans="1:39"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sheetData>
  <sheetProtection formatCells="0" formatColumns="0" formatRows="0" insertColumns="0" insertRows="0" insertHyperlinks="0" deleteColumns="0" deleteRows="0" sort="0" autoFilter="0" pivotTables="0"/>
  <mergeCells count="1">
    <mergeCell ref="AI5:AM5"/>
  </mergeCells>
  <conditionalFormatting sqref="AM7:AM11">
    <cfRule type="dataBar" priority="1">
      <dataBar>
        <cfvo type="min"/>
        <cfvo type="num" val="DATEDIF(DATE(KoledarskoLeto,2,1),DATE(KoledarskoLeto,3,1),&quot;d&quot;)"/>
        <color theme="4"/>
      </dataBar>
      <extLst>
        <ext xmlns:x14="http://schemas.microsoft.com/office/spreadsheetml/2009/9/main" uri="{B025F937-C7B1-47D3-B67F-A62EFF666E3E}">
          <x14:id>{22C67C28-76AD-46BA-A7A2-13A61F3247FE}</x14:id>
        </ext>
      </extLst>
    </cfRule>
  </conditionalFormatting>
  <conditionalFormatting sqref="D7:AF11">
    <cfRule type="expression" dxfId="552" priority="2" stopIfTrue="1">
      <formula>D7=Koda2</formula>
    </cfRule>
  </conditionalFormatting>
  <conditionalFormatting sqref="D7:AF11">
    <cfRule type="expression" dxfId="551" priority="3" stopIfTrue="1">
      <formula>D7=Koda5</formula>
    </cfRule>
    <cfRule type="expression" dxfId="550" priority="4" stopIfTrue="1">
      <formula>D7=Koda4</formula>
    </cfRule>
    <cfRule type="expression" dxfId="549" priority="5" stopIfTrue="1">
      <formula>D7=Koda3</formula>
    </cfRule>
    <cfRule type="expression" dxfId="548" priority="6" stopIfTrue="1">
      <formula>D7=Koda1</formula>
    </cfRule>
  </conditionalFormatting>
  <dataValidations count="1">
    <dataValidation type="list" errorStyle="warning" allowBlank="1" showInputMessage="1" showErrorMessage="1" errorTitle="Ups!" error="»ID študenta«, ki ste ga vnesli, ni na listu »Seznam študentov«. Kliknete lahko »Da«, če želite uporabiti, kar ste vnesli, ampak ta »ID študenta« ne bo na voljo na listu »Poročilo prisotnosti študentov«." sqref="B7:B11">
      <formula1>IDUčenca</formula1>
    </dataValidation>
  </dataValidations>
  <printOptions horizontalCentered="1"/>
  <pageMargins left="0.5" right="0.5" top="0.75" bottom="0.75" header="0.3" footer="0.3"/>
  <pageSetup paperSize="9" scale="60" fitToHeight="0" orientation="landscape" verticalDpi="12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2C67C28-76AD-46BA-A7A2-13A61F3247FE}">
            <x14:dataBar minLength="0" maxLength="100" border="1" negativeBarBorderColorSameAsPositive="0">
              <x14:cfvo type="autoMin"/>
              <x14:cfvo type="num">
                <xm:f>DATEDIF(DATE(KoledarskoLeto,2,1),DATE(KoledarskoLeto,3,1),"d")</xm:f>
              </x14:cfvo>
              <x14:borderColor theme="4"/>
              <x14:negativeFillColor rgb="FFFF0000"/>
              <x14:negativeBorderColor rgb="FFFF0000"/>
              <x14:axisColor rgb="FF000000"/>
            </x14:dataBar>
          </x14:cfRule>
          <xm:sqref>AM7:AM11</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M264"/>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x14ac:dyDescent="0.25"/>
  <cols>
    <col min="1" max="1" width="2.7109375" style="11" customWidth="1"/>
    <col min="2" max="2" width="11.5703125" style="11" bestFit="1" customWidth="1"/>
    <col min="3" max="3" width="28.85546875" style="12" customWidth="1"/>
    <col min="4" max="34" width="5" style="10" customWidth="1"/>
    <col min="35" max="35" width="4.7109375" style="9" customWidth="1"/>
    <col min="36" max="36" width="4.7109375" style="10" customWidth="1"/>
    <col min="37" max="38" width="4.7109375" style="11" customWidth="1"/>
    <col min="39" max="39" width="12.7109375" style="11" customWidth="1"/>
    <col min="40" max="16384" width="9.140625" style="11"/>
  </cols>
  <sheetData>
    <row r="1" spans="1:39" s="1" customFormat="1" ht="42" customHeight="1" x14ac:dyDescent="0.25">
      <c r="A1" s="38" t="s">
        <v>84</v>
      </c>
      <c r="B1" s="39"/>
      <c r="C1" s="39"/>
      <c r="D1" s="40"/>
      <c r="E1" s="40"/>
      <c r="F1" s="40"/>
      <c r="G1" s="40"/>
      <c r="H1" s="40"/>
      <c r="I1" s="40"/>
      <c r="J1" s="40"/>
      <c r="K1" s="40"/>
      <c r="L1" s="40"/>
      <c r="M1" s="40"/>
      <c r="N1" s="40"/>
      <c r="O1" s="40"/>
      <c r="P1" s="40"/>
      <c r="Q1" s="40"/>
      <c r="R1" s="40"/>
      <c r="S1" s="40"/>
      <c r="T1" s="40"/>
      <c r="U1" s="40"/>
      <c r="V1" s="40"/>
      <c r="W1" s="40"/>
      <c r="X1" s="40"/>
      <c r="Y1" s="40"/>
      <c r="Z1" s="40"/>
      <c r="AA1" s="40"/>
      <c r="AB1" s="40"/>
      <c r="AC1" s="39"/>
      <c r="AD1" s="39"/>
      <c r="AE1" s="39"/>
      <c r="AF1" s="39"/>
      <c r="AG1" s="41"/>
      <c r="AH1" s="39"/>
      <c r="AI1" s="39"/>
      <c r="AJ1" s="42"/>
      <c r="AK1" s="39"/>
      <c r="AL1" s="58" t="s">
        <v>70</v>
      </c>
      <c r="AM1" s="59">
        <f>KoledarskoLeto</f>
        <v>2012</v>
      </c>
    </row>
    <row r="2" spans="1:39" customFormat="1" ht="13.5" x14ac:dyDescent="0.25"/>
    <row r="3" spans="1:39" s="32" customFormat="1" ht="12.75" customHeight="1" x14ac:dyDescent="0.25">
      <c r="C3" s="45" t="str">
        <f>BesediloBarvnegaKljuča</f>
        <v>BARVNI KLJUČ</v>
      </c>
      <c r="D3" s="52" t="str">
        <f>Koda1</f>
        <v>Po</v>
      </c>
      <c r="E3" s="69" t="str">
        <f>BesediloKode1</f>
        <v>Pozen</v>
      </c>
      <c r="F3" s="60"/>
      <c r="H3" s="53" t="str">
        <f>Koda2</f>
        <v>E</v>
      </c>
      <c r="I3" s="57" t="str">
        <f>BesediloKode2</f>
        <v>Opravičen</v>
      </c>
      <c r="L3" s="54" t="str">
        <f>Koda3</f>
        <v>N</v>
      </c>
      <c r="M3" s="57" t="str">
        <f>BesediloKode3</f>
        <v>Neopravičen</v>
      </c>
      <c r="P3" s="55" t="str">
        <f>Koda4</f>
        <v>P</v>
      </c>
      <c r="Q3" s="57" t="str">
        <f>BesediloKode4</f>
        <v>Prisoten</v>
      </c>
      <c r="T3" s="56" t="str">
        <f>Koda5</f>
        <v>Ni</v>
      </c>
      <c r="U3" s="57" t="str">
        <f>BesediloKode5</f>
        <v>Ni pouka</v>
      </c>
      <c r="W3"/>
      <c r="X3"/>
      <c r="Y3"/>
      <c r="AD3" s="31"/>
      <c r="AE3" s="31"/>
      <c r="AH3" s="33"/>
      <c r="AI3" s="34"/>
      <c r="AK3" s="35"/>
    </row>
    <row r="4" spans="1:39" customFormat="1" ht="16.5" customHeight="1" x14ac:dyDescent="0.25"/>
    <row r="5" spans="1:39" s="2" customFormat="1" ht="18" customHeight="1" x14ac:dyDescent="0.3">
      <c r="B5" s="62">
        <f>DATE(KoledarskoLeto+1,7,1)</f>
        <v>41456</v>
      </c>
      <c r="C5" s="61"/>
      <c r="D5" s="43" t="str">
        <f>TEXT(WEEKDAY(DATE(KoledarskoLeto+1,7,1),1),"aaa")</f>
        <v>pon</v>
      </c>
      <c r="E5" s="43" t="str">
        <f>TEXT(WEEKDAY(DATE(KoledarskoLeto+1,7,2),1),"aaa")</f>
        <v>tor</v>
      </c>
      <c r="F5" s="43" t="str">
        <f>TEXT(WEEKDAY(DATE(KoledarskoLeto+1,7,3),1),"aaa")</f>
        <v>sre</v>
      </c>
      <c r="G5" s="43" t="str">
        <f>TEXT(WEEKDAY(DATE(KoledarskoLeto+1,7,4),1),"aaa")</f>
        <v>čet</v>
      </c>
      <c r="H5" s="43" t="str">
        <f>TEXT(WEEKDAY(DATE(KoledarskoLeto+1,7,5),1),"aaa")</f>
        <v>pet</v>
      </c>
      <c r="I5" s="43" t="str">
        <f>TEXT(WEEKDAY(DATE(KoledarskoLeto+1,7,6),1),"aaa")</f>
        <v>sob</v>
      </c>
      <c r="J5" s="43" t="str">
        <f>TEXT(WEEKDAY(DATE(KoledarskoLeto+1,7,7),1),"aaa")</f>
        <v>ned</v>
      </c>
      <c r="K5" s="43" t="str">
        <f>TEXT(WEEKDAY(DATE(KoledarskoLeto+1,7,8),1),"aaa")</f>
        <v>pon</v>
      </c>
      <c r="L5" s="43" t="str">
        <f>TEXT(WEEKDAY(DATE(KoledarskoLeto+1,7,9),1),"aaa")</f>
        <v>tor</v>
      </c>
      <c r="M5" s="43" t="str">
        <f>TEXT(WEEKDAY(DATE(KoledarskoLeto+1,7,10),1),"aaa")</f>
        <v>sre</v>
      </c>
      <c r="N5" s="43" t="str">
        <f>TEXT(WEEKDAY(DATE(KoledarskoLeto+1,7,11),1),"aaa")</f>
        <v>čet</v>
      </c>
      <c r="O5" s="43" t="str">
        <f>TEXT(WEEKDAY(DATE(KoledarskoLeto+1,7,12),1),"aaa")</f>
        <v>pet</v>
      </c>
      <c r="P5" s="43" t="str">
        <f>TEXT(WEEKDAY(DATE(KoledarskoLeto+1,7,13),1),"aaa")</f>
        <v>sob</v>
      </c>
      <c r="Q5" s="43" t="str">
        <f>TEXT(WEEKDAY(DATE(KoledarskoLeto+1,7,14),1),"aaa")</f>
        <v>ned</v>
      </c>
      <c r="R5" s="43" t="str">
        <f>TEXT(WEEKDAY(DATE(KoledarskoLeto+1,7,15),1),"aaa")</f>
        <v>pon</v>
      </c>
      <c r="S5" s="43" t="str">
        <f>TEXT(WEEKDAY(DATE(KoledarskoLeto+1,7,16),1),"aaa")</f>
        <v>tor</v>
      </c>
      <c r="T5" s="43" t="str">
        <f>TEXT(WEEKDAY(DATE(KoledarskoLeto+1,7,17),1),"aaa")</f>
        <v>sre</v>
      </c>
      <c r="U5" s="43" t="str">
        <f>TEXT(WEEKDAY(DATE(KoledarskoLeto+1,7,18),1),"aaa")</f>
        <v>čet</v>
      </c>
      <c r="V5" s="43" t="str">
        <f>TEXT(WEEKDAY(DATE(KoledarskoLeto+1,7,19),1),"aaa")</f>
        <v>pet</v>
      </c>
      <c r="W5" s="43" t="str">
        <f>TEXT(WEEKDAY(DATE(KoledarskoLeto+1,7,20),1),"aaa")</f>
        <v>sob</v>
      </c>
      <c r="X5" s="43" t="str">
        <f>TEXT(WEEKDAY(DATE(KoledarskoLeto+1,7,21),1),"aaa")</f>
        <v>ned</v>
      </c>
      <c r="Y5" s="43" t="str">
        <f>TEXT(WEEKDAY(DATE(KoledarskoLeto+1,7,22),1),"aaa")</f>
        <v>pon</v>
      </c>
      <c r="Z5" s="43" t="str">
        <f>TEXT(WEEKDAY(DATE(KoledarskoLeto+1,7,23),1),"aaa")</f>
        <v>tor</v>
      </c>
      <c r="AA5" s="43" t="str">
        <f>TEXT(WEEKDAY(DATE(KoledarskoLeto+1,7,24),1),"aaa")</f>
        <v>sre</v>
      </c>
      <c r="AB5" s="43" t="str">
        <f>TEXT(WEEKDAY(DATE(KoledarskoLeto+1,7,25),1),"aaa")</f>
        <v>čet</v>
      </c>
      <c r="AC5" s="43" t="str">
        <f>TEXT(WEEKDAY(DATE(KoledarskoLeto+1,7,26),1),"aaa")</f>
        <v>pet</v>
      </c>
      <c r="AD5" s="43" t="str">
        <f>TEXT(WEEKDAY(DATE(KoledarskoLeto+1,7,27),1),"aaa")</f>
        <v>sob</v>
      </c>
      <c r="AE5" s="43" t="str">
        <f>TEXT(WEEKDAY(DATE(KoledarskoLeto+1,7,28),1),"aaa")</f>
        <v>ned</v>
      </c>
      <c r="AF5" s="43" t="str">
        <f>TEXT(WEEKDAY(DATE(KoledarskoLeto+1,7,29),1),"aaa")</f>
        <v>pon</v>
      </c>
      <c r="AG5" s="43" t="str">
        <f>TEXT(WEEKDAY(DATE(KoledarskoLeto+1,7,30),1),"aaa")</f>
        <v>tor</v>
      </c>
      <c r="AH5" s="43" t="str">
        <f>TEXT(WEEKDAY(DATE(KoledarskoLeto+1,7,31),1),"aaa")</f>
        <v>sre</v>
      </c>
      <c r="AI5" s="121" t="s">
        <v>41</v>
      </c>
      <c r="AJ5" s="121"/>
      <c r="AK5" s="121"/>
      <c r="AL5" s="121"/>
      <c r="AM5" s="121"/>
    </row>
    <row r="6" spans="1:39" ht="14.25" customHeight="1" x14ac:dyDescent="0.25">
      <c r="B6" s="28" t="s">
        <v>34</v>
      </c>
      <c r="C6" s="29" t="s">
        <v>36</v>
      </c>
      <c r="D6" s="30" t="s">
        <v>0</v>
      </c>
      <c r="E6" s="30" t="s">
        <v>1</v>
      </c>
      <c r="F6" s="30" t="s">
        <v>2</v>
      </c>
      <c r="G6" s="30" t="s">
        <v>3</v>
      </c>
      <c r="H6" s="30" t="s">
        <v>4</v>
      </c>
      <c r="I6" s="30" t="s">
        <v>5</v>
      </c>
      <c r="J6" s="30" t="s">
        <v>6</v>
      </c>
      <c r="K6" s="30" t="s">
        <v>7</v>
      </c>
      <c r="L6" s="30" t="s">
        <v>8</v>
      </c>
      <c r="M6" s="30" t="s">
        <v>9</v>
      </c>
      <c r="N6" s="30" t="s">
        <v>10</v>
      </c>
      <c r="O6" s="30" t="s">
        <v>11</v>
      </c>
      <c r="P6" s="30" t="s">
        <v>12</v>
      </c>
      <c r="Q6" s="30" t="s">
        <v>13</v>
      </c>
      <c r="R6" s="30" t="s">
        <v>14</v>
      </c>
      <c r="S6" s="30" t="s">
        <v>15</v>
      </c>
      <c r="T6" s="30" t="s">
        <v>16</v>
      </c>
      <c r="U6" s="30" t="s">
        <v>17</v>
      </c>
      <c r="V6" s="30" t="s">
        <v>18</v>
      </c>
      <c r="W6" s="30" t="s">
        <v>19</v>
      </c>
      <c r="X6" s="30" t="s">
        <v>20</v>
      </c>
      <c r="Y6" s="30" t="s">
        <v>21</v>
      </c>
      <c r="Z6" s="30" t="s">
        <v>22</v>
      </c>
      <c r="AA6" s="30" t="s">
        <v>23</v>
      </c>
      <c r="AB6" s="30" t="s">
        <v>24</v>
      </c>
      <c r="AC6" s="30" t="s">
        <v>25</v>
      </c>
      <c r="AD6" s="30" t="s">
        <v>26</v>
      </c>
      <c r="AE6" s="30" t="s">
        <v>27</v>
      </c>
      <c r="AF6" s="30" t="s">
        <v>28</v>
      </c>
      <c r="AG6" s="30" t="s">
        <v>29</v>
      </c>
      <c r="AH6" s="30" t="s">
        <v>30</v>
      </c>
      <c r="AI6" s="52" t="s">
        <v>133</v>
      </c>
      <c r="AJ6" s="53" t="s">
        <v>39</v>
      </c>
      <c r="AK6" s="54" t="s">
        <v>38</v>
      </c>
      <c r="AL6" s="36" t="s">
        <v>31</v>
      </c>
      <c r="AM6" t="s">
        <v>40</v>
      </c>
    </row>
    <row r="7" spans="1:39" ht="16.5" customHeight="1" x14ac:dyDescent="0.25">
      <c r="B7" s="27"/>
      <c r="C7" s="22" t="str">
        <f>IFERROR(VLOOKUP(PrisotnostJulija[[#This Row],[ID študenta]],SeznamUčencev[],18,FALSE),"")</f>
        <v/>
      </c>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6"/>
      <c r="AG7" s="3"/>
      <c r="AH7" s="3"/>
      <c r="AI7" s="37">
        <f>COUNTIF(PrisotnostJulija[[#This Row],[1]:[31]],Koda1)</f>
        <v>0</v>
      </c>
      <c r="AJ7" s="37">
        <f>COUNTIF(PrisotnostJulija[[#This Row],[1]:[31]],Koda2)</f>
        <v>0</v>
      </c>
      <c r="AK7" s="37">
        <f>COUNTIF(PrisotnostJulija[[#This Row],[1]:[31]],Koda3)</f>
        <v>0</v>
      </c>
      <c r="AL7" s="37">
        <f>COUNTIF(PrisotnostJulija[[#This Row],[1]:[31]],Koda4)</f>
        <v>0</v>
      </c>
      <c r="AM7" s="6">
        <f>SUM(PrisotnostJulija[[#This Row],[E]:[N]])</f>
        <v>0</v>
      </c>
    </row>
    <row r="8" spans="1:39" ht="16.5" customHeight="1" x14ac:dyDescent="0.25">
      <c r="B8" s="27"/>
      <c r="C8" s="23" t="str">
        <f>IFERROR(VLOOKUP(PrisotnostJulija[[#This Row],[ID študenta]],SeznamUčencev[],18,FALSE),"")</f>
        <v/>
      </c>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6"/>
      <c r="AG8" s="3"/>
      <c r="AH8" s="3"/>
      <c r="AI8" s="37">
        <f>COUNTIF(PrisotnostJulija[[#This Row],[1]:[31]],Koda1)</f>
        <v>0</v>
      </c>
      <c r="AJ8" s="37">
        <f>COUNTIF(PrisotnostJulija[[#This Row],[1]:[31]],Koda2)</f>
        <v>0</v>
      </c>
      <c r="AK8" s="37">
        <f>COUNTIF(PrisotnostJulija[[#This Row],[1]:[31]],Koda3)</f>
        <v>0</v>
      </c>
      <c r="AL8" s="37">
        <f>COUNTIF(PrisotnostJulija[[#This Row],[1]:[31]],Koda4)</f>
        <v>0</v>
      </c>
      <c r="AM8" s="6">
        <f>SUM(PrisotnostJulija[[#This Row],[E]:[N]])</f>
        <v>0</v>
      </c>
    </row>
    <row r="9" spans="1:39" ht="16.5" customHeight="1" x14ac:dyDescent="0.25">
      <c r="B9" s="27"/>
      <c r="C9" s="23" t="str">
        <f>IFERROR(VLOOKUP(PrisotnostJulija[[#This Row],[ID študenta]],SeznamUčencev[],18,FALSE),"")</f>
        <v/>
      </c>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6"/>
      <c r="AG9" s="3"/>
      <c r="AH9" s="3"/>
      <c r="AI9" s="37">
        <f>COUNTIF(PrisotnostJulija[[#This Row],[1]:[31]],Koda1)</f>
        <v>0</v>
      </c>
      <c r="AJ9" s="37">
        <f>COUNTIF(PrisotnostJulija[[#This Row],[1]:[31]],Koda2)</f>
        <v>0</v>
      </c>
      <c r="AK9" s="37">
        <f>COUNTIF(PrisotnostJulija[[#This Row],[1]:[31]],Koda3)</f>
        <v>0</v>
      </c>
      <c r="AL9" s="37">
        <f>COUNTIF(PrisotnostJulija[[#This Row],[1]:[31]],Koda4)</f>
        <v>0</v>
      </c>
      <c r="AM9" s="6">
        <f>SUM(PrisotnostJulija[[#This Row],[E]:[N]])</f>
        <v>0</v>
      </c>
    </row>
    <row r="10" spans="1:39" ht="16.5" customHeight="1" x14ac:dyDescent="0.25">
      <c r="B10" s="27"/>
      <c r="C10" s="23" t="str">
        <f>IFERROR(VLOOKUP(PrisotnostJulija[[#This Row],[ID študenta]],SeznamUčencev[],18,FALSE),"")</f>
        <v/>
      </c>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6"/>
      <c r="AG10" s="3"/>
      <c r="AH10" s="3"/>
      <c r="AI10" s="37">
        <f>COUNTIF(PrisotnostJulija[[#This Row],[1]:[31]],Koda1)</f>
        <v>0</v>
      </c>
      <c r="AJ10" s="37">
        <f>COUNTIF(PrisotnostJulija[[#This Row],[1]:[31]],Koda2)</f>
        <v>0</v>
      </c>
      <c r="AK10" s="37">
        <f>COUNTIF(PrisotnostJulija[[#This Row],[1]:[31]],Koda3)</f>
        <v>0</v>
      </c>
      <c r="AL10" s="37">
        <f>COUNTIF(PrisotnostJulija[[#This Row],[1]:[31]],Koda4)</f>
        <v>0</v>
      </c>
      <c r="AM10" s="6">
        <f>SUM(PrisotnostJulija[[#This Row],[E]:[N]])</f>
        <v>0</v>
      </c>
    </row>
    <row r="11" spans="1:39" ht="16.5" customHeight="1" x14ac:dyDescent="0.25">
      <c r="B11" s="27"/>
      <c r="C11" s="23" t="str">
        <f>IFERROR(VLOOKUP(PrisotnostJulija[[#This Row],[ID študenta]],SeznamUčencev[],18,FALSE),"")</f>
        <v/>
      </c>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6"/>
      <c r="AG11" s="3"/>
      <c r="AH11" s="3"/>
      <c r="AI11" s="37">
        <f>COUNTIF(PrisotnostJulija[[#This Row],[1]:[31]],Koda1)</f>
        <v>0</v>
      </c>
      <c r="AJ11" s="37">
        <f>COUNTIF(PrisotnostJulija[[#This Row],[1]:[31]],Koda2)</f>
        <v>0</v>
      </c>
      <c r="AK11" s="37">
        <f>COUNTIF(PrisotnostJulija[[#This Row],[1]:[31]],Koda3)</f>
        <v>0</v>
      </c>
      <c r="AL11" s="37">
        <f>COUNTIF(PrisotnostJulija[[#This Row],[1]:[31]],Koda4)</f>
        <v>0</v>
      </c>
      <c r="AM11" s="6">
        <f>SUM(PrisotnostJulija[[#This Row],[E]:[N]])</f>
        <v>0</v>
      </c>
    </row>
    <row r="12" spans="1:39" ht="16.5" customHeight="1" x14ac:dyDescent="0.25">
      <c r="B12" s="144"/>
      <c r="C12" s="145" t="s">
        <v>115</v>
      </c>
      <c r="D12" s="146">
        <f>COUNTIF(PrisotnostJulija[1],"N")+COUNTIF(PrisotnostJulija[1],"E")</f>
        <v>0</v>
      </c>
      <c r="E12" s="146">
        <f>COUNTIF(PrisotnostJulija[2],"N")+COUNTIF(PrisotnostJulija[2],"E")</f>
        <v>0</v>
      </c>
      <c r="F12" s="146">
        <f>COUNTIF(PrisotnostJulija[3],"N")+COUNTIF(PrisotnostJulija[3],"E")</f>
        <v>0</v>
      </c>
      <c r="G12" s="146">
        <f>COUNTIF(PrisotnostJulija[4],"N")+COUNTIF(PrisotnostJulija[4],"E")</f>
        <v>0</v>
      </c>
      <c r="H12" s="146">
        <f>COUNTIF(PrisotnostJulija[5],"N")+COUNTIF(PrisotnostJulija[5],"E")</f>
        <v>0</v>
      </c>
      <c r="I12" s="146">
        <f>COUNTIF(PrisotnostJulija[6],"N")+COUNTIF(PrisotnostJulija[6],"E")</f>
        <v>0</v>
      </c>
      <c r="J12" s="146">
        <f>COUNTIF(PrisotnostJulija[7],"N")+COUNTIF(PrisotnostJulija[7],"E")</f>
        <v>0</v>
      </c>
      <c r="K12" s="146">
        <f>COUNTIF(PrisotnostJulija[8],"N")+COUNTIF(PrisotnostJulija[8],"E")</f>
        <v>0</v>
      </c>
      <c r="L12" s="146">
        <f>COUNTIF(PrisotnostJulija[9],"N")+COUNTIF(PrisotnostJulija[9],"E")</f>
        <v>0</v>
      </c>
      <c r="M12" s="146">
        <f>COUNTIF(PrisotnostJulija[10],"N")+COUNTIF(PrisotnostJulija[10],"E")</f>
        <v>0</v>
      </c>
      <c r="N12" s="146">
        <f>COUNTIF(PrisotnostJulija[11],"N")+COUNTIF(PrisotnostJulija[11],"E")</f>
        <v>0</v>
      </c>
      <c r="O12" s="146">
        <f>COUNTIF(PrisotnostJulija[12],"N")+COUNTIF(PrisotnostJulija[12],"E")</f>
        <v>0</v>
      </c>
      <c r="P12" s="146">
        <f>COUNTIF(PrisotnostJulija[13],"N")+COUNTIF(PrisotnostJulija[13],"E")</f>
        <v>0</v>
      </c>
      <c r="Q12" s="146">
        <f>COUNTIF(PrisotnostJulija[14],"N")+COUNTIF(PrisotnostJulija[14],"E")</f>
        <v>0</v>
      </c>
      <c r="R12" s="146">
        <f>COUNTIF(PrisotnostJulija[15],"N")+COUNTIF(PrisotnostJulija[15],"E")</f>
        <v>0</v>
      </c>
      <c r="S12" s="146">
        <f>COUNTIF(PrisotnostJulija[16],"N")+COUNTIF(PrisotnostJulija[16],"E")</f>
        <v>0</v>
      </c>
      <c r="T12" s="146">
        <f>COUNTIF(PrisotnostJulija[17],"N")+COUNTIF(PrisotnostJulija[17],"E")</f>
        <v>0</v>
      </c>
      <c r="U12" s="146">
        <f>COUNTIF(PrisotnostJulija[18],"N")+COUNTIF(PrisotnostJulija[18],"E")</f>
        <v>0</v>
      </c>
      <c r="V12" s="146">
        <f>COUNTIF(PrisotnostJulija[19],"N")+COUNTIF(PrisotnostJulija[19],"E")</f>
        <v>0</v>
      </c>
      <c r="W12" s="146">
        <f>COUNTIF(PrisotnostJulija[20],"N")+COUNTIF(PrisotnostJulija[20],"E")</f>
        <v>0</v>
      </c>
      <c r="X12" s="146">
        <f>COUNTIF(PrisotnostJulija[21],"N")+COUNTIF(PrisotnostJulija[21],"E")</f>
        <v>0</v>
      </c>
      <c r="Y12" s="146">
        <f>COUNTIF(PrisotnostJulija[22],"N")+COUNTIF(PrisotnostJulija[22],"E")</f>
        <v>0</v>
      </c>
      <c r="Z12" s="146">
        <f>COUNTIF(PrisotnostJulija[23],"N")+COUNTIF(PrisotnostJulija[23],"E")</f>
        <v>0</v>
      </c>
      <c r="AA12" s="146">
        <f>COUNTIF(PrisotnostJulija[24],"N")+COUNTIF(PrisotnostJulija[24],"E")</f>
        <v>0</v>
      </c>
      <c r="AB12" s="146">
        <f>COUNTIF(PrisotnostJulija[25],"N")+COUNTIF(PrisotnostJulija[25],"E")</f>
        <v>0</v>
      </c>
      <c r="AC12" s="146">
        <f>COUNTIF(PrisotnostJulija[26],"N")+COUNTIF(PrisotnostJulija[26],"E")</f>
        <v>0</v>
      </c>
      <c r="AD12" s="146">
        <f>COUNTIF(PrisotnostJulija[27],"N")+COUNTIF(PrisotnostJulija[27],"E")</f>
        <v>0</v>
      </c>
      <c r="AE12" s="146">
        <f>COUNTIF(PrisotnostJulija[28],"N")+COUNTIF(PrisotnostJulija[28],"E")</f>
        <v>0</v>
      </c>
      <c r="AF12" s="146">
        <f>COUNTIF(PrisotnostJulija[29],"N")+COUNTIF(PrisotnostJulija[29],"E")</f>
        <v>0</v>
      </c>
      <c r="AG12" s="146"/>
      <c r="AH12" s="146"/>
      <c r="AI12" s="146">
        <f>SUBTOTAL(109,PrisotnostJulija[Po])</f>
        <v>0</v>
      </c>
      <c r="AJ12" s="146">
        <f>SUBTOTAL(109,PrisotnostJulija[E])</f>
        <v>0</v>
      </c>
      <c r="AK12" s="146">
        <f>SUBTOTAL(109,PrisotnostJulija[N])</f>
        <v>0</v>
      </c>
      <c r="AL12" s="146">
        <f>SUBTOTAL(109,PrisotnostJulija[P])</f>
        <v>0</v>
      </c>
      <c r="AM12" s="146">
        <f>SUBTOTAL(109,PrisotnostJulija[Dni odsoten])</f>
        <v>0</v>
      </c>
    </row>
    <row r="14" spans="1:39" ht="16.5" customHeight="1" x14ac:dyDescent="0.25"/>
    <row r="15" spans="1:39" ht="16.5" customHeight="1" x14ac:dyDescent="0.25"/>
    <row r="16" spans="1:39"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sheetData>
  <sheetProtection formatCells="0" formatColumns="0" formatRows="0" insertColumns="0" insertRows="0" insertHyperlinks="0" deleteColumns="0" deleteRows="0" sort="0" autoFilter="0" pivotTables="0"/>
  <mergeCells count="1">
    <mergeCell ref="AI5:AM5"/>
  </mergeCells>
  <conditionalFormatting sqref="AM7:AM11">
    <cfRule type="dataBar" priority="1">
      <dataBar>
        <cfvo type="min"/>
        <cfvo type="num" val="DATEDIF(DATE(KoledarskoLeto,2,1),DATE(KoledarskoLeto,3,1),&quot;d&quot;)"/>
        <color theme="4"/>
      </dataBar>
      <extLst>
        <ext xmlns:x14="http://schemas.microsoft.com/office/spreadsheetml/2009/9/main" uri="{B025F937-C7B1-47D3-B67F-A62EFF666E3E}">
          <x14:id>{9F36FAEC-C62D-409B-BB81-2770CD5BFB3E}</x14:id>
        </ext>
      </extLst>
    </cfRule>
  </conditionalFormatting>
  <conditionalFormatting sqref="D7:AF11">
    <cfRule type="expression" dxfId="507" priority="2" stopIfTrue="1">
      <formula>D7=Koda2</formula>
    </cfRule>
  </conditionalFormatting>
  <conditionalFormatting sqref="D7:AF11">
    <cfRule type="expression" dxfId="506" priority="3" stopIfTrue="1">
      <formula>D7=Koda5</formula>
    </cfRule>
    <cfRule type="expression" dxfId="505" priority="4" stopIfTrue="1">
      <formula>D7=Koda4</formula>
    </cfRule>
    <cfRule type="expression" dxfId="504" priority="5" stopIfTrue="1">
      <formula>D7=Koda3</formula>
    </cfRule>
    <cfRule type="expression" dxfId="503" priority="6" stopIfTrue="1">
      <formula>D7=Koda1</formula>
    </cfRule>
  </conditionalFormatting>
  <dataValidations count="1">
    <dataValidation type="list" errorStyle="warning" allowBlank="1" showInputMessage="1" showErrorMessage="1" errorTitle="Ups!" error="»ID študenta«, ki ste ga vnesli, ni na listu »Seznam študentov«. Kliknete lahko »Da«, če želite uporabiti, kar ste vnesli, ampak ta »ID študenta« ne bo na voljo na listu »Poročilo prisotnosti študentov«." sqref="B7:B11">
      <formula1>IDUčenca</formula1>
    </dataValidation>
  </dataValidations>
  <printOptions horizontalCentered="1"/>
  <pageMargins left="0.5" right="0.5" top="0.75" bottom="0.75" header="0.3" footer="0.3"/>
  <pageSetup paperSize="9" scale="60" fitToHeight="0" orientation="landscape" verticalDpi="12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F36FAEC-C62D-409B-BB81-2770CD5BFB3E}">
            <x14:dataBar minLength="0" maxLength="100" border="1" negativeBarBorderColorSameAsPositive="0">
              <x14:cfvo type="autoMin"/>
              <x14:cfvo type="num">
                <xm:f>DATEDIF(DATE(KoledarskoLeto,2,1),DATE(KoledarskoLeto,3,1),"d")</xm:f>
              </x14:cfvo>
              <x14:borderColor theme="4"/>
              <x14:negativeFillColor rgb="FFFF0000"/>
              <x14:negativeBorderColor rgb="FFFF0000"/>
              <x14:axisColor rgb="FF000000"/>
            </x14:dataBar>
          </x14:cfRule>
          <xm:sqref>AM7:AM11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AK40"/>
  <sheetViews>
    <sheetView showGridLines="0" zoomScaleNormal="100" workbookViewId="0">
      <selection activeCell="B4" sqref="B4:C4"/>
    </sheetView>
  </sheetViews>
  <sheetFormatPr defaultRowHeight="13.5" x14ac:dyDescent="0.25"/>
  <cols>
    <col min="1" max="1" width="3.42578125" style="19" customWidth="1"/>
    <col min="2" max="2" width="11.7109375" style="19" bestFit="1" customWidth="1"/>
    <col min="3" max="33" width="3.28515625" style="19" customWidth="1"/>
    <col min="34" max="37" width="6.140625" style="19" customWidth="1"/>
    <col min="38" max="16384" width="9.140625" style="19"/>
  </cols>
  <sheetData>
    <row r="1" spans="1:37" ht="33" customHeight="1" x14ac:dyDescent="0.25">
      <c r="A1" s="82" t="str">
        <f>"Evidenca prisotnosti za "</f>
        <v xml:space="preserve">Evidenca prisotnosti za </v>
      </c>
      <c r="B1" s="65"/>
      <c r="C1" s="66"/>
      <c r="D1" s="66"/>
      <c r="E1" s="66"/>
      <c r="F1" s="66"/>
      <c r="G1" s="66"/>
      <c r="H1" s="66"/>
      <c r="I1" s="81" t="str">
        <f>D4</f>
        <v>Erik Novak</v>
      </c>
      <c r="J1" s="65"/>
      <c r="K1" s="65"/>
      <c r="L1" s="65"/>
      <c r="M1" s="66"/>
      <c r="N1" s="63"/>
      <c r="O1" s="63"/>
      <c r="P1" s="63"/>
      <c r="Q1" s="63"/>
      <c r="R1" s="63"/>
      <c r="S1" s="63"/>
      <c r="T1" s="63"/>
      <c r="U1" s="63"/>
      <c r="V1" s="63"/>
      <c r="W1" s="63"/>
      <c r="X1" s="63"/>
      <c r="Y1" s="63"/>
      <c r="Z1" s="63"/>
      <c r="AA1" s="63"/>
      <c r="AB1" s="63"/>
      <c r="AC1" s="63"/>
      <c r="AD1" s="63"/>
      <c r="AE1" s="63"/>
      <c r="AF1" s="63"/>
      <c r="AG1" s="63"/>
      <c r="AH1" s="63"/>
      <c r="AI1" s="63"/>
      <c r="AJ1" s="63"/>
      <c r="AK1" s="64"/>
    </row>
    <row r="2" spans="1:37" customFormat="1" ht="15" customHeight="1" x14ac:dyDescent="0.25"/>
    <row r="3" spans="1:37" ht="17.25" customHeight="1" x14ac:dyDescent="0.25">
      <c r="B3" s="99" t="s">
        <v>34</v>
      </c>
      <c r="C3" s="100"/>
      <c r="D3" s="128" t="s">
        <v>36</v>
      </c>
      <c r="E3" s="128"/>
      <c r="F3" s="128"/>
      <c r="G3" s="128"/>
      <c r="H3" s="128"/>
      <c r="I3" s="128"/>
      <c r="J3" s="128"/>
      <c r="K3" s="128"/>
      <c r="L3" s="128"/>
      <c r="M3" s="128"/>
      <c r="N3" s="128"/>
      <c r="O3" s="128"/>
      <c r="P3" s="122" t="s">
        <v>42</v>
      </c>
      <c r="Q3" s="122"/>
      <c r="R3" s="122"/>
      <c r="S3" s="122" t="s">
        <v>43</v>
      </c>
      <c r="T3" s="122"/>
      <c r="U3" s="122"/>
      <c r="V3" s="122"/>
      <c r="W3" s="122" t="s">
        <v>44</v>
      </c>
      <c r="X3" s="122"/>
      <c r="Y3" s="122"/>
      <c r="Z3" s="122"/>
      <c r="AA3" s="122"/>
      <c r="AB3" s="122"/>
      <c r="AC3" s="122"/>
      <c r="AD3" s="122"/>
      <c r="AE3" s="131" t="s">
        <v>45</v>
      </c>
      <c r="AF3" s="131"/>
      <c r="AG3" s="122" t="s">
        <v>46</v>
      </c>
      <c r="AH3" s="122"/>
      <c r="AI3" s="122"/>
      <c r="AJ3" s="122"/>
      <c r="AK3" s="108" t="s">
        <v>47</v>
      </c>
    </row>
    <row r="4" spans="1:37" ht="17.25" customHeight="1" x14ac:dyDescent="0.25">
      <c r="B4" s="127" t="s">
        <v>87</v>
      </c>
      <c r="C4" s="127"/>
      <c r="D4" s="123" t="str">
        <f>IFERROR(VLOOKUP(IskanjeUčencev,SeznamUčencev[],18,FALSE),"")</f>
        <v>Erik Novak</v>
      </c>
      <c r="E4" s="123"/>
      <c r="F4" s="123"/>
      <c r="G4" s="123"/>
      <c r="H4" s="123"/>
      <c r="I4" s="123"/>
      <c r="J4" s="123"/>
      <c r="K4" s="123"/>
      <c r="L4" s="123"/>
      <c r="M4" s="123"/>
      <c r="N4" s="123"/>
      <c r="O4" s="123"/>
      <c r="P4" s="125" t="str">
        <f>IFERROR(VLOOKUP(IskanjeUčencev,SeznamUčencev[],4,FALSE),"")</f>
        <v>M</v>
      </c>
      <c r="Q4" s="125"/>
      <c r="R4" s="125"/>
      <c r="S4" s="126">
        <f>IFERROR(VLOOKUP(IskanjeUčencev,SeznamUčencev[],5,FALSE),"")</f>
        <v>35517</v>
      </c>
      <c r="T4" s="126"/>
      <c r="U4" s="126"/>
      <c r="V4" s="126"/>
      <c r="W4" s="127" t="s">
        <v>94</v>
      </c>
      <c r="X4" s="127"/>
      <c r="Y4" s="127"/>
      <c r="Z4" s="127"/>
      <c r="AA4" s="127"/>
      <c r="AB4" s="127"/>
      <c r="AC4" s="127"/>
      <c r="AD4" s="127"/>
      <c r="AE4" s="132">
        <v>7</v>
      </c>
      <c r="AF4" s="132"/>
      <c r="AG4" s="127" t="s">
        <v>95</v>
      </c>
      <c r="AH4" s="127"/>
      <c r="AI4" s="127"/>
      <c r="AJ4" s="127"/>
      <c r="AK4" s="101">
        <v>123</v>
      </c>
    </row>
    <row r="5" spans="1:37" ht="17.25" customHeight="1" x14ac:dyDescent="0.25">
      <c r="B5" s="122" t="s">
        <v>77</v>
      </c>
      <c r="C5" s="122"/>
      <c r="D5" s="122"/>
      <c r="E5" s="122"/>
      <c r="F5" s="122"/>
      <c r="G5" s="122"/>
      <c r="H5" s="122"/>
      <c r="I5" s="122"/>
      <c r="J5" s="122"/>
      <c r="K5" s="122" t="s">
        <v>48</v>
      </c>
      <c r="L5" s="122"/>
      <c r="M5" s="122"/>
      <c r="N5" s="122"/>
      <c r="O5" s="122"/>
      <c r="P5" s="122"/>
      <c r="Q5" s="122"/>
      <c r="R5" s="122"/>
      <c r="S5" s="122"/>
      <c r="T5" s="122"/>
      <c r="U5" s="122"/>
      <c r="V5" s="122"/>
      <c r="W5" s="122" t="s">
        <v>49</v>
      </c>
      <c r="X5" s="122"/>
      <c r="Y5" s="122"/>
      <c r="Z5" s="122"/>
      <c r="AA5" s="122"/>
      <c r="AB5" s="122"/>
      <c r="AC5" s="122"/>
      <c r="AD5" s="122"/>
      <c r="AE5" s="122" t="s">
        <v>50</v>
      </c>
      <c r="AF5" s="122"/>
      <c r="AG5" s="122"/>
      <c r="AH5" s="122"/>
      <c r="AI5" s="122"/>
      <c r="AJ5" s="122"/>
      <c r="AK5" s="122"/>
    </row>
    <row r="6" spans="1:37" ht="17.25" customHeight="1" x14ac:dyDescent="0.25">
      <c r="B6" s="123" t="str">
        <f>IFERROR(VLOOKUP(IskanjeUčencev,SeznamUčencev[],6,FALSE),"")</f>
        <v>Metka</v>
      </c>
      <c r="C6" s="123"/>
      <c r="D6" s="123"/>
      <c r="E6" s="123"/>
      <c r="F6" s="123"/>
      <c r="G6" s="123"/>
      <c r="H6" s="123"/>
      <c r="I6" s="123"/>
      <c r="J6" s="123"/>
      <c r="K6" s="123" t="str">
        <f>IFERROR(VLOOKUP(IskanjeUčencev,SeznamUčencev[],7,FALSE),"")</f>
        <v>Novak</v>
      </c>
      <c r="L6" s="123"/>
      <c r="M6" s="123"/>
      <c r="N6" s="123"/>
      <c r="O6" s="123"/>
      <c r="P6" s="123"/>
      <c r="Q6" s="123"/>
      <c r="R6" s="123"/>
      <c r="S6" s="123"/>
      <c r="T6" s="123"/>
      <c r="U6" s="123"/>
      <c r="V6" s="123"/>
      <c r="W6" s="124">
        <f>IFERROR(VLOOKUP(IskanjeUčencev,SeznamUčencev[],8,FALSE),"")</f>
        <v>1235550134</v>
      </c>
      <c r="X6" s="124"/>
      <c r="Y6" s="124"/>
      <c r="Z6" s="124"/>
      <c r="AA6" s="124"/>
      <c r="AB6" s="124"/>
      <c r="AC6" s="124"/>
      <c r="AD6" s="124"/>
      <c r="AE6" s="124">
        <f>IFERROR(VLOOKUP(IskanjeUčencev,SeznamUčencev[],9,FALSE),"")</f>
        <v>2345550134</v>
      </c>
      <c r="AF6" s="124"/>
      <c r="AG6" s="124"/>
      <c r="AH6" s="124"/>
      <c r="AI6" s="124"/>
      <c r="AJ6" s="124"/>
      <c r="AK6" s="124"/>
    </row>
    <row r="7" spans="1:37" ht="17.25" customHeight="1" x14ac:dyDescent="0.25">
      <c r="B7" s="122" t="s">
        <v>78</v>
      </c>
      <c r="C7" s="122"/>
      <c r="D7" s="122"/>
      <c r="E7" s="122"/>
      <c r="F7" s="122"/>
      <c r="G7" s="122"/>
      <c r="H7" s="122"/>
      <c r="I7" s="122"/>
      <c r="J7" s="122"/>
      <c r="K7" s="122" t="s">
        <v>48</v>
      </c>
      <c r="L7" s="122"/>
      <c r="M7" s="122"/>
      <c r="N7" s="122"/>
      <c r="O7" s="122"/>
      <c r="P7" s="122"/>
      <c r="Q7" s="122"/>
      <c r="R7" s="122"/>
      <c r="S7" s="122"/>
      <c r="T7" s="122"/>
      <c r="U7" s="122"/>
      <c r="V7" s="122"/>
      <c r="W7" s="122" t="s">
        <v>49</v>
      </c>
      <c r="X7" s="122"/>
      <c r="Y7" s="122"/>
      <c r="Z7" s="122"/>
      <c r="AA7" s="122"/>
      <c r="AB7" s="122"/>
      <c r="AC7" s="122"/>
      <c r="AD7" s="122"/>
      <c r="AE7" s="122" t="s">
        <v>50</v>
      </c>
      <c r="AF7" s="122"/>
      <c r="AG7" s="122"/>
      <c r="AH7" s="122"/>
      <c r="AI7" s="122"/>
      <c r="AJ7" s="122"/>
      <c r="AK7" s="122"/>
    </row>
    <row r="8" spans="1:37" ht="17.25" customHeight="1" x14ac:dyDescent="0.25">
      <c r="B8" s="123" t="str">
        <f>IFERROR(VLOOKUP(IskanjeUčencev,SeznamUčencev[],10,FALSE),"")</f>
        <v>Miha Novak</v>
      </c>
      <c r="C8" s="123"/>
      <c r="D8" s="123"/>
      <c r="E8" s="123"/>
      <c r="F8" s="123"/>
      <c r="G8" s="123"/>
      <c r="H8" s="123"/>
      <c r="I8" s="123"/>
      <c r="J8" s="123"/>
      <c r="K8" s="123" t="str">
        <f>IFERROR(VLOOKUP(IskanjeUčencev,SeznamUčencev[],11,FALSE),"")</f>
        <v>Oče</v>
      </c>
      <c r="L8" s="123"/>
      <c r="M8" s="123"/>
      <c r="N8" s="123"/>
      <c r="O8" s="123"/>
      <c r="P8" s="123"/>
      <c r="Q8" s="123"/>
      <c r="R8" s="123"/>
      <c r="S8" s="123"/>
      <c r="T8" s="123"/>
      <c r="U8" s="123"/>
      <c r="V8" s="123"/>
      <c r="W8" s="124">
        <f>IFERROR(VLOOKUP(IskanjeUčencev,SeznamUčencev[],12,FALSE),"")</f>
        <v>1235550134</v>
      </c>
      <c r="X8" s="124"/>
      <c r="Y8" s="124"/>
      <c r="Z8" s="124"/>
      <c r="AA8" s="124"/>
      <c r="AB8" s="124"/>
      <c r="AC8" s="124"/>
      <c r="AD8" s="124"/>
      <c r="AE8" s="124">
        <f>IFERROR(VLOOKUP(IskanjeUčencev,SeznamUčencev[],13,FALSE),"")</f>
        <v>2345550134</v>
      </c>
      <c r="AF8" s="124"/>
      <c r="AG8" s="124"/>
      <c r="AH8" s="124"/>
      <c r="AI8" s="124"/>
      <c r="AJ8" s="124"/>
      <c r="AK8" s="124"/>
    </row>
    <row r="9" spans="1:37" ht="17.25" customHeight="1" x14ac:dyDescent="0.25">
      <c r="B9" s="122" t="s">
        <v>51</v>
      </c>
      <c r="C9" s="122"/>
      <c r="D9" s="122"/>
      <c r="E9" s="122"/>
      <c r="F9" s="122"/>
      <c r="G9" s="122"/>
      <c r="H9" s="122"/>
      <c r="I9" s="122"/>
      <c r="J9" s="122"/>
      <c r="K9" s="122" t="s">
        <v>48</v>
      </c>
      <c r="L9" s="122"/>
      <c r="M9" s="122"/>
      <c r="N9" s="122"/>
      <c r="O9" s="122"/>
      <c r="P9" s="122"/>
      <c r="Q9" s="122"/>
      <c r="R9" s="122"/>
      <c r="S9" s="122"/>
      <c r="T9" s="122"/>
      <c r="U9" s="122"/>
      <c r="V9" s="122"/>
      <c r="W9" s="122" t="s">
        <v>49</v>
      </c>
      <c r="X9" s="122"/>
      <c r="Y9" s="122"/>
      <c r="Z9" s="122"/>
      <c r="AA9" s="122"/>
      <c r="AB9" s="122"/>
      <c r="AC9" s="122"/>
      <c r="AD9" s="122"/>
      <c r="AE9" s="122" t="s">
        <v>50</v>
      </c>
      <c r="AF9" s="122"/>
      <c r="AG9" s="122"/>
      <c r="AH9" s="122"/>
      <c r="AI9" s="122"/>
      <c r="AJ9" s="122"/>
      <c r="AK9" s="122"/>
    </row>
    <row r="10" spans="1:37" ht="17.25" customHeight="1" x14ac:dyDescent="0.25">
      <c r="B10" s="123" t="str">
        <f>IFERROR(VLOOKUP(IskanjeUčencev,SeznamUčencev[],14,FALSE),"")</f>
        <v>Franci Župančič</v>
      </c>
      <c r="C10" s="123"/>
      <c r="D10" s="123"/>
      <c r="E10" s="123"/>
      <c r="F10" s="123"/>
      <c r="G10" s="123"/>
      <c r="H10" s="123"/>
      <c r="I10" s="123"/>
      <c r="J10" s="123"/>
      <c r="K10" s="123" t="str">
        <f>IFERROR(VLOOKUP(IskanjeUčencev,SeznamUčencev[],15,FALSE),"")</f>
        <v>Dedek</v>
      </c>
      <c r="L10" s="123"/>
      <c r="M10" s="123"/>
      <c r="N10" s="123"/>
      <c r="O10" s="123"/>
      <c r="P10" s="123"/>
      <c r="Q10" s="123"/>
      <c r="R10" s="123"/>
      <c r="S10" s="123"/>
      <c r="T10" s="123"/>
      <c r="U10" s="123"/>
      <c r="V10" s="123"/>
      <c r="W10" s="124">
        <f>IFERROR(VLOOKUP(IskanjeUčencev,SeznamUčencev[],16,FALSE),"")</f>
        <v>7895550189</v>
      </c>
      <c r="X10" s="124"/>
      <c r="Y10" s="124"/>
      <c r="Z10" s="124"/>
      <c r="AA10" s="124"/>
      <c r="AB10" s="124"/>
      <c r="AC10" s="124"/>
      <c r="AD10" s="124"/>
      <c r="AE10" s="124">
        <f>IFERROR(VLOOKUP(IskanjeUčencev,SeznamUčencev[],17,FALSE),"")</f>
        <v>7895550134</v>
      </c>
      <c r="AF10" s="124"/>
      <c r="AG10" s="124"/>
      <c r="AH10" s="124"/>
      <c r="AI10" s="124"/>
      <c r="AJ10" s="124"/>
      <c r="AK10" s="124"/>
    </row>
    <row r="11" spans="1:37" ht="10.5" customHeight="1" x14ac:dyDescent="0.25">
      <c r="B11" s="67"/>
      <c r="C11" s="67"/>
      <c r="D11" s="67"/>
      <c r="E11" s="67"/>
      <c r="F11" s="67"/>
      <c r="G11" s="67"/>
      <c r="H11" s="67"/>
      <c r="I11" s="67"/>
      <c r="J11" s="67"/>
      <c r="K11" s="67"/>
      <c r="L11" s="67"/>
      <c r="M11" s="67"/>
      <c r="N11" s="67"/>
      <c r="O11" s="67"/>
      <c r="P11" s="67"/>
      <c r="Q11" s="67"/>
      <c r="R11" s="67"/>
      <c r="S11" s="67"/>
      <c r="T11" s="67"/>
      <c r="U11" s="67"/>
      <c r="V11" s="67"/>
      <c r="W11" s="68"/>
      <c r="X11" s="68"/>
      <c r="Y11" s="68"/>
      <c r="Z11" s="68"/>
      <c r="AA11" s="68"/>
      <c r="AB11" s="68"/>
      <c r="AC11" s="68"/>
      <c r="AD11" s="68"/>
      <c r="AE11" s="68"/>
      <c r="AF11" s="68"/>
      <c r="AG11" s="68"/>
      <c r="AH11" s="68"/>
      <c r="AI11" s="68"/>
      <c r="AJ11" s="68"/>
      <c r="AK11" s="68"/>
    </row>
    <row r="12" spans="1:37" ht="15.75" customHeight="1" x14ac:dyDescent="0.3">
      <c r="B12" s="71" t="str">
        <f>Avgust!C3</f>
        <v>BARVNI KLJUČ</v>
      </c>
      <c r="C12" s="72" t="str">
        <f>Avgust!D3</f>
        <v>Po</v>
      </c>
      <c r="D12" s="71" t="str">
        <f>Avgust!E3</f>
        <v>Pozen</v>
      </c>
      <c r="E12" s="71"/>
      <c r="F12" s="71"/>
      <c r="G12" s="73" t="str">
        <f>Avgust!H3</f>
        <v>E</v>
      </c>
      <c r="H12" s="71" t="str">
        <f>Avgust!I3</f>
        <v>Opravičen</v>
      </c>
      <c r="I12" s="71"/>
      <c r="J12" s="71"/>
      <c r="K12" s="74" t="str">
        <f>Avgust!L3</f>
        <v>N</v>
      </c>
      <c r="L12" s="71" t="str">
        <f>Avgust!M3</f>
        <v>Neopravičen</v>
      </c>
      <c r="M12" s="71"/>
      <c r="N12" s="71"/>
      <c r="O12" s="75"/>
      <c r="P12" s="76" t="str">
        <f>Avgust!P3</f>
        <v>P</v>
      </c>
      <c r="Q12" s="71" t="str">
        <f>Avgust!Q3</f>
        <v>Prisoten</v>
      </c>
      <c r="R12" s="71"/>
      <c r="S12" s="71"/>
      <c r="T12" s="77" t="str">
        <f>Avgust!T3</f>
        <v>Ni</v>
      </c>
      <c r="U12" s="78" t="str">
        <f>Avgust!U3</f>
        <v>Ni pouka</v>
      </c>
      <c r="V12" s="79"/>
      <c r="W12" s="80"/>
      <c r="X12" s="68"/>
      <c r="Y12" s="68"/>
      <c r="Z12" s="68"/>
      <c r="AA12" s="68"/>
      <c r="AB12" s="68"/>
      <c r="AC12" s="68"/>
      <c r="AD12" s="68"/>
      <c r="AE12" s="68"/>
      <c r="AF12" s="68"/>
      <c r="AG12" s="68"/>
      <c r="AH12" s="68"/>
      <c r="AI12" s="68"/>
      <c r="AJ12" s="68"/>
      <c r="AK12" s="68"/>
    </row>
    <row r="13" spans="1:37" ht="6" customHeight="1" x14ac:dyDescent="0.25"/>
    <row r="14" spans="1:37" ht="16.5" customHeight="1" x14ac:dyDescent="0.25">
      <c r="B14" s="129" t="s">
        <v>83</v>
      </c>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33" t="s">
        <v>57</v>
      </c>
      <c r="AI14" s="133"/>
      <c r="AJ14" s="133"/>
      <c r="AK14" s="133"/>
    </row>
    <row r="15" spans="1:37" ht="14.25" thickBot="1" x14ac:dyDescent="0.3">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09" t="s">
        <v>133</v>
      </c>
      <c r="AI15" s="110" t="s">
        <v>39</v>
      </c>
      <c r="AJ15" s="111" t="s">
        <v>38</v>
      </c>
      <c r="AK15" s="112" t="s">
        <v>31</v>
      </c>
    </row>
    <row r="16" spans="1:37" ht="14.25" x14ac:dyDescent="0.25">
      <c r="B16" s="134" t="s">
        <v>58</v>
      </c>
      <c r="C16" s="102">
        <v>1</v>
      </c>
      <c r="D16" s="102">
        <v>2</v>
      </c>
      <c r="E16" s="102">
        <v>3</v>
      </c>
      <c r="F16" s="102">
        <v>4</v>
      </c>
      <c r="G16" s="102">
        <v>5</v>
      </c>
      <c r="H16" s="102">
        <v>6</v>
      </c>
      <c r="I16" s="102">
        <v>7</v>
      </c>
      <c r="J16" s="102">
        <v>8</v>
      </c>
      <c r="K16" s="102">
        <v>9</v>
      </c>
      <c r="L16" s="102">
        <v>10</v>
      </c>
      <c r="M16" s="102">
        <v>11</v>
      </c>
      <c r="N16" s="102">
        <v>12</v>
      </c>
      <c r="O16" s="102">
        <v>13</v>
      </c>
      <c r="P16" s="102">
        <v>14</v>
      </c>
      <c r="Q16" s="102">
        <v>15</v>
      </c>
      <c r="R16" s="102">
        <v>16</v>
      </c>
      <c r="S16" s="102">
        <v>17</v>
      </c>
      <c r="T16" s="102">
        <v>18</v>
      </c>
      <c r="U16" s="102">
        <v>19</v>
      </c>
      <c r="V16" s="102">
        <v>20</v>
      </c>
      <c r="W16" s="102">
        <v>21</v>
      </c>
      <c r="X16" s="102">
        <v>22</v>
      </c>
      <c r="Y16" s="102">
        <v>23</v>
      </c>
      <c r="Z16" s="102">
        <v>24</v>
      </c>
      <c r="AA16" s="102">
        <v>25</v>
      </c>
      <c r="AB16" s="102">
        <v>26</v>
      </c>
      <c r="AC16" s="102">
        <v>27</v>
      </c>
      <c r="AD16" s="102">
        <v>28</v>
      </c>
      <c r="AE16" s="102">
        <v>29</v>
      </c>
      <c r="AF16" s="102">
        <v>30</v>
      </c>
      <c r="AG16" s="102">
        <v>31</v>
      </c>
      <c r="AH16" s="136">
        <f>COUNTIF($D17:$AH17,Koda1)</f>
        <v>0</v>
      </c>
      <c r="AI16" s="136">
        <f>COUNTIF($D17:$AH17,Koda2)</f>
        <v>1</v>
      </c>
      <c r="AJ16" s="136">
        <f>COUNTIF($D17:$AH17,Koda3)</f>
        <v>0</v>
      </c>
      <c r="AK16" s="136">
        <f>COUNTIF($D17:$AH17,Koda4)</f>
        <v>19</v>
      </c>
    </row>
    <row r="17" spans="2:37" ht="14.25" x14ac:dyDescent="0.25">
      <c r="B17" s="135"/>
      <c r="C17" s="103" t="str">
        <f>IFERROR(VLOOKUP(IskanjeUčencev,PrisotnostAvgusta[],3,FALSE),"")</f>
        <v>P</v>
      </c>
      <c r="D17" s="103" t="str">
        <f>IFERROR(VLOOKUP(IskanjeUčencev,PrisotnostAvgusta[],4,FALSE),"")</f>
        <v>P</v>
      </c>
      <c r="E17" s="103" t="str">
        <f>IFERROR(VLOOKUP(IskanjeUčencev,PrisotnostAvgusta[],5,FALSE),"")</f>
        <v>K</v>
      </c>
      <c r="F17" s="103" t="str">
        <f>IFERROR(VLOOKUP(IskanjeUčencev,PrisotnostAvgusta[],6,FALSE),"")</f>
        <v>K</v>
      </c>
      <c r="G17" s="103" t="str">
        <f>IFERROR(VLOOKUP(IskanjeUčencev,PrisotnostAvgusta[],7,FALSE),"")</f>
        <v>P</v>
      </c>
      <c r="H17" s="103" t="str">
        <f>IFERROR(VLOOKUP(IskanjeUčencev,PrisotnostAvgusta[],8,FALSE),"")</f>
        <v>Ni</v>
      </c>
      <c r="I17" s="103" t="str">
        <f>IFERROR(VLOOKUP(IskanjeUčencev,PrisotnostAvgusta[],9,FALSE),"")</f>
        <v>Ni</v>
      </c>
      <c r="J17" s="103" t="str">
        <f>IFERROR(VLOOKUP(IskanjeUčencev,PrisotnostAvgusta[],10,FALSE),"")</f>
        <v>P</v>
      </c>
      <c r="K17" s="103" t="str">
        <f>IFERROR(VLOOKUP(IskanjeUčencev,PrisotnostAvgusta[],11,FALSE),"")</f>
        <v>P</v>
      </c>
      <c r="L17" s="103" t="str">
        <f>IFERROR(VLOOKUP(IskanjeUčencev,PrisotnostAvgusta[],12,FALSE),"")</f>
        <v>E</v>
      </c>
      <c r="M17" s="103" t="str">
        <f>IFERROR(VLOOKUP(IskanjeUčencev,PrisotnostAvgusta[],13,FALSE),"")</f>
        <v>P</v>
      </c>
      <c r="N17" s="103" t="str">
        <f>IFERROR(VLOOKUP(IskanjeUčencev,PrisotnostAvgusta[],14,FALSE),"")</f>
        <v>P</v>
      </c>
      <c r="O17" s="103" t="str">
        <f>IFERROR(VLOOKUP(IskanjeUčencev,PrisotnostAvgusta[],15,FALSE),"")</f>
        <v>Ni</v>
      </c>
      <c r="P17" s="103" t="str">
        <f>IFERROR(VLOOKUP(IskanjeUčencev,PrisotnostAvgusta[],16,FALSE),"")</f>
        <v>NI</v>
      </c>
      <c r="Q17" s="103" t="str">
        <f>IFERROR(VLOOKUP(IskanjeUčencev,PrisotnostAvgusta[],17,FALSE),"")</f>
        <v>P</v>
      </c>
      <c r="R17" s="103" t="str">
        <f>IFERROR(VLOOKUP(IskanjeUčencev,PrisotnostAvgusta[],18,FALSE),"")</f>
        <v>P</v>
      </c>
      <c r="S17" s="103" t="str">
        <f>IFERROR(VLOOKUP(IskanjeUčencev,PrisotnostAvgusta[],19,FALSE),"")</f>
        <v>P</v>
      </c>
      <c r="T17" s="103" t="str">
        <f>IFERROR(VLOOKUP(IskanjeUčencev,PrisotnostAvgusta[],20,FALSE),"")</f>
        <v>P</v>
      </c>
      <c r="U17" s="103" t="str">
        <f>IFERROR(VLOOKUP(IskanjeUčencev,PrisotnostAvgusta[],21,FALSE),"")</f>
        <v>P</v>
      </c>
      <c r="V17" s="103" t="str">
        <f>IFERROR(VLOOKUP(IskanjeUčencev,PrisotnostAvgusta[],22,FALSE),"")</f>
        <v>NI</v>
      </c>
      <c r="W17" s="103" t="str">
        <f>IFERROR(VLOOKUP(IskanjeUčencev,PrisotnostAvgusta[],23,FALSE),"")</f>
        <v>NI</v>
      </c>
      <c r="X17" s="103" t="str">
        <f>IFERROR(VLOOKUP(IskanjeUčencev,PrisotnostAvgusta[],24,FALSE),"")</f>
        <v>P</v>
      </c>
      <c r="Y17" s="103" t="str">
        <f>IFERROR(VLOOKUP(IskanjeUčencev,PrisotnostAvgusta[],25,FALSE),"")</f>
        <v>P</v>
      </c>
      <c r="Z17" s="103" t="str">
        <f>IFERROR(VLOOKUP(IskanjeUčencev,PrisotnostAvgusta[],26,FALSE),"")</f>
        <v>P</v>
      </c>
      <c r="AA17" s="103" t="str">
        <f>IFERROR(VLOOKUP(IskanjeUčencev,PrisotnostAvgusta[],27,FALSE),"")</f>
        <v>P</v>
      </c>
      <c r="AB17" s="103" t="str">
        <f>IFERROR(VLOOKUP(IskanjeUčencev,PrisotnostAvgusta[],28,FALSE),"")</f>
        <v>P</v>
      </c>
      <c r="AC17" s="103" t="str">
        <f>IFERROR(VLOOKUP(IskanjeUčencev,PrisotnostAvgusta[],29,FALSE),"")</f>
        <v>NI</v>
      </c>
      <c r="AD17" s="103" t="str">
        <f>IFERROR(VLOOKUP(IskanjeUčencev,PrisotnostAvgusta[],30,FALSE),"")</f>
        <v>NI</v>
      </c>
      <c r="AE17" s="103" t="str">
        <f>IFERROR(VLOOKUP(IskanjeUčencev,PrisotnostAvgusta[],31,FALSE),"")</f>
        <v>P</v>
      </c>
      <c r="AF17" s="103" t="str">
        <f>IFERROR(VLOOKUP(IskanjeUčencev,PrisotnostAvgusta[],32,FALSE),"")</f>
        <v>P</v>
      </c>
      <c r="AG17" s="103" t="str">
        <f>IFERROR(VLOOKUP(IskanjeUčencev,PrisotnostAvgusta[],33,FALSE),"")</f>
        <v>P</v>
      </c>
      <c r="AH17" s="137"/>
      <c r="AI17" s="137"/>
      <c r="AJ17" s="137"/>
      <c r="AK17" s="137"/>
    </row>
    <row r="18" spans="2:37" ht="14.25" x14ac:dyDescent="0.25">
      <c r="B18" s="135" t="s">
        <v>59</v>
      </c>
      <c r="C18" s="104">
        <v>1</v>
      </c>
      <c r="D18" s="104">
        <v>2</v>
      </c>
      <c r="E18" s="104">
        <v>3</v>
      </c>
      <c r="F18" s="104">
        <v>4</v>
      </c>
      <c r="G18" s="104">
        <v>5</v>
      </c>
      <c r="H18" s="104">
        <v>6</v>
      </c>
      <c r="I18" s="104">
        <v>7</v>
      </c>
      <c r="J18" s="104">
        <v>8</v>
      </c>
      <c r="K18" s="104">
        <v>9</v>
      </c>
      <c r="L18" s="104">
        <v>10</v>
      </c>
      <c r="M18" s="104">
        <v>11</v>
      </c>
      <c r="N18" s="104">
        <v>12</v>
      </c>
      <c r="O18" s="104">
        <v>13</v>
      </c>
      <c r="P18" s="104">
        <v>14</v>
      </c>
      <c r="Q18" s="104">
        <v>15</v>
      </c>
      <c r="R18" s="104">
        <v>16</v>
      </c>
      <c r="S18" s="104">
        <v>17</v>
      </c>
      <c r="T18" s="104">
        <v>18</v>
      </c>
      <c r="U18" s="104">
        <v>19</v>
      </c>
      <c r="V18" s="104">
        <v>20</v>
      </c>
      <c r="W18" s="104">
        <v>21</v>
      </c>
      <c r="X18" s="104">
        <v>22</v>
      </c>
      <c r="Y18" s="104">
        <v>23</v>
      </c>
      <c r="Z18" s="104">
        <v>24</v>
      </c>
      <c r="AA18" s="104">
        <v>25</v>
      </c>
      <c r="AB18" s="104">
        <v>26</v>
      </c>
      <c r="AC18" s="104">
        <v>27</v>
      </c>
      <c r="AD18" s="104">
        <v>28</v>
      </c>
      <c r="AE18" s="104">
        <v>29</v>
      </c>
      <c r="AF18" s="104">
        <v>30</v>
      </c>
      <c r="AG18" s="104"/>
      <c r="AH18" s="137">
        <f>COUNTIF($D19:$AH19,Koda1)</f>
        <v>0</v>
      </c>
      <c r="AI18" s="137">
        <f>COUNTIF($D19:$AH19,Koda2)</f>
        <v>0</v>
      </c>
      <c r="AJ18" s="137">
        <f>COUNTIF($D19:$AH19,Koda3)</f>
        <v>0</v>
      </c>
      <c r="AK18" s="137">
        <f>COUNTIF($D19:$AH19,Koda4)</f>
        <v>0</v>
      </c>
    </row>
    <row r="19" spans="2:37" ht="14.25" x14ac:dyDescent="0.25">
      <c r="B19" s="135"/>
      <c r="C19" s="103" t="str">
        <f>IFERROR(VLOOKUP(IskanjeUčencev,PrisotnostSeptembra[],3,FALSE),"")</f>
        <v/>
      </c>
      <c r="D19" s="103" t="str">
        <f>IFERROR(VLOOKUP(IskanjeUčencev,PrisotnostSeptembra[],4,FALSE),"")</f>
        <v/>
      </c>
      <c r="E19" s="103" t="str">
        <f>IFERROR(VLOOKUP(IskanjeUčencev,PrisotnostSeptembra[],5,FALSE),"")</f>
        <v/>
      </c>
      <c r="F19" s="103" t="str">
        <f>IFERROR(VLOOKUP(IskanjeUčencev,PrisotnostSeptembra[],6,FALSE),"")</f>
        <v/>
      </c>
      <c r="G19" s="103" t="str">
        <f>IFERROR(VLOOKUP(IskanjeUčencev,PrisotnostSeptembra[],7,FALSE),"")</f>
        <v/>
      </c>
      <c r="H19" s="103" t="str">
        <f>IFERROR(VLOOKUP(IskanjeUčencev,PrisotnostSeptembra[],8,FALSE),"")</f>
        <v/>
      </c>
      <c r="I19" s="103" t="str">
        <f>IFERROR(VLOOKUP(IskanjeUčencev,PrisotnostSeptembra[],9,FALSE),"")</f>
        <v/>
      </c>
      <c r="J19" s="103" t="str">
        <f>IFERROR(VLOOKUP(IskanjeUčencev,PrisotnostSeptembra[],10,FALSE),"")</f>
        <v/>
      </c>
      <c r="K19" s="103" t="str">
        <f>IFERROR(VLOOKUP(IskanjeUčencev,PrisotnostSeptembra[],11,FALSE),"")</f>
        <v/>
      </c>
      <c r="L19" s="103" t="str">
        <f>IFERROR(VLOOKUP(IskanjeUčencev,PrisotnostSeptembra[],12,FALSE),"")</f>
        <v/>
      </c>
      <c r="M19" s="103" t="str">
        <f>IFERROR(VLOOKUP(IskanjeUčencev,PrisotnostSeptembra[],13,FALSE),"")</f>
        <v/>
      </c>
      <c r="N19" s="103" t="str">
        <f>IFERROR(VLOOKUP(IskanjeUčencev,PrisotnostSeptembra[],14,FALSE),"")</f>
        <v/>
      </c>
      <c r="O19" s="103" t="str">
        <f>IFERROR(VLOOKUP(IskanjeUčencev,PrisotnostSeptembra[],15,FALSE),"")</f>
        <v/>
      </c>
      <c r="P19" s="103" t="str">
        <f>IFERROR(VLOOKUP(IskanjeUčencev,PrisotnostSeptembra[],16,FALSE),"")</f>
        <v/>
      </c>
      <c r="Q19" s="103" t="str">
        <f>IFERROR(VLOOKUP(IskanjeUčencev,PrisotnostSeptembra[],17,FALSE),"")</f>
        <v/>
      </c>
      <c r="R19" s="103" t="str">
        <f>IFERROR(VLOOKUP(IskanjeUčencev,PrisotnostSeptembra[],18,FALSE),"")</f>
        <v/>
      </c>
      <c r="S19" s="103" t="str">
        <f>IFERROR(VLOOKUP(IskanjeUčencev,PrisotnostSeptembra[],19,FALSE),"")</f>
        <v/>
      </c>
      <c r="T19" s="103" t="str">
        <f>IFERROR(VLOOKUP(IskanjeUčencev,PrisotnostSeptembra[],20,FALSE),"")</f>
        <v/>
      </c>
      <c r="U19" s="103" t="str">
        <f>IFERROR(VLOOKUP(IskanjeUčencev,PrisotnostSeptembra[],21,FALSE),"")</f>
        <v/>
      </c>
      <c r="V19" s="103" t="str">
        <f>IFERROR(VLOOKUP(IskanjeUčencev,PrisotnostSeptembra[],22,FALSE),"")</f>
        <v/>
      </c>
      <c r="W19" s="103" t="str">
        <f>IFERROR(VLOOKUP(IskanjeUčencev,PrisotnostSeptembra[],23,FALSE),"")</f>
        <v/>
      </c>
      <c r="X19" s="103" t="str">
        <f>IFERROR(VLOOKUP(IskanjeUčencev,PrisotnostSeptembra[],24,FALSE),"")</f>
        <v/>
      </c>
      <c r="Y19" s="103" t="str">
        <f>IFERROR(VLOOKUP(IskanjeUčencev,PrisotnostSeptembra[],25,FALSE),"")</f>
        <v/>
      </c>
      <c r="Z19" s="103" t="str">
        <f>IFERROR(VLOOKUP(IskanjeUčencev,PrisotnostSeptembra[],26,FALSE),"")</f>
        <v/>
      </c>
      <c r="AA19" s="103" t="str">
        <f>IFERROR(VLOOKUP(IskanjeUčencev,PrisotnostSeptembra[],27,FALSE),"")</f>
        <v/>
      </c>
      <c r="AB19" s="103" t="str">
        <f>IFERROR(VLOOKUP(IskanjeUčencev,PrisotnostSeptembra[],28,FALSE),"")</f>
        <v/>
      </c>
      <c r="AC19" s="103" t="str">
        <f>IFERROR(VLOOKUP(IskanjeUčencev,PrisotnostSeptembra[],29,FALSE),"")</f>
        <v/>
      </c>
      <c r="AD19" s="103" t="str">
        <f>IFERROR(VLOOKUP(IskanjeUčencev,PrisotnostSeptembra[],30,FALSE),"")</f>
        <v/>
      </c>
      <c r="AE19" s="103" t="str">
        <f>IFERROR(VLOOKUP(IskanjeUčencev,PrisotnostSeptembra[],31,FALSE),"")</f>
        <v/>
      </c>
      <c r="AF19" s="103" t="str">
        <f>IFERROR(VLOOKUP(IskanjeUčencev,PrisotnostSeptembra[],32,FALSE),"")</f>
        <v/>
      </c>
      <c r="AG19" s="103"/>
      <c r="AH19" s="137"/>
      <c r="AI19" s="137"/>
      <c r="AJ19" s="137"/>
      <c r="AK19" s="137"/>
    </row>
    <row r="20" spans="2:37" ht="14.25" x14ac:dyDescent="0.25">
      <c r="B20" s="135" t="s">
        <v>60</v>
      </c>
      <c r="C20" s="104">
        <v>1</v>
      </c>
      <c r="D20" s="104">
        <v>2</v>
      </c>
      <c r="E20" s="104">
        <v>3</v>
      </c>
      <c r="F20" s="104">
        <v>4</v>
      </c>
      <c r="G20" s="104">
        <v>5</v>
      </c>
      <c r="H20" s="104">
        <v>6</v>
      </c>
      <c r="I20" s="104">
        <v>7</v>
      </c>
      <c r="J20" s="104">
        <v>8</v>
      </c>
      <c r="K20" s="104">
        <v>9</v>
      </c>
      <c r="L20" s="104">
        <v>10</v>
      </c>
      <c r="M20" s="104">
        <v>11</v>
      </c>
      <c r="N20" s="104">
        <v>12</v>
      </c>
      <c r="O20" s="104">
        <v>13</v>
      </c>
      <c r="P20" s="104">
        <v>14</v>
      </c>
      <c r="Q20" s="104">
        <v>15</v>
      </c>
      <c r="R20" s="104">
        <v>16</v>
      </c>
      <c r="S20" s="104">
        <v>17</v>
      </c>
      <c r="T20" s="104">
        <v>18</v>
      </c>
      <c r="U20" s="104">
        <v>19</v>
      </c>
      <c r="V20" s="104">
        <v>20</v>
      </c>
      <c r="W20" s="104">
        <v>21</v>
      </c>
      <c r="X20" s="104">
        <v>22</v>
      </c>
      <c r="Y20" s="104">
        <v>23</v>
      </c>
      <c r="Z20" s="104">
        <v>24</v>
      </c>
      <c r="AA20" s="104">
        <v>25</v>
      </c>
      <c r="AB20" s="104">
        <v>26</v>
      </c>
      <c r="AC20" s="104">
        <v>27</v>
      </c>
      <c r="AD20" s="104">
        <v>28</v>
      </c>
      <c r="AE20" s="104">
        <v>29</v>
      </c>
      <c r="AF20" s="104">
        <v>30</v>
      </c>
      <c r="AG20" s="104">
        <v>31</v>
      </c>
      <c r="AH20" s="137">
        <f>COUNTIF($D21:$AH21,Koda1)</f>
        <v>0</v>
      </c>
      <c r="AI20" s="137">
        <f>COUNTIF($D21:$AH21,Koda2)</f>
        <v>0</v>
      </c>
      <c r="AJ20" s="137">
        <f>COUNTIF($D21:$AH21,Koda3)</f>
        <v>0</v>
      </c>
      <c r="AK20" s="137">
        <f>COUNTIF($D21:$AH21,Koda4)</f>
        <v>0</v>
      </c>
    </row>
    <row r="21" spans="2:37" ht="14.25" x14ac:dyDescent="0.25">
      <c r="B21" s="135"/>
      <c r="C21" s="103" t="str">
        <f>IFERROR(VLOOKUP(IskanjeUčencev,PrisotnostOktobra[],3,FALSE),"")</f>
        <v/>
      </c>
      <c r="D21" s="103" t="str">
        <f>IFERROR(VLOOKUP(IskanjeUčencev,PrisotnostOktobra[],4,FALSE),"")</f>
        <v/>
      </c>
      <c r="E21" s="103" t="str">
        <f>IFERROR(VLOOKUP(IskanjeUčencev,PrisotnostOktobra[],5,FALSE),"")</f>
        <v/>
      </c>
      <c r="F21" s="103" t="str">
        <f>IFERROR(VLOOKUP(IskanjeUčencev,PrisotnostOktobra[],6,FALSE),"")</f>
        <v/>
      </c>
      <c r="G21" s="103" t="str">
        <f>IFERROR(VLOOKUP(IskanjeUčencev,PrisotnostOktobra[],7,FALSE),"")</f>
        <v/>
      </c>
      <c r="H21" s="103" t="str">
        <f>IFERROR(VLOOKUP(IskanjeUčencev,PrisotnostOktobra[],8,FALSE),"")</f>
        <v/>
      </c>
      <c r="I21" s="103" t="str">
        <f>IFERROR(VLOOKUP(IskanjeUčencev,PrisotnostOktobra[],9,FALSE),"")</f>
        <v/>
      </c>
      <c r="J21" s="103" t="str">
        <f>IFERROR(VLOOKUP(IskanjeUčencev,PrisotnostOktobra[],10,FALSE),"")</f>
        <v/>
      </c>
      <c r="K21" s="103" t="str">
        <f>IFERROR(VLOOKUP(IskanjeUčencev,PrisotnostOktobra[],11,FALSE),"")</f>
        <v/>
      </c>
      <c r="L21" s="103" t="str">
        <f>IFERROR(VLOOKUP(IskanjeUčencev,PrisotnostOktobra[],12,FALSE),"")</f>
        <v/>
      </c>
      <c r="M21" s="103" t="str">
        <f>IFERROR(VLOOKUP(IskanjeUčencev,PrisotnostOktobra[],13,FALSE),"")</f>
        <v/>
      </c>
      <c r="N21" s="103" t="str">
        <f>IFERROR(VLOOKUP(IskanjeUčencev,PrisotnostOktobra[],14,FALSE),"")</f>
        <v/>
      </c>
      <c r="O21" s="103" t="str">
        <f>IFERROR(VLOOKUP(IskanjeUčencev,PrisotnostOktobra[],15,FALSE),"")</f>
        <v/>
      </c>
      <c r="P21" s="103" t="str">
        <f>IFERROR(VLOOKUP(IskanjeUčencev,PrisotnostOktobra[],16,FALSE),"")</f>
        <v/>
      </c>
      <c r="Q21" s="103" t="str">
        <f>IFERROR(VLOOKUP(IskanjeUčencev,PrisotnostOktobra[],17,FALSE),"")</f>
        <v/>
      </c>
      <c r="R21" s="103" t="str">
        <f>IFERROR(VLOOKUP(IskanjeUčencev,PrisotnostOktobra[],18,FALSE),"")</f>
        <v/>
      </c>
      <c r="S21" s="103" t="str">
        <f>IFERROR(VLOOKUP(IskanjeUčencev,PrisotnostOktobra[],19,FALSE),"")</f>
        <v/>
      </c>
      <c r="T21" s="103" t="str">
        <f>IFERROR(VLOOKUP(IskanjeUčencev,PrisotnostOktobra[],20,FALSE),"")</f>
        <v/>
      </c>
      <c r="U21" s="103" t="str">
        <f>IFERROR(VLOOKUP(IskanjeUčencev,PrisotnostOktobra[],21,FALSE),"")</f>
        <v/>
      </c>
      <c r="V21" s="103" t="str">
        <f>IFERROR(VLOOKUP(IskanjeUčencev,PrisotnostOktobra[],22,FALSE),"")</f>
        <v/>
      </c>
      <c r="W21" s="103" t="str">
        <f>IFERROR(VLOOKUP(IskanjeUčencev,PrisotnostOktobra[],23,FALSE),"")</f>
        <v/>
      </c>
      <c r="X21" s="103" t="str">
        <f>IFERROR(VLOOKUP(IskanjeUčencev,PrisotnostOktobra[],24,FALSE),"")</f>
        <v/>
      </c>
      <c r="Y21" s="103" t="str">
        <f>IFERROR(VLOOKUP(IskanjeUčencev,PrisotnostOktobra[],25,FALSE),"")</f>
        <v/>
      </c>
      <c r="Z21" s="103" t="str">
        <f>IFERROR(VLOOKUP(IskanjeUčencev,PrisotnostOktobra[],26,FALSE),"")</f>
        <v/>
      </c>
      <c r="AA21" s="103" t="str">
        <f>IFERROR(VLOOKUP(IskanjeUčencev,PrisotnostOktobra[],27,FALSE),"")</f>
        <v/>
      </c>
      <c r="AB21" s="103" t="str">
        <f>IFERROR(VLOOKUP(IskanjeUčencev,PrisotnostOktobra[],28,FALSE),"")</f>
        <v/>
      </c>
      <c r="AC21" s="103" t="str">
        <f>IFERROR(VLOOKUP(IskanjeUčencev,PrisotnostOktobra[],29,FALSE),"")</f>
        <v/>
      </c>
      <c r="AD21" s="103" t="str">
        <f>IFERROR(VLOOKUP(IskanjeUčencev,PrisotnostOktobra[],30,FALSE),"")</f>
        <v/>
      </c>
      <c r="AE21" s="103" t="str">
        <f>IFERROR(VLOOKUP(IskanjeUčencev,PrisotnostOktobra[],31,FALSE),"")</f>
        <v/>
      </c>
      <c r="AF21" s="103" t="str">
        <f>IFERROR(VLOOKUP(IskanjeUčencev,PrisotnostOktobra[],32,FALSE),"")</f>
        <v/>
      </c>
      <c r="AG21" s="103" t="str">
        <f>IFERROR(VLOOKUP(IskanjeUčencev,PrisotnostOktobra[],33,FALSE),"")</f>
        <v/>
      </c>
      <c r="AH21" s="137"/>
      <c r="AI21" s="137"/>
      <c r="AJ21" s="137"/>
      <c r="AK21" s="137"/>
    </row>
    <row r="22" spans="2:37" ht="14.25" x14ac:dyDescent="0.25">
      <c r="B22" s="135" t="s">
        <v>61</v>
      </c>
      <c r="C22" s="104">
        <v>1</v>
      </c>
      <c r="D22" s="104">
        <v>2</v>
      </c>
      <c r="E22" s="104">
        <v>3</v>
      </c>
      <c r="F22" s="104">
        <v>4</v>
      </c>
      <c r="G22" s="104">
        <v>5</v>
      </c>
      <c r="H22" s="104">
        <v>6</v>
      </c>
      <c r="I22" s="104">
        <v>7</v>
      </c>
      <c r="J22" s="104">
        <v>8</v>
      </c>
      <c r="K22" s="104">
        <v>9</v>
      </c>
      <c r="L22" s="104">
        <v>10</v>
      </c>
      <c r="M22" s="104">
        <v>11</v>
      </c>
      <c r="N22" s="104">
        <v>12</v>
      </c>
      <c r="O22" s="104">
        <v>13</v>
      </c>
      <c r="P22" s="104">
        <v>14</v>
      </c>
      <c r="Q22" s="104">
        <v>15</v>
      </c>
      <c r="R22" s="104">
        <v>16</v>
      </c>
      <c r="S22" s="104">
        <v>17</v>
      </c>
      <c r="T22" s="104">
        <v>18</v>
      </c>
      <c r="U22" s="104">
        <v>19</v>
      </c>
      <c r="V22" s="104">
        <v>20</v>
      </c>
      <c r="W22" s="104">
        <v>21</v>
      </c>
      <c r="X22" s="104">
        <v>22</v>
      </c>
      <c r="Y22" s="104">
        <v>23</v>
      </c>
      <c r="Z22" s="104">
        <v>24</v>
      </c>
      <c r="AA22" s="104">
        <v>25</v>
      </c>
      <c r="AB22" s="104">
        <v>26</v>
      </c>
      <c r="AC22" s="104">
        <v>27</v>
      </c>
      <c r="AD22" s="104">
        <v>28</v>
      </c>
      <c r="AE22" s="104">
        <v>29</v>
      </c>
      <c r="AF22" s="104">
        <v>30</v>
      </c>
      <c r="AG22" s="104"/>
      <c r="AH22" s="137">
        <f>COUNTIF($D23:$AH23,Koda1)</f>
        <v>0</v>
      </c>
      <c r="AI22" s="137">
        <f>COUNTIF($D23:$AH23,Koda2)</f>
        <v>0</v>
      </c>
      <c r="AJ22" s="137">
        <f>COUNTIF($D23:$AH23,Koda3)</f>
        <v>0</v>
      </c>
      <c r="AK22" s="137">
        <f>COUNTIF($D23:$AH23,Koda4)</f>
        <v>0</v>
      </c>
    </row>
    <row r="23" spans="2:37" ht="14.25" x14ac:dyDescent="0.25">
      <c r="B23" s="135"/>
      <c r="C23" s="103" t="str">
        <f>IFERROR(VLOOKUP(IskanjeUčencev,PrisotnostNovembra[],3,FALSE),"")</f>
        <v/>
      </c>
      <c r="D23" s="103" t="str">
        <f>IFERROR(VLOOKUP(IskanjeUčencev,PrisotnostNovembra[],4,FALSE),"")</f>
        <v/>
      </c>
      <c r="E23" s="103" t="str">
        <f>IFERROR(VLOOKUP(IskanjeUčencev,PrisotnostNovembra[],5,FALSE),"")</f>
        <v/>
      </c>
      <c r="F23" s="103" t="str">
        <f>IFERROR(VLOOKUP(IskanjeUčencev,PrisotnostNovembra[],6,FALSE),"")</f>
        <v/>
      </c>
      <c r="G23" s="103" t="str">
        <f>IFERROR(VLOOKUP(IskanjeUčencev,PrisotnostNovembra[],7,FALSE),"")</f>
        <v/>
      </c>
      <c r="H23" s="103" t="str">
        <f>IFERROR(VLOOKUP(IskanjeUčencev,PrisotnostNovembra[],8,FALSE),"")</f>
        <v/>
      </c>
      <c r="I23" s="103" t="str">
        <f>IFERROR(VLOOKUP(IskanjeUčencev,PrisotnostNovembra[],9,FALSE),"")</f>
        <v/>
      </c>
      <c r="J23" s="103" t="str">
        <f>IFERROR(VLOOKUP(IskanjeUčencev,PrisotnostNovembra[],10,FALSE),"")</f>
        <v/>
      </c>
      <c r="K23" s="103" t="str">
        <f>IFERROR(VLOOKUP(IskanjeUčencev,PrisotnostNovembra[],11,FALSE),"")</f>
        <v/>
      </c>
      <c r="L23" s="103" t="str">
        <f>IFERROR(VLOOKUP(IskanjeUčencev,PrisotnostNovembra[],12,FALSE),"")</f>
        <v/>
      </c>
      <c r="M23" s="103" t="str">
        <f>IFERROR(VLOOKUP(IskanjeUčencev,PrisotnostNovembra[],13,FALSE),"")</f>
        <v/>
      </c>
      <c r="N23" s="103" t="str">
        <f>IFERROR(VLOOKUP(IskanjeUčencev,PrisotnostNovembra[],14,FALSE),"")</f>
        <v/>
      </c>
      <c r="O23" s="103" t="str">
        <f>IFERROR(VLOOKUP(IskanjeUčencev,PrisotnostNovembra[],15,FALSE),"")</f>
        <v/>
      </c>
      <c r="P23" s="103" t="str">
        <f>IFERROR(VLOOKUP(IskanjeUčencev,PrisotnostNovembra[],16,FALSE),"")</f>
        <v/>
      </c>
      <c r="Q23" s="103" t="str">
        <f>IFERROR(VLOOKUP(IskanjeUčencev,PrisotnostNovembra[],17,FALSE),"")</f>
        <v/>
      </c>
      <c r="R23" s="103" t="str">
        <f>IFERROR(VLOOKUP(IskanjeUčencev,PrisotnostNovembra[],18,FALSE),"")</f>
        <v/>
      </c>
      <c r="S23" s="103" t="str">
        <f>IFERROR(VLOOKUP(IskanjeUčencev,PrisotnostNovembra[],19,FALSE),"")</f>
        <v/>
      </c>
      <c r="T23" s="103" t="str">
        <f>IFERROR(VLOOKUP(IskanjeUčencev,PrisotnostNovembra[],20,FALSE),"")</f>
        <v/>
      </c>
      <c r="U23" s="103" t="str">
        <f>IFERROR(VLOOKUP(IskanjeUčencev,PrisotnostNovembra[],21,FALSE),"")</f>
        <v/>
      </c>
      <c r="V23" s="103" t="str">
        <f>IFERROR(VLOOKUP(IskanjeUčencev,PrisotnostNovembra[],22,FALSE),"")</f>
        <v/>
      </c>
      <c r="W23" s="103" t="str">
        <f>IFERROR(VLOOKUP(IskanjeUčencev,PrisotnostNovembra[],23,FALSE),"")</f>
        <v/>
      </c>
      <c r="X23" s="103" t="str">
        <f>IFERROR(VLOOKUP(IskanjeUčencev,PrisotnostNovembra[],24,FALSE),"")</f>
        <v/>
      </c>
      <c r="Y23" s="103" t="str">
        <f>IFERROR(VLOOKUP(IskanjeUčencev,PrisotnostNovembra[],25,FALSE),"")</f>
        <v/>
      </c>
      <c r="Z23" s="103" t="str">
        <f>IFERROR(VLOOKUP(IskanjeUčencev,PrisotnostNovembra[],26,FALSE),"")</f>
        <v/>
      </c>
      <c r="AA23" s="103" t="str">
        <f>IFERROR(VLOOKUP(IskanjeUčencev,PrisotnostNovembra[],27,FALSE),"")</f>
        <v/>
      </c>
      <c r="AB23" s="103" t="str">
        <f>IFERROR(VLOOKUP(IskanjeUčencev,PrisotnostNovembra[],28,FALSE),"")</f>
        <v/>
      </c>
      <c r="AC23" s="103" t="str">
        <f>IFERROR(VLOOKUP(IskanjeUčencev,PrisotnostNovembra[],29,FALSE),"")</f>
        <v/>
      </c>
      <c r="AD23" s="103" t="str">
        <f>IFERROR(VLOOKUP(IskanjeUčencev,PrisotnostNovembra[],30,FALSE),"")</f>
        <v/>
      </c>
      <c r="AE23" s="103" t="str">
        <f>IFERROR(VLOOKUP(IskanjeUčencev,PrisotnostNovembra[],31,FALSE),"")</f>
        <v/>
      </c>
      <c r="AF23" s="103" t="str">
        <f>IFERROR(VLOOKUP(IskanjeUčencev,PrisotnostNovembra[],32,FALSE),"")</f>
        <v/>
      </c>
      <c r="AG23" s="103"/>
      <c r="AH23" s="137"/>
      <c r="AI23" s="137"/>
      <c r="AJ23" s="137"/>
      <c r="AK23" s="137"/>
    </row>
    <row r="24" spans="2:37" ht="14.25" x14ac:dyDescent="0.25">
      <c r="B24" s="135" t="s">
        <v>62</v>
      </c>
      <c r="C24" s="104">
        <v>1</v>
      </c>
      <c r="D24" s="104">
        <v>2</v>
      </c>
      <c r="E24" s="104">
        <v>3</v>
      </c>
      <c r="F24" s="104">
        <v>4</v>
      </c>
      <c r="G24" s="104">
        <v>5</v>
      </c>
      <c r="H24" s="104">
        <v>6</v>
      </c>
      <c r="I24" s="104">
        <v>7</v>
      </c>
      <c r="J24" s="104">
        <v>8</v>
      </c>
      <c r="K24" s="104">
        <v>9</v>
      </c>
      <c r="L24" s="104">
        <v>10</v>
      </c>
      <c r="M24" s="104">
        <v>11</v>
      </c>
      <c r="N24" s="104">
        <v>12</v>
      </c>
      <c r="O24" s="104">
        <v>13</v>
      </c>
      <c r="P24" s="104">
        <v>14</v>
      </c>
      <c r="Q24" s="104">
        <v>15</v>
      </c>
      <c r="R24" s="104">
        <v>16</v>
      </c>
      <c r="S24" s="104">
        <v>17</v>
      </c>
      <c r="T24" s="104">
        <v>18</v>
      </c>
      <c r="U24" s="104">
        <v>19</v>
      </c>
      <c r="V24" s="104">
        <v>20</v>
      </c>
      <c r="W24" s="104">
        <v>21</v>
      </c>
      <c r="X24" s="104">
        <v>22</v>
      </c>
      <c r="Y24" s="104">
        <v>23</v>
      </c>
      <c r="Z24" s="104">
        <v>24</v>
      </c>
      <c r="AA24" s="104">
        <v>25</v>
      </c>
      <c r="AB24" s="104">
        <v>26</v>
      </c>
      <c r="AC24" s="104">
        <v>27</v>
      </c>
      <c r="AD24" s="104">
        <v>28</v>
      </c>
      <c r="AE24" s="104">
        <v>29</v>
      </c>
      <c r="AF24" s="104">
        <v>30</v>
      </c>
      <c r="AG24" s="104">
        <v>31</v>
      </c>
      <c r="AH24" s="137">
        <f>COUNTIF($D25:$AH25,Koda1)</f>
        <v>0</v>
      </c>
      <c r="AI24" s="137">
        <f>COUNTIF($D25:$AH25,Koda2)</f>
        <v>0</v>
      </c>
      <c r="AJ24" s="137">
        <f>COUNTIF($D25:$AH25,Koda3)</f>
        <v>0</v>
      </c>
      <c r="AK24" s="137">
        <f>COUNTIF($D25:$AH25,Koda4)</f>
        <v>0</v>
      </c>
    </row>
    <row r="25" spans="2:37" ht="14.25" x14ac:dyDescent="0.25">
      <c r="B25" s="135"/>
      <c r="C25" s="103" t="str">
        <f>IFERROR(VLOOKUP(IskanjeUčencev,PrisotnostDecembra[],3,FALSE),"")</f>
        <v/>
      </c>
      <c r="D25" s="103" t="str">
        <f>IFERROR(VLOOKUP(IskanjeUčencev,PrisotnostDecembra[],4,FALSE),"")</f>
        <v/>
      </c>
      <c r="E25" s="103" t="str">
        <f>IFERROR(VLOOKUP(IskanjeUčencev,PrisotnostDecembra[],5,FALSE),"")</f>
        <v/>
      </c>
      <c r="F25" s="103" t="str">
        <f>IFERROR(VLOOKUP(IskanjeUčencev,PrisotnostDecembra[],6,FALSE),"")</f>
        <v/>
      </c>
      <c r="G25" s="103" t="str">
        <f>IFERROR(VLOOKUP(IskanjeUčencev,PrisotnostDecembra[],7,FALSE),"")</f>
        <v/>
      </c>
      <c r="H25" s="103" t="str">
        <f>IFERROR(VLOOKUP(IskanjeUčencev,PrisotnostDecembra[],8,FALSE),"")</f>
        <v/>
      </c>
      <c r="I25" s="103" t="str">
        <f>IFERROR(VLOOKUP(IskanjeUčencev,PrisotnostDecembra[],9,FALSE),"")</f>
        <v/>
      </c>
      <c r="J25" s="103" t="str">
        <f>IFERROR(VLOOKUP(IskanjeUčencev,PrisotnostDecembra[],10,FALSE),"")</f>
        <v/>
      </c>
      <c r="K25" s="103" t="str">
        <f>IFERROR(VLOOKUP(IskanjeUčencev,PrisotnostDecembra[],11,FALSE),"")</f>
        <v/>
      </c>
      <c r="L25" s="103" t="str">
        <f>IFERROR(VLOOKUP(IskanjeUčencev,PrisotnostDecembra[],12,FALSE),"")</f>
        <v/>
      </c>
      <c r="M25" s="103" t="str">
        <f>IFERROR(VLOOKUP(IskanjeUčencev,PrisotnostDecembra[],13,FALSE),"")</f>
        <v/>
      </c>
      <c r="N25" s="103" t="str">
        <f>IFERROR(VLOOKUP(IskanjeUčencev,PrisotnostDecembra[],14,FALSE),"")</f>
        <v/>
      </c>
      <c r="O25" s="103" t="str">
        <f>IFERROR(VLOOKUP(IskanjeUčencev,PrisotnostDecembra[],15,FALSE),"")</f>
        <v/>
      </c>
      <c r="P25" s="103" t="str">
        <f>IFERROR(VLOOKUP(IskanjeUčencev,PrisotnostDecembra[],16,FALSE),"")</f>
        <v/>
      </c>
      <c r="Q25" s="103" t="str">
        <f>IFERROR(VLOOKUP(IskanjeUčencev,PrisotnostDecembra[],17,FALSE),"")</f>
        <v/>
      </c>
      <c r="R25" s="103" t="str">
        <f>IFERROR(VLOOKUP(IskanjeUčencev,PrisotnostDecembra[],18,FALSE),"")</f>
        <v/>
      </c>
      <c r="S25" s="103" t="str">
        <f>IFERROR(VLOOKUP(IskanjeUčencev,PrisotnostDecembra[],19,FALSE),"")</f>
        <v/>
      </c>
      <c r="T25" s="103" t="str">
        <f>IFERROR(VLOOKUP(IskanjeUčencev,PrisotnostDecembra[],20,FALSE),"")</f>
        <v/>
      </c>
      <c r="U25" s="103" t="str">
        <f>IFERROR(VLOOKUP(IskanjeUčencev,PrisotnostDecembra[],21,FALSE),"")</f>
        <v/>
      </c>
      <c r="V25" s="103" t="str">
        <f>IFERROR(VLOOKUP(IskanjeUčencev,PrisotnostDecembra[],22,FALSE),"")</f>
        <v/>
      </c>
      <c r="W25" s="103" t="str">
        <f>IFERROR(VLOOKUP(IskanjeUčencev,PrisotnostDecembra[],23,FALSE),"")</f>
        <v/>
      </c>
      <c r="X25" s="103" t="str">
        <f>IFERROR(VLOOKUP(IskanjeUčencev,PrisotnostDecembra[],24,FALSE),"")</f>
        <v/>
      </c>
      <c r="Y25" s="103" t="str">
        <f>IFERROR(VLOOKUP(IskanjeUčencev,PrisotnostDecembra[],25,FALSE),"")</f>
        <v/>
      </c>
      <c r="Z25" s="103" t="str">
        <f>IFERROR(VLOOKUP(IskanjeUčencev,PrisotnostDecembra[],26,FALSE),"")</f>
        <v/>
      </c>
      <c r="AA25" s="103" t="str">
        <f>IFERROR(VLOOKUP(IskanjeUčencev,PrisotnostDecembra[],27,FALSE),"")</f>
        <v/>
      </c>
      <c r="AB25" s="103" t="str">
        <f>IFERROR(VLOOKUP(IskanjeUčencev,PrisotnostDecembra[],28,FALSE),"")</f>
        <v/>
      </c>
      <c r="AC25" s="103" t="str">
        <f>IFERROR(VLOOKUP(IskanjeUčencev,PrisotnostDecembra[],29,FALSE),"")</f>
        <v/>
      </c>
      <c r="AD25" s="103" t="str">
        <f>IFERROR(VLOOKUP(IskanjeUčencev,PrisotnostDecembra[],30,FALSE),"")</f>
        <v/>
      </c>
      <c r="AE25" s="103" t="str">
        <f>IFERROR(VLOOKUP(IskanjeUčencev,PrisotnostDecembra[],31,FALSE),"")</f>
        <v/>
      </c>
      <c r="AF25" s="103" t="str">
        <f>IFERROR(VLOOKUP(IskanjeUčencev,PrisotnostDecembra[],32,FALSE),"")</f>
        <v/>
      </c>
      <c r="AG25" s="103" t="str">
        <f>IFERROR(VLOOKUP(IskanjeUčencev,PrisotnostDecembra[],33,FALSE),"")</f>
        <v/>
      </c>
      <c r="AH25" s="137"/>
      <c r="AI25" s="137"/>
      <c r="AJ25" s="137"/>
      <c r="AK25" s="137"/>
    </row>
    <row r="26" spans="2:37" ht="14.25" x14ac:dyDescent="0.25">
      <c r="B26" s="135" t="s">
        <v>63</v>
      </c>
      <c r="C26" s="104">
        <v>1</v>
      </c>
      <c r="D26" s="104">
        <v>2</v>
      </c>
      <c r="E26" s="104">
        <v>3</v>
      </c>
      <c r="F26" s="104">
        <v>4</v>
      </c>
      <c r="G26" s="104">
        <v>5</v>
      </c>
      <c r="H26" s="104">
        <v>6</v>
      </c>
      <c r="I26" s="104">
        <v>7</v>
      </c>
      <c r="J26" s="104">
        <v>8</v>
      </c>
      <c r="K26" s="104">
        <v>9</v>
      </c>
      <c r="L26" s="104">
        <v>10</v>
      </c>
      <c r="M26" s="104">
        <v>11</v>
      </c>
      <c r="N26" s="104">
        <v>12</v>
      </c>
      <c r="O26" s="104">
        <v>13</v>
      </c>
      <c r="P26" s="104">
        <v>14</v>
      </c>
      <c r="Q26" s="104">
        <v>15</v>
      </c>
      <c r="R26" s="104">
        <v>16</v>
      </c>
      <c r="S26" s="104">
        <v>17</v>
      </c>
      <c r="T26" s="104">
        <v>18</v>
      </c>
      <c r="U26" s="104">
        <v>19</v>
      </c>
      <c r="V26" s="104">
        <v>20</v>
      </c>
      <c r="W26" s="104">
        <v>21</v>
      </c>
      <c r="X26" s="104">
        <v>22</v>
      </c>
      <c r="Y26" s="104">
        <v>23</v>
      </c>
      <c r="Z26" s="104">
        <v>24</v>
      </c>
      <c r="AA26" s="104">
        <v>25</v>
      </c>
      <c r="AB26" s="104">
        <v>26</v>
      </c>
      <c r="AC26" s="104">
        <v>27</v>
      </c>
      <c r="AD26" s="104">
        <v>28</v>
      </c>
      <c r="AE26" s="104">
        <v>29</v>
      </c>
      <c r="AF26" s="104">
        <v>30</v>
      </c>
      <c r="AG26" s="104">
        <v>31</v>
      </c>
      <c r="AH26" s="137">
        <f>COUNTIF($D27:$AH27,Koda1)</f>
        <v>0</v>
      </c>
      <c r="AI26" s="137">
        <f>COUNTIF($D27:$AH27,Koda2)</f>
        <v>0</v>
      </c>
      <c r="AJ26" s="137">
        <f>COUNTIF($D27:$AH27,Koda3)</f>
        <v>0</v>
      </c>
      <c r="AK26" s="137">
        <f>COUNTIF($D27:$AH27,Koda4)</f>
        <v>0</v>
      </c>
    </row>
    <row r="27" spans="2:37" ht="14.25" x14ac:dyDescent="0.25">
      <c r="B27" s="135"/>
      <c r="C27" s="103" t="str">
        <f>IFERROR(VLOOKUP(IskanjeUčencev,PrisotnostJanuarja[],3,FALSE),"")</f>
        <v/>
      </c>
      <c r="D27" s="103" t="str">
        <f>IFERROR(VLOOKUP(IskanjeUčencev,PrisotnostJanuarja[],4,FALSE),"")</f>
        <v/>
      </c>
      <c r="E27" s="103" t="str">
        <f>IFERROR(VLOOKUP(IskanjeUčencev,PrisotnostJanuarja[],5,FALSE),"")</f>
        <v/>
      </c>
      <c r="F27" s="103" t="str">
        <f>IFERROR(VLOOKUP(IskanjeUčencev,PrisotnostJanuarja[],6,FALSE),"")</f>
        <v/>
      </c>
      <c r="G27" s="103" t="str">
        <f>IFERROR(VLOOKUP(IskanjeUčencev,PrisotnostJanuarja[],7,FALSE),"")</f>
        <v/>
      </c>
      <c r="H27" s="103" t="str">
        <f>IFERROR(VLOOKUP(IskanjeUčencev,PrisotnostJanuarja[],8,FALSE),"")</f>
        <v/>
      </c>
      <c r="I27" s="103" t="str">
        <f>IFERROR(VLOOKUP(IskanjeUčencev,PrisotnostJanuarja[],9,FALSE),"")</f>
        <v/>
      </c>
      <c r="J27" s="103" t="str">
        <f>IFERROR(VLOOKUP(IskanjeUčencev,PrisotnostJanuarja[],10,FALSE),"")</f>
        <v/>
      </c>
      <c r="K27" s="103" t="str">
        <f>IFERROR(VLOOKUP(IskanjeUčencev,PrisotnostJanuarja[],11,FALSE),"")</f>
        <v/>
      </c>
      <c r="L27" s="103" t="str">
        <f>IFERROR(VLOOKUP(IskanjeUčencev,PrisotnostJanuarja[],12,FALSE),"")</f>
        <v/>
      </c>
      <c r="M27" s="103" t="str">
        <f>IFERROR(VLOOKUP(IskanjeUčencev,PrisotnostJanuarja[],13,FALSE),"")</f>
        <v/>
      </c>
      <c r="N27" s="103" t="str">
        <f>IFERROR(VLOOKUP(IskanjeUčencev,PrisotnostJanuarja[],14,FALSE),"")</f>
        <v/>
      </c>
      <c r="O27" s="103" t="str">
        <f>IFERROR(VLOOKUP(IskanjeUčencev,PrisotnostJanuarja[],15,FALSE),"")</f>
        <v/>
      </c>
      <c r="P27" s="103" t="str">
        <f>IFERROR(VLOOKUP(IskanjeUčencev,PrisotnostJanuarja[],16,FALSE),"")</f>
        <v/>
      </c>
      <c r="Q27" s="103" t="str">
        <f>IFERROR(VLOOKUP(IskanjeUčencev,PrisotnostJanuarja[],17,FALSE),"")</f>
        <v/>
      </c>
      <c r="R27" s="103" t="str">
        <f>IFERROR(VLOOKUP(IskanjeUčencev,PrisotnostJanuarja[],18,FALSE),"")</f>
        <v/>
      </c>
      <c r="S27" s="103" t="str">
        <f>IFERROR(VLOOKUP(IskanjeUčencev,PrisotnostJanuarja[],19,FALSE),"")</f>
        <v/>
      </c>
      <c r="T27" s="103" t="str">
        <f>IFERROR(VLOOKUP(IskanjeUčencev,PrisotnostJanuarja[],20,FALSE),"")</f>
        <v/>
      </c>
      <c r="U27" s="103" t="str">
        <f>IFERROR(VLOOKUP(IskanjeUčencev,PrisotnostJanuarja[],21,FALSE),"")</f>
        <v/>
      </c>
      <c r="V27" s="103" t="str">
        <f>IFERROR(VLOOKUP(IskanjeUčencev,PrisotnostJanuarja[],22,FALSE),"")</f>
        <v/>
      </c>
      <c r="W27" s="103" t="str">
        <f>IFERROR(VLOOKUP(IskanjeUčencev,PrisotnostJanuarja[],23,FALSE),"")</f>
        <v/>
      </c>
      <c r="X27" s="103" t="str">
        <f>IFERROR(VLOOKUP(IskanjeUčencev,PrisotnostJanuarja[],24,FALSE),"")</f>
        <v/>
      </c>
      <c r="Y27" s="103" t="str">
        <f>IFERROR(VLOOKUP(IskanjeUčencev,PrisotnostJanuarja[],25,FALSE),"")</f>
        <v/>
      </c>
      <c r="Z27" s="103" t="str">
        <f>IFERROR(VLOOKUP(IskanjeUčencev,PrisotnostJanuarja[],26,FALSE),"")</f>
        <v/>
      </c>
      <c r="AA27" s="103" t="str">
        <f>IFERROR(VLOOKUP(IskanjeUčencev,PrisotnostJanuarja[],27,FALSE),"")</f>
        <v/>
      </c>
      <c r="AB27" s="103" t="str">
        <f>IFERROR(VLOOKUP(IskanjeUčencev,PrisotnostJanuarja[],28,FALSE),"")</f>
        <v/>
      </c>
      <c r="AC27" s="103" t="str">
        <f>IFERROR(VLOOKUP(IskanjeUčencev,PrisotnostJanuarja[],29,FALSE),"")</f>
        <v/>
      </c>
      <c r="AD27" s="103" t="str">
        <f>IFERROR(VLOOKUP(IskanjeUčencev,PrisotnostJanuarja[],30,FALSE),"")</f>
        <v/>
      </c>
      <c r="AE27" s="103" t="str">
        <f>IFERROR(VLOOKUP(IskanjeUčencev,PrisotnostJanuarja[],31,FALSE),"")</f>
        <v/>
      </c>
      <c r="AF27" s="103" t="str">
        <f>IFERROR(VLOOKUP(IskanjeUčencev,PrisotnostJanuarja[],32,FALSE),"")</f>
        <v/>
      </c>
      <c r="AG27" s="103" t="str">
        <f>IFERROR(VLOOKUP(IskanjeUčencev,PrisotnostJanuarja[],33,FALSE),"")</f>
        <v/>
      </c>
      <c r="AH27" s="137"/>
      <c r="AI27" s="137"/>
      <c r="AJ27" s="137"/>
      <c r="AK27" s="137"/>
    </row>
    <row r="28" spans="2:37" ht="14.25" x14ac:dyDescent="0.25">
      <c r="B28" s="135" t="s">
        <v>64</v>
      </c>
      <c r="C28" s="104">
        <v>1</v>
      </c>
      <c r="D28" s="104">
        <v>2</v>
      </c>
      <c r="E28" s="104">
        <v>3</v>
      </c>
      <c r="F28" s="104">
        <v>4</v>
      </c>
      <c r="G28" s="104">
        <v>5</v>
      </c>
      <c r="H28" s="104">
        <v>6</v>
      </c>
      <c r="I28" s="104">
        <v>7</v>
      </c>
      <c r="J28" s="104">
        <v>8</v>
      </c>
      <c r="K28" s="104">
        <v>9</v>
      </c>
      <c r="L28" s="104">
        <v>10</v>
      </c>
      <c r="M28" s="104">
        <v>11</v>
      </c>
      <c r="N28" s="104">
        <v>12</v>
      </c>
      <c r="O28" s="104">
        <v>13</v>
      </c>
      <c r="P28" s="104">
        <v>14</v>
      </c>
      <c r="Q28" s="104">
        <v>15</v>
      </c>
      <c r="R28" s="104">
        <v>16</v>
      </c>
      <c r="S28" s="104">
        <v>17</v>
      </c>
      <c r="T28" s="104">
        <v>18</v>
      </c>
      <c r="U28" s="104">
        <v>19</v>
      </c>
      <c r="V28" s="104">
        <v>20</v>
      </c>
      <c r="W28" s="104">
        <v>21</v>
      </c>
      <c r="X28" s="104">
        <v>22</v>
      </c>
      <c r="Y28" s="104">
        <v>23</v>
      </c>
      <c r="Z28" s="104">
        <v>24</v>
      </c>
      <c r="AA28" s="104">
        <v>25</v>
      </c>
      <c r="AB28" s="104">
        <v>26</v>
      </c>
      <c r="AC28" s="104">
        <v>27</v>
      </c>
      <c r="AD28" s="104">
        <v>28</v>
      </c>
      <c r="AE28" s="104">
        <v>29</v>
      </c>
      <c r="AF28" s="104"/>
      <c r="AG28" s="104"/>
      <c r="AH28" s="137">
        <f>COUNTIF($D29:$AH29,Koda1)</f>
        <v>0</v>
      </c>
      <c r="AI28" s="137">
        <f>COUNTIF($D29:$AH29,Koda2)</f>
        <v>0</v>
      </c>
      <c r="AJ28" s="137">
        <f>COUNTIF($D29:$AH29,Koda3)</f>
        <v>0</v>
      </c>
      <c r="AK28" s="137">
        <f>COUNTIF($D29:$AH29,Koda4)</f>
        <v>0</v>
      </c>
    </row>
    <row r="29" spans="2:37" ht="14.25" x14ac:dyDescent="0.25">
      <c r="B29" s="135"/>
      <c r="C29" s="103" t="str">
        <f>IFERROR(VLOOKUP(IskanjeUčencev,PrisotnostFebruarja[],3,FALSE),"")</f>
        <v/>
      </c>
      <c r="D29" s="103" t="str">
        <f>IFERROR(VLOOKUP(IskanjeUčencev,PrisotnostFebruarja[],4,FALSE),"")</f>
        <v/>
      </c>
      <c r="E29" s="103" t="str">
        <f>IFERROR(VLOOKUP(IskanjeUčencev,PrisotnostFebruarja[],5,FALSE),"")</f>
        <v/>
      </c>
      <c r="F29" s="103" t="str">
        <f>IFERROR(VLOOKUP(IskanjeUčencev,PrisotnostFebruarja[],6,FALSE),"")</f>
        <v/>
      </c>
      <c r="G29" s="103" t="str">
        <f>IFERROR(VLOOKUP(IskanjeUčencev,PrisotnostFebruarja[],7,FALSE),"")</f>
        <v/>
      </c>
      <c r="H29" s="103" t="str">
        <f>IFERROR(VLOOKUP(IskanjeUčencev,PrisotnostFebruarja[],8,FALSE),"")</f>
        <v/>
      </c>
      <c r="I29" s="103" t="str">
        <f>IFERROR(VLOOKUP(IskanjeUčencev,PrisotnostFebruarja[],9,FALSE),"")</f>
        <v/>
      </c>
      <c r="J29" s="103" t="str">
        <f>IFERROR(VLOOKUP(IskanjeUčencev,PrisotnostFebruarja[],10,FALSE),"")</f>
        <v/>
      </c>
      <c r="K29" s="103" t="str">
        <f>IFERROR(VLOOKUP(IskanjeUčencev,PrisotnostFebruarja[],11,FALSE),"")</f>
        <v/>
      </c>
      <c r="L29" s="103" t="str">
        <f>IFERROR(VLOOKUP(IskanjeUčencev,PrisotnostFebruarja[],12,FALSE),"")</f>
        <v/>
      </c>
      <c r="M29" s="103" t="str">
        <f>IFERROR(VLOOKUP(IskanjeUčencev,PrisotnostFebruarja[],13,FALSE),"")</f>
        <v/>
      </c>
      <c r="N29" s="103" t="str">
        <f>IFERROR(VLOOKUP(IskanjeUčencev,PrisotnostFebruarja[],14,FALSE),"")</f>
        <v/>
      </c>
      <c r="O29" s="103" t="str">
        <f>IFERROR(VLOOKUP(IskanjeUčencev,PrisotnostFebruarja[],15,FALSE),"")</f>
        <v/>
      </c>
      <c r="P29" s="103" t="str">
        <f>IFERROR(VLOOKUP(IskanjeUčencev,PrisotnostFebruarja[],16,FALSE),"")</f>
        <v/>
      </c>
      <c r="Q29" s="103" t="str">
        <f>IFERROR(VLOOKUP(IskanjeUčencev,PrisotnostFebruarja[],17,FALSE),"")</f>
        <v/>
      </c>
      <c r="R29" s="103" t="str">
        <f>IFERROR(VLOOKUP(IskanjeUčencev,PrisotnostFebruarja[],18,FALSE),"")</f>
        <v/>
      </c>
      <c r="S29" s="103" t="str">
        <f>IFERROR(VLOOKUP(IskanjeUčencev,PrisotnostFebruarja[],19,FALSE),"")</f>
        <v/>
      </c>
      <c r="T29" s="103" t="str">
        <f>IFERROR(VLOOKUP(IskanjeUčencev,PrisotnostFebruarja[],20,FALSE),"")</f>
        <v/>
      </c>
      <c r="U29" s="103" t="str">
        <f>IFERROR(VLOOKUP(IskanjeUčencev,PrisotnostFebruarja[],21,FALSE),"")</f>
        <v/>
      </c>
      <c r="V29" s="103" t="str">
        <f>IFERROR(VLOOKUP(IskanjeUčencev,PrisotnostFebruarja[],22,FALSE),"")</f>
        <v/>
      </c>
      <c r="W29" s="103" t="str">
        <f>IFERROR(VLOOKUP(IskanjeUčencev,PrisotnostFebruarja[],23,FALSE),"")</f>
        <v/>
      </c>
      <c r="X29" s="103" t="str">
        <f>IFERROR(VLOOKUP(IskanjeUčencev,PrisotnostFebruarja[],24,FALSE),"")</f>
        <v/>
      </c>
      <c r="Y29" s="103" t="str">
        <f>IFERROR(VLOOKUP(IskanjeUčencev,PrisotnostFebruarja[],25,FALSE),"")</f>
        <v/>
      </c>
      <c r="Z29" s="103" t="str">
        <f>IFERROR(VLOOKUP(IskanjeUčencev,PrisotnostFebruarja[],26,FALSE),"")</f>
        <v/>
      </c>
      <c r="AA29" s="103" t="str">
        <f>IFERROR(VLOOKUP(IskanjeUčencev,PrisotnostFebruarja[],27,FALSE),"")</f>
        <v/>
      </c>
      <c r="AB29" s="103" t="str">
        <f>IFERROR(VLOOKUP(IskanjeUčencev,PrisotnostFebruarja[],28,FALSE),"")</f>
        <v/>
      </c>
      <c r="AC29" s="103" t="str">
        <f>IFERROR(VLOOKUP(IskanjeUčencev,PrisotnostFebruarja[],29,FALSE),"")</f>
        <v/>
      </c>
      <c r="AD29" s="103" t="str">
        <f>IFERROR(VLOOKUP(IskanjeUčencev,PrisotnostFebruarja[],30,FALSE),"")</f>
        <v/>
      </c>
      <c r="AE29" s="103" t="str">
        <f>IFERROR(VLOOKUP(IskanjeUčencev,PrisotnostFebruarja[],31,FALSE),"")</f>
        <v/>
      </c>
      <c r="AF29" s="103"/>
      <c r="AG29" s="103"/>
      <c r="AH29" s="137"/>
      <c r="AI29" s="137"/>
      <c r="AJ29" s="137"/>
      <c r="AK29" s="137"/>
    </row>
    <row r="30" spans="2:37" ht="14.25" x14ac:dyDescent="0.25">
      <c r="B30" s="135" t="s">
        <v>65</v>
      </c>
      <c r="C30" s="104">
        <v>1</v>
      </c>
      <c r="D30" s="104">
        <v>2</v>
      </c>
      <c r="E30" s="104">
        <v>3</v>
      </c>
      <c r="F30" s="104">
        <v>4</v>
      </c>
      <c r="G30" s="104">
        <v>5</v>
      </c>
      <c r="H30" s="104">
        <v>6</v>
      </c>
      <c r="I30" s="104">
        <v>7</v>
      </c>
      <c r="J30" s="104">
        <v>8</v>
      </c>
      <c r="K30" s="104">
        <v>9</v>
      </c>
      <c r="L30" s="104">
        <v>10</v>
      </c>
      <c r="M30" s="104">
        <v>11</v>
      </c>
      <c r="N30" s="104">
        <v>12</v>
      </c>
      <c r="O30" s="104">
        <v>13</v>
      </c>
      <c r="P30" s="104">
        <v>14</v>
      </c>
      <c r="Q30" s="104">
        <v>15</v>
      </c>
      <c r="R30" s="104">
        <v>16</v>
      </c>
      <c r="S30" s="104">
        <v>17</v>
      </c>
      <c r="T30" s="104">
        <v>18</v>
      </c>
      <c r="U30" s="104">
        <v>19</v>
      </c>
      <c r="V30" s="104">
        <v>20</v>
      </c>
      <c r="W30" s="104">
        <v>21</v>
      </c>
      <c r="X30" s="104">
        <v>22</v>
      </c>
      <c r="Y30" s="104">
        <v>23</v>
      </c>
      <c r="Z30" s="104">
        <v>24</v>
      </c>
      <c r="AA30" s="104">
        <v>25</v>
      </c>
      <c r="AB30" s="104">
        <v>26</v>
      </c>
      <c r="AC30" s="104">
        <v>27</v>
      </c>
      <c r="AD30" s="104">
        <v>28</v>
      </c>
      <c r="AE30" s="104">
        <v>29</v>
      </c>
      <c r="AF30" s="104">
        <v>30</v>
      </c>
      <c r="AG30" s="104">
        <v>31</v>
      </c>
      <c r="AH30" s="137">
        <f>COUNTIF($D31:$AH31,Koda1)</f>
        <v>0</v>
      </c>
      <c r="AI30" s="137">
        <f>COUNTIF($D31:$AH31,Koda2)</f>
        <v>0</v>
      </c>
      <c r="AJ30" s="137">
        <f>COUNTIF($D31:$AH31,Koda3)</f>
        <v>0</v>
      </c>
      <c r="AK30" s="137">
        <f>COUNTIF($D31:$AH31,Koda4)</f>
        <v>0</v>
      </c>
    </row>
    <row r="31" spans="2:37" ht="14.25" x14ac:dyDescent="0.25">
      <c r="B31" s="135"/>
      <c r="C31" s="103" t="str">
        <f>IFERROR(VLOOKUP(IskanjeUčencev,PrisotnostMarca[],3,FALSE),"")</f>
        <v/>
      </c>
      <c r="D31" s="103" t="str">
        <f>IFERROR(VLOOKUP(IskanjeUčencev,PrisotnostMarca[],4,FALSE),"")</f>
        <v/>
      </c>
      <c r="E31" s="103" t="str">
        <f>IFERROR(VLOOKUP(IskanjeUčencev,PrisotnostMarca[],5,FALSE),"")</f>
        <v/>
      </c>
      <c r="F31" s="103" t="str">
        <f>IFERROR(VLOOKUP(IskanjeUčencev,PrisotnostMarca[],6,FALSE),"")</f>
        <v/>
      </c>
      <c r="G31" s="103" t="str">
        <f>IFERROR(VLOOKUP(IskanjeUčencev,PrisotnostMarca[],7,FALSE),"")</f>
        <v/>
      </c>
      <c r="H31" s="103" t="str">
        <f>IFERROR(VLOOKUP(IskanjeUčencev,PrisotnostMarca[],8,FALSE),"")</f>
        <v/>
      </c>
      <c r="I31" s="103" t="str">
        <f>IFERROR(VLOOKUP(IskanjeUčencev,PrisotnostMarca[],9,FALSE),"")</f>
        <v/>
      </c>
      <c r="J31" s="103" t="str">
        <f>IFERROR(VLOOKUP(IskanjeUčencev,PrisotnostMarca[],10,FALSE),"")</f>
        <v/>
      </c>
      <c r="K31" s="103" t="str">
        <f>IFERROR(VLOOKUP(IskanjeUčencev,PrisotnostMarca[],11,FALSE),"")</f>
        <v/>
      </c>
      <c r="L31" s="103" t="str">
        <f>IFERROR(VLOOKUP(IskanjeUčencev,PrisotnostMarca[],12,FALSE),"")</f>
        <v/>
      </c>
      <c r="M31" s="103" t="str">
        <f>IFERROR(VLOOKUP(IskanjeUčencev,PrisotnostMarca[],13,FALSE),"")</f>
        <v/>
      </c>
      <c r="N31" s="103" t="str">
        <f>IFERROR(VLOOKUP(IskanjeUčencev,PrisotnostMarca[],14,FALSE),"")</f>
        <v/>
      </c>
      <c r="O31" s="103" t="str">
        <f>IFERROR(VLOOKUP(IskanjeUčencev,PrisotnostMarca[],15,FALSE),"")</f>
        <v/>
      </c>
      <c r="P31" s="103" t="str">
        <f>IFERROR(VLOOKUP(IskanjeUčencev,PrisotnostMarca[],16,FALSE),"")</f>
        <v/>
      </c>
      <c r="Q31" s="103" t="str">
        <f>IFERROR(VLOOKUP(IskanjeUčencev,PrisotnostMarca[],17,FALSE),"")</f>
        <v/>
      </c>
      <c r="R31" s="103" t="str">
        <f>IFERROR(VLOOKUP(IskanjeUčencev,PrisotnostMarca[],18,FALSE),"")</f>
        <v/>
      </c>
      <c r="S31" s="103" t="str">
        <f>IFERROR(VLOOKUP(IskanjeUčencev,PrisotnostMarca[],19,FALSE),"")</f>
        <v/>
      </c>
      <c r="T31" s="103" t="str">
        <f>IFERROR(VLOOKUP(IskanjeUčencev,PrisotnostMarca[],20,FALSE),"")</f>
        <v/>
      </c>
      <c r="U31" s="103" t="str">
        <f>IFERROR(VLOOKUP(IskanjeUčencev,PrisotnostMarca[],21,FALSE),"")</f>
        <v/>
      </c>
      <c r="V31" s="103" t="str">
        <f>IFERROR(VLOOKUP(IskanjeUčencev,PrisotnostMarca[],22,FALSE),"")</f>
        <v/>
      </c>
      <c r="W31" s="103" t="str">
        <f>IFERROR(VLOOKUP(IskanjeUčencev,PrisotnostMarca[],23,FALSE),"")</f>
        <v/>
      </c>
      <c r="X31" s="103" t="str">
        <f>IFERROR(VLOOKUP(IskanjeUčencev,PrisotnostMarca[],24,FALSE),"")</f>
        <v/>
      </c>
      <c r="Y31" s="103" t="str">
        <f>IFERROR(VLOOKUP(IskanjeUčencev,PrisotnostMarca[],25,FALSE),"")</f>
        <v/>
      </c>
      <c r="Z31" s="103" t="str">
        <f>IFERROR(VLOOKUP(IskanjeUčencev,PrisotnostMarca[],26,FALSE),"")</f>
        <v/>
      </c>
      <c r="AA31" s="103" t="str">
        <f>IFERROR(VLOOKUP(IskanjeUčencev,PrisotnostMarca[],27,FALSE),"")</f>
        <v/>
      </c>
      <c r="AB31" s="103" t="str">
        <f>IFERROR(VLOOKUP(IskanjeUčencev,PrisotnostMarca[],28,FALSE),"")</f>
        <v/>
      </c>
      <c r="AC31" s="103" t="str">
        <f>IFERROR(VLOOKUP(IskanjeUčencev,PrisotnostMarca[],29,FALSE),"")</f>
        <v/>
      </c>
      <c r="AD31" s="103" t="str">
        <f>IFERROR(VLOOKUP(IskanjeUčencev,PrisotnostMarca[],30,FALSE),"")</f>
        <v/>
      </c>
      <c r="AE31" s="103" t="str">
        <f>IFERROR(VLOOKUP(IskanjeUčencev,PrisotnostMarca[],31,FALSE),"")</f>
        <v/>
      </c>
      <c r="AF31" s="103" t="str">
        <f>IFERROR(VLOOKUP(IskanjeUčencev,PrisotnostMarca[],32,FALSE),"")</f>
        <v/>
      </c>
      <c r="AG31" s="103" t="str">
        <f>IFERROR(VLOOKUP(IskanjeUčencev,PrisotnostMarca[],33,FALSE),"")</f>
        <v/>
      </c>
      <c r="AH31" s="137"/>
      <c r="AI31" s="137"/>
      <c r="AJ31" s="137"/>
      <c r="AK31" s="137"/>
    </row>
    <row r="32" spans="2:37" ht="14.25" x14ac:dyDescent="0.25">
      <c r="B32" s="135" t="s">
        <v>66</v>
      </c>
      <c r="C32" s="104">
        <v>1</v>
      </c>
      <c r="D32" s="104">
        <v>2</v>
      </c>
      <c r="E32" s="104">
        <v>3</v>
      </c>
      <c r="F32" s="104">
        <v>4</v>
      </c>
      <c r="G32" s="104">
        <v>5</v>
      </c>
      <c r="H32" s="104">
        <v>6</v>
      </c>
      <c r="I32" s="104">
        <v>7</v>
      </c>
      <c r="J32" s="104">
        <v>8</v>
      </c>
      <c r="K32" s="104">
        <v>9</v>
      </c>
      <c r="L32" s="104">
        <v>10</v>
      </c>
      <c r="M32" s="104">
        <v>11</v>
      </c>
      <c r="N32" s="104">
        <v>12</v>
      </c>
      <c r="O32" s="104">
        <v>13</v>
      </c>
      <c r="P32" s="104">
        <v>14</v>
      </c>
      <c r="Q32" s="104">
        <v>15</v>
      </c>
      <c r="R32" s="104">
        <v>16</v>
      </c>
      <c r="S32" s="104">
        <v>17</v>
      </c>
      <c r="T32" s="104">
        <v>18</v>
      </c>
      <c r="U32" s="104">
        <v>19</v>
      </c>
      <c r="V32" s="104">
        <v>20</v>
      </c>
      <c r="W32" s="104">
        <v>21</v>
      </c>
      <c r="X32" s="104">
        <v>22</v>
      </c>
      <c r="Y32" s="104">
        <v>23</v>
      </c>
      <c r="Z32" s="104">
        <v>24</v>
      </c>
      <c r="AA32" s="104">
        <v>25</v>
      </c>
      <c r="AB32" s="104">
        <v>26</v>
      </c>
      <c r="AC32" s="104">
        <v>27</v>
      </c>
      <c r="AD32" s="104">
        <v>28</v>
      </c>
      <c r="AE32" s="104">
        <v>29</v>
      </c>
      <c r="AF32" s="104">
        <v>30</v>
      </c>
      <c r="AG32" s="104"/>
      <c r="AH32" s="137">
        <f>COUNTIF($D33:$AH33,Koda1)</f>
        <v>0</v>
      </c>
      <c r="AI32" s="137">
        <f>COUNTIF($D33:$AH33,Koda2)</f>
        <v>0</v>
      </c>
      <c r="AJ32" s="137">
        <f>COUNTIF($D33:$AH33,Koda3)</f>
        <v>0</v>
      </c>
      <c r="AK32" s="137">
        <f>COUNTIF($D33:$AH33,Koda4)</f>
        <v>0</v>
      </c>
    </row>
    <row r="33" spans="2:37" ht="14.25" x14ac:dyDescent="0.25">
      <c r="B33" s="135"/>
      <c r="C33" s="103" t="str">
        <f>IFERROR(VLOOKUP(IskanjeUčencev,PrisotnostAprila[],3,FALSE),"")</f>
        <v/>
      </c>
      <c r="D33" s="103" t="str">
        <f>IFERROR(VLOOKUP(IskanjeUčencev,PrisotnostAprila[],4,FALSE),"")</f>
        <v/>
      </c>
      <c r="E33" s="103" t="str">
        <f>IFERROR(VLOOKUP(IskanjeUčencev,PrisotnostAprila[],5,FALSE),"")</f>
        <v/>
      </c>
      <c r="F33" s="103" t="str">
        <f>IFERROR(VLOOKUP(IskanjeUčencev,PrisotnostAprila[],6,FALSE),"")</f>
        <v/>
      </c>
      <c r="G33" s="103" t="str">
        <f>IFERROR(VLOOKUP(IskanjeUčencev,PrisotnostAprila[],7,FALSE),"")</f>
        <v/>
      </c>
      <c r="H33" s="103" t="str">
        <f>IFERROR(VLOOKUP(IskanjeUčencev,PrisotnostAprila[],8,FALSE),"")</f>
        <v/>
      </c>
      <c r="I33" s="103" t="str">
        <f>IFERROR(VLOOKUP(IskanjeUčencev,PrisotnostAprila[],9,FALSE),"")</f>
        <v/>
      </c>
      <c r="J33" s="103" t="str">
        <f>IFERROR(VLOOKUP(IskanjeUčencev,PrisotnostAprila[],10,FALSE),"")</f>
        <v/>
      </c>
      <c r="K33" s="103" t="str">
        <f>IFERROR(VLOOKUP(IskanjeUčencev,PrisotnostAprila[],11,FALSE),"")</f>
        <v/>
      </c>
      <c r="L33" s="103" t="str">
        <f>IFERROR(VLOOKUP(IskanjeUčencev,PrisotnostAprila[],12,FALSE),"")</f>
        <v/>
      </c>
      <c r="M33" s="103" t="str">
        <f>IFERROR(VLOOKUP(IskanjeUčencev,PrisotnostAprila[],13,FALSE),"")</f>
        <v/>
      </c>
      <c r="N33" s="103" t="str">
        <f>IFERROR(VLOOKUP(IskanjeUčencev,PrisotnostAprila[],14,FALSE),"")</f>
        <v/>
      </c>
      <c r="O33" s="103" t="str">
        <f>IFERROR(VLOOKUP(IskanjeUčencev,PrisotnostAprila[],15,FALSE),"")</f>
        <v/>
      </c>
      <c r="P33" s="103" t="str">
        <f>IFERROR(VLOOKUP(IskanjeUčencev,PrisotnostAprila[],16,FALSE),"")</f>
        <v/>
      </c>
      <c r="Q33" s="103" t="str">
        <f>IFERROR(VLOOKUP(IskanjeUčencev,PrisotnostAprila[],17,FALSE),"")</f>
        <v/>
      </c>
      <c r="R33" s="103" t="str">
        <f>IFERROR(VLOOKUP(IskanjeUčencev,PrisotnostAprila[],18,FALSE),"")</f>
        <v/>
      </c>
      <c r="S33" s="103" t="str">
        <f>IFERROR(VLOOKUP(IskanjeUčencev,PrisotnostAprila[],19,FALSE),"")</f>
        <v/>
      </c>
      <c r="T33" s="103" t="str">
        <f>IFERROR(VLOOKUP(IskanjeUčencev,PrisotnostAprila[],20,FALSE),"")</f>
        <v/>
      </c>
      <c r="U33" s="103" t="str">
        <f>IFERROR(VLOOKUP(IskanjeUčencev,PrisotnostAprila[],21,FALSE),"")</f>
        <v/>
      </c>
      <c r="V33" s="103" t="str">
        <f>IFERROR(VLOOKUP(IskanjeUčencev,PrisotnostAprila[],22,FALSE),"")</f>
        <v/>
      </c>
      <c r="W33" s="103" t="str">
        <f>IFERROR(VLOOKUP(IskanjeUčencev,PrisotnostAprila[],23,FALSE),"")</f>
        <v/>
      </c>
      <c r="X33" s="103" t="str">
        <f>IFERROR(VLOOKUP(IskanjeUčencev,PrisotnostAprila[],24,FALSE),"")</f>
        <v/>
      </c>
      <c r="Y33" s="103" t="str">
        <f>IFERROR(VLOOKUP(IskanjeUčencev,PrisotnostAprila[],25,FALSE),"")</f>
        <v/>
      </c>
      <c r="Z33" s="103" t="str">
        <f>IFERROR(VLOOKUP(IskanjeUčencev,PrisotnostAprila[],26,FALSE),"")</f>
        <v/>
      </c>
      <c r="AA33" s="103" t="str">
        <f>IFERROR(VLOOKUP(IskanjeUčencev,PrisotnostAprila[],27,FALSE),"")</f>
        <v/>
      </c>
      <c r="AB33" s="103" t="str">
        <f>IFERROR(VLOOKUP(IskanjeUčencev,PrisotnostAprila[],28,FALSE),"")</f>
        <v/>
      </c>
      <c r="AC33" s="103" t="str">
        <f>IFERROR(VLOOKUP(IskanjeUčencev,PrisotnostAprila[],29,FALSE),"")</f>
        <v/>
      </c>
      <c r="AD33" s="103" t="str">
        <f>IFERROR(VLOOKUP(IskanjeUčencev,PrisotnostAprila[],30,FALSE),"")</f>
        <v/>
      </c>
      <c r="AE33" s="103" t="str">
        <f>IFERROR(VLOOKUP(IskanjeUčencev,PrisotnostAprila[],31,FALSE),"")</f>
        <v/>
      </c>
      <c r="AF33" s="103" t="str">
        <f>IFERROR(VLOOKUP(IskanjeUčencev,PrisotnostAprila[],32,FALSE),"")</f>
        <v/>
      </c>
      <c r="AG33" s="103"/>
      <c r="AH33" s="137"/>
      <c r="AI33" s="137"/>
      <c r="AJ33" s="137"/>
      <c r="AK33" s="137"/>
    </row>
    <row r="34" spans="2:37" ht="14.25" x14ac:dyDescent="0.25">
      <c r="B34" s="135" t="s">
        <v>67</v>
      </c>
      <c r="C34" s="104">
        <v>1</v>
      </c>
      <c r="D34" s="104">
        <v>2</v>
      </c>
      <c r="E34" s="104">
        <v>3</v>
      </c>
      <c r="F34" s="104">
        <v>4</v>
      </c>
      <c r="G34" s="104">
        <v>5</v>
      </c>
      <c r="H34" s="104">
        <v>6</v>
      </c>
      <c r="I34" s="104">
        <v>7</v>
      </c>
      <c r="J34" s="104">
        <v>8</v>
      </c>
      <c r="K34" s="104">
        <v>9</v>
      </c>
      <c r="L34" s="104">
        <v>10</v>
      </c>
      <c r="M34" s="104">
        <v>11</v>
      </c>
      <c r="N34" s="104">
        <v>12</v>
      </c>
      <c r="O34" s="104">
        <v>13</v>
      </c>
      <c r="P34" s="104">
        <v>14</v>
      </c>
      <c r="Q34" s="104">
        <v>15</v>
      </c>
      <c r="R34" s="104">
        <v>16</v>
      </c>
      <c r="S34" s="104">
        <v>17</v>
      </c>
      <c r="T34" s="104">
        <v>18</v>
      </c>
      <c r="U34" s="104">
        <v>19</v>
      </c>
      <c r="V34" s="104">
        <v>20</v>
      </c>
      <c r="W34" s="104">
        <v>21</v>
      </c>
      <c r="X34" s="104">
        <v>22</v>
      </c>
      <c r="Y34" s="104">
        <v>23</v>
      </c>
      <c r="Z34" s="104">
        <v>24</v>
      </c>
      <c r="AA34" s="104">
        <v>25</v>
      </c>
      <c r="AB34" s="104">
        <v>26</v>
      </c>
      <c r="AC34" s="104">
        <v>27</v>
      </c>
      <c r="AD34" s="104">
        <v>28</v>
      </c>
      <c r="AE34" s="104">
        <v>29</v>
      </c>
      <c r="AF34" s="104">
        <v>30</v>
      </c>
      <c r="AG34" s="104">
        <v>31</v>
      </c>
      <c r="AH34" s="137">
        <f>COUNTIF($D35:$AH35,Koda1)</f>
        <v>0</v>
      </c>
      <c r="AI34" s="137">
        <f>COUNTIF($D35:$AH35,Koda2)</f>
        <v>0</v>
      </c>
      <c r="AJ34" s="137">
        <f>COUNTIF($D35:$AH35,Koda3)</f>
        <v>0</v>
      </c>
      <c r="AK34" s="137">
        <f>COUNTIF($D35:$AH35,Koda4)</f>
        <v>0</v>
      </c>
    </row>
    <row r="35" spans="2:37" ht="14.25" x14ac:dyDescent="0.25">
      <c r="B35" s="135"/>
      <c r="C35" s="103" t="str">
        <f>IFERROR(VLOOKUP(IskanjeUčencev,PrisotnostMaja[],3,FALSE),"")</f>
        <v/>
      </c>
      <c r="D35" s="103" t="str">
        <f>IFERROR(VLOOKUP(IskanjeUčencev,PrisotnostMaja[],4,FALSE),"")</f>
        <v/>
      </c>
      <c r="E35" s="103" t="str">
        <f>IFERROR(VLOOKUP(IskanjeUčencev,PrisotnostMaja[],5,FALSE),"")</f>
        <v/>
      </c>
      <c r="F35" s="103" t="str">
        <f>IFERROR(VLOOKUP(IskanjeUčencev,PrisotnostMaja[],6,FALSE),"")</f>
        <v/>
      </c>
      <c r="G35" s="103" t="str">
        <f>IFERROR(VLOOKUP(IskanjeUčencev,PrisotnostMaja[],7,FALSE),"")</f>
        <v/>
      </c>
      <c r="H35" s="103" t="str">
        <f>IFERROR(VLOOKUP(IskanjeUčencev,PrisotnostMaja[],8,FALSE),"")</f>
        <v/>
      </c>
      <c r="I35" s="103" t="str">
        <f>IFERROR(VLOOKUP(IskanjeUčencev,PrisotnostMaja[],9,FALSE),"")</f>
        <v/>
      </c>
      <c r="J35" s="103" t="str">
        <f>IFERROR(VLOOKUP(IskanjeUčencev,PrisotnostMaja[],10,FALSE),"")</f>
        <v/>
      </c>
      <c r="K35" s="103" t="str">
        <f>IFERROR(VLOOKUP(IskanjeUčencev,PrisotnostMaja[],11,FALSE),"")</f>
        <v/>
      </c>
      <c r="L35" s="103" t="str">
        <f>IFERROR(VLOOKUP(IskanjeUčencev,PrisotnostMaja[],12,FALSE),"")</f>
        <v/>
      </c>
      <c r="M35" s="103" t="str">
        <f>IFERROR(VLOOKUP(IskanjeUčencev,PrisotnostMaja[],13,FALSE),"")</f>
        <v/>
      </c>
      <c r="N35" s="103" t="str">
        <f>IFERROR(VLOOKUP(IskanjeUčencev,PrisotnostMaja[],14,FALSE),"")</f>
        <v/>
      </c>
      <c r="O35" s="103" t="str">
        <f>IFERROR(VLOOKUP(IskanjeUčencev,PrisotnostMaja[],15,FALSE),"")</f>
        <v/>
      </c>
      <c r="P35" s="103" t="str">
        <f>IFERROR(VLOOKUP(IskanjeUčencev,PrisotnostMaja[],16,FALSE),"")</f>
        <v/>
      </c>
      <c r="Q35" s="103" t="str">
        <f>IFERROR(VLOOKUP(IskanjeUčencev,PrisotnostMaja[],17,FALSE),"")</f>
        <v/>
      </c>
      <c r="R35" s="103" t="str">
        <f>IFERROR(VLOOKUP(IskanjeUčencev,PrisotnostMaja[],18,FALSE),"")</f>
        <v/>
      </c>
      <c r="S35" s="103" t="str">
        <f>IFERROR(VLOOKUP(IskanjeUčencev,PrisotnostMaja[],19,FALSE),"")</f>
        <v/>
      </c>
      <c r="T35" s="103" t="str">
        <f>IFERROR(VLOOKUP(IskanjeUčencev,PrisotnostMaja[],20,FALSE),"")</f>
        <v/>
      </c>
      <c r="U35" s="103" t="str">
        <f>IFERROR(VLOOKUP(IskanjeUčencev,PrisotnostMaja[],21,FALSE),"")</f>
        <v/>
      </c>
      <c r="V35" s="103" t="str">
        <f>IFERROR(VLOOKUP(IskanjeUčencev,PrisotnostMaja[],22,FALSE),"")</f>
        <v/>
      </c>
      <c r="W35" s="103" t="str">
        <f>IFERROR(VLOOKUP(IskanjeUčencev,PrisotnostMaja[],23,FALSE),"")</f>
        <v/>
      </c>
      <c r="X35" s="103" t="str">
        <f>IFERROR(VLOOKUP(IskanjeUčencev,PrisotnostMaja[],24,FALSE),"")</f>
        <v/>
      </c>
      <c r="Y35" s="103" t="str">
        <f>IFERROR(VLOOKUP(IskanjeUčencev,PrisotnostMaja[],25,FALSE),"")</f>
        <v/>
      </c>
      <c r="Z35" s="103" t="str">
        <f>IFERROR(VLOOKUP(IskanjeUčencev,PrisotnostMaja[],26,FALSE),"")</f>
        <v/>
      </c>
      <c r="AA35" s="103" t="str">
        <f>IFERROR(VLOOKUP(IskanjeUčencev,PrisotnostMaja[],27,FALSE),"")</f>
        <v/>
      </c>
      <c r="AB35" s="103" t="str">
        <f>IFERROR(VLOOKUP(IskanjeUčencev,PrisotnostMaja[],28,FALSE),"")</f>
        <v/>
      </c>
      <c r="AC35" s="103" t="str">
        <f>IFERROR(VLOOKUP(IskanjeUčencev,PrisotnostMaja[],29,FALSE),"")</f>
        <v/>
      </c>
      <c r="AD35" s="103" t="str">
        <f>IFERROR(VLOOKUP(IskanjeUčencev,PrisotnostMaja[],30,FALSE),"")</f>
        <v/>
      </c>
      <c r="AE35" s="103" t="str">
        <f>IFERROR(VLOOKUP(IskanjeUčencev,PrisotnostMaja[],31,FALSE),"")</f>
        <v/>
      </c>
      <c r="AF35" s="103" t="str">
        <f>IFERROR(VLOOKUP(IskanjeUčencev,PrisotnostMaja[],32,FALSE),"")</f>
        <v/>
      </c>
      <c r="AG35" s="103" t="str">
        <f>IFERROR(VLOOKUP(IskanjeUčencev,PrisotnostMaja[],33,FALSE),"")</f>
        <v/>
      </c>
      <c r="AH35" s="137"/>
      <c r="AI35" s="137"/>
      <c r="AJ35" s="137"/>
      <c r="AK35" s="137"/>
    </row>
    <row r="36" spans="2:37" ht="14.25" x14ac:dyDescent="0.25">
      <c r="B36" s="140" t="s">
        <v>68</v>
      </c>
      <c r="C36" s="104">
        <v>1</v>
      </c>
      <c r="D36" s="104">
        <v>2</v>
      </c>
      <c r="E36" s="104">
        <v>3</v>
      </c>
      <c r="F36" s="104">
        <v>4</v>
      </c>
      <c r="G36" s="104">
        <v>5</v>
      </c>
      <c r="H36" s="104">
        <v>6</v>
      </c>
      <c r="I36" s="104">
        <v>7</v>
      </c>
      <c r="J36" s="104">
        <v>8</v>
      </c>
      <c r="K36" s="104">
        <v>9</v>
      </c>
      <c r="L36" s="104">
        <v>10</v>
      </c>
      <c r="M36" s="104">
        <v>11</v>
      </c>
      <c r="N36" s="104">
        <v>12</v>
      </c>
      <c r="O36" s="104">
        <v>13</v>
      </c>
      <c r="P36" s="104">
        <v>14</v>
      </c>
      <c r="Q36" s="104">
        <v>15</v>
      </c>
      <c r="R36" s="104">
        <v>16</v>
      </c>
      <c r="S36" s="104">
        <v>17</v>
      </c>
      <c r="T36" s="104">
        <v>18</v>
      </c>
      <c r="U36" s="104">
        <v>19</v>
      </c>
      <c r="V36" s="104">
        <v>20</v>
      </c>
      <c r="W36" s="104">
        <v>21</v>
      </c>
      <c r="X36" s="104">
        <v>22</v>
      </c>
      <c r="Y36" s="104">
        <v>23</v>
      </c>
      <c r="Z36" s="104">
        <v>24</v>
      </c>
      <c r="AA36" s="104">
        <v>25</v>
      </c>
      <c r="AB36" s="104">
        <v>26</v>
      </c>
      <c r="AC36" s="104">
        <v>27</v>
      </c>
      <c r="AD36" s="104">
        <v>28</v>
      </c>
      <c r="AE36" s="104">
        <v>29</v>
      </c>
      <c r="AF36" s="104">
        <v>30</v>
      </c>
      <c r="AG36" s="104"/>
      <c r="AH36" s="138">
        <f>COUNTIF($D37:$AH37,Koda1)</f>
        <v>0</v>
      </c>
      <c r="AI36" s="138">
        <f>COUNTIF($D37:$AH37,Koda2)</f>
        <v>0</v>
      </c>
      <c r="AJ36" s="138">
        <f>COUNTIF($D37:$AH37,Koda3)</f>
        <v>0</v>
      </c>
      <c r="AK36" s="138">
        <f>COUNTIF($D37:$AH37,Koda4)</f>
        <v>0</v>
      </c>
    </row>
    <row r="37" spans="2:37" ht="14.25" x14ac:dyDescent="0.25">
      <c r="B37" s="134"/>
      <c r="C37" s="103" t="str">
        <f>IFERROR(VLOOKUP(IskanjeUčencev,PrisotnostJunija[],3,FALSE),"")</f>
        <v/>
      </c>
      <c r="D37" s="103" t="str">
        <f>IFERROR(VLOOKUP(IskanjeUčencev,PrisotnostJunija[],4,FALSE),"")</f>
        <v/>
      </c>
      <c r="E37" s="103" t="str">
        <f>IFERROR(VLOOKUP(IskanjeUčencev,PrisotnostJunija[],5,FALSE),"")</f>
        <v/>
      </c>
      <c r="F37" s="103" t="str">
        <f>IFERROR(VLOOKUP(IskanjeUčencev,PrisotnostJunija[],6,FALSE),"")</f>
        <v/>
      </c>
      <c r="G37" s="103" t="str">
        <f>IFERROR(VLOOKUP(IskanjeUčencev,PrisotnostJunija[],7,FALSE),"")</f>
        <v/>
      </c>
      <c r="H37" s="103" t="str">
        <f>IFERROR(VLOOKUP(IskanjeUčencev,PrisotnostJunija[],8,FALSE),"")</f>
        <v/>
      </c>
      <c r="I37" s="103" t="str">
        <f>IFERROR(VLOOKUP(IskanjeUčencev,PrisotnostJunija[],9,FALSE),"")</f>
        <v/>
      </c>
      <c r="J37" s="103" t="str">
        <f>IFERROR(VLOOKUP(IskanjeUčencev,PrisotnostJunija[],10,FALSE),"")</f>
        <v/>
      </c>
      <c r="K37" s="103" t="str">
        <f>IFERROR(VLOOKUP(IskanjeUčencev,PrisotnostJunija[],11,FALSE),"")</f>
        <v/>
      </c>
      <c r="L37" s="103" t="str">
        <f>IFERROR(VLOOKUP(IskanjeUčencev,PrisotnostJunija[],12,FALSE),"")</f>
        <v/>
      </c>
      <c r="M37" s="103" t="str">
        <f>IFERROR(VLOOKUP(IskanjeUčencev,PrisotnostJunija[],13,FALSE),"")</f>
        <v/>
      </c>
      <c r="N37" s="103" t="str">
        <f>IFERROR(VLOOKUP(IskanjeUčencev,PrisotnostJunija[],14,FALSE),"")</f>
        <v/>
      </c>
      <c r="O37" s="103" t="str">
        <f>IFERROR(VLOOKUP(IskanjeUčencev,PrisotnostJunija[],15,FALSE),"")</f>
        <v/>
      </c>
      <c r="P37" s="103" t="str">
        <f>IFERROR(VLOOKUP(IskanjeUčencev,PrisotnostJunija[],16,FALSE),"")</f>
        <v/>
      </c>
      <c r="Q37" s="103" t="str">
        <f>IFERROR(VLOOKUP(IskanjeUčencev,PrisotnostJunija[],17,FALSE),"")</f>
        <v/>
      </c>
      <c r="R37" s="103" t="str">
        <f>IFERROR(VLOOKUP(IskanjeUčencev,PrisotnostJunija[],18,FALSE),"")</f>
        <v/>
      </c>
      <c r="S37" s="103" t="str">
        <f>IFERROR(VLOOKUP(IskanjeUčencev,PrisotnostJunija[],19,FALSE),"")</f>
        <v/>
      </c>
      <c r="T37" s="103" t="str">
        <f>IFERROR(VLOOKUP(IskanjeUčencev,PrisotnostJunija[],20,FALSE),"")</f>
        <v/>
      </c>
      <c r="U37" s="103" t="str">
        <f>IFERROR(VLOOKUP(IskanjeUčencev,PrisotnostJunija[],21,FALSE),"")</f>
        <v/>
      </c>
      <c r="V37" s="103" t="str">
        <f>IFERROR(VLOOKUP(IskanjeUčencev,PrisotnostJunija[],22,FALSE),"")</f>
        <v/>
      </c>
      <c r="W37" s="103" t="str">
        <f>IFERROR(VLOOKUP(IskanjeUčencev,PrisotnostJunija[],23,FALSE),"")</f>
        <v/>
      </c>
      <c r="X37" s="103" t="str">
        <f>IFERROR(VLOOKUP(IskanjeUčencev,PrisotnostJunija[],24,FALSE),"")</f>
        <v/>
      </c>
      <c r="Y37" s="103" t="str">
        <f>IFERROR(VLOOKUP(IskanjeUčencev,PrisotnostJunija[],25,FALSE),"")</f>
        <v/>
      </c>
      <c r="Z37" s="103" t="str">
        <f>IFERROR(VLOOKUP(IskanjeUčencev,PrisotnostJunija[],26,FALSE),"")</f>
        <v/>
      </c>
      <c r="AA37" s="103" t="str">
        <f>IFERROR(VLOOKUP(IskanjeUčencev,PrisotnostJunija[],27,FALSE),"")</f>
        <v/>
      </c>
      <c r="AB37" s="103" t="str">
        <f>IFERROR(VLOOKUP(IskanjeUčencev,PrisotnostJunija[],28,FALSE),"")</f>
        <v/>
      </c>
      <c r="AC37" s="103" t="str">
        <f>IFERROR(VLOOKUP(IskanjeUčencev,PrisotnostJunija[],29,FALSE),"")</f>
        <v/>
      </c>
      <c r="AD37" s="103" t="str">
        <f>IFERROR(VLOOKUP(IskanjeUčencev,PrisotnostJunija[],30,FALSE),"")</f>
        <v/>
      </c>
      <c r="AE37" s="103" t="str">
        <f>IFERROR(VLOOKUP(IskanjeUčencev,PrisotnostJunija[],31,FALSE),"")</f>
        <v/>
      </c>
      <c r="AF37" s="103" t="str">
        <f>IFERROR(VLOOKUP(IskanjeUčencev,PrisotnostJunija[],32,FALSE),"")</f>
        <v/>
      </c>
      <c r="AG37" s="103"/>
      <c r="AH37" s="136"/>
      <c r="AI37" s="136"/>
      <c r="AJ37" s="136"/>
      <c r="AK37" s="136"/>
    </row>
    <row r="38" spans="2:37" ht="14.25" x14ac:dyDescent="0.25">
      <c r="B38" s="140" t="s">
        <v>69</v>
      </c>
      <c r="C38" s="104">
        <v>1</v>
      </c>
      <c r="D38" s="104">
        <v>2</v>
      </c>
      <c r="E38" s="104">
        <v>3</v>
      </c>
      <c r="F38" s="104">
        <v>4</v>
      </c>
      <c r="G38" s="104">
        <v>5</v>
      </c>
      <c r="H38" s="104">
        <v>6</v>
      </c>
      <c r="I38" s="104">
        <v>7</v>
      </c>
      <c r="J38" s="104">
        <v>8</v>
      </c>
      <c r="K38" s="104">
        <v>9</v>
      </c>
      <c r="L38" s="104">
        <v>10</v>
      </c>
      <c r="M38" s="104">
        <v>11</v>
      </c>
      <c r="N38" s="104">
        <v>12</v>
      </c>
      <c r="O38" s="104">
        <v>13</v>
      </c>
      <c r="P38" s="104">
        <v>14</v>
      </c>
      <c r="Q38" s="104">
        <v>15</v>
      </c>
      <c r="R38" s="104">
        <v>16</v>
      </c>
      <c r="S38" s="104">
        <v>17</v>
      </c>
      <c r="T38" s="104">
        <v>18</v>
      </c>
      <c r="U38" s="104">
        <v>19</v>
      </c>
      <c r="V38" s="104">
        <v>20</v>
      </c>
      <c r="W38" s="104">
        <v>21</v>
      </c>
      <c r="X38" s="104">
        <v>22</v>
      </c>
      <c r="Y38" s="104">
        <v>23</v>
      </c>
      <c r="Z38" s="104">
        <v>24</v>
      </c>
      <c r="AA38" s="104">
        <v>25</v>
      </c>
      <c r="AB38" s="104">
        <v>26</v>
      </c>
      <c r="AC38" s="104">
        <v>27</v>
      </c>
      <c r="AD38" s="104">
        <v>28</v>
      </c>
      <c r="AE38" s="104">
        <v>29</v>
      </c>
      <c r="AF38" s="104">
        <v>30</v>
      </c>
      <c r="AG38" s="104">
        <v>31</v>
      </c>
      <c r="AH38" s="138">
        <f>COUNTIF($D39:$AH39,Koda1)</f>
        <v>0</v>
      </c>
      <c r="AI38" s="138">
        <f>COUNTIF($D39:$AH39,Koda2)</f>
        <v>0</v>
      </c>
      <c r="AJ38" s="138">
        <f>COUNTIF($D39:$AH39,Koda3)</f>
        <v>0</v>
      </c>
      <c r="AK38" s="138">
        <f>COUNTIF($D39:$AH39,Koda4)</f>
        <v>0</v>
      </c>
    </row>
    <row r="39" spans="2:37" ht="14.25" x14ac:dyDescent="0.25">
      <c r="B39" s="134"/>
      <c r="C39" s="103" t="str">
        <f>IFERROR(VLOOKUP(IskanjeUčencev,PrisotnostJulija[],3,FALSE),"")</f>
        <v/>
      </c>
      <c r="D39" s="103" t="str">
        <f>IFERROR(VLOOKUP(IskanjeUčencev,PrisotnostJulija[],4,FALSE),"")</f>
        <v/>
      </c>
      <c r="E39" s="103" t="str">
        <f>IFERROR(VLOOKUP(IskanjeUčencev,PrisotnostJulija[],5,FALSE),"")</f>
        <v/>
      </c>
      <c r="F39" s="103" t="str">
        <f>IFERROR(VLOOKUP(IskanjeUčencev,PrisotnostJulija[],6,FALSE),"")</f>
        <v/>
      </c>
      <c r="G39" s="103" t="str">
        <f>IFERROR(VLOOKUP(IskanjeUčencev,PrisotnostJulija[],7,FALSE),"")</f>
        <v/>
      </c>
      <c r="H39" s="103" t="str">
        <f>IFERROR(VLOOKUP(IskanjeUčencev,PrisotnostJulija[],8,FALSE),"")</f>
        <v/>
      </c>
      <c r="I39" s="103" t="str">
        <f>IFERROR(VLOOKUP(IskanjeUčencev,PrisotnostJulija[],9,FALSE),"")</f>
        <v/>
      </c>
      <c r="J39" s="103" t="str">
        <f>IFERROR(VLOOKUP(IskanjeUčencev,PrisotnostJulija[],10,FALSE),"")</f>
        <v/>
      </c>
      <c r="K39" s="103" t="str">
        <f>IFERROR(VLOOKUP(IskanjeUčencev,PrisotnostJulija[],11,FALSE),"")</f>
        <v/>
      </c>
      <c r="L39" s="103" t="str">
        <f>IFERROR(VLOOKUP(IskanjeUčencev,PrisotnostJulija[],12,FALSE),"")</f>
        <v/>
      </c>
      <c r="M39" s="103" t="str">
        <f>IFERROR(VLOOKUP(IskanjeUčencev,PrisotnostJulija[],13,FALSE),"")</f>
        <v/>
      </c>
      <c r="N39" s="103" t="str">
        <f>IFERROR(VLOOKUP(IskanjeUčencev,PrisotnostJulija[],14,FALSE),"")</f>
        <v/>
      </c>
      <c r="O39" s="103" t="str">
        <f>IFERROR(VLOOKUP(IskanjeUčencev,PrisotnostJulija[],15,FALSE),"")</f>
        <v/>
      </c>
      <c r="P39" s="103" t="str">
        <f>IFERROR(VLOOKUP(IskanjeUčencev,PrisotnostJulija[],16,FALSE),"")</f>
        <v/>
      </c>
      <c r="Q39" s="103" t="str">
        <f>IFERROR(VLOOKUP(IskanjeUčencev,PrisotnostJulija[],17,FALSE),"")</f>
        <v/>
      </c>
      <c r="R39" s="103" t="str">
        <f>IFERROR(VLOOKUP(IskanjeUčencev,PrisotnostJulija[],18,FALSE),"")</f>
        <v/>
      </c>
      <c r="S39" s="103" t="str">
        <f>IFERROR(VLOOKUP(IskanjeUčencev,PrisotnostJulija[],19,FALSE),"")</f>
        <v/>
      </c>
      <c r="T39" s="103" t="str">
        <f>IFERROR(VLOOKUP(IskanjeUčencev,PrisotnostJulija[],20,FALSE),"")</f>
        <v/>
      </c>
      <c r="U39" s="103" t="str">
        <f>IFERROR(VLOOKUP(IskanjeUčencev,PrisotnostJulija[],21,FALSE),"")</f>
        <v/>
      </c>
      <c r="V39" s="103" t="str">
        <f>IFERROR(VLOOKUP(IskanjeUčencev,PrisotnostJulija[],22,FALSE),"")</f>
        <v/>
      </c>
      <c r="W39" s="103" t="str">
        <f>IFERROR(VLOOKUP(IskanjeUčencev,PrisotnostJulija[],23,FALSE),"")</f>
        <v/>
      </c>
      <c r="X39" s="103" t="str">
        <f>IFERROR(VLOOKUP(IskanjeUčencev,PrisotnostJulija[],24,FALSE),"")</f>
        <v/>
      </c>
      <c r="Y39" s="103" t="str">
        <f>IFERROR(VLOOKUP(IskanjeUčencev,PrisotnostJulija[],25,FALSE),"")</f>
        <v/>
      </c>
      <c r="Z39" s="103" t="str">
        <f>IFERROR(VLOOKUP(IskanjeUčencev,PrisotnostJulija[],26,FALSE),"")</f>
        <v/>
      </c>
      <c r="AA39" s="103" t="str">
        <f>IFERROR(VLOOKUP(IskanjeUčencev,PrisotnostJulija[],27,FALSE),"")</f>
        <v/>
      </c>
      <c r="AB39" s="103" t="str">
        <f>IFERROR(VLOOKUP(IskanjeUčencev,PrisotnostJulija[],28,FALSE),"")</f>
        <v/>
      </c>
      <c r="AC39" s="103" t="str">
        <f>IFERROR(VLOOKUP(IskanjeUčencev,PrisotnostJulija[],29,FALSE),"")</f>
        <v/>
      </c>
      <c r="AD39" s="103" t="str">
        <f>IFERROR(VLOOKUP(IskanjeUčencev,PrisotnostJulija[],30,FALSE),"")</f>
        <v/>
      </c>
      <c r="AE39" s="103" t="str">
        <f>IFERROR(VLOOKUP(IskanjeUčencev,PrisotnostJulija[],31,FALSE),"")</f>
        <v/>
      </c>
      <c r="AF39" s="103" t="str">
        <f>IFERROR(VLOOKUP(IskanjeUčencev,PrisotnostJulija[],32,FALSE),"")</f>
        <v/>
      </c>
      <c r="AG39" s="103" t="str">
        <f>IFERROR(VLOOKUP(IskanjeUčencev,PrisotnostJulija[],33,FALSE),"")</f>
        <v/>
      </c>
      <c r="AH39" s="136"/>
      <c r="AI39" s="136"/>
      <c r="AJ39" s="136"/>
      <c r="AK39" s="136"/>
    </row>
    <row r="40" spans="2:37" ht="14.25" x14ac:dyDescent="0.3">
      <c r="B40" s="105"/>
      <c r="C40" s="105"/>
      <c r="D40" s="105"/>
      <c r="E40" s="105"/>
      <c r="F40" s="105"/>
      <c r="G40" s="105"/>
      <c r="H40" s="105"/>
      <c r="I40" s="105"/>
      <c r="J40" s="105"/>
      <c r="K40" s="105"/>
      <c r="L40" s="105"/>
      <c r="M40" s="105"/>
      <c r="N40" s="105"/>
      <c r="O40" s="105"/>
      <c r="P40" s="105"/>
      <c r="Q40" s="105"/>
      <c r="R40" s="105"/>
      <c r="S40" s="106"/>
      <c r="T40" s="106"/>
      <c r="U40" s="106"/>
      <c r="V40" s="106"/>
      <c r="W40" s="106"/>
      <c r="X40" s="106"/>
      <c r="Y40" s="106"/>
      <c r="Z40" s="106"/>
      <c r="AA40" s="106"/>
      <c r="AB40" s="106"/>
      <c r="AC40" s="106"/>
      <c r="AD40" s="106"/>
      <c r="AE40" s="139" t="s">
        <v>41</v>
      </c>
      <c r="AF40" s="139"/>
      <c r="AG40" s="139"/>
      <c r="AH40" s="107">
        <f>SUM(AH16:AH39)</f>
        <v>0</v>
      </c>
      <c r="AI40" s="107">
        <f>SUM(AI16:AI39)</f>
        <v>1</v>
      </c>
      <c r="AJ40" s="107">
        <f>SUM(AJ16:AJ39)</f>
        <v>0</v>
      </c>
      <c r="AK40" s="107">
        <f>SUM(AK16:AK39)</f>
        <v>19</v>
      </c>
    </row>
  </sheetData>
  <sheetProtection sheet="1" objects="1" scenarios="1" formatColumns="0" formatRows="0" selectLockedCells="1"/>
  <mergeCells count="100">
    <mergeCell ref="AK38:AK39"/>
    <mergeCell ref="AE40:AG40"/>
    <mergeCell ref="B34:B35"/>
    <mergeCell ref="AH34:AH35"/>
    <mergeCell ref="AI34:AI35"/>
    <mergeCell ref="AJ34:AJ35"/>
    <mergeCell ref="B38:B39"/>
    <mergeCell ref="AH38:AH39"/>
    <mergeCell ref="AI38:AI39"/>
    <mergeCell ref="AJ38:AJ39"/>
    <mergeCell ref="AK34:AK35"/>
    <mergeCell ref="B36:B37"/>
    <mergeCell ref="AH36:AH37"/>
    <mergeCell ref="AI36:AI37"/>
    <mergeCell ref="AJ36:AJ37"/>
    <mergeCell ref="AK36:AK37"/>
    <mergeCell ref="B30:B31"/>
    <mergeCell ref="AH30:AH31"/>
    <mergeCell ref="AI30:AI31"/>
    <mergeCell ref="AJ30:AJ31"/>
    <mergeCell ref="AK30:AK31"/>
    <mergeCell ref="B32:B33"/>
    <mergeCell ref="AH32:AH33"/>
    <mergeCell ref="AI32:AI33"/>
    <mergeCell ref="AJ32:AJ33"/>
    <mergeCell ref="AK32:AK33"/>
    <mergeCell ref="B26:B27"/>
    <mergeCell ref="AH26:AH27"/>
    <mergeCell ref="AI26:AI27"/>
    <mergeCell ref="AJ26:AJ27"/>
    <mergeCell ref="AK26:AK27"/>
    <mergeCell ref="B28:B29"/>
    <mergeCell ref="AH28:AH29"/>
    <mergeCell ref="AI28:AI29"/>
    <mergeCell ref="AJ28:AJ29"/>
    <mergeCell ref="AK28:AK29"/>
    <mergeCell ref="B22:B23"/>
    <mergeCell ref="AH22:AH23"/>
    <mergeCell ref="AI22:AI23"/>
    <mergeCell ref="AJ22:AJ23"/>
    <mergeCell ref="AK22:AK23"/>
    <mergeCell ref="B24:B25"/>
    <mergeCell ref="AH24:AH25"/>
    <mergeCell ref="AI24:AI25"/>
    <mergeCell ref="AJ24:AJ25"/>
    <mergeCell ref="AK24:AK25"/>
    <mergeCell ref="B18:B19"/>
    <mergeCell ref="AH18:AH19"/>
    <mergeCell ref="AI18:AI19"/>
    <mergeCell ref="AJ18:AJ19"/>
    <mergeCell ref="AK18:AK19"/>
    <mergeCell ref="B20:B21"/>
    <mergeCell ref="AH20:AH21"/>
    <mergeCell ref="AI20:AI21"/>
    <mergeCell ref="AJ20:AJ21"/>
    <mergeCell ref="AK20:AK21"/>
    <mergeCell ref="AH14:AK14"/>
    <mergeCell ref="B16:B17"/>
    <mergeCell ref="AH16:AH17"/>
    <mergeCell ref="AI16:AI17"/>
    <mergeCell ref="AJ16:AJ17"/>
    <mergeCell ref="AK16:AK17"/>
    <mergeCell ref="B4:C4"/>
    <mergeCell ref="D4:O4"/>
    <mergeCell ref="D3:O3"/>
    <mergeCell ref="B14:AG15"/>
    <mergeCell ref="AE3:AF3"/>
    <mergeCell ref="AE4:AF4"/>
    <mergeCell ref="AG3:AJ3"/>
    <mergeCell ref="AG4:AJ4"/>
    <mergeCell ref="B9:J9"/>
    <mergeCell ref="K9:V9"/>
    <mergeCell ref="W9:AD9"/>
    <mergeCell ref="AE9:AK9"/>
    <mergeCell ref="B10:J10"/>
    <mergeCell ref="K10:V10"/>
    <mergeCell ref="W10:AD10"/>
    <mergeCell ref="AE10:AK10"/>
    <mergeCell ref="P3:R3"/>
    <mergeCell ref="S3:V3"/>
    <mergeCell ref="W3:AD3"/>
    <mergeCell ref="W5:AD5"/>
    <mergeCell ref="P4:R4"/>
    <mergeCell ref="S4:V4"/>
    <mergeCell ref="W4:AD4"/>
    <mergeCell ref="B7:J7"/>
    <mergeCell ref="K7:V7"/>
    <mergeCell ref="W7:AD7"/>
    <mergeCell ref="AE7:AK7"/>
    <mergeCell ref="B8:J8"/>
    <mergeCell ref="K8:V8"/>
    <mergeCell ref="W8:AD8"/>
    <mergeCell ref="AE8:AK8"/>
    <mergeCell ref="AE5:AK5"/>
    <mergeCell ref="B6:J6"/>
    <mergeCell ref="K6:V6"/>
    <mergeCell ref="W6:AD6"/>
    <mergeCell ref="AE6:AK6"/>
    <mergeCell ref="B5:J5"/>
    <mergeCell ref="K5:V5"/>
  </mergeCells>
  <conditionalFormatting sqref="C17:AG17 C21:AG21 C23:AF23 C25:AG25 C27:AG27 C31:AG31 C33:AF33 C35:AG35 C37:AG37 C39:AG39 C29:AG29 C19:AG19">
    <cfRule type="expression" dxfId="462" priority="150">
      <formula>C17=Koda1</formula>
    </cfRule>
  </conditionalFormatting>
  <conditionalFormatting sqref="C17:AG17 C21:AG21 C23:AF23 C25:AG25 C27:AG27 C31:AG31 C33:AF33 C35:AG35 C37:AG37 C39:AG39 C29:AG29 C19:AG19">
    <cfRule type="expression" dxfId="461" priority="162">
      <formula>C17=Koda2</formula>
    </cfRule>
  </conditionalFormatting>
  <conditionalFormatting sqref="C17:AG17 C21:AG21 C23:AF23 C25:AG25 C27:AG27 C31:AG31 C33:AF33 C35:AG35 C37:AG37 C39:AG39 C29:AG29 C19:AG19">
    <cfRule type="expression" dxfId="460" priority="174">
      <formula>C17=Koda3</formula>
    </cfRule>
  </conditionalFormatting>
  <conditionalFormatting sqref="C17:AG17 C21:AG21 C23:AF23 C25:AG25 C27:AG27 C31:AG31 C33:AF33 C35:AG35 C37:AG37 C39:AG39 C29:AG29 C19:AG19">
    <cfRule type="expression" dxfId="459" priority="186">
      <formula>C17=Koda4</formula>
    </cfRule>
  </conditionalFormatting>
  <conditionalFormatting sqref="C17:AG17 C21:AG21 C23:AF23 C25:AG25 C27:AG27 C31:AG31 C33:AF33 C35:AG35 C37:AG37 C39:AG39 C29:AG29 C19:AG19">
    <cfRule type="expression" dxfId="458" priority="199">
      <formula>C17=Koda5</formula>
    </cfRule>
  </conditionalFormatting>
  <conditionalFormatting sqref="AE28">
    <cfRule type="expression" dxfId="457" priority="200">
      <formula>DATE(KoledarskoLeto+1,2,AE28)&gt;EOMONTH(DATE(KoledarskoLeto+1,1,1),1)</formula>
    </cfRule>
  </conditionalFormatting>
  <dataValidations count="2">
    <dataValidation type="list" errorStyle="warning" allowBlank="1" showInputMessage="1" showErrorMessage="1" errorTitle="Ups!" error="Če želite videti podrobnosti prisotnosti za posameznega študenta, je treba s spustnega seznama izbrati številko »ID študenta«. Kliknete lahko »Da«, če želite vaš vnos uporabiti, ampak bo večina podrobnosti študentov in prisotnosti prazna." sqref="B4:C4">
      <formula1>IDUčenca</formula1>
    </dataValidation>
    <dataValidation allowBlank="1" showInputMessage="1" showErrorMessage="1" errorTitle="Neznano ime študenta" error="S seznama izberite študenta. Imena lahko dodate ali odstranite iz tega seznama na delovnem listu »Seznam študentov«." sqref="D4"/>
  </dataValidations>
  <printOptions horizontalCentered="1"/>
  <pageMargins left="0.25" right="0.25" top="0.75" bottom="0.75" header="0.3" footer="0.3"/>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sheetPr>
  <dimension ref="A1:S245"/>
  <sheetViews>
    <sheetView showGridLines="0" zoomScaleNormal="100" workbookViewId="0">
      <pane xSplit="2" ySplit="3" topLeftCell="C4" activePane="bottomRight" state="frozen"/>
      <selection pane="topRight" activeCell="C1" sqref="C1"/>
      <selection pane="bottomLeft" activeCell="A4" sqref="A4"/>
      <selection pane="bottomRight"/>
    </sheetView>
  </sheetViews>
  <sheetFormatPr defaultRowHeight="13.5" x14ac:dyDescent="0.25"/>
  <cols>
    <col min="1" max="1" width="2.7109375" customWidth="1"/>
    <col min="2" max="19" width="22.5703125" customWidth="1"/>
  </cols>
  <sheetData>
    <row r="1" spans="1:19" ht="42" customHeight="1" x14ac:dyDescent="0.3">
      <c r="A1" s="97" t="s">
        <v>116</v>
      </c>
      <c r="B1" s="83"/>
      <c r="C1" s="83"/>
      <c r="D1" s="83"/>
      <c r="E1" s="83"/>
      <c r="F1" s="83"/>
      <c r="G1" s="83"/>
      <c r="H1" s="83"/>
      <c r="I1" s="83"/>
      <c r="J1" s="83"/>
      <c r="K1" s="83"/>
      <c r="L1" s="83"/>
      <c r="M1" s="83"/>
      <c r="N1" s="83"/>
      <c r="O1" s="83"/>
      <c r="P1" s="83"/>
      <c r="Q1" s="83"/>
      <c r="R1" s="83"/>
      <c r="S1" s="44"/>
    </row>
    <row r="3" spans="1:19" s="15" customFormat="1" ht="36" customHeight="1" x14ac:dyDescent="0.25">
      <c r="B3" s="84" t="s">
        <v>34</v>
      </c>
      <c r="C3" s="85" t="s">
        <v>32</v>
      </c>
      <c r="D3" s="85" t="s">
        <v>33</v>
      </c>
      <c r="E3" s="84" t="s">
        <v>42</v>
      </c>
      <c r="F3" s="84" t="s">
        <v>43</v>
      </c>
      <c r="G3" s="85" t="s">
        <v>72</v>
      </c>
      <c r="H3" s="84" t="s">
        <v>129</v>
      </c>
      <c r="I3" s="84" t="s">
        <v>113</v>
      </c>
      <c r="J3" s="84" t="s">
        <v>73</v>
      </c>
      <c r="K3" s="84" t="s">
        <v>76</v>
      </c>
      <c r="L3" s="84" t="s">
        <v>130</v>
      </c>
      <c r="M3" s="84" t="s">
        <v>74</v>
      </c>
      <c r="N3" s="84" t="s">
        <v>75</v>
      </c>
      <c r="O3" s="85" t="s">
        <v>51</v>
      </c>
      <c r="P3" s="84" t="s">
        <v>131</v>
      </c>
      <c r="Q3" s="84" t="s">
        <v>53</v>
      </c>
      <c r="R3" s="84" t="s">
        <v>54</v>
      </c>
      <c r="S3" s="85" t="s">
        <v>55</v>
      </c>
    </row>
    <row r="4" spans="1:19" ht="15.75" customHeight="1" x14ac:dyDescent="0.25">
      <c r="B4" s="13" t="s">
        <v>87</v>
      </c>
      <c r="C4" t="s">
        <v>85</v>
      </c>
      <c r="D4" s="13" t="s">
        <v>86</v>
      </c>
      <c r="E4" s="16" t="s">
        <v>52</v>
      </c>
      <c r="F4" s="17">
        <v>35517</v>
      </c>
      <c r="G4" s="13" t="s">
        <v>88</v>
      </c>
      <c r="H4" s="13" t="s">
        <v>86</v>
      </c>
      <c r="I4" s="20">
        <v>1235550134</v>
      </c>
      <c r="J4" s="20">
        <v>2345550134</v>
      </c>
      <c r="K4" s="18" t="s">
        <v>89</v>
      </c>
      <c r="L4" s="18" t="s">
        <v>71</v>
      </c>
      <c r="M4" s="20">
        <v>1235550134</v>
      </c>
      <c r="N4" s="20">
        <v>2345550134</v>
      </c>
      <c r="O4" s="13" t="s">
        <v>96</v>
      </c>
      <c r="P4" s="13" t="s">
        <v>56</v>
      </c>
      <c r="Q4" s="20">
        <v>7895550189</v>
      </c>
      <c r="R4" s="20">
        <v>7895550134</v>
      </c>
      <c r="S4" t="str">
        <f>SeznamUčencev[[#This Row],[Ime študenta]]&amp;" " &amp;SeznamUčencev[[#This Row],[Priimek študenta]]</f>
        <v>Erik Novak</v>
      </c>
    </row>
    <row r="5" spans="1:19" ht="15.75" customHeight="1" x14ac:dyDescent="0.25">
      <c r="B5" s="13" t="s">
        <v>90</v>
      </c>
      <c r="C5" t="s">
        <v>35</v>
      </c>
      <c r="D5" s="13">
        <v>2</v>
      </c>
      <c r="E5" s="16"/>
      <c r="F5" s="17"/>
      <c r="G5" s="13"/>
      <c r="H5" s="13"/>
      <c r="I5" s="20"/>
      <c r="J5" s="20"/>
      <c r="K5" s="18"/>
      <c r="L5" s="18"/>
      <c r="M5" s="20"/>
      <c r="N5" s="20"/>
      <c r="O5" s="13"/>
      <c r="P5" s="13"/>
      <c r="Q5" s="20"/>
      <c r="R5" s="20"/>
      <c r="S5" t="str">
        <f>SeznamUčencev[[#This Row],[Ime študenta]]&amp;" " &amp;SeznamUčencev[[#This Row],[Priimek študenta]]</f>
        <v>Študent 2</v>
      </c>
    </row>
    <row r="6" spans="1:19" ht="15.75" customHeight="1" x14ac:dyDescent="0.25">
      <c r="B6" s="13" t="s">
        <v>91</v>
      </c>
      <c r="C6" t="s">
        <v>35</v>
      </c>
      <c r="D6" s="13">
        <v>3</v>
      </c>
      <c r="E6" s="16"/>
      <c r="F6" s="17"/>
      <c r="G6" s="13"/>
      <c r="H6" s="13"/>
      <c r="I6" s="20"/>
      <c r="J6" s="20"/>
      <c r="K6" s="18"/>
      <c r="L6" s="18"/>
      <c r="M6" s="20"/>
      <c r="N6" s="20"/>
      <c r="O6" s="13"/>
      <c r="P6" s="13"/>
      <c r="Q6" s="20"/>
      <c r="R6" s="20"/>
      <c r="S6" t="str">
        <f>SeznamUčencev[[#This Row],[Ime študenta]]&amp;" " &amp;SeznamUčencev[[#This Row],[Priimek študenta]]</f>
        <v>Študent 3</v>
      </c>
    </row>
    <row r="7" spans="1:19" ht="15.75" customHeight="1" x14ac:dyDescent="0.25">
      <c r="B7" s="13" t="s">
        <v>92</v>
      </c>
      <c r="C7" t="s">
        <v>35</v>
      </c>
      <c r="D7" s="13">
        <v>4</v>
      </c>
      <c r="E7" s="16"/>
      <c r="F7" s="17"/>
      <c r="G7" s="13"/>
      <c r="H7" s="13"/>
      <c r="I7" s="20"/>
      <c r="J7" s="20"/>
      <c r="K7" s="18"/>
      <c r="L7" s="18"/>
      <c r="M7" s="20"/>
      <c r="N7" s="20"/>
      <c r="O7" s="13"/>
      <c r="P7" s="13"/>
      <c r="Q7" s="20"/>
      <c r="R7" s="20"/>
      <c r="S7" t="str">
        <f>SeznamUčencev[[#This Row],[Ime študenta]]&amp;" " &amp;SeznamUčencev[[#This Row],[Priimek študenta]]</f>
        <v>Študent 4</v>
      </c>
    </row>
    <row r="8" spans="1:19" ht="15.75" customHeight="1" x14ac:dyDescent="0.25">
      <c r="B8" s="13" t="s">
        <v>93</v>
      </c>
      <c r="C8" t="s">
        <v>35</v>
      </c>
      <c r="D8" s="13">
        <v>5</v>
      </c>
      <c r="E8" s="16"/>
      <c r="F8" s="17"/>
      <c r="G8" s="13"/>
      <c r="H8" s="13"/>
      <c r="I8" s="20"/>
      <c r="J8" s="20"/>
      <c r="K8" s="18"/>
      <c r="L8" s="18"/>
      <c r="M8" s="20"/>
      <c r="N8" s="20"/>
      <c r="O8" s="13"/>
      <c r="P8" s="13"/>
      <c r="Q8" s="20"/>
      <c r="R8" s="20"/>
      <c r="S8" s="14" t="str">
        <f>SeznamUčencev[[#This Row],[Ime študenta]]&amp;" " &amp;SeznamUčencev[[#This Row],[Priimek študenta]]</f>
        <v>Študent 5</v>
      </c>
    </row>
    <row r="9" spans="1:19" ht="15.75" customHeight="1" x14ac:dyDescent="0.25"/>
    <row r="10" spans="1:19" ht="15.75" customHeight="1" x14ac:dyDescent="0.25"/>
    <row r="11" spans="1:19" ht="15.75" customHeight="1" x14ac:dyDescent="0.25"/>
    <row r="12" spans="1:19" ht="15.75" customHeight="1" x14ac:dyDescent="0.25"/>
    <row r="13" spans="1:19" ht="15.75" customHeight="1" x14ac:dyDescent="0.25"/>
    <row r="14" spans="1:19" ht="15.75" customHeight="1" x14ac:dyDescent="0.25"/>
    <row r="15" spans="1:19" ht="15.75" customHeight="1" x14ac:dyDescent="0.25"/>
    <row r="16" spans="1:19"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sheetData>
  <pageMargins left="0.25" right="0.25" top="0.75" bottom="0.75" header="0.3" footer="0.3"/>
  <pageSetup paperSize="9" scale="85" fitToWidth="0" fitToHeight="0" orientation="landscape"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tint="-0.499984740745262"/>
    <pageSetUpPr fitToPage="1"/>
  </sheetPr>
  <dimension ref="A1:AN346"/>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x14ac:dyDescent="0.25"/>
  <cols>
    <col min="1" max="1" width="2.7109375" style="11" customWidth="1"/>
    <col min="2" max="2" width="11.5703125" style="11" bestFit="1" customWidth="1"/>
    <col min="3" max="3" width="28.85546875" style="12" customWidth="1"/>
    <col min="4" max="34" width="5" style="10" customWidth="1"/>
    <col min="35" max="35" width="4.7109375" style="9" customWidth="1"/>
    <col min="36" max="36" width="4.7109375" style="10" customWidth="1"/>
    <col min="37" max="38" width="4.7109375" style="11" customWidth="1"/>
    <col min="39" max="39" width="12.7109375" style="11" customWidth="1"/>
    <col min="40" max="16384" width="9.140625" style="11"/>
  </cols>
  <sheetData>
    <row r="1" spans="1:40" s="1" customFormat="1" ht="42" customHeight="1" x14ac:dyDescent="0.25">
      <c r="A1" s="113" t="s">
        <v>84</v>
      </c>
      <c r="B1" s="39"/>
      <c r="C1" s="39"/>
      <c r="D1" s="40"/>
      <c r="E1" s="40"/>
      <c r="F1" s="40"/>
      <c r="G1" s="40"/>
      <c r="H1" s="40"/>
      <c r="I1" s="40"/>
      <c r="J1" s="40"/>
      <c r="K1" s="40"/>
      <c r="L1" s="40"/>
      <c r="M1" s="40"/>
      <c r="N1" s="40"/>
      <c r="O1" s="40"/>
      <c r="P1" s="40"/>
      <c r="Q1" s="40"/>
      <c r="R1" s="40"/>
      <c r="S1" s="40"/>
      <c r="T1" s="40"/>
      <c r="U1" s="40"/>
      <c r="V1" s="40"/>
      <c r="W1" s="40"/>
      <c r="X1" s="40"/>
      <c r="Y1" s="40"/>
      <c r="Z1" s="40"/>
      <c r="AA1" s="40"/>
      <c r="AB1" s="40"/>
      <c r="AC1" s="39"/>
      <c r="AD1" s="39"/>
      <c r="AE1" s="39"/>
      <c r="AF1" s="39"/>
      <c r="AG1" s="41"/>
      <c r="AH1" s="39"/>
      <c r="AI1" s="39"/>
      <c r="AJ1" s="42"/>
      <c r="AK1" s="39"/>
      <c r="AL1" s="58" t="s">
        <v>70</v>
      </c>
      <c r="AM1" s="59">
        <v>2012</v>
      </c>
    </row>
    <row r="2" spans="1:40" customFormat="1" ht="13.5" x14ac:dyDescent="0.25"/>
    <row r="3" spans="1:40" s="32" customFormat="1" ht="12.75" customHeight="1" x14ac:dyDescent="0.25">
      <c r="C3" s="45" t="s">
        <v>107</v>
      </c>
      <c r="D3" s="52" t="s">
        <v>133</v>
      </c>
      <c r="E3" s="69" t="s">
        <v>132</v>
      </c>
      <c r="F3" s="60"/>
      <c r="H3" s="53" t="s">
        <v>39</v>
      </c>
      <c r="I3" s="57" t="s">
        <v>79</v>
      </c>
      <c r="L3" s="54" t="s">
        <v>38</v>
      </c>
      <c r="M3" s="57" t="s">
        <v>80</v>
      </c>
      <c r="P3" s="55" t="s">
        <v>31</v>
      </c>
      <c r="Q3" s="57" t="s">
        <v>81</v>
      </c>
      <c r="T3" s="56" t="s">
        <v>122</v>
      </c>
      <c r="U3" s="57" t="s">
        <v>82</v>
      </c>
      <c r="W3"/>
      <c r="X3"/>
      <c r="Y3"/>
      <c r="AD3" s="31"/>
      <c r="AE3" s="31"/>
      <c r="AH3" s="33"/>
      <c r="AI3" s="34"/>
      <c r="AK3" s="35"/>
    </row>
    <row r="4" spans="1:40" customFormat="1" ht="16.5" customHeight="1" x14ac:dyDescent="0.25"/>
    <row r="5" spans="1:40" s="2" customFormat="1" ht="18" customHeight="1" x14ac:dyDescent="0.3">
      <c r="B5" s="62">
        <f>DATE(KoledarskoLeto,8,1)</f>
        <v>41122</v>
      </c>
      <c r="C5" s="61"/>
      <c r="D5" s="43" t="str">
        <f>TEXT(WEEKDAY(DATE(KoledarskoLeto,8,1),1),"aaa")</f>
        <v>sre</v>
      </c>
      <c r="E5" s="43" t="str">
        <f>TEXT(WEEKDAY(DATE(KoledarskoLeto,8,2),1),"aaa")</f>
        <v>čet</v>
      </c>
      <c r="F5" s="43" t="str">
        <f>TEXT(WEEKDAY(DATE(KoledarskoLeto,8,3),1),"aaa")</f>
        <v>pet</v>
      </c>
      <c r="G5" s="43" t="str">
        <f>TEXT(WEEKDAY(DATE(KoledarskoLeto,8,4),1),"aaa")</f>
        <v>sob</v>
      </c>
      <c r="H5" s="43" t="str">
        <f>TEXT(WEEKDAY(DATE(KoledarskoLeto,8,5),1),"aaa")</f>
        <v>ned</v>
      </c>
      <c r="I5" s="43" t="str">
        <f>TEXT(WEEKDAY(DATE(KoledarskoLeto,8,6),1),"aaa")</f>
        <v>pon</v>
      </c>
      <c r="J5" s="43" t="str">
        <f>TEXT(WEEKDAY(DATE(KoledarskoLeto,8,7),1),"aaa")</f>
        <v>tor</v>
      </c>
      <c r="K5" s="43" t="str">
        <f>TEXT(WEEKDAY(DATE(KoledarskoLeto,8,8),1),"aaa")</f>
        <v>sre</v>
      </c>
      <c r="L5" s="43" t="str">
        <f>TEXT(WEEKDAY(DATE(KoledarskoLeto,8,9),1),"aaa")</f>
        <v>čet</v>
      </c>
      <c r="M5" s="43" t="str">
        <f>TEXT(WEEKDAY(DATE(KoledarskoLeto,8,10),1),"aaa")</f>
        <v>pet</v>
      </c>
      <c r="N5" s="43" t="str">
        <f>TEXT(WEEKDAY(DATE(KoledarskoLeto,8,11),1),"aaa")</f>
        <v>sob</v>
      </c>
      <c r="O5" s="43" t="str">
        <f>TEXT(WEEKDAY(DATE(KoledarskoLeto,8,12),1),"aaa")</f>
        <v>ned</v>
      </c>
      <c r="P5" s="43" t="str">
        <f>TEXT(WEEKDAY(DATE(KoledarskoLeto,8,13),1),"aaa")</f>
        <v>pon</v>
      </c>
      <c r="Q5" s="43" t="str">
        <f>TEXT(WEEKDAY(DATE(KoledarskoLeto,8,14),1),"aaa")</f>
        <v>tor</v>
      </c>
      <c r="R5" s="43" t="str">
        <f>TEXT(WEEKDAY(DATE(KoledarskoLeto,8,15),1),"aaa")</f>
        <v>sre</v>
      </c>
      <c r="S5" s="43" t="str">
        <f>TEXT(WEEKDAY(DATE(KoledarskoLeto,8,16),1),"aaa")</f>
        <v>čet</v>
      </c>
      <c r="T5" s="43" t="str">
        <f>TEXT(WEEKDAY(DATE(KoledarskoLeto,8,17),1),"aaa")</f>
        <v>pet</v>
      </c>
      <c r="U5" s="43" t="str">
        <f>TEXT(WEEKDAY(DATE(KoledarskoLeto,8,18),1),"aaa")</f>
        <v>sob</v>
      </c>
      <c r="V5" s="43" t="str">
        <f>TEXT(WEEKDAY(DATE(KoledarskoLeto,8,19),1),"aaa")</f>
        <v>ned</v>
      </c>
      <c r="W5" s="43" t="str">
        <f>TEXT(WEEKDAY(DATE(KoledarskoLeto,8,20),1),"aaa")</f>
        <v>pon</v>
      </c>
      <c r="X5" s="43" t="str">
        <f>TEXT(WEEKDAY(DATE(KoledarskoLeto,8,21),1),"aaa")</f>
        <v>tor</v>
      </c>
      <c r="Y5" s="43" t="str">
        <f>TEXT(WEEKDAY(DATE(KoledarskoLeto,8,22),1),"aaa")</f>
        <v>sre</v>
      </c>
      <c r="Z5" s="43" t="str">
        <f>TEXT(WEEKDAY(DATE(KoledarskoLeto,8,23),1),"aaa")</f>
        <v>čet</v>
      </c>
      <c r="AA5" s="43" t="str">
        <f>TEXT(WEEKDAY(DATE(KoledarskoLeto,8,24),1),"aaa")</f>
        <v>pet</v>
      </c>
      <c r="AB5" s="43" t="str">
        <f>TEXT(WEEKDAY(DATE(KoledarskoLeto,8,25),1),"aaa")</f>
        <v>sob</v>
      </c>
      <c r="AC5" s="43" t="str">
        <f>TEXT(WEEKDAY(DATE(KoledarskoLeto,8,26),1),"aaa")</f>
        <v>ned</v>
      </c>
      <c r="AD5" s="43" t="str">
        <f>TEXT(WEEKDAY(DATE(KoledarskoLeto,8,27),1),"aaa")</f>
        <v>pon</v>
      </c>
      <c r="AE5" s="43" t="str">
        <f>TEXT(WEEKDAY(DATE(KoledarskoLeto,8,28),1),"aaa")</f>
        <v>tor</v>
      </c>
      <c r="AF5" s="43" t="str">
        <f>TEXT(WEEKDAY(DATE(KoledarskoLeto,8,29),1),"aaa")</f>
        <v>sre</v>
      </c>
      <c r="AG5" s="43" t="str">
        <f>TEXT(WEEKDAY(DATE(KoledarskoLeto,8,30),1),"aaa")</f>
        <v>čet</v>
      </c>
      <c r="AH5" s="43" t="str">
        <f>TEXT(WEEKDAY(DATE(KoledarskoLeto,8,31),1),"aaa")</f>
        <v>pet</v>
      </c>
      <c r="AI5" s="118" t="s">
        <v>41</v>
      </c>
      <c r="AJ5" s="119"/>
      <c r="AK5" s="119"/>
      <c r="AL5" s="119"/>
      <c r="AM5" s="120"/>
    </row>
    <row r="6" spans="1:40" s="5" customFormat="1" ht="14.25" customHeight="1" x14ac:dyDescent="0.25">
      <c r="B6" s="46" t="s">
        <v>34</v>
      </c>
      <c r="C6" s="47" t="s">
        <v>36</v>
      </c>
      <c r="D6" s="3" t="s">
        <v>0</v>
      </c>
      <c r="E6" s="3" t="s">
        <v>1</v>
      </c>
      <c r="F6" s="3" t="s">
        <v>2</v>
      </c>
      <c r="G6" s="3" t="s">
        <v>3</v>
      </c>
      <c r="H6" s="3" t="s">
        <v>4</v>
      </c>
      <c r="I6" s="3" t="s">
        <v>5</v>
      </c>
      <c r="J6" s="3" t="s">
        <v>6</v>
      </c>
      <c r="K6" s="3" t="s">
        <v>7</v>
      </c>
      <c r="L6" s="3" t="s">
        <v>8</v>
      </c>
      <c r="M6" s="3" t="s">
        <v>9</v>
      </c>
      <c r="N6" s="3" t="s">
        <v>10</v>
      </c>
      <c r="O6" s="3" t="s">
        <v>11</v>
      </c>
      <c r="P6" s="3" t="s">
        <v>12</v>
      </c>
      <c r="Q6" s="3" t="s">
        <v>13</v>
      </c>
      <c r="R6" s="3" t="s">
        <v>14</v>
      </c>
      <c r="S6" s="3" t="s">
        <v>15</v>
      </c>
      <c r="T6" s="3" t="s">
        <v>16</v>
      </c>
      <c r="U6" s="3" t="s">
        <v>17</v>
      </c>
      <c r="V6" s="3" t="s">
        <v>18</v>
      </c>
      <c r="W6" s="3" t="s">
        <v>19</v>
      </c>
      <c r="X6" s="3" t="s">
        <v>20</v>
      </c>
      <c r="Y6" s="3" t="s">
        <v>21</v>
      </c>
      <c r="Z6" s="3" t="s">
        <v>22</v>
      </c>
      <c r="AA6" s="3" t="s">
        <v>23</v>
      </c>
      <c r="AB6" s="3" t="s">
        <v>24</v>
      </c>
      <c r="AC6" s="3" t="s">
        <v>25</v>
      </c>
      <c r="AD6" s="3" t="s">
        <v>26</v>
      </c>
      <c r="AE6" s="3" t="s">
        <v>27</v>
      </c>
      <c r="AF6" s="3" t="s">
        <v>28</v>
      </c>
      <c r="AG6" s="3" t="s">
        <v>29</v>
      </c>
      <c r="AH6" s="3" t="s">
        <v>30</v>
      </c>
      <c r="AI6" s="92" t="s">
        <v>133</v>
      </c>
      <c r="AJ6" s="53" t="s">
        <v>39</v>
      </c>
      <c r="AK6" s="54" t="s">
        <v>38</v>
      </c>
      <c r="AL6" s="55" t="s">
        <v>31</v>
      </c>
      <c r="AM6" s="51" t="s">
        <v>40</v>
      </c>
      <c r="AN6" s="4"/>
    </row>
    <row r="7" spans="1:40" s="5" customFormat="1" ht="16.5" customHeight="1" x14ac:dyDescent="0.25">
      <c r="B7" s="48" t="s">
        <v>87</v>
      </c>
      <c r="C7" t="str">
        <f>IFERROR(VLOOKUP(PrisotnostAvgusta[[#This Row],[ID študenta]],SeznamUčencev[],18,FALSE),"")</f>
        <v>Erik Novak</v>
      </c>
      <c r="D7" s="24" t="s">
        <v>31</v>
      </c>
      <c r="E7" s="24" t="s">
        <v>31</v>
      </c>
      <c r="F7" s="24" t="s">
        <v>37</v>
      </c>
      <c r="G7" s="24" t="s">
        <v>37</v>
      </c>
      <c r="H7" s="24" t="s">
        <v>31</v>
      </c>
      <c r="I7" s="24" t="s">
        <v>122</v>
      </c>
      <c r="J7" s="24" t="s">
        <v>122</v>
      </c>
      <c r="K7" s="24" t="s">
        <v>31</v>
      </c>
      <c r="L7" s="24" t="s">
        <v>31</v>
      </c>
      <c r="M7" s="24" t="s">
        <v>39</v>
      </c>
      <c r="N7" s="24" t="s">
        <v>31</v>
      </c>
      <c r="O7" s="24" t="s">
        <v>31</v>
      </c>
      <c r="P7" s="24" t="s">
        <v>122</v>
      </c>
      <c r="Q7" s="24" t="s">
        <v>123</v>
      </c>
      <c r="R7" s="24" t="s">
        <v>31</v>
      </c>
      <c r="S7" s="24" t="s">
        <v>31</v>
      </c>
      <c r="T7" s="24" t="s">
        <v>31</v>
      </c>
      <c r="U7" s="24" t="s">
        <v>31</v>
      </c>
      <c r="V7" s="24" t="s">
        <v>31</v>
      </c>
      <c r="W7" s="24" t="s">
        <v>123</v>
      </c>
      <c r="X7" s="24" t="s">
        <v>123</v>
      </c>
      <c r="Y7" s="24" t="s">
        <v>31</v>
      </c>
      <c r="Z7" s="24" t="s">
        <v>31</v>
      </c>
      <c r="AA7" s="24" t="s">
        <v>31</v>
      </c>
      <c r="AB7" s="24" t="s">
        <v>31</v>
      </c>
      <c r="AC7" s="24" t="s">
        <v>31</v>
      </c>
      <c r="AD7" s="24" t="s">
        <v>123</v>
      </c>
      <c r="AE7" s="24" t="s">
        <v>123</v>
      </c>
      <c r="AF7" s="24" t="s">
        <v>31</v>
      </c>
      <c r="AG7" s="24" t="s">
        <v>31</v>
      </c>
      <c r="AH7" s="24" t="s">
        <v>31</v>
      </c>
      <c r="AI7" s="6">
        <f>COUNTIF(PrisotnostAvgusta[[#This Row],[1]:[31]],Koda1)</f>
        <v>0</v>
      </c>
      <c r="AJ7" s="50">
        <f>COUNTIF(PrisotnostAvgusta[[#This Row],[1]:[31]],Koda2)</f>
        <v>1</v>
      </c>
      <c r="AK7" s="50">
        <f>COUNTIF(PrisotnostAvgusta[[#This Row],[1]:[31]],Koda3)</f>
        <v>0</v>
      </c>
      <c r="AL7" s="50">
        <f>COUNTIF(PrisotnostAvgusta[[#This Row],[1]:[31]],Koda4)</f>
        <v>20</v>
      </c>
      <c r="AM7" s="6">
        <f>SUM(PrisotnostAvgusta[[#This Row],[E]:[N]])</f>
        <v>1</v>
      </c>
      <c r="AN7" s="4"/>
    </row>
    <row r="8" spans="1:40" s="5" customFormat="1" ht="16.5" customHeight="1" x14ac:dyDescent="0.25">
      <c r="B8" s="48" t="s">
        <v>90</v>
      </c>
      <c r="C8" t="str">
        <f>IFERROR(VLOOKUP(PrisotnostAvgusta[[#This Row],[ID študenta]],SeznamUčencev[],18,FALSE),"")</f>
        <v>Študent 2</v>
      </c>
      <c r="D8" s="24" t="s">
        <v>31</v>
      </c>
      <c r="E8" s="24" t="s">
        <v>38</v>
      </c>
      <c r="F8" s="24" t="s">
        <v>31</v>
      </c>
      <c r="G8" s="24" t="s">
        <v>31</v>
      </c>
      <c r="H8" s="24" t="s">
        <v>31</v>
      </c>
      <c r="I8" s="24" t="s">
        <v>122</v>
      </c>
      <c r="J8" s="24" t="s">
        <v>122</v>
      </c>
      <c r="K8" s="24" t="s">
        <v>31</v>
      </c>
      <c r="L8" s="24" t="s">
        <v>39</v>
      </c>
      <c r="M8" s="24" t="s">
        <v>39</v>
      </c>
      <c r="N8" s="24" t="s">
        <v>39</v>
      </c>
      <c r="O8" s="24" t="s">
        <v>39</v>
      </c>
      <c r="P8" s="24" t="s">
        <v>123</v>
      </c>
      <c r="Q8" s="24" t="s">
        <v>123</v>
      </c>
      <c r="R8" s="24" t="s">
        <v>31</v>
      </c>
      <c r="S8" s="24" t="s">
        <v>31</v>
      </c>
      <c r="T8" s="24" t="s">
        <v>31</v>
      </c>
      <c r="U8" s="24" t="s">
        <v>31</v>
      </c>
      <c r="V8" s="24" t="s">
        <v>31</v>
      </c>
      <c r="W8" s="24" t="s">
        <v>123</v>
      </c>
      <c r="X8" s="24" t="s">
        <v>123</v>
      </c>
      <c r="Y8" s="24" t="s">
        <v>31</v>
      </c>
      <c r="Z8" s="24" t="s">
        <v>31</v>
      </c>
      <c r="AA8" s="24" t="s">
        <v>31</v>
      </c>
      <c r="AB8" s="24" t="s">
        <v>37</v>
      </c>
      <c r="AC8" s="24" t="s">
        <v>37</v>
      </c>
      <c r="AD8" s="24" t="s">
        <v>123</v>
      </c>
      <c r="AE8" s="24" t="s">
        <v>123</v>
      </c>
      <c r="AF8" s="24" t="s">
        <v>31</v>
      </c>
      <c r="AG8" s="24" t="s">
        <v>31</v>
      </c>
      <c r="AH8" s="24" t="s">
        <v>31</v>
      </c>
      <c r="AI8" s="6">
        <f>COUNTIF(PrisotnostAvgusta[[#This Row],[1]:[31]],Koda1)</f>
        <v>0</v>
      </c>
      <c r="AJ8" s="50">
        <f>COUNTIF(PrisotnostAvgusta[[#This Row],[1]:[31]],Koda2)</f>
        <v>4</v>
      </c>
      <c r="AK8" s="50">
        <f>COUNTIF(PrisotnostAvgusta[[#This Row],[1]:[31]],Koda3)</f>
        <v>1</v>
      </c>
      <c r="AL8" s="50">
        <f>COUNTIF(PrisotnostAvgusta[[#This Row],[1]:[31]],Koda4)</f>
        <v>16</v>
      </c>
      <c r="AM8" s="6">
        <f>SUM(PrisotnostAvgusta[[#This Row],[E]:[N]])</f>
        <v>5</v>
      </c>
      <c r="AN8" s="4"/>
    </row>
    <row r="9" spans="1:40" s="8" customFormat="1" ht="16.5" customHeight="1" x14ac:dyDescent="0.25">
      <c r="B9" s="48" t="s">
        <v>91</v>
      </c>
      <c r="C9" t="str">
        <f>IFERROR(VLOOKUP(PrisotnostAvgusta[[#This Row],[ID študenta]],SeznamUčencev[],18,FALSE),"")</f>
        <v>Študent 3</v>
      </c>
      <c r="D9" s="24" t="s">
        <v>31</v>
      </c>
      <c r="E9" s="24" t="s">
        <v>39</v>
      </c>
      <c r="F9" s="24" t="s">
        <v>31</v>
      </c>
      <c r="G9" s="24" t="s">
        <v>31</v>
      </c>
      <c r="H9" s="24" t="s">
        <v>31</v>
      </c>
      <c r="I9" s="24" t="s">
        <v>122</v>
      </c>
      <c r="J9" s="24" t="s">
        <v>122</v>
      </c>
      <c r="K9" s="24" t="s">
        <v>31</v>
      </c>
      <c r="L9" s="24" t="s">
        <v>31</v>
      </c>
      <c r="M9" s="24" t="s">
        <v>38</v>
      </c>
      <c r="N9" s="24" t="s">
        <v>31</v>
      </c>
      <c r="O9" s="24" t="s">
        <v>31</v>
      </c>
      <c r="P9" s="24" t="s">
        <v>123</v>
      </c>
      <c r="Q9" s="24" t="s">
        <v>123</v>
      </c>
      <c r="R9" s="24" t="s">
        <v>31</v>
      </c>
      <c r="S9" s="24" t="s">
        <v>31</v>
      </c>
      <c r="T9" s="24" t="s">
        <v>31</v>
      </c>
      <c r="U9" s="24" t="s">
        <v>31</v>
      </c>
      <c r="V9" s="24" t="s">
        <v>31</v>
      </c>
      <c r="W9" s="24" t="s">
        <v>123</v>
      </c>
      <c r="X9" s="24" t="s">
        <v>123</v>
      </c>
      <c r="Y9" s="24" t="s">
        <v>31</v>
      </c>
      <c r="Z9" s="24" t="s">
        <v>31</v>
      </c>
      <c r="AA9" s="24" t="s">
        <v>39</v>
      </c>
      <c r="AB9" s="24" t="s">
        <v>39</v>
      </c>
      <c r="AC9" s="24" t="s">
        <v>31</v>
      </c>
      <c r="AD9" s="24" t="s">
        <v>123</v>
      </c>
      <c r="AE9" s="24" t="s">
        <v>123</v>
      </c>
      <c r="AF9" s="24" t="s">
        <v>31</v>
      </c>
      <c r="AG9" s="24" t="s">
        <v>31</v>
      </c>
      <c r="AH9" s="24" t="s">
        <v>31</v>
      </c>
      <c r="AI9" s="6">
        <f>COUNTIF(PrisotnostAvgusta[[#This Row],[1]:[31]],Koda1)</f>
        <v>0</v>
      </c>
      <c r="AJ9" s="50">
        <f>COUNTIF(PrisotnostAvgusta[[#This Row],[1]:[31]],Koda2)</f>
        <v>3</v>
      </c>
      <c r="AK9" s="50">
        <f>COUNTIF(PrisotnostAvgusta[[#This Row],[1]:[31]],Koda3)</f>
        <v>1</v>
      </c>
      <c r="AL9" s="50">
        <f>COUNTIF(PrisotnostAvgusta[[#This Row],[1]:[31]],Koda4)</f>
        <v>19</v>
      </c>
      <c r="AM9" s="6">
        <f>SUM(PrisotnostAvgusta[[#This Row],[E]:[N]])</f>
        <v>4</v>
      </c>
      <c r="AN9" s="7"/>
    </row>
    <row r="10" spans="1:40" ht="16.5" customHeight="1" x14ac:dyDescent="0.25">
      <c r="B10" s="48" t="s">
        <v>92</v>
      </c>
      <c r="C10" t="str">
        <f>IFERROR(VLOOKUP(PrisotnostAvgusta[[#This Row],[ID študenta]],SeznamUčencev[],18,FALSE),"")</f>
        <v>Študent 4</v>
      </c>
      <c r="D10" s="24" t="s">
        <v>31</v>
      </c>
      <c r="E10" s="24" t="s">
        <v>31</v>
      </c>
      <c r="F10" s="24" t="s">
        <v>31</v>
      </c>
      <c r="G10" s="24" t="s">
        <v>31</v>
      </c>
      <c r="H10" s="24" t="s">
        <v>31</v>
      </c>
      <c r="I10" s="24" t="s">
        <v>122</v>
      </c>
      <c r="J10" s="24" t="s">
        <v>122</v>
      </c>
      <c r="K10" s="24" t="s">
        <v>31</v>
      </c>
      <c r="L10" s="24" t="s">
        <v>31</v>
      </c>
      <c r="M10" s="24" t="s">
        <v>31</v>
      </c>
      <c r="N10" s="24" t="s">
        <v>31</v>
      </c>
      <c r="O10" s="24" t="s">
        <v>31</v>
      </c>
      <c r="P10" s="24" t="s">
        <v>123</v>
      </c>
      <c r="Q10" s="24" t="s">
        <v>123</v>
      </c>
      <c r="R10" s="24" t="s">
        <v>31</v>
      </c>
      <c r="S10" s="24" t="s">
        <v>31</v>
      </c>
      <c r="T10" s="24" t="s">
        <v>31</v>
      </c>
      <c r="U10" s="24" t="s">
        <v>31</v>
      </c>
      <c r="V10" s="24" t="s">
        <v>31</v>
      </c>
      <c r="W10" s="24" t="s">
        <v>123</v>
      </c>
      <c r="X10" s="24" t="s">
        <v>123</v>
      </c>
      <c r="Y10" s="24" t="s">
        <v>31</v>
      </c>
      <c r="Z10" s="24" t="s">
        <v>38</v>
      </c>
      <c r="AA10" s="24" t="s">
        <v>31</v>
      </c>
      <c r="AB10" s="24" t="s">
        <v>31</v>
      </c>
      <c r="AC10" s="24" t="s">
        <v>39</v>
      </c>
      <c r="AD10" s="24" t="s">
        <v>123</v>
      </c>
      <c r="AE10" s="24" t="s">
        <v>123</v>
      </c>
      <c r="AF10" s="24" t="s">
        <v>31</v>
      </c>
      <c r="AG10" s="24" t="s">
        <v>39</v>
      </c>
      <c r="AH10" s="24" t="s">
        <v>31</v>
      </c>
      <c r="AI10" s="6">
        <f>COUNTIF(PrisotnostAvgusta[[#This Row],[1]:[31]],Koda1)</f>
        <v>0</v>
      </c>
      <c r="AJ10" s="50">
        <f>COUNTIF(PrisotnostAvgusta[[#This Row],[1]:[31]],Koda2)</f>
        <v>2</v>
      </c>
      <c r="AK10" s="50">
        <f>COUNTIF(PrisotnostAvgusta[[#This Row],[1]:[31]],Koda3)</f>
        <v>1</v>
      </c>
      <c r="AL10" s="50">
        <f>COUNTIF(PrisotnostAvgusta[[#This Row],[1]:[31]],Koda4)</f>
        <v>20</v>
      </c>
      <c r="AM10" s="6">
        <f>SUM(PrisotnostAvgusta[[#This Row],[E]:[N]])</f>
        <v>3</v>
      </c>
      <c r="AN10" s="10"/>
    </row>
    <row r="11" spans="1:40" ht="16.5" customHeight="1" thickBot="1" x14ac:dyDescent="0.3">
      <c r="B11" s="48" t="s">
        <v>93</v>
      </c>
      <c r="C11" t="str">
        <f>IFERROR(VLOOKUP(PrisotnostAvgusta[[#This Row],[ID študenta]],SeznamUčencev[],18,FALSE),"")</f>
        <v>Študent 5</v>
      </c>
      <c r="D11" s="24" t="s">
        <v>31</v>
      </c>
      <c r="E11" s="24" t="s">
        <v>31</v>
      </c>
      <c r="F11" s="24" t="s">
        <v>31</v>
      </c>
      <c r="G11" s="24" t="s">
        <v>31</v>
      </c>
      <c r="H11" s="24" t="s">
        <v>31</v>
      </c>
      <c r="I11" s="24" t="s">
        <v>122</v>
      </c>
      <c r="J11" s="24" t="s">
        <v>122</v>
      </c>
      <c r="K11" s="24" t="s">
        <v>31</v>
      </c>
      <c r="L11" s="24" t="s">
        <v>31</v>
      </c>
      <c r="M11" s="24" t="s">
        <v>31</v>
      </c>
      <c r="N11" s="24" t="s">
        <v>31</v>
      </c>
      <c r="O11" s="24" t="s">
        <v>31</v>
      </c>
      <c r="P11" s="24" t="s">
        <v>123</v>
      </c>
      <c r="Q11" s="24" t="s">
        <v>123</v>
      </c>
      <c r="R11" s="24" t="s">
        <v>31</v>
      </c>
      <c r="S11" s="24" t="s">
        <v>31</v>
      </c>
      <c r="T11" s="24" t="s">
        <v>31</v>
      </c>
      <c r="U11" s="24" t="s">
        <v>31</v>
      </c>
      <c r="V11" s="24" t="s">
        <v>31</v>
      </c>
      <c r="W11" s="24" t="s">
        <v>123</v>
      </c>
      <c r="X11" s="24" t="s">
        <v>123</v>
      </c>
      <c r="Y11" s="24" t="s">
        <v>31</v>
      </c>
      <c r="Z11" s="24" t="s">
        <v>31</v>
      </c>
      <c r="AA11" s="24" t="s">
        <v>31</v>
      </c>
      <c r="AB11" s="24" t="s">
        <v>31</v>
      </c>
      <c r="AC11" s="24" t="s">
        <v>31</v>
      </c>
      <c r="AD11" s="24" t="s">
        <v>123</v>
      </c>
      <c r="AE11" s="24" t="s">
        <v>123</v>
      </c>
      <c r="AF11" s="24" t="s">
        <v>31</v>
      </c>
      <c r="AG11" s="24" t="s">
        <v>31</v>
      </c>
      <c r="AH11" s="24" t="s">
        <v>31</v>
      </c>
      <c r="AI11" s="6">
        <f>COUNTIF(PrisotnostAvgusta[[#This Row],[1]:[31]],Koda1)</f>
        <v>0</v>
      </c>
      <c r="AJ11" s="50">
        <f>COUNTIF(PrisotnostAvgusta[[#This Row],[1]:[31]],Koda2)</f>
        <v>0</v>
      </c>
      <c r="AK11" s="50">
        <f>COUNTIF(PrisotnostAvgusta[[#This Row],[1]:[31]],Koda3)</f>
        <v>0</v>
      </c>
      <c r="AL11" s="50">
        <f>COUNTIF(PrisotnostAvgusta[[#This Row],[1]:[31]],Koda4)</f>
        <v>23</v>
      </c>
      <c r="AM11" s="6">
        <f>SUM(PrisotnostAvgusta[[#This Row],[E]:[N]])</f>
        <v>0</v>
      </c>
      <c r="AN11" s="10"/>
    </row>
    <row r="12" spans="1:40" ht="16.5" customHeight="1" thickTop="1" x14ac:dyDescent="0.25">
      <c r="B12" s="141"/>
      <c r="C12" s="142" t="s">
        <v>115</v>
      </c>
      <c r="D12" s="143">
        <f>COUNTIF(PrisotnostAvgusta[1],"N")+COUNTIF(PrisotnostAvgusta[1],"E")</f>
        <v>0</v>
      </c>
      <c r="E12" s="143">
        <f>COUNTIF(PrisotnostAvgusta[2],"N")+COUNTIF(PrisotnostAvgusta[2],"E")</f>
        <v>2</v>
      </c>
      <c r="F12" s="143">
        <f>COUNTIF(PrisotnostAvgusta[3],"N")+COUNTIF(PrisotnostAvgusta[3],"E")</f>
        <v>0</v>
      </c>
      <c r="G12" s="143">
        <f>COUNTIF(PrisotnostAvgusta[4],"N")+COUNTIF(PrisotnostAvgusta[4],"E")</f>
        <v>0</v>
      </c>
      <c r="H12" s="143">
        <f>COUNTIF(PrisotnostAvgusta[5],"N")+COUNTIF(PrisotnostAvgusta[5],"E")</f>
        <v>0</v>
      </c>
      <c r="I12" s="143">
        <f>COUNTIF(PrisotnostAvgusta[6],"N")+COUNTIF(PrisotnostAvgusta[6],"E")</f>
        <v>0</v>
      </c>
      <c r="J12" s="143">
        <f>COUNTIF(PrisotnostAvgusta[7],"N")+COUNTIF(PrisotnostAvgusta[7],"E")</f>
        <v>0</v>
      </c>
      <c r="K12" s="143">
        <f>COUNTIF(PrisotnostAvgusta[8],"N")+COUNTIF(PrisotnostAvgusta[8],"E")</f>
        <v>0</v>
      </c>
      <c r="L12" s="143">
        <f>COUNTIF(PrisotnostAvgusta[9],"N")+COUNTIF(PrisotnostAvgusta[9],"E")</f>
        <v>1</v>
      </c>
      <c r="M12" s="143">
        <f>COUNTIF(PrisotnostAvgusta[10],"N")+COUNTIF(PrisotnostAvgusta[10],"E")</f>
        <v>3</v>
      </c>
      <c r="N12" s="143">
        <f>COUNTIF(PrisotnostAvgusta[11],"N")+COUNTIF(PrisotnostAvgusta[11],"E")</f>
        <v>1</v>
      </c>
      <c r="O12" s="143">
        <f>COUNTIF(PrisotnostAvgusta[12],"N")+COUNTIF(PrisotnostAvgusta[12],"E")</f>
        <v>1</v>
      </c>
      <c r="P12" s="143">
        <f>COUNTIF(PrisotnostAvgusta[13],"N")+COUNTIF(PrisotnostAvgusta[13],"E")</f>
        <v>0</v>
      </c>
      <c r="Q12" s="143">
        <f>COUNTIF(PrisotnostAvgusta[14],"N")+COUNTIF(PrisotnostAvgusta[14],"E")</f>
        <v>0</v>
      </c>
      <c r="R12" s="143">
        <f>COUNTIF(PrisotnostAvgusta[15],"N")+COUNTIF(PrisotnostAvgusta[15],"E")</f>
        <v>0</v>
      </c>
      <c r="S12" s="143">
        <f>COUNTIF(PrisotnostAvgusta[16],"N")+COUNTIF(PrisotnostAvgusta[16],"E")</f>
        <v>0</v>
      </c>
      <c r="T12" s="143">
        <f>COUNTIF(PrisotnostAvgusta[17],"N")+COUNTIF(PrisotnostAvgusta[17],"E")</f>
        <v>0</v>
      </c>
      <c r="U12" s="143">
        <f>COUNTIF(PrisotnostAvgusta[18],"N")+COUNTIF(PrisotnostAvgusta[18],"E")</f>
        <v>0</v>
      </c>
      <c r="V12" s="143">
        <f>COUNTIF(PrisotnostAvgusta[19],"N")+COUNTIF(PrisotnostAvgusta[19],"E")</f>
        <v>0</v>
      </c>
      <c r="W12" s="143">
        <f>COUNTIF(PrisotnostAvgusta[20],"N")+COUNTIF(PrisotnostAvgusta[20],"E")</f>
        <v>0</v>
      </c>
      <c r="X12" s="143">
        <f>COUNTIF(PrisotnostAvgusta[21],"N")+COUNTIF(PrisotnostAvgusta[21],"E")</f>
        <v>0</v>
      </c>
      <c r="Y12" s="143">
        <f>COUNTIF(PrisotnostAvgusta[22],"N")+COUNTIF(PrisotnostAvgusta[22],"E")</f>
        <v>0</v>
      </c>
      <c r="Z12" s="143">
        <f>COUNTIF(PrisotnostAvgusta[23],"N")+COUNTIF(PrisotnostAvgusta[23],"E")</f>
        <v>1</v>
      </c>
      <c r="AA12" s="143">
        <f>COUNTIF(PrisotnostAvgusta[24],"N")+COUNTIF(PrisotnostAvgusta[24],"E")</f>
        <v>1</v>
      </c>
      <c r="AB12" s="143">
        <f>COUNTIF(PrisotnostAvgusta[25],"N")+COUNTIF(PrisotnostAvgusta[25],"E")</f>
        <v>1</v>
      </c>
      <c r="AC12" s="143">
        <f>COUNTIF(PrisotnostAvgusta[26],"N")+COUNTIF(PrisotnostAvgusta[26],"E")</f>
        <v>1</v>
      </c>
      <c r="AD12" s="143">
        <f>COUNTIF(PrisotnostAvgusta[27],"N")+COUNTIF(PrisotnostAvgusta[27],"E")</f>
        <v>0</v>
      </c>
      <c r="AE12" s="143">
        <f>COUNTIF(PrisotnostAvgusta[28],"N")+COUNTIF(PrisotnostAvgusta[28],"E")</f>
        <v>0</v>
      </c>
      <c r="AF12" s="143">
        <f>COUNTIF(PrisotnostAvgusta[29],"N")+COUNTIF(PrisotnostAvgusta[29],"E")</f>
        <v>0</v>
      </c>
      <c r="AG12" s="143">
        <f>COUNTIF(PrisotnostAvgusta[30],"N")+COUNTIF(PrisotnostAvgusta[30],"E")</f>
        <v>1</v>
      </c>
      <c r="AH12" s="143">
        <f>COUNTIF(PrisotnostAvgusta[31],"N")+COUNTIF(PrisotnostAvgusta[31],"E")</f>
        <v>0</v>
      </c>
      <c r="AI12" s="143">
        <f>SUBTOTAL(109,PrisotnostAvgusta[Po])</f>
        <v>0</v>
      </c>
      <c r="AJ12" s="143">
        <f>SUBTOTAL(109,PrisotnostAvgusta[E])</f>
        <v>10</v>
      </c>
      <c r="AK12" s="143">
        <f>SUBTOTAL(109,PrisotnostAvgusta[N])</f>
        <v>3</v>
      </c>
      <c r="AL12" s="143">
        <f>SUBTOTAL(109,PrisotnostAvgusta[P])</f>
        <v>98</v>
      </c>
      <c r="AM12" s="143">
        <f>SUBTOTAL(109,PrisotnostAvgusta[Dni odsoten])</f>
        <v>13</v>
      </c>
    </row>
    <row r="14" spans="1:40" ht="16.5" customHeight="1" x14ac:dyDescent="0.25"/>
    <row r="15" spans="1:40" ht="16.5" customHeight="1" x14ac:dyDescent="0.25"/>
    <row r="16" spans="1:40"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sheetData>
  <sheetProtection formatCells="0" formatColumns="0" formatRows="0" insertColumns="0" insertRows="0" insertHyperlinks="0" deleteColumns="0" deleteRows="0" sort="0" autoFilter="0" pivotTables="0"/>
  <mergeCells count="1">
    <mergeCell ref="AI5:AM5"/>
  </mergeCells>
  <conditionalFormatting sqref="D7:AI11">
    <cfRule type="expression" dxfId="969" priority="137" stopIfTrue="1">
      <formula>D7=Koda2</formula>
    </cfRule>
  </conditionalFormatting>
  <conditionalFormatting sqref="D7:AH11">
    <cfRule type="expression" dxfId="968" priority="146" stopIfTrue="1">
      <formula>D7=Koda5</formula>
    </cfRule>
    <cfRule type="expression" dxfId="967" priority="147" stopIfTrue="1">
      <formula>D7=Koda4</formula>
    </cfRule>
    <cfRule type="expression" dxfId="966" priority="148" stopIfTrue="1">
      <formula>D7=Koda3</formula>
    </cfRule>
    <cfRule type="expression" dxfId="965" priority="149" stopIfTrue="1">
      <formula>D7=Koda1</formula>
    </cfRule>
  </conditionalFormatting>
  <conditionalFormatting sqref="AM7:AM11">
    <cfRule type="dataBar" priority="202">
      <dataBar>
        <cfvo type="min"/>
        <cfvo type="num" val="31"/>
        <color theme="4"/>
      </dataBar>
      <extLst>
        <ext xmlns:x14="http://schemas.microsoft.com/office/spreadsheetml/2009/9/main" uri="{B025F937-C7B1-47D3-B67F-A62EFF666E3E}">
          <x14:id>{ECCE2C3C-1B01-4700-B60E-DAAAB19A9C1A}</x14:id>
        </ext>
      </extLst>
    </cfRule>
  </conditionalFormatting>
  <dataValidations disablePrompts="1" count="1">
    <dataValidation type="list" errorStyle="warning" allowBlank="1" showInputMessage="1" showErrorMessage="1" errorTitle="Ups!" error="»ID študenta«, ki ste ga vnesli, ni na listu »Seznam študentov«. Kliknete lahko »Da«, če želite uporabiti, kar ste vnesli, ampak ta »ID študenta« ne bo na voljo na listu »Poročilo prisotnosti študentov«." sqref="B7:B11">
      <formula1>IDUčenca</formula1>
    </dataValidation>
  </dataValidations>
  <printOptions horizontalCentered="1"/>
  <pageMargins left="0.5" right="0.5" top="0.75" bottom="0.75" header="0.3" footer="0.3"/>
  <pageSetup paperSize="9" scale="60" fitToHeight="0" orientation="landscape"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Pomikalnik 1">
              <controlPr defaultSize="0" print="0" autoPict="0" altText="Calendar Year Spinner. Click the spinner to change the school calendar year or type the year in cell AM.">
                <anchor moveWithCells="1" sizeWithCells="1">
                  <from>
                    <xdr:col>39</xdr:col>
                    <xdr:colOff>38100</xdr:colOff>
                    <xdr:row>0</xdr:row>
                    <xdr:rowOff>104775</xdr:rowOff>
                  </from>
                  <to>
                    <xdr:col>39</xdr:col>
                    <xdr:colOff>209550</xdr:colOff>
                    <xdr:row>0</xdr:row>
                    <xdr:rowOff>419100</xdr:rowOff>
                  </to>
                </anchor>
              </controlPr>
            </control>
          </mc:Choice>
        </mc:AlternateContent>
      </controls>
    </mc:Choice>
  </mc:AlternateContent>
  <tableParts count="1">
    <tablePart r:id="rId5"/>
  </tableParts>
  <extLst>
    <ext xmlns:x14="http://schemas.microsoft.com/office/spreadsheetml/2009/9/main" uri="{78C0D931-6437-407d-A8EE-F0AAD7539E65}">
      <x14:conditionalFormattings>
        <x14:conditionalFormatting xmlns:xm="http://schemas.microsoft.com/office/excel/2006/main">
          <x14:cfRule type="dataBar" id="{ECCE2C3C-1B01-4700-B60E-DAAAB19A9C1A}">
            <x14:dataBar minLength="0" maxLength="100" border="1" negativeBarBorderColorSameAsPositive="0">
              <x14:cfvo type="autoMin"/>
              <x14:cfvo type="num">
                <xm:f>31</xm:f>
              </x14:cfvo>
              <x14:borderColor theme="4"/>
              <x14:negativeFillColor rgb="FFFF0000"/>
              <x14:negativeBorderColor rgb="FFFF0000"/>
              <x14:axisColor rgb="FF000000"/>
            </x14:dataBar>
          </x14:cfRule>
          <xm:sqref>AM7:AM11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N346"/>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x14ac:dyDescent="0.25"/>
  <cols>
    <col min="1" max="1" width="2.7109375" style="11" customWidth="1"/>
    <col min="2" max="2" width="11.5703125" style="11" bestFit="1" customWidth="1"/>
    <col min="3" max="3" width="28.85546875" style="12" customWidth="1"/>
    <col min="4" max="34" width="5" style="10" customWidth="1"/>
    <col min="35" max="35" width="4.7109375" style="9" customWidth="1"/>
    <col min="36" max="36" width="4.7109375" style="10" customWidth="1"/>
    <col min="37" max="38" width="4.7109375" style="11" customWidth="1"/>
    <col min="39" max="39" width="12.7109375" style="11" customWidth="1"/>
    <col min="40" max="16384" width="9.140625" style="11"/>
  </cols>
  <sheetData>
    <row r="1" spans="1:40" s="1" customFormat="1" ht="42" customHeight="1" x14ac:dyDescent="0.25">
      <c r="A1" s="38" t="s">
        <v>84</v>
      </c>
      <c r="B1" s="39"/>
      <c r="C1" s="39"/>
      <c r="D1" s="40"/>
      <c r="E1" s="40"/>
      <c r="F1" s="40"/>
      <c r="G1" s="40"/>
      <c r="H1" s="40"/>
      <c r="I1" s="40"/>
      <c r="J1" s="40"/>
      <c r="K1" s="40"/>
      <c r="L1" s="40"/>
      <c r="M1" s="40"/>
      <c r="N1" s="40"/>
      <c r="O1" s="40"/>
      <c r="P1" s="40"/>
      <c r="Q1" s="40"/>
      <c r="R1" s="40"/>
      <c r="S1" s="40"/>
      <c r="T1" s="40"/>
      <c r="U1" s="40"/>
      <c r="V1" s="40"/>
      <c r="W1" s="40"/>
      <c r="X1" s="40"/>
      <c r="Y1" s="40"/>
      <c r="Z1" s="40"/>
      <c r="AA1" s="40"/>
      <c r="AB1" s="40"/>
      <c r="AC1" s="39"/>
      <c r="AD1" s="39"/>
      <c r="AE1" s="39"/>
      <c r="AF1" s="39"/>
      <c r="AG1" s="41"/>
      <c r="AH1" s="39"/>
      <c r="AI1" s="39"/>
      <c r="AJ1" s="42"/>
      <c r="AK1" s="39"/>
      <c r="AL1" s="58" t="s">
        <v>70</v>
      </c>
      <c r="AM1" s="59">
        <f>KoledarskoLeto</f>
        <v>2012</v>
      </c>
    </row>
    <row r="2" spans="1:40" customFormat="1" ht="13.5" x14ac:dyDescent="0.25"/>
    <row r="3" spans="1:40" s="32" customFormat="1" ht="12.75" customHeight="1" x14ac:dyDescent="0.25">
      <c r="C3" s="45" t="str">
        <f>BesediloBarvnegaKljuča</f>
        <v>BARVNI KLJUČ</v>
      </c>
      <c r="D3" s="52" t="str">
        <f>Koda1</f>
        <v>Po</v>
      </c>
      <c r="E3" s="69" t="str">
        <f>BesediloKode1</f>
        <v>Pozen</v>
      </c>
      <c r="F3" s="60"/>
      <c r="H3" s="53" t="str">
        <f>Koda2</f>
        <v>E</v>
      </c>
      <c r="I3" s="57" t="str">
        <f>BesediloKode2</f>
        <v>Opravičen</v>
      </c>
      <c r="L3" s="54" t="str">
        <f>Koda3</f>
        <v>N</v>
      </c>
      <c r="M3" s="57" t="str">
        <f>BesediloKode3</f>
        <v>Neopravičen</v>
      </c>
      <c r="P3" s="55" t="str">
        <f>Koda4</f>
        <v>P</v>
      </c>
      <c r="Q3" s="57" t="str">
        <f>BesediloKode4</f>
        <v>Prisoten</v>
      </c>
      <c r="T3" s="56" t="str">
        <f>Koda5</f>
        <v>Ni</v>
      </c>
      <c r="U3" s="57" t="str">
        <f>BesediloKode5</f>
        <v>Ni pouka</v>
      </c>
      <c r="W3"/>
      <c r="X3"/>
      <c r="Y3"/>
      <c r="AD3" s="31"/>
      <c r="AE3" s="31"/>
      <c r="AH3" s="33"/>
      <c r="AI3" s="34"/>
      <c r="AK3" s="35"/>
    </row>
    <row r="4" spans="1:40" customFormat="1" ht="16.5" customHeight="1" x14ac:dyDescent="0.25"/>
    <row r="5" spans="1:40" s="2" customFormat="1" ht="18" customHeight="1" x14ac:dyDescent="0.3">
      <c r="B5" s="62">
        <f>DATE(KoledarskoLeto,9,1)</f>
        <v>41153</v>
      </c>
      <c r="C5" s="61"/>
      <c r="D5" s="43" t="str">
        <f>TEXT(WEEKDAY(DATE(KoledarskoLeto,9,1),1),"aaa")</f>
        <v>sob</v>
      </c>
      <c r="E5" s="43" t="str">
        <f>TEXT(WEEKDAY(DATE(KoledarskoLeto,9,2),1),"aaa")</f>
        <v>ned</v>
      </c>
      <c r="F5" s="43" t="str">
        <f>TEXT(WEEKDAY(DATE(KoledarskoLeto,9,3),1),"aaa")</f>
        <v>pon</v>
      </c>
      <c r="G5" s="43" t="str">
        <f>TEXT(WEEKDAY(DATE(KoledarskoLeto,9,4),1),"aaa")</f>
        <v>tor</v>
      </c>
      <c r="H5" s="43" t="str">
        <f>TEXT(WEEKDAY(DATE(KoledarskoLeto,9,5),1),"aaa")</f>
        <v>sre</v>
      </c>
      <c r="I5" s="43" t="str">
        <f>TEXT(WEEKDAY(DATE(KoledarskoLeto,9,6),1),"aaa")</f>
        <v>čet</v>
      </c>
      <c r="J5" s="43" t="str">
        <f>TEXT(WEEKDAY(DATE(KoledarskoLeto,9,7),1),"aaa")</f>
        <v>pet</v>
      </c>
      <c r="K5" s="43" t="str">
        <f>TEXT(WEEKDAY(DATE(KoledarskoLeto,9,8),1),"aaa")</f>
        <v>sob</v>
      </c>
      <c r="L5" s="43" t="str">
        <f>TEXT(WEEKDAY(DATE(KoledarskoLeto,9,9),1),"aaa")</f>
        <v>ned</v>
      </c>
      <c r="M5" s="43" t="str">
        <f>TEXT(WEEKDAY(DATE(KoledarskoLeto,9,10),1),"aaa")</f>
        <v>pon</v>
      </c>
      <c r="N5" s="43" t="str">
        <f>TEXT(WEEKDAY(DATE(KoledarskoLeto,9,11),1),"aaa")</f>
        <v>tor</v>
      </c>
      <c r="O5" s="43" t="str">
        <f>TEXT(WEEKDAY(DATE(KoledarskoLeto,9,12),1),"aaa")</f>
        <v>sre</v>
      </c>
      <c r="P5" s="43" t="str">
        <f>TEXT(WEEKDAY(DATE(KoledarskoLeto,9,13),1),"aaa")</f>
        <v>čet</v>
      </c>
      <c r="Q5" s="43" t="str">
        <f>TEXT(WEEKDAY(DATE(KoledarskoLeto,9,14),1),"aaa")</f>
        <v>pet</v>
      </c>
      <c r="R5" s="43" t="str">
        <f>TEXT(WEEKDAY(DATE(KoledarskoLeto,9,15),1),"aaa")</f>
        <v>sob</v>
      </c>
      <c r="S5" s="43" t="str">
        <f>TEXT(WEEKDAY(DATE(KoledarskoLeto,9,16),1),"aaa")</f>
        <v>ned</v>
      </c>
      <c r="T5" s="43" t="str">
        <f>TEXT(WEEKDAY(DATE(KoledarskoLeto,9,17),1),"aaa")</f>
        <v>pon</v>
      </c>
      <c r="U5" s="43" t="str">
        <f>TEXT(WEEKDAY(DATE(KoledarskoLeto,9,18),1),"aaa")</f>
        <v>tor</v>
      </c>
      <c r="V5" s="43" t="str">
        <f>TEXT(WEEKDAY(DATE(KoledarskoLeto,9,19),1),"aaa")</f>
        <v>sre</v>
      </c>
      <c r="W5" s="43" t="str">
        <f>TEXT(WEEKDAY(DATE(KoledarskoLeto,9,20),1),"aaa")</f>
        <v>čet</v>
      </c>
      <c r="X5" s="43" t="str">
        <f>TEXT(WEEKDAY(DATE(KoledarskoLeto,9,21),1),"aaa")</f>
        <v>pet</v>
      </c>
      <c r="Y5" s="43" t="str">
        <f>TEXT(WEEKDAY(DATE(KoledarskoLeto,9,22),1),"aaa")</f>
        <v>sob</v>
      </c>
      <c r="Z5" s="43" t="str">
        <f>TEXT(WEEKDAY(DATE(KoledarskoLeto,9,23),1),"aaa")</f>
        <v>ned</v>
      </c>
      <c r="AA5" s="43" t="str">
        <f>TEXT(WEEKDAY(DATE(KoledarskoLeto,9,24),1),"aaa")</f>
        <v>pon</v>
      </c>
      <c r="AB5" s="43" t="str">
        <f>TEXT(WEEKDAY(DATE(KoledarskoLeto,9,25),1),"aaa")</f>
        <v>tor</v>
      </c>
      <c r="AC5" s="43" t="str">
        <f>TEXT(WEEKDAY(DATE(KoledarskoLeto,9,26),1),"aaa")</f>
        <v>sre</v>
      </c>
      <c r="AD5" s="43" t="str">
        <f>TEXT(WEEKDAY(DATE(KoledarskoLeto,9,27),1),"aaa")</f>
        <v>čet</v>
      </c>
      <c r="AE5" s="43" t="str">
        <f>TEXT(WEEKDAY(DATE(KoledarskoLeto,9,28),1),"aaa")</f>
        <v>pet</v>
      </c>
      <c r="AF5" s="43" t="str">
        <f>TEXT(WEEKDAY(DATE(KoledarskoLeto,9,29),1),"aaa")</f>
        <v>sob</v>
      </c>
      <c r="AG5" s="43" t="str">
        <f>TEXT(WEEKDAY(DATE(KoledarskoLeto,9,30),1),"aaa")</f>
        <v>ned</v>
      </c>
      <c r="AH5" s="43"/>
      <c r="AI5" s="118" t="s">
        <v>41</v>
      </c>
      <c r="AJ5" s="119"/>
      <c r="AK5" s="119"/>
      <c r="AL5" s="119"/>
      <c r="AM5" s="120"/>
    </row>
    <row r="6" spans="1:40" s="5" customFormat="1" ht="14.25" customHeight="1" x14ac:dyDescent="0.25">
      <c r="B6" s="46" t="s">
        <v>34</v>
      </c>
      <c r="C6" s="47" t="s">
        <v>36</v>
      </c>
      <c r="D6" s="3" t="s">
        <v>0</v>
      </c>
      <c r="E6" s="3" t="s">
        <v>1</v>
      </c>
      <c r="F6" s="3" t="s">
        <v>2</v>
      </c>
      <c r="G6" s="3" t="s">
        <v>3</v>
      </c>
      <c r="H6" s="3" t="s">
        <v>4</v>
      </c>
      <c r="I6" s="3" t="s">
        <v>5</v>
      </c>
      <c r="J6" s="3" t="s">
        <v>6</v>
      </c>
      <c r="K6" s="3" t="s">
        <v>7</v>
      </c>
      <c r="L6" s="3" t="s">
        <v>8</v>
      </c>
      <c r="M6" s="3" t="s">
        <v>9</v>
      </c>
      <c r="N6" s="3" t="s">
        <v>10</v>
      </c>
      <c r="O6" s="3" t="s">
        <v>11</v>
      </c>
      <c r="P6" s="3" t="s">
        <v>12</v>
      </c>
      <c r="Q6" s="3" t="s">
        <v>13</v>
      </c>
      <c r="R6" s="3" t="s">
        <v>14</v>
      </c>
      <c r="S6" s="3" t="s">
        <v>15</v>
      </c>
      <c r="T6" s="3" t="s">
        <v>16</v>
      </c>
      <c r="U6" s="3" t="s">
        <v>17</v>
      </c>
      <c r="V6" s="3" t="s">
        <v>18</v>
      </c>
      <c r="W6" s="3" t="s">
        <v>19</v>
      </c>
      <c r="X6" s="3" t="s">
        <v>20</v>
      </c>
      <c r="Y6" s="3" t="s">
        <v>21</v>
      </c>
      <c r="Z6" s="3" t="s">
        <v>22</v>
      </c>
      <c r="AA6" s="3" t="s">
        <v>23</v>
      </c>
      <c r="AB6" s="3" t="s">
        <v>24</v>
      </c>
      <c r="AC6" s="3" t="s">
        <v>25</v>
      </c>
      <c r="AD6" s="3" t="s">
        <v>26</v>
      </c>
      <c r="AE6" s="3" t="s">
        <v>27</v>
      </c>
      <c r="AF6" s="3" t="s">
        <v>28</v>
      </c>
      <c r="AG6" s="3" t="s">
        <v>29</v>
      </c>
      <c r="AH6" s="3" t="s">
        <v>114</v>
      </c>
      <c r="AI6" s="52" t="s">
        <v>133</v>
      </c>
      <c r="AJ6" s="53" t="s">
        <v>39</v>
      </c>
      <c r="AK6" s="54" t="s">
        <v>38</v>
      </c>
      <c r="AL6" s="70" t="s">
        <v>31</v>
      </c>
      <c r="AM6" s="51" t="s">
        <v>40</v>
      </c>
      <c r="AN6" s="4"/>
    </row>
    <row r="7" spans="1:40" s="5" customFormat="1" ht="16.5" customHeight="1" x14ac:dyDescent="0.25">
      <c r="B7" s="48"/>
      <c r="C7" s="49" t="str">
        <f>IFERROR(VLOOKUP(PrisotnostSeptembra[[#This Row],[ID študenta]],SeznamUčencev[],18,FALSE),"")</f>
        <v/>
      </c>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6"/>
      <c r="AG7" s="24"/>
      <c r="AH7" s="24"/>
      <c r="AI7" s="6">
        <f>COUNTIF(PrisotnostSeptembra[[#This Row],[1]:[ ]],Koda1)</f>
        <v>0</v>
      </c>
      <c r="AJ7" s="50">
        <f>COUNTIF(PrisotnostSeptembra[[#This Row],[1]:[ ]],Koda2)</f>
        <v>0</v>
      </c>
      <c r="AK7" s="50">
        <f>COUNTIF(PrisotnostSeptembra[[#This Row],[1]:[ ]],Koda3)</f>
        <v>0</v>
      </c>
      <c r="AL7" s="50">
        <f>COUNTIF(PrisotnostSeptembra[[#This Row],[1]:[ ]],Koda4)</f>
        <v>0</v>
      </c>
      <c r="AM7" s="6">
        <f>SUM(PrisotnostSeptembra[[#This Row],[E]:[N]])</f>
        <v>0</v>
      </c>
      <c r="AN7" s="4"/>
    </row>
    <row r="8" spans="1:40" s="5" customFormat="1" ht="16.5" customHeight="1" x14ac:dyDescent="0.25">
      <c r="B8" s="48"/>
      <c r="C8" s="21" t="str">
        <f>IFERROR(VLOOKUP(PrisotnostSeptembra[[#This Row],[ID študenta]],SeznamUčencev[],18,FALSE),"")</f>
        <v/>
      </c>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6"/>
      <c r="AG8" s="24"/>
      <c r="AH8" s="24"/>
      <c r="AI8" s="6">
        <f>COUNTIF(PrisotnostSeptembra[[#This Row],[1]:[ ]],Koda1)</f>
        <v>0</v>
      </c>
      <c r="AJ8" s="50">
        <f>COUNTIF(PrisotnostSeptembra[[#This Row],[1]:[ ]],Koda2)</f>
        <v>0</v>
      </c>
      <c r="AK8" s="50">
        <f>COUNTIF(PrisotnostSeptembra[[#This Row],[1]:[ ]],Koda3)</f>
        <v>0</v>
      </c>
      <c r="AL8" s="50">
        <f>COUNTIF(PrisotnostSeptembra[[#This Row],[1]:[ ]],Koda4)</f>
        <v>0</v>
      </c>
      <c r="AM8" s="6">
        <f>SUM(PrisotnostSeptembra[[#This Row],[E]:[N]])</f>
        <v>0</v>
      </c>
      <c r="AN8" s="4"/>
    </row>
    <row r="9" spans="1:40" s="8" customFormat="1" ht="16.5" customHeight="1" x14ac:dyDescent="0.25">
      <c r="B9" s="48"/>
      <c r="C9" s="21" t="str">
        <f>IFERROR(VLOOKUP(PrisotnostSeptembra[[#This Row],[ID študenta]],SeznamUčencev[],18,FALSE),"")</f>
        <v/>
      </c>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6"/>
      <c r="AG9" s="24"/>
      <c r="AH9" s="24"/>
      <c r="AI9" s="6">
        <f>COUNTIF(PrisotnostSeptembra[[#This Row],[1]:[ ]],Koda1)</f>
        <v>0</v>
      </c>
      <c r="AJ9" s="50">
        <f>COUNTIF(PrisotnostSeptembra[[#This Row],[1]:[ ]],Koda2)</f>
        <v>0</v>
      </c>
      <c r="AK9" s="50">
        <f>COUNTIF(PrisotnostSeptembra[[#This Row],[1]:[ ]],Koda3)</f>
        <v>0</v>
      </c>
      <c r="AL9" s="50">
        <f>COUNTIF(PrisotnostSeptembra[[#This Row],[1]:[ ]],Koda4)</f>
        <v>0</v>
      </c>
      <c r="AM9" s="6">
        <f>SUM(PrisotnostSeptembra[[#This Row],[E]:[N]])</f>
        <v>0</v>
      </c>
      <c r="AN9" s="7"/>
    </row>
    <row r="10" spans="1:40" ht="16.5" customHeight="1" x14ac:dyDescent="0.25">
      <c r="B10" s="48"/>
      <c r="C10" s="21" t="str">
        <f>IFERROR(VLOOKUP(PrisotnostSeptembra[[#This Row],[ID študenta]],SeznamUčencev[],18,FALSE),"")</f>
        <v/>
      </c>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6"/>
      <c r="AG10" s="24"/>
      <c r="AH10" s="24"/>
      <c r="AI10" s="6">
        <f>COUNTIF(PrisotnostSeptembra[[#This Row],[1]:[ ]],Koda1)</f>
        <v>0</v>
      </c>
      <c r="AJ10" s="50">
        <f>COUNTIF(PrisotnostSeptembra[[#This Row],[1]:[ ]],Koda2)</f>
        <v>0</v>
      </c>
      <c r="AK10" s="50">
        <f>COUNTIF(PrisotnostSeptembra[[#This Row],[1]:[ ]],Koda3)</f>
        <v>0</v>
      </c>
      <c r="AL10" s="50">
        <f>COUNTIF(PrisotnostSeptembra[[#This Row],[1]:[ ]],Koda4)</f>
        <v>0</v>
      </c>
      <c r="AM10" s="6">
        <f>SUM(PrisotnostSeptembra[[#This Row],[E]:[N]])</f>
        <v>0</v>
      </c>
      <c r="AN10" s="10"/>
    </row>
    <row r="11" spans="1:40" ht="16.5" customHeight="1" x14ac:dyDescent="0.25">
      <c r="B11" s="48"/>
      <c r="C11" s="21" t="str">
        <f>IFERROR(VLOOKUP(PrisotnostSeptembra[[#This Row],[ID študenta]],SeznamUčencev[],18,FALSE),"")</f>
        <v/>
      </c>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6"/>
      <c r="AG11" s="24"/>
      <c r="AH11" s="24"/>
      <c r="AI11" s="6">
        <f>COUNTIF(PrisotnostSeptembra[[#This Row],[1]:[ ]],Koda1)</f>
        <v>0</v>
      </c>
      <c r="AJ11" s="50">
        <f>COUNTIF(PrisotnostSeptembra[[#This Row],[1]:[ ]],Koda2)</f>
        <v>0</v>
      </c>
      <c r="AK11" s="50">
        <f>COUNTIF(PrisotnostSeptembra[[#This Row],[1]:[ ]],Koda3)</f>
        <v>0</v>
      </c>
      <c r="AL11" s="50">
        <f>COUNTIF(PrisotnostSeptembra[[#This Row],[1]:[ ]],Koda4)</f>
        <v>0</v>
      </c>
      <c r="AM11" s="6">
        <f>SUM(PrisotnostSeptembra[[#This Row],[E]:[N]])</f>
        <v>0</v>
      </c>
      <c r="AN11" s="10"/>
    </row>
    <row r="12" spans="1:40" ht="16.5" customHeight="1" x14ac:dyDescent="0.25">
      <c r="B12" s="144"/>
      <c r="C12" s="145" t="s">
        <v>115</v>
      </c>
      <c r="D12" s="146">
        <f>COUNTIF(PrisotnostSeptembra[1],"N")+COUNTIF(PrisotnostSeptembra[1],"E")</f>
        <v>0</v>
      </c>
      <c r="E12" s="146">
        <f>COUNTIF(PrisotnostSeptembra[2],"N")+COUNTIF(PrisotnostSeptembra[2],"E")</f>
        <v>0</v>
      </c>
      <c r="F12" s="146">
        <f>COUNTIF(PrisotnostSeptembra[3],"N")+COUNTIF(PrisotnostSeptembra[3],"E")</f>
        <v>0</v>
      </c>
      <c r="G12" s="146">
        <f>COUNTIF(PrisotnostSeptembra[4],"N")+COUNTIF(PrisotnostSeptembra[4],"E")</f>
        <v>0</v>
      </c>
      <c r="H12" s="146">
        <f>COUNTIF(PrisotnostSeptembra[5],"N")+COUNTIF(PrisotnostSeptembra[5],"E")</f>
        <v>0</v>
      </c>
      <c r="I12" s="146">
        <f>COUNTIF(PrisotnostSeptembra[6],"N")+COUNTIF(PrisotnostSeptembra[6],"E")</f>
        <v>0</v>
      </c>
      <c r="J12" s="146">
        <f>COUNTIF(PrisotnostSeptembra[7],"N")+COUNTIF(PrisotnostSeptembra[7],"E")</f>
        <v>0</v>
      </c>
      <c r="K12" s="146">
        <f>COUNTIF(PrisotnostSeptembra[8],"N")+COUNTIF(PrisotnostSeptembra[8],"E")</f>
        <v>0</v>
      </c>
      <c r="L12" s="146">
        <f>COUNTIF(PrisotnostSeptembra[9],"N")+COUNTIF(PrisotnostSeptembra[9],"E")</f>
        <v>0</v>
      </c>
      <c r="M12" s="146">
        <f>COUNTIF(PrisotnostSeptembra[10],"N")+COUNTIF(PrisotnostSeptembra[10],"E")</f>
        <v>0</v>
      </c>
      <c r="N12" s="146">
        <f>COUNTIF(PrisotnostSeptembra[11],"N")+COUNTIF(PrisotnostSeptembra[11],"E")</f>
        <v>0</v>
      </c>
      <c r="O12" s="146">
        <f>COUNTIF(PrisotnostSeptembra[12],"N")+COUNTIF(PrisotnostSeptembra[12],"E")</f>
        <v>0</v>
      </c>
      <c r="P12" s="146">
        <f>COUNTIF(PrisotnostSeptembra[13],"N")+COUNTIF(PrisotnostSeptembra[13],"E")</f>
        <v>0</v>
      </c>
      <c r="Q12" s="146">
        <f>COUNTIF(PrisotnostSeptembra[14],"N")+COUNTIF(PrisotnostSeptembra[14],"E")</f>
        <v>0</v>
      </c>
      <c r="R12" s="146">
        <f>COUNTIF(PrisotnostSeptembra[15],"N")+COUNTIF(PrisotnostSeptembra[15],"E")</f>
        <v>0</v>
      </c>
      <c r="S12" s="146">
        <f>COUNTIF(PrisotnostSeptembra[16],"N")+COUNTIF(PrisotnostSeptembra[16],"E")</f>
        <v>0</v>
      </c>
      <c r="T12" s="146">
        <f>COUNTIF(PrisotnostSeptembra[17],"N")+COUNTIF(PrisotnostSeptembra[17],"E")</f>
        <v>0</v>
      </c>
      <c r="U12" s="146">
        <f>COUNTIF(PrisotnostSeptembra[18],"N")+COUNTIF(PrisotnostSeptembra[18],"E")</f>
        <v>0</v>
      </c>
      <c r="V12" s="146">
        <f>COUNTIF(PrisotnostSeptembra[19],"N")+COUNTIF(PrisotnostSeptembra[19],"E")</f>
        <v>0</v>
      </c>
      <c r="W12" s="146">
        <f>COUNTIF(PrisotnostSeptembra[20],"N")+COUNTIF(PrisotnostSeptembra[20],"E")</f>
        <v>0</v>
      </c>
      <c r="X12" s="146">
        <f>COUNTIF(PrisotnostSeptembra[21],"N")+COUNTIF(PrisotnostSeptembra[21],"E")</f>
        <v>0</v>
      </c>
      <c r="Y12" s="146">
        <f>COUNTIF(PrisotnostSeptembra[22],"N")+COUNTIF(PrisotnostSeptembra[22],"E")</f>
        <v>0</v>
      </c>
      <c r="Z12" s="146">
        <f>COUNTIF(PrisotnostSeptembra[23],"N")+COUNTIF(PrisotnostSeptembra[23],"E")</f>
        <v>0</v>
      </c>
      <c r="AA12" s="146">
        <f>COUNTIF(PrisotnostSeptembra[24],"N")+COUNTIF(PrisotnostSeptembra[24],"E")</f>
        <v>0</v>
      </c>
      <c r="AB12" s="146">
        <f>COUNTIF(PrisotnostSeptembra[25],"N")+COUNTIF(PrisotnostSeptembra[25],"E")</f>
        <v>0</v>
      </c>
      <c r="AC12" s="146">
        <f>COUNTIF(PrisotnostSeptembra[26],"N")+COUNTIF(PrisotnostSeptembra[26],"E")</f>
        <v>0</v>
      </c>
      <c r="AD12" s="146">
        <f>COUNTIF(PrisotnostSeptembra[27],"N")+COUNTIF(PrisotnostSeptembra[27],"E")</f>
        <v>0</v>
      </c>
      <c r="AE12" s="146">
        <f>COUNTIF(PrisotnostSeptembra[28],"N")+COUNTIF(PrisotnostSeptembra[28],"E")</f>
        <v>0</v>
      </c>
      <c r="AF12" s="146">
        <f>COUNTIF(PrisotnostSeptembra[29],"N")+COUNTIF(PrisotnostSeptembra[29],"E")</f>
        <v>0</v>
      </c>
      <c r="AG12" s="146">
        <f>COUNTIF(PrisotnostSeptembra[30],"N")+COUNTIF(PrisotnostSeptembra[30],"E")</f>
        <v>0</v>
      </c>
      <c r="AH12" s="146">
        <f>COUNTIF(PrisotnostSeptembra[[ ]],"N")+COUNTIF(PrisotnostSeptembra[[ ]],"E")</f>
        <v>0</v>
      </c>
      <c r="AI12" s="146">
        <f>SUBTOTAL(109,PrisotnostSeptembra[Po])</f>
        <v>0</v>
      </c>
      <c r="AJ12" s="146">
        <f>SUBTOTAL(109,PrisotnostSeptembra[E])</f>
        <v>0</v>
      </c>
      <c r="AK12" s="146">
        <f>SUBTOTAL(109,PrisotnostSeptembra[N])</f>
        <v>0</v>
      </c>
      <c r="AL12" s="146">
        <f>SUBTOTAL(109,PrisotnostSeptembra[P])</f>
        <v>0</v>
      </c>
      <c r="AM12" s="146">
        <f>SUBTOTAL(109,PrisotnostSeptembra[Dni odsoten])</f>
        <v>0</v>
      </c>
    </row>
    <row r="13" spans="1:40" ht="16.5" customHeight="1" x14ac:dyDescent="0.25"/>
    <row r="14" spans="1:40" ht="16.5" customHeight="1" x14ac:dyDescent="0.25"/>
    <row r="15" spans="1:40" ht="16.5" customHeight="1" x14ac:dyDescent="0.25"/>
    <row r="16" spans="1:40"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sheetData>
  <sheetProtection formatCells="0" formatColumns="0" formatRows="0" insertColumns="0" insertRows="0" insertHyperlinks="0" deleteColumns="0" deleteRows="0" sort="0" autoFilter="0" pivotTables="0"/>
  <mergeCells count="1">
    <mergeCell ref="AI5:AM5"/>
  </mergeCells>
  <conditionalFormatting sqref="AM7:AM11">
    <cfRule type="dataBar" priority="6">
      <dataBar>
        <cfvo type="min"/>
        <cfvo type="num" val="31"/>
        <color theme="4"/>
      </dataBar>
      <extLst>
        <ext xmlns:x14="http://schemas.microsoft.com/office/spreadsheetml/2009/9/main" uri="{B025F937-C7B1-47D3-B67F-A62EFF666E3E}">
          <x14:id>{FCDE13DD-578E-4A81-A4F7-3A892C41EF0D}</x14:id>
        </ext>
      </extLst>
    </cfRule>
  </conditionalFormatting>
  <conditionalFormatting sqref="AG7:AI11">
    <cfRule type="expression" dxfId="958" priority="7" stopIfTrue="1">
      <formula>AG7=Koda2</formula>
    </cfRule>
  </conditionalFormatting>
  <conditionalFormatting sqref="AG7:AH11">
    <cfRule type="expression" dxfId="957" priority="8" stopIfTrue="1">
      <formula>AG7=Koda5</formula>
    </cfRule>
    <cfRule type="expression" dxfId="956" priority="9" stopIfTrue="1">
      <formula>AG7=Koda4</formula>
    </cfRule>
    <cfRule type="expression" dxfId="955" priority="10" stopIfTrue="1">
      <formula>AG7=Koda3</formula>
    </cfRule>
    <cfRule type="expression" dxfId="954" priority="11" stopIfTrue="1">
      <formula>AG7=Koda1</formula>
    </cfRule>
  </conditionalFormatting>
  <conditionalFormatting sqref="D7:AF11">
    <cfRule type="expression" dxfId="953" priority="1" stopIfTrue="1">
      <formula>D7=Koda2</formula>
    </cfRule>
  </conditionalFormatting>
  <conditionalFormatting sqref="D7:AF11">
    <cfRule type="expression" dxfId="952" priority="2" stopIfTrue="1">
      <formula>D7=Koda5</formula>
    </cfRule>
    <cfRule type="expression" dxfId="951" priority="3" stopIfTrue="1">
      <formula>D7=Koda4</formula>
    </cfRule>
    <cfRule type="expression" dxfId="950" priority="4" stopIfTrue="1">
      <formula>D7=Koda3</formula>
    </cfRule>
    <cfRule type="expression" dxfId="949" priority="5" stopIfTrue="1">
      <formula>D7=Koda1</formula>
    </cfRule>
  </conditionalFormatting>
  <dataValidations count="1">
    <dataValidation type="list" errorStyle="warning" allowBlank="1" showInputMessage="1" showErrorMessage="1" errorTitle="Ups!" error="»ID študenta«, ki ste ga vnesli, ni na listu »Seznam študentov«. Kliknete lahko »Da«, če želite uporabiti, kar ste vnesli, ampak ta »ID študenta« ne bo na voljo na listu »Poročilo prisotnosti študentov«." sqref="B7:B11">
      <formula1>IDUčenca</formula1>
    </dataValidation>
  </dataValidations>
  <printOptions horizontalCentered="1"/>
  <pageMargins left="0.5" right="0.5" top="0.75" bottom="0.75" header="0.3" footer="0.3"/>
  <pageSetup paperSize="9" scale="60" fitToHeight="0" orientation="landscape" verticalDpi="12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CDE13DD-578E-4A81-A4F7-3A892C41EF0D}">
            <x14:dataBar minLength="0" maxLength="100" border="1" negativeBarBorderColorSameAsPositive="0">
              <x14:cfvo type="autoMin"/>
              <x14:cfvo type="num">
                <xm:f>31</xm:f>
              </x14:cfvo>
              <x14:borderColor theme="4"/>
              <x14:negativeFillColor rgb="FFFF0000"/>
              <x14:negativeBorderColor rgb="FFFF0000"/>
              <x14:axisColor rgb="FF000000"/>
            </x14:dataBar>
          </x14:cfRule>
          <xm:sqref>AM7:AM11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N346"/>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x14ac:dyDescent="0.25"/>
  <cols>
    <col min="1" max="1" width="2.7109375" style="11" customWidth="1"/>
    <col min="2" max="2" width="11.5703125" style="11" bestFit="1" customWidth="1"/>
    <col min="3" max="3" width="28.85546875" style="12" customWidth="1"/>
    <col min="4" max="34" width="5" style="10" customWidth="1"/>
    <col min="35" max="35" width="4.7109375" style="9" customWidth="1"/>
    <col min="36" max="36" width="4.7109375" style="10" customWidth="1"/>
    <col min="37" max="38" width="4.7109375" style="11" customWidth="1"/>
    <col min="39" max="39" width="12.7109375" style="11" customWidth="1"/>
    <col min="40" max="16384" width="9.140625" style="11"/>
  </cols>
  <sheetData>
    <row r="1" spans="1:40" s="1" customFormat="1" ht="42" customHeight="1" x14ac:dyDescent="0.25">
      <c r="A1" s="38" t="s">
        <v>84</v>
      </c>
      <c r="B1" s="39"/>
      <c r="C1" s="39"/>
      <c r="D1" s="40"/>
      <c r="E1" s="40"/>
      <c r="F1" s="40"/>
      <c r="G1" s="40"/>
      <c r="H1" s="40"/>
      <c r="I1" s="40"/>
      <c r="J1" s="40"/>
      <c r="K1" s="40"/>
      <c r="L1" s="40"/>
      <c r="M1" s="40"/>
      <c r="N1" s="40"/>
      <c r="O1" s="40"/>
      <c r="P1" s="40"/>
      <c r="Q1" s="40"/>
      <c r="R1" s="40"/>
      <c r="S1" s="40"/>
      <c r="T1" s="40"/>
      <c r="U1" s="40"/>
      <c r="V1" s="40"/>
      <c r="W1" s="40"/>
      <c r="X1" s="40"/>
      <c r="Y1" s="40"/>
      <c r="Z1" s="40"/>
      <c r="AA1" s="40"/>
      <c r="AB1" s="40"/>
      <c r="AC1" s="39"/>
      <c r="AD1" s="39"/>
      <c r="AE1" s="39"/>
      <c r="AF1" s="39"/>
      <c r="AG1" s="41"/>
      <c r="AH1" s="39"/>
      <c r="AI1" s="39"/>
      <c r="AJ1" s="42"/>
      <c r="AK1" s="39"/>
      <c r="AL1" s="58" t="s">
        <v>70</v>
      </c>
      <c r="AM1" s="59">
        <f>KoledarskoLeto</f>
        <v>2012</v>
      </c>
    </row>
    <row r="2" spans="1:40" customFormat="1" ht="13.5" x14ac:dyDescent="0.25"/>
    <row r="3" spans="1:40" s="32" customFormat="1" ht="12.75" customHeight="1" x14ac:dyDescent="0.25">
      <c r="C3" s="45" t="str">
        <f>BesediloBarvnegaKljuča</f>
        <v>BARVNI KLJUČ</v>
      </c>
      <c r="D3" s="52" t="str">
        <f>Koda1</f>
        <v>Po</v>
      </c>
      <c r="E3" s="69" t="str">
        <f>BesediloKode1</f>
        <v>Pozen</v>
      </c>
      <c r="F3" s="60"/>
      <c r="H3" s="53" t="str">
        <f>Koda2</f>
        <v>E</v>
      </c>
      <c r="I3" s="57" t="str">
        <f>BesediloKode2</f>
        <v>Opravičen</v>
      </c>
      <c r="L3" s="54" t="str">
        <f>Koda3</f>
        <v>N</v>
      </c>
      <c r="M3" s="57" t="str">
        <f>BesediloKode3</f>
        <v>Neopravičen</v>
      </c>
      <c r="P3" s="55" t="str">
        <f>Koda4</f>
        <v>P</v>
      </c>
      <c r="Q3" s="57" t="str">
        <f>BesediloKode4</f>
        <v>Prisoten</v>
      </c>
      <c r="T3" s="56" t="str">
        <f>Koda5</f>
        <v>Ni</v>
      </c>
      <c r="U3" s="57" t="str">
        <f>BesediloKode5</f>
        <v>Ni pouka</v>
      </c>
      <c r="W3"/>
      <c r="X3"/>
      <c r="Y3"/>
      <c r="AD3" s="31"/>
      <c r="AE3" s="31"/>
      <c r="AH3" s="33"/>
      <c r="AI3" s="34"/>
      <c r="AK3" s="35"/>
    </row>
    <row r="4" spans="1:40" customFormat="1" ht="16.5" customHeight="1" x14ac:dyDescent="0.25"/>
    <row r="5" spans="1:40" s="2" customFormat="1" ht="18" customHeight="1" x14ac:dyDescent="0.3">
      <c r="B5" s="62">
        <f>DATE(KoledarskoLeto,10,1)</f>
        <v>41183</v>
      </c>
      <c r="C5" s="61"/>
      <c r="D5" s="43" t="str">
        <f>TEXT(WEEKDAY(DATE(KoledarskoLeto,10,1),1),"aaa")</f>
        <v>pon</v>
      </c>
      <c r="E5" s="43" t="str">
        <f>TEXT(WEEKDAY(DATE(KoledarskoLeto,10,2),1),"aaa")</f>
        <v>tor</v>
      </c>
      <c r="F5" s="43" t="str">
        <f>TEXT(WEEKDAY(DATE(KoledarskoLeto,10,3),1),"aaa")</f>
        <v>sre</v>
      </c>
      <c r="G5" s="43" t="str">
        <f>TEXT(WEEKDAY(DATE(KoledarskoLeto,10,4),1),"aaa")</f>
        <v>čet</v>
      </c>
      <c r="H5" s="43" t="str">
        <f>TEXT(WEEKDAY(DATE(KoledarskoLeto,10,5),1),"aaa")</f>
        <v>pet</v>
      </c>
      <c r="I5" s="43" t="str">
        <f>TEXT(WEEKDAY(DATE(KoledarskoLeto,10,6),1),"aaa")</f>
        <v>sob</v>
      </c>
      <c r="J5" s="43" t="str">
        <f>TEXT(WEEKDAY(DATE(KoledarskoLeto,10,7),1),"aaa")</f>
        <v>ned</v>
      </c>
      <c r="K5" s="43" t="str">
        <f>TEXT(WEEKDAY(DATE(KoledarskoLeto,10,8),1),"aaa")</f>
        <v>pon</v>
      </c>
      <c r="L5" s="43" t="str">
        <f>TEXT(WEEKDAY(DATE(KoledarskoLeto,10,9),1),"aaa")</f>
        <v>tor</v>
      </c>
      <c r="M5" s="43" t="str">
        <f>TEXT(WEEKDAY(DATE(KoledarskoLeto,10,10),1),"aaa")</f>
        <v>sre</v>
      </c>
      <c r="N5" s="43" t="str">
        <f>TEXT(WEEKDAY(DATE(KoledarskoLeto,10,11),1),"aaa")</f>
        <v>čet</v>
      </c>
      <c r="O5" s="43" t="str">
        <f>TEXT(WEEKDAY(DATE(KoledarskoLeto,10,12),1),"aaa")</f>
        <v>pet</v>
      </c>
      <c r="P5" s="43" t="str">
        <f>TEXT(WEEKDAY(DATE(KoledarskoLeto,10,13),1),"aaa")</f>
        <v>sob</v>
      </c>
      <c r="Q5" s="43" t="str">
        <f>TEXT(WEEKDAY(DATE(KoledarskoLeto,10,14),1),"aaa")</f>
        <v>ned</v>
      </c>
      <c r="R5" s="43" t="str">
        <f>TEXT(WEEKDAY(DATE(KoledarskoLeto,10,15),1),"aaa")</f>
        <v>pon</v>
      </c>
      <c r="S5" s="43" t="str">
        <f>TEXT(WEEKDAY(DATE(KoledarskoLeto,10,16),1),"aaa")</f>
        <v>tor</v>
      </c>
      <c r="T5" s="43" t="str">
        <f>TEXT(WEEKDAY(DATE(KoledarskoLeto,10,17),1),"aaa")</f>
        <v>sre</v>
      </c>
      <c r="U5" s="43" t="str">
        <f>TEXT(WEEKDAY(DATE(KoledarskoLeto,10,18),1),"aaa")</f>
        <v>čet</v>
      </c>
      <c r="V5" s="43" t="str">
        <f>TEXT(WEEKDAY(DATE(KoledarskoLeto,10,19),1),"aaa")</f>
        <v>pet</v>
      </c>
      <c r="W5" s="43" t="str">
        <f>TEXT(WEEKDAY(DATE(KoledarskoLeto,10,20),1),"aaa")</f>
        <v>sob</v>
      </c>
      <c r="X5" s="43" t="str">
        <f>TEXT(WEEKDAY(DATE(KoledarskoLeto,10,21),1),"aaa")</f>
        <v>ned</v>
      </c>
      <c r="Y5" s="43" t="str">
        <f>TEXT(WEEKDAY(DATE(KoledarskoLeto,10,22),1),"aaa")</f>
        <v>pon</v>
      </c>
      <c r="Z5" s="43" t="str">
        <f>TEXT(WEEKDAY(DATE(KoledarskoLeto,10,23),1),"aaa")</f>
        <v>tor</v>
      </c>
      <c r="AA5" s="43" t="str">
        <f>TEXT(WEEKDAY(DATE(KoledarskoLeto,10,24),1),"aaa")</f>
        <v>sre</v>
      </c>
      <c r="AB5" s="43" t="str">
        <f>TEXT(WEEKDAY(DATE(KoledarskoLeto,10,25),1),"aaa")</f>
        <v>čet</v>
      </c>
      <c r="AC5" s="43" t="str">
        <f>TEXT(WEEKDAY(DATE(KoledarskoLeto,10,26),1),"aaa")</f>
        <v>pet</v>
      </c>
      <c r="AD5" s="43" t="str">
        <f>TEXT(WEEKDAY(DATE(KoledarskoLeto,10,27),1),"aaa")</f>
        <v>sob</v>
      </c>
      <c r="AE5" s="43" t="str">
        <f>TEXT(WEEKDAY(DATE(KoledarskoLeto,10,28),1),"aaa")</f>
        <v>ned</v>
      </c>
      <c r="AF5" s="43" t="str">
        <f>TEXT(WEEKDAY(DATE(KoledarskoLeto,10,29),1),"aaa")</f>
        <v>pon</v>
      </c>
      <c r="AG5" s="43" t="str">
        <f>TEXT(WEEKDAY(DATE(KoledarskoLeto,10,30),1),"aaa")</f>
        <v>tor</v>
      </c>
      <c r="AH5" s="43" t="str">
        <f>TEXT(WEEKDAY(DATE(KoledarskoLeto,10,31),1),"aaa")</f>
        <v>sre</v>
      </c>
      <c r="AI5" s="118" t="s">
        <v>41</v>
      </c>
      <c r="AJ5" s="119"/>
      <c r="AK5" s="119"/>
      <c r="AL5" s="119"/>
      <c r="AM5" s="120"/>
    </row>
    <row r="6" spans="1:40" s="5" customFormat="1" ht="14.25" customHeight="1" x14ac:dyDescent="0.25">
      <c r="B6" s="46" t="s">
        <v>34</v>
      </c>
      <c r="C6" s="47" t="s">
        <v>36</v>
      </c>
      <c r="D6" s="3" t="s">
        <v>0</v>
      </c>
      <c r="E6" s="3" t="s">
        <v>1</v>
      </c>
      <c r="F6" s="3" t="s">
        <v>2</v>
      </c>
      <c r="G6" s="3" t="s">
        <v>3</v>
      </c>
      <c r="H6" s="3" t="s">
        <v>4</v>
      </c>
      <c r="I6" s="3" t="s">
        <v>5</v>
      </c>
      <c r="J6" s="3" t="s">
        <v>6</v>
      </c>
      <c r="K6" s="3" t="s">
        <v>7</v>
      </c>
      <c r="L6" s="3" t="s">
        <v>8</v>
      </c>
      <c r="M6" s="3" t="s">
        <v>9</v>
      </c>
      <c r="N6" s="3" t="s">
        <v>10</v>
      </c>
      <c r="O6" s="3" t="s">
        <v>11</v>
      </c>
      <c r="P6" s="3" t="s">
        <v>12</v>
      </c>
      <c r="Q6" s="3" t="s">
        <v>13</v>
      </c>
      <c r="R6" s="3" t="s">
        <v>14</v>
      </c>
      <c r="S6" s="3" t="s">
        <v>15</v>
      </c>
      <c r="T6" s="3" t="s">
        <v>16</v>
      </c>
      <c r="U6" s="3" t="s">
        <v>17</v>
      </c>
      <c r="V6" s="3" t="s">
        <v>18</v>
      </c>
      <c r="W6" s="3" t="s">
        <v>19</v>
      </c>
      <c r="X6" s="3" t="s">
        <v>20</v>
      </c>
      <c r="Y6" s="3" t="s">
        <v>21</v>
      </c>
      <c r="Z6" s="3" t="s">
        <v>22</v>
      </c>
      <c r="AA6" s="3" t="s">
        <v>23</v>
      </c>
      <c r="AB6" s="3" t="s">
        <v>24</v>
      </c>
      <c r="AC6" s="3" t="s">
        <v>25</v>
      </c>
      <c r="AD6" s="3" t="s">
        <v>26</v>
      </c>
      <c r="AE6" s="3" t="s">
        <v>27</v>
      </c>
      <c r="AF6" s="3" t="s">
        <v>28</v>
      </c>
      <c r="AG6" s="3" t="s">
        <v>29</v>
      </c>
      <c r="AH6" s="3" t="s">
        <v>30</v>
      </c>
      <c r="AI6" s="52" t="s">
        <v>133</v>
      </c>
      <c r="AJ6" s="53" t="s">
        <v>39</v>
      </c>
      <c r="AK6" s="54" t="s">
        <v>38</v>
      </c>
      <c r="AL6" s="70" t="s">
        <v>31</v>
      </c>
      <c r="AM6" s="51" t="s">
        <v>40</v>
      </c>
      <c r="AN6" s="4"/>
    </row>
    <row r="7" spans="1:40" s="5" customFormat="1" ht="16.5" customHeight="1" x14ac:dyDescent="0.25">
      <c r="B7" s="48"/>
      <c r="C7" s="49" t="str">
        <f>IFERROR(VLOOKUP(PrisotnostOktobra[[#This Row],[ID študenta]],SeznamUčencev[],18,FALSE),"")</f>
        <v/>
      </c>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6"/>
      <c r="AG7" s="24"/>
      <c r="AH7" s="24"/>
      <c r="AI7" s="6">
        <f>COUNTIF(PrisotnostOktobra[[#This Row],[1]:[31]],Koda1)</f>
        <v>0</v>
      </c>
      <c r="AJ7" s="50">
        <f>COUNTIF(PrisotnostOktobra[[#This Row],[1]:[31]],Koda2)</f>
        <v>0</v>
      </c>
      <c r="AK7" s="50">
        <f>COUNTIF(PrisotnostOktobra[[#This Row],[1]:[31]],Koda3)</f>
        <v>0</v>
      </c>
      <c r="AL7" s="50">
        <f>COUNTIF(PrisotnostOktobra[[#This Row],[1]:[31]],Koda4)</f>
        <v>0</v>
      </c>
      <c r="AM7" s="6">
        <f>SUM(PrisotnostOktobra[[#This Row],[E]:[N]])</f>
        <v>0</v>
      </c>
      <c r="AN7" s="4"/>
    </row>
    <row r="8" spans="1:40" s="5" customFormat="1" ht="16.5" customHeight="1" x14ac:dyDescent="0.25">
      <c r="B8" s="48"/>
      <c r="C8" s="21" t="str">
        <f>IFERROR(VLOOKUP(PrisotnostOktobra[[#This Row],[ID študenta]],SeznamUčencev[],18,FALSE),"")</f>
        <v/>
      </c>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6"/>
      <c r="AG8" s="24"/>
      <c r="AH8" s="24"/>
      <c r="AI8" s="6">
        <f>COUNTIF(PrisotnostOktobra[[#This Row],[1]:[31]],Koda1)</f>
        <v>0</v>
      </c>
      <c r="AJ8" s="50">
        <f>COUNTIF(PrisotnostOktobra[[#This Row],[1]:[31]],Koda2)</f>
        <v>0</v>
      </c>
      <c r="AK8" s="50">
        <f>COUNTIF(PrisotnostOktobra[[#This Row],[1]:[31]],Koda3)</f>
        <v>0</v>
      </c>
      <c r="AL8" s="50">
        <f>COUNTIF(PrisotnostOktobra[[#This Row],[1]:[31]],Koda4)</f>
        <v>0</v>
      </c>
      <c r="AM8" s="6">
        <f>SUM(PrisotnostOktobra[[#This Row],[E]:[N]])</f>
        <v>0</v>
      </c>
      <c r="AN8" s="4"/>
    </row>
    <row r="9" spans="1:40" s="8" customFormat="1" ht="16.5" customHeight="1" x14ac:dyDescent="0.25">
      <c r="B9" s="48"/>
      <c r="C9" s="21" t="str">
        <f>IFERROR(VLOOKUP(PrisotnostOktobra[[#This Row],[ID študenta]],SeznamUčencev[],18,FALSE),"")</f>
        <v/>
      </c>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6"/>
      <c r="AG9" s="24"/>
      <c r="AH9" s="24"/>
      <c r="AI9" s="6">
        <f>COUNTIF(PrisotnostOktobra[[#This Row],[1]:[31]],Koda1)</f>
        <v>0</v>
      </c>
      <c r="AJ9" s="50">
        <f>COUNTIF(PrisotnostOktobra[[#This Row],[1]:[31]],Koda2)</f>
        <v>0</v>
      </c>
      <c r="AK9" s="50">
        <f>COUNTIF(PrisotnostOktobra[[#This Row],[1]:[31]],Koda3)</f>
        <v>0</v>
      </c>
      <c r="AL9" s="50">
        <f>COUNTIF(PrisotnostOktobra[[#This Row],[1]:[31]],Koda4)</f>
        <v>0</v>
      </c>
      <c r="AM9" s="6">
        <f>SUM(PrisotnostOktobra[[#This Row],[E]:[N]])</f>
        <v>0</v>
      </c>
      <c r="AN9" s="7"/>
    </row>
    <row r="10" spans="1:40" ht="16.5" customHeight="1" x14ac:dyDescent="0.25">
      <c r="B10" s="48"/>
      <c r="C10" s="21" t="str">
        <f>IFERROR(VLOOKUP(PrisotnostOktobra[[#This Row],[ID študenta]],SeznamUčencev[],18,FALSE),"")</f>
        <v/>
      </c>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6"/>
      <c r="AG10" s="24"/>
      <c r="AH10" s="24"/>
      <c r="AI10" s="6">
        <f>COUNTIF(PrisotnostOktobra[[#This Row],[1]:[31]],Koda1)</f>
        <v>0</v>
      </c>
      <c r="AJ10" s="50">
        <f>COUNTIF(PrisotnostOktobra[[#This Row],[1]:[31]],Koda2)</f>
        <v>0</v>
      </c>
      <c r="AK10" s="50">
        <f>COUNTIF(PrisotnostOktobra[[#This Row],[1]:[31]],Koda3)</f>
        <v>0</v>
      </c>
      <c r="AL10" s="50">
        <f>COUNTIF(PrisotnostOktobra[[#This Row],[1]:[31]],Koda4)</f>
        <v>0</v>
      </c>
      <c r="AM10" s="6">
        <f>SUM(PrisotnostOktobra[[#This Row],[E]:[N]])</f>
        <v>0</v>
      </c>
      <c r="AN10" s="10"/>
    </row>
    <row r="11" spans="1:40" ht="16.5" customHeight="1" x14ac:dyDescent="0.25">
      <c r="B11" s="48"/>
      <c r="C11" s="21" t="str">
        <f>IFERROR(VLOOKUP(PrisotnostOktobra[[#This Row],[ID študenta]],SeznamUčencev[],18,FALSE),"")</f>
        <v/>
      </c>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6"/>
      <c r="AG11" s="24"/>
      <c r="AH11" s="24"/>
      <c r="AI11" s="6">
        <f>COUNTIF(PrisotnostOktobra[[#This Row],[1]:[31]],Koda1)</f>
        <v>0</v>
      </c>
      <c r="AJ11" s="50">
        <f>COUNTIF(PrisotnostOktobra[[#This Row],[1]:[31]],Koda2)</f>
        <v>0</v>
      </c>
      <c r="AK11" s="50">
        <f>COUNTIF(PrisotnostOktobra[[#This Row],[1]:[31]],Koda3)</f>
        <v>0</v>
      </c>
      <c r="AL11" s="50">
        <f>COUNTIF(PrisotnostOktobra[[#This Row],[1]:[31]],Koda4)</f>
        <v>0</v>
      </c>
      <c r="AM11" s="6">
        <f>SUM(PrisotnostOktobra[[#This Row],[E]:[N]])</f>
        <v>0</v>
      </c>
      <c r="AN11" s="10"/>
    </row>
    <row r="12" spans="1:40" ht="16.5" customHeight="1" x14ac:dyDescent="0.25">
      <c r="B12" s="144"/>
      <c r="C12" s="145" t="s">
        <v>115</v>
      </c>
      <c r="D12" s="146">
        <f>COUNTIF(PrisotnostOktobra[1],"N")+COUNTIF(PrisotnostOktobra[1],"E")</f>
        <v>0</v>
      </c>
      <c r="E12" s="146">
        <f>COUNTIF(PrisotnostOktobra[2],"N")+COUNTIF(PrisotnostOktobra[2],"E")</f>
        <v>0</v>
      </c>
      <c r="F12" s="146">
        <f>COUNTIF(PrisotnostOktobra[3],"N")+COUNTIF(PrisotnostOktobra[3],"E")</f>
        <v>0</v>
      </c>
      <c r="G12" s="146">
        <f>COUNTIF(PrisotnostOktobra[4],"N")+COUNTIF(PrisotnostOktobra[4],"E")</f>
        <v>0</v>
      </c>
      <c r="H12" s="146">
        <f>COUNTIF(PrisotnostOktobra[5],"N")+COUNTIF(PrisotnostOktobra[5],"E")</f>
        <v>0</v>
      </c>
      <c r="I12" s="146">
        <f>COUNTIF(PrisotnostOktobra[6],"N")+COUNTIF(PrisotnostOktobra[6],"E")</f>
        <v>0</v>
      </c>
      <c r="J12" s="146">
        <f>COUNTIF(PrisotnostOktobra[7],"N")+COUNTIF(PrisotnostOktobra[7],"E")</f>
        <v>0</v>
      </c>
      <c r="K12" s="146">
        <f>COUNTIF(PrisotnostOktobra[8],"N")+COUNTIF(PrisotnostOktobra[8],"E")</f>
        <v>0</v>
      </c>
      <c r="L12" s="146">
        <f>COUNTIF(PrisotnostOktobra[9],"N")+COUNTIF(PrisotnostOktobra[9],"E")</f>
        <v>0</v>
      </c>
      <c r="M12" s="146">
        <f>COUNTIF(PrisotnostOktobra[10],"N")+COUNTIF(PrisotnostOktobra[10],"E")</f>
        <v>0</v>
      </c>
      <c r="N12" s="146">
        <f>COUNTIF(PrisotnostOktobra[11],"N")+COUNTIF(PrisotnostOktobra[11],"E")</f>
        <v>0</v>
      </c>
      <c r="O12" s="146">
        <f>COUNTIF(PrisotnostOktobra[12],"N")+COUNTIF(PrisotnostOktobra[12],"E")</f>
        <v>0</v>
      </c>
      <c r="P12" s="146">
        <f>COUNTIF(PrisotnostOktobra[13],"N")+COUNTIF(PrisotnostOktobra[13],"E")</f>
        <v>0</v>
      </c>
      <c r="Q12" s="146">
        <f>COUNTIF(PrisotnostOktobra[14],"N")+COUNTIF(PrisotnostOktobra[14],"E")</f>
        <v>0</v>
      </c>
      <c r="R12" s="146">
        <f>COUNTIF(PrisotnostOktobra[15],"N")+COUNTIF(PrisotnostOktobra[15],"E")</f>
        <v>0</v>
      </c>
      <c r="S12" s="146">
        <f>COUNTIF(PrisotnostOktobra[16],"N")+COUNTIF(PrisotnostOktobra[16],"E")</f>
        <v>0</v>
      </c>
      <c r="T12" s="146">
        <f>COUNTIF(PrisotnostOktobra[17],"N")+COUNTIF(PrisotnostOktobra[17],"E")</f>
        <v>0</v>
      </c>
      <c r="U12" s="146">
        <f>COUNTIF(PrisotnostOktobra[18],"N")+COUNTIF(PrisotnostOktobra[18],"E")</f>
        <v>0</v>
      </c>
      <c r="V12" s="146">
        <f>COUNTIF(PrisotnostOktobra[19],"N")+COUNTIF(PrisotnostOktobra[19],"E")</f>
        <v>0</v>
      </c>
      <c r="W12" s="146">
        <f>COUNTIF(PrisotnostOktobra[20],"N")+COUNTIF(PrisotnostOktobra[20],"E")</f>
        <v>0</v>
      </c>
      <c r="X12" s="146">
        <f>COUNTIF(PrisotnostOktobra[21],"N")+COUNTIF(PrisotnostOktobra[21],"E")</f>
        <v>0</v>
      </c>
      <c r="Y12" s="146">
        <f>COUNTIF(PrisotnostOktobra[22],"N")+COUNTIF(PrisotnostOktobra[22],"E")</f>
        <v>0</v>
      </c>
      <c r="Z12" s="146">
        <f>COUNTIF(PrisotnostOktobra[23],"N")+COUNTIF(PrisotnostOktobra[23],"E")</f>
        <v>0</v>
      </c>
      <c r="AA12" s="146">
        <f>COUNTIF(PrisotnostOktobra[24],"N")+COUNTIF(PrisotnostOktobra[24],"E")</f>
        <v>0</v>
      </c>
      <c r="AB12" s="146">
        <f>COUNTIF(PrisotnostOktobra[25],"N")+COUNTIF(PrisotnostOktobra[25],"E")</f>
        <v>0</v>
      </c>
      <c r="AC12" s="146">
        <f>COUNTIF(PrisotnostOktobra[26],"N")+COUNTIF(PrisotnostOktobra[26],"E")</f>
        <v>0</v>
      </c>
      <c r="AD12" s="146">
        <f>COUNTIF(PrisotnostOktobra[27],"N")+COUNTIF(PrisotnostOktobra[27],"E")</f>
        <v>0</v>
      </c>
      <c r="AE12" s="146">
        <f>COUNTIF(PrisotnostOktobra[28],"N")+COUNTIF(PrisotnostOktobra[28],"E")</f>
        <v>0</v>
      </c>
      <c r="AF12" s="146">
        <f>COUNTIF(PrisotnostOktobra[29],"N")+COUNTIF(PrisotnostOktobra[29],"E")</f>
        <v>0</v>
      </c>
      <c r="AG12" s="146">
        <f>COUNTIF(PrisotnostOktobra[30],"N")+COUNTIF(PrisotnostOktobra[30],"E")</f>
        <v>0</v>
      </c>
      <c r="AH12" s="146">
        <f>COUNTIF(PrisotnostOktobra[31],"N")+COUNTIF(PrisotnostOktobra[31],"E")</f>
        <v>0</v>
      </c>
      <c r="AI12" s="146">
        <f>SUBTOTAL(109,PrisotnostOktobra[Po])</f>
        <v>0</v>
      </c>
      <c r="AJ12" s="146">
        <f>SUBTOTAL(109,PrisotnostOktobra[E])</f>
        <v>0</v>
      </c>
      <c r="AK12" s="146">
        <f>SUBTOTAL(109,PrisotnostOktobra[N])</f>
        <v>0</v>
      </c>
      <c r="AL12" s="146">
        <f>SUBTOTAL(109,PrisotnostOktobra[P])</f>
        <v>0</v>
      </c>
      <c r="AM12" s="146">
        <f>SUBTOTAL(109,PrisotnostOktobra[Dni odsoten])</f>
        <v>0</v>
      </c>
    </row>
    <row r="13" spans="1:40" ht="16.5" customHeight="1" x14ac:dyDescent="0.25"/>
    <row r="14" spans="1:40" ht="16.5" customHeight="1" x14ac:dyDescent="0.25"/>
    <row r="15" spans="1:40" ht="16.5" customHeight="1" x14ac:dyDescent="0.25"/>
    <row r="16" spans="1:40"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sheetData>
  <sheetProtection formatCells="0" formatColumns="0" formatRows="0" insertColumns="0" insertRows="0" insertHyperlinks="0" deleteColumns="0" deleteRows="0" sort="0" autoFilter="0" pivotTables="0"/>
  <mergeCells count="1">
    <mergeCell ref="AI5:AM5"/>
  </mergeCells>
  <conditionalFormatting sqref="AM7:AM11">
    <cfRule type="dataBar" priority="6">
      <dataBar>
        <cfvo type="min"/>
        <cfvo type="num" val="31"/>
        <color theme="4"/>
      </dataBar>
      <extLst>
        <ext xmlns:x14="http://schemas.microsoft.com/office/spreadsheetml/2009/9/main" uri="{B025F937-C7B1-47D3-B67F-A62EFF666E3E}">
          <x14:id>{6EA17848-2AAC-40C7-98F3-52AFCDA9173D}</x14:id>
        </ext>
      </extLst>
    </cfRule>
  </conditionalFormatting>
  <conditionalFormatting sqref="AG7:AI11">
    <cfRule type="expression" dxfId="914" priority="7" stopIfTrue="1">
      <formula>AG7=Koda2</formula>
    </cfRule>
  </conditionalFormatting>
  <conditionalFormatting sqref="AG7:AH11">
    <cfRule type="expression" dxfId="913" priority="8" stopIfTrue="1">
      <formula>AG7=Koda5</formula>
    </cfRule>
    <cfRule type="expression" dxfId="912" priority="9" stopIfTrue="1">
      <formula>AG7=Koda4</formula>
    </cfRule>
    <cfRule type="expression" dxfId="911" priority="10" stopIfTrue="1">
      <formula>AG7=Koda3</formula>
    </cfRule>
    <cfRule type="expression" dxfId="910" priority="11" stopIfTrue="1">
      <formula>AG7=Koda1</formula>
    </cfRule>
  </conditionalFormatting>
  <conditionalFormatting sqref="D7:AF11">
    <cfRule type="expression" dxfId="909" priority="1" stopIfTrue="1">
      <formula>D7=Koda2</formula>
    </cfRule>
  </conditionalFormatting>
  <conditionalFormatting sqref="D7:AF11">
    <cfRule type="expression" dxfId="908" priority="2" stopIfTrue="1">
      <formula>D7=Koda5</formula>
    </cfRule>
    <cfRule type="expression" dxfId="907" priority="3" stopIfTrue="1">
      <formula>D7=Koda4</formula>
    </cfRule>
    <cfRule type="expression" dxfId="906" priority="4" stopIfTrue="1">
      <formula>D7=Koda3</formula>
    </cfRule>
    <cfRule type="expression" dxfId="905" priority="5" stopIfTrue="1">
      <formula>D7=Koda1</formula>
    </cfRule>
  </conditionalFormatting>
  <dataValidations count="1">
    <dataValidation type="list" errorStyle="warning" allowBlank="1" showInputMessage="1" showErrorMessage="1" errorTitle="Ups!" error="»ID študenta«, ki ste ga vnesli, ni na listu »Seznam študentov«. Kliknete lahko »Da«, če želite uporabiti, kar ste vnesli, ampak ta »ID študenta« ne bo na voljo na listu »Poročilo prisotnosti študentov«." sqref="B7:B11">
      <formula1>IDUčenca</formula1>
    </dataValidation>
  </dataValidations>
  <printOptions horizontalCentered="1"/>
  <pageMargins left="0.5" right="0.5" top="0.75" bottom="0.75" header="0.3" footer="0.3"/>
  <pageSetup paperSize="9" scale="60" fitToHeight="0" orientation="landscape" verticalDpi="12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6EA17848-2AAC-40C7-98F3-52AFCDA9173D}">
            <x14:dataBar minLength="0" maxLength="100" border="1" negativeBarBorderColorSameAsPositive="0">
              <x14:cfvo type="autoMin"/>
              <x14:cfvo type="num">
                <xm:f>31</xm:f>
              </x14:cfvo>
              <x14:borderColor theme="4"/>
              <x14:negativeFillColor rgb="FFFF0000"/>
              <x14:negativeBorderColor rgb="FFFF0000"/>
              <x14:axisColor rgb="FF000000"/>
            </x14:dataBar>
          </x14:cfRule>
          <xm:sqref>AM7:AM11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N346"/>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x14ac:dyDescent="0.25"/>
  <cols>
    <col min="1" max="1" width="2.7109375" style="11" customWidth="1"/>
    <col min="2" max="2" width="11.5703125" style="11" bestFit="1" customWidth="1"/>
    <col min="3" max="3" width="28.85546875" style="12" customWidth="1"/>
    <col min="4" max="34" width="5" style="10" customWidth="1"/>
    <col min="35" max="35" width="4.7109375" style="9" customWidth="1"/>
    <col min="36" max="36" width="4.7109375" style="10" customWidth="1"/>
    <col min="37" max="38" width="4.7109375" style="11" customWidth="1"/>
    <col min="39" max="39" width="12.7109375" style="11" customWidth="1"/>
    <col min="40" max="16384" width="9.140625" style="11"/>
  </cols>
  <sheetData>
    <row r="1" spans="1:40" s="1" customFormat="1" ht="42" customHeight="1" x14ac:dyDescent="0.25">
      <c r="A1" s="38" t="s">
        <v>84</v>
      </c>
      <c r="B1" s="39"/>
      <c r="C1" s="39"/>
      <c r="D1" s="40"/>
      <c r="E1" s="40"/>
      <c r="F1" s="40"/>
      <c r="G1" s="40"/>
      <c r="H1" s="40"/>
      <c r="I1" s="40"/>
      <c r="J1" s="40"/>
      <c r="K1" s="40"/>
      <c r="L1" s="40"/>
      <c r="M1" s="40"/>
      <c r="N1" s="40"/>
      <c r="O1" s="40"/>
      <c r="P1" s="40"/>
      <c r="Q1" s="40"/>
      <c r="R1" s="40"/>
      <c r="S1" s="40"/>
      <c r="T1" s="40"/>
      <c r="U1" s="40"/>
      <c r="V1" s="40"/>
      <c r="W1" s="40"/>
      <c r="X1" s="40"/>
      <c r="Y1" s="40"/>
      <c r="Z1" s="40"/>
      <c r="AA1" s="40"/>
      <c r="AB1" s="40"/>
      <c r="AC1" s="39"/>
      <c r="AD1" s="39"/>
      <c r="AE1" s="39"/>
      <c r="AF1" s="39"/>
      <c r="AG1" s="41"/>
      <c r="AH1" s="39"/>
      <c r="AI1" s="39"/>
      <c r="AJ1" s="42"/>
      <c r="AK1" s="39"/>
      <c r="AL1" s="58" t="s">
        <v>70</v>
      </c>
      <c r="AM1" s="59">
        <f>KoledarskoLeto</f>
        <v>2012</v>
      </c>
    </row>
    <row r="2" spans="1:40" customFormat="1" ht="13.5" x14ac:dyDescent="0.25"/>
    <row r="3" spans="1:40" s="32" customFormat="1" ht="12.75" customHeight="1" x14ac:dyDescent="0.25">
      <c r="C3" s="45" t="str">
        <f>BesediloBarvnegaKljuča</f>
        <v>BARVNI KLJUČ</v>
      </c>
      <c r="D3" s="52" t="str">
        <f>Koda1</f>
        <v>Po</v>
      </c>
      <c r="E3" s="69" t="str">
        <f>BesediloKode1</f>
        <v>Pozen</v>
      </c>
      <c r="F3" s="60"/>
      <c r="H3" s="53" t="str">
        <f>Koda2</f>
        <v>E</v>
      </c>
      <c r="I3" s="57" t="str">
        <f>BesediloKode2</f>
        <v>Opravičen</v>
      </c>
      <c r="L3" s="54" t="str">
        <f>Koda3</f>
        <v>N</v>
      </c>
      <c r="M3" s="57" t="str">
        <f>BesediloKode3</f>
        <v>Neopravičen</v>
      </c>
      <c r="P3" s="55" t="str">
        <f>Koda4</f>
        <v>P</v>
      </c>
      <c r="Q3" s="57" t="str">
        <f>BesediloKode4</f>
        <v>Prisoten</v>
      </c>
      <c r="T3" s="56" t="str">
        <f>Koda5</f>
        <v>Ni</v>
      </c>
      <c r="U3" s="57" t="str">
        <f>BesediloKode5</f>
        <v>Ni pouka</v>
      </c>
      <c r="W3"/>
      <c r="X3"/>
      <c r="Y3"/>
      <c r="AD3" s="31"/>
      <c r="AE3" s="31"/>
      <c r="AH3" s="33"/>
      <c r="AI3" s="34"/>
      <c r="AK3" s="35"/>
    </row>
    <row r="4" spans="1:40" customFormat="1" ht="16.5" customHeight="1" x14ac:dyDescent="0.25"/>
    <row r="5" spans="1:40" s="2" customFormat="1" ht="18" customHeight="1" x14ac:dyDescent="0.3">
      <c r="B5" s="62">
        <f>DATE(KoledarskoLeto,11,1)</f>
        <v>41214</v>
      </c>
      <c r="C5" s="61"/>
      <c r="D5" s="43" t="str">
        <f>TEXT(WEEKDAY(DATE(KoledarskoLeto,11,1),1),"aaa")</f>
        <v>čet</v>
      </c>
      <c r="E5" s="43" t="str">
        <f>TEXT(WEEKDAY(DATE(KoledarskoLeto,11,2),1),"aaa")</f>
        <v>pet</v>
      </c>
      <c r="F5" s="43" t="str">
        <f>TEXT(WEEKDAY(DATE(KoledarskoLeto,11,3),1),"aaa")</f>
        <v>sob</v>
      </c>
      <c r="G5" s="43" t="str">
        <f>TEXT(WEEKDAY(DATE(KoledarskoLeto,11,4),1),"aaa")</f>
        <v>ned</v>
      </c>
      <c r="H5" s="43" t="str">
        <f>TEXT(WEEKDAY(DATE(KoledarskoLeto,11,5),1),"aaa")</f>
        <v>pon</v>
      </c>
      <c r="I5" s="43" t="str">
        <f>TEXT(WEEKDAY(DATE(KoledarskoLeto,11,6),1),"aaa")</f>
        <v>tor</v>
      </c>
      <c r="J5" s="43" t="str">
        <f>TEXT(WEEKDAY(DATE(KoledarskoLeto,11,7),1),"aaa")</f>
        <v>sre</v>
      </c>
      <c r="K5" s="43" t="str">
        <f>TEXT(WEEKDAY(DATE(KoledarskoLeto,11,8),1),"aaa")</f>
        <v>čet</v>
      </c>
      <c r="L5" s="43" t="str">
        <f>TEXT(WEEKDAY(DATE(KoledarskoLeto,11,9),1),"aaa")</f>
        <v>pet</v>
      </c>
      <c r="M5" s="43" t="str">
        <f>TEXT(WEEKDAY(DATE(KoledarskoLeto,11,10),1),"aaa")</f>
        <v>sob</v>
      </c>
      <c r="N5" s="43" t="str">
        <f>TEXT(WEEKDAY(DATE(KoledarskoLeto,11,11),1),"aaa")</f>
        <v>ned</v>
      </c>
      <c r="O5" s="43" t="str">
        <f>TEXT(WEEKDAY(DATE(KoledarskoLeto,11,12),1),"aaa")</f>
        <v>pon</v>
      </c>
      <c r="P5" s="43" t="str">
        <f>TEXT(WEEKDAY(DATE(KoledarskoLeto,11,13),1),"aaa")</f>
        <v>tor</v>
      </c>
      <c r="Q5" s="43" t="str">
        <f>TEXT(WEEKDAY(DATE(KoledarskoLeto,11,14),1),"aaa")</f>
        <v>sre</v>
      </c>
      <c r="R5" s="43" t="str">
        <f>TEXT(WEEKDAY(DATE(KoledarskoLeto,11,15),1),"aaa")</f>
        <v>čet</v>
      </c>
      <c r="S5" s="43" t="str">
        <f>TEXT(WEEKDAY(DATE(KoledarskoLeto,11,16),1),"aaa")</f>
        <v>pet</v>
      </c>
      <c r="T5" s="43" t="str">
        <f>TEXT(WEEKDAY(DATE(KoledarskoLeto,11,17),1),"aaa")</f>
        <v>sob</v>
      </c>
      <c r="U5" s="43" t="str">
        <f>TEXT(WEEKDAY(DATE(KoledarskoLeto,11,18),1),"aaa")</f>
        <v>ned</v>
      </c>
      <c r="V5" s="43" t="str">
        <f>TEXT(WEEKDAY(DATE(KoledarskoLeto,11,19),1),"aaa")</f>
        <v>pon</v>
      </c>
      <c r="W5" s="43" t="str">
        <f>TEXT(WEEKDAY(DATE(KoledarskoLeto,11,20),1),"aaa")</f>
        <v>tor</v>
      </c>
      <c r="X5" s="43" t="str">
        <f>TEXT(WEEKDAY(DATE(KoledarskoLeto,11,21),1),"aaa")</f>
        <v>sre</v>
      </c>
      <c r="Y5" s="43" t="str">
        <f>TEXT(WEEKDAY(DATE(KoledarskoLeto,11,22),1),"aaa")</f>
        <v>čet</v>
      </c>
      <c r="Z5" s="43" t="str">
        <f>TEXT(WEEKDAY(DATE(KoledarskoLeto,11,23),1),"aaa")</f>
        <v>pet</v>
      </c>
      <c r="AA5" s="43" t="str">
        <f>TEXT(WEEKDAY(DATE(KoledarskoLeto,11,24),1),"aaa")</f>
        <v>sob</v>
      </c>
      <c r="AB5" s="43" t="str">
        <f>TEXT(WEEKDAY(DATE(KoledarskoLeto,11,25),1),"aaa")</f>
        <v>ned</v>
      </c>
      <c r="AC5" s="43" t="str">
        <f>TEXT(WEEKDAY(DATE(KoledarskoLeto,11,26),1),"aaa")</f>
        <v>pon</v>
      </c>
      <c r="AD5" s="43" t="str">
        <f>TEXT(WEEKDAY(DATE(KoledarskoLeto,11,27),1),"aaa")</f>
        <v>tor</v>
      </c>
      <c r="AE5" s="43" t="str">
        <f>TEXT(WEEKDAY(DATE(KoledarskoLeto,11,28),1),"aaa")</f>
        <v>sre</v>
      </c>
      <c r="AF5" s="43" t="str">
        <f>TEXT(WEEKDAY(DATE(KoledarskoLeto,11,29),1),"aaa")</f>
        <v>čet</v>
      </c>
      <c r="AG5" s="43" t="str">
        <f>TEXT(WEEKDAY(DATE(KoledarskoLeto,11,30),1),"aaa")</f>
        <v>pet</v>
      </c>
      <c r="AH5" s="43"/>
      <c r="AI5" s="118" t="s">
        <v>41</v>
      </c>
      <c r="AJ5" s="119"/>
      <c r="AK5" s="119"/>
      <c r="AL5" s="119"/>
      <c r="AM5" s="120"/>
    </row>
    <row r="6" spans="1:40" s="5" customFormat="1" ht="14.25" customHeight="1" x14ac:dyDescent="0.25">
      <c r="B6" s="46" t="s">
        <v>34</v>
      </c>
      <c r="C6" s="47" t="s">
        <v>36</v>
      </c>
      <c r="D6" s="3" t="s">
        <v>0</v>
      </c>
      <c r="E6" s="3" t="s">
        <v>1</v>
      </c>
      <c r="F6" s="3" t="s">
        <v>2</v>
      </c>
      <c r="G6" s="3" t="s">
        <v>3</v>
      </c>
      <c r="H6" s="3" t="s">
        <v>4</v>
      </c>
      <c r="I6" s="3" t="s">
        <v>5</v>
      </c>
      <c r="J6" s="3" t="s">
        <v>6</v>
      </c>
      <c r="K6" s="3" t="s">
        <v>7</v>
      </c>
      <c r="L6" s="3" t="s">
        <v>8</v>
      </c>
      <c r="M6" s="3" t="s">
        <v>9</v>
      </c>
      <c r="N6" s="3" t="s">
        <v>10</v>
      </c>
      <c r="O6" s="3" t="s">
        <v>11</v>
      </c>
      <c r="P6" s="3" t="s">
        <v>12</v>
      </c>
      <c r="Q6" s="3" t="s">
        <v>13</v>
      </c>
      <c r="R6" s="3" t="s">
        <v>14</v>
      </c>
      <c r="S6" s="3" t="s">
        <v>15</v>
      </c>
      <c r="T6" s="3" t="s">
        <v>16</v>
      </c>
      <c r="U6" s="3" t="s">
        <v>17</v>
      </c>
      <c r="V6" s="3" t="s">
        <v>18</v>
      </c>
      <c r="W6" s="3" t="s">
        <v>19</v>
      </c>
      <c r="X6" s="3" t="s">
        <v>20</v>
      </c>
      <c r="Y6" s="3" t="s">
        <v>21</v>
      </c>
      <c r="Z6" s="3" t="s">
        <v>22</v>
      </c>
      <c r="AA6" s="3" t="s">
        <v>23</v>
      </c>
      <c r="AB6" s="3" t="s">
        <v>24</v>
      </c>
      <c r="AC6" s="3" t="s">
        <v>25</v>
      </c>
      <c r="AD6" s="3" t="s">
        <v>26</v>
      </c>
      <c r="AE6" s="3" t="s">
        <v>27</v>
      </c>
      <c r="AF6" s="3" t="s">
        <v>28</v>
      </c>
      <c r="AG6" s="3" t="s">
        <v>29</v>
      </c>
      <c r="AH6" s="3" t="s">
        <v>114</v>
      </c>
      <c r="AI6" s="52" t="s">
        <v>133</v>
      </c>
      <c r="AJ6" s="53" t="s">
        <v>39</v>
      </c>
      <c r="AK6" s="54" t="s">
        <v>38</v>
      </c>
      <c r="AL6" s="70" t="s">
        <v>31</v>
      </c>
      <c r="AM6" s="51" t="s">
        <v>40</v>
      </c>
      <c r="AN6" s="4"/>
    </row>
    <row r="7" spans="1:40" s="5" customFormat="1" ht="16.5" customHeight="1" x14ac:dyDescent="0.25">
      <c r="B7" s="48"/>
      <c r="C7" s="49" t="str">
        <f>IFERROR(VLOOKUP(PrisotnostNovembra[[#This Row],[ID študenta]],SeznamUčencev[],18,FALSE),"")</f>
        <v/>
      </c>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6"/>
      <c r="AG7" s="24"/>
      <c r="AH7" s="24"/>
      <c r="AI7" s="6">
        <f>COUNTIF(PrisotnostNovembra[[#This Row],[1]:[ ]],Koda1)</f>
        <v>0</v>
      </c>
      <c r="AJ7" s="50">
        <f>COUNTIF(PrisotnostNovembra[[#This Row],[1]:[ ]],Koda2)</f>
        <v>0</v>
      </c>
      <c r="AK7" s="50">
        <f>COUNTIF(PrisotnostNovembra[[#This Row],[1]:[ ]],Koda3)</f>
        <v>0</v>
      </c>
      <c r="AL7" s="50">
        <f>COUNTIF(PrisotnostNovembra[[#This Row],[1]:[ ]],Koda4)</f>
        <v>0</v>
      </c>
      <c r="AM7" s="6">
        <f>SUM(PrisotnostNovembra[[#This Row],[E]:[N]])</f>
        <v>0</v>
      </c>
      <c r="AN7" s="4"/>
    </row>
    <row r="8" spans="1:40" s="5" customFormat="1" ht="16.5" customHeight="1" x14ac:dyDescent="0.25">
      <c r="B8" s="48"/>
      <c r="C8" s="21" t="str">
        <f>IFERROR(VLOOKUP(PrisotnostNovembra[[#This Row],[ID študenta]],SeznamUčencev[],18,FALSE),"")</f>
        <v/>
      </c>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6"/>
      <c r="AG8" s="24"/>
      <c r="AH8" s="24"/>
      <c r="AI8" s="6">
        <f>COUNTIF(PrisotnostNovembra[[#This Row],[1]:[ ]],Koda1)</f>
        <v>0</v>
      </c>
      <c r="AJ8" s="50">
        <f>COUNTIF(PrisotnostNovembra[[#This Row],[1]:[ ]],Koda2)</f>
        <v>0</v>
      </c>
      <c r="AK8" s="50">
        <f>COUNTIF(PrisotnostNovembra[[#This Row],[1]:[ ]],Koda3)</f>
        <v>0</v>
      </c>
      <c r="AL8" s="50">
        <f>COUNTIF(PrisotnostNovembra[[#This Row],[1]:[ ]],Koda4)</f>
        <v>0</v>
      </c>
      <c r="AM8" s="6">
        <f>SUM(PrisotnostNovembra[[#This Row],[E]:[N]])</f>
        <v>0</v>
      </c>
      <c r="AN8" s="4"/>
    </row>
    <row r="9" spans="1:40" s="8" customFormat="1" ht="16.5" customHeight="1" x14ac:dyDescent="0.25">
      <c r="B9" s="48"/>
      <c r="C9" s="21" t="str">
        <f>IFERROR(VLOOKUP(PrisotnostNovembra[[#This Row],[ID študenta]],SeznamUčencev[],18,FALSE),"")</f>
        <v/>
      </c>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6"/>
      <c r="AG9" s="24"/>
      <c r="AH9" s="24"/>
      <c r="AI9" s="6">
        <f>COUNTIF(PrisotnostNovembra[[#This Row],[1]:[ ]],Koda1)</f>
        <v>0</v>
      </c>
      <c r="AJ9" s="50">
        <f>COUNTIF(PrisotnostNovembra[[#This Row],[1]:[ ]],Koda2)</f>
        <v>0</v>
      </c>
      <c r="AK9" s="50">
        <f>COUNTIF(PrisotnostNovembra[[#This Row],[1]:[ ]],Koda3)</f>
        <v>0</v>
      </c>
      <c r="AL9" s="50">
        <f>COUNTIF(PrisotnostNovembra[[#This Row],[1]:[ ]],Koda4)</f>
        <v>0</v>
      </c>
      <c r="AM9" s="6">
        <f>SUM(PrisotnostNovembra[[#This Row],[E]:[N]])</f>
        <v>0</v>
      </c>
      <c r="AN9" s="7"/>
    </row>
    <row r="10" spans="1:40" ht="16.5" customHeight="1" x14ac:dyDescent="0.25">
      <c r="B10" s="48"/>
      <c r="C10" s="21" t="str">
        <f>IFERROR(VLOOKUP(PrisotnostNovembra[[#This Row],[ID študenta]],SeznamUčencev[],18,FALSE),"")</f>
        <v/>
      </c>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6"/>
      <c r="AG10" s="24"/>
      <c r="AH10" s="24"/>
      <c r="AI10" s="6">
        <f>COUNTIF(PrisotnostNovembra[[#This Row],[1]:[ ]],Koda1)</f>
        <v>0</v>
      </c>
      <c r="AJ10" s="50">
        <f>COUNTIF(PrisotnostNovembra[[#This Row],[1]:[ ]],Koda2)</f>
        <v>0</v>
      </c>
      <c r="AK10" s="50">
        <f>COUNTIF(PrisotnostNovembra[[#This Row],[1]:[ ]],Koda3)</f>
        <v>0</v>
      </c>
      <c r="AL10" s="50">
        <f>COUNTIF(PrisotnostNovembra[[#This Row],[1]:[ ]],Koda4)</f>
        <v>0</v>
      </c>
      <c r="AM10" s="6">
        <f>SUM(PrisotnostNovembra[[#This Row],[E]:[N]])</f>
        <v>0</v>
      </c>
      <c r="AN10" s="10"/>
    </row>
    <row r="11" spans="1:40" ht="16.5" customHeight="1" x14ac:dyDescent="0.25">
      <c r="B11" s="48"/>
      <c r="C11" s="21" t="str">
        <f>IFERROR(VLOOKUP(PrisotnostNovembra[[#This Row],[ID študenta]],SeznamUčencev[],18,FALSE),"")</f>
        <v/>
      </c>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6"/>
      <c r="AG11" s="24"/>
      <c r="AH11" s="24"/>
      <c r="AI11" s="6">
        <f>COUNTIF(PrisotnostNovembra[[#This Row],[1]:[ ]],Koda1)</f>
        <v>0</v>
      </c>
      <c r="AJ11" s="50">
        <f>COUNTIF(PrisotnostNovembra[[#This Row],[1]:[ ]],Koda2)</f>
        <v>0</v>
      </c>
      <c r="AK11" s="50">
        <f>COUNTIF(PrisotnostNovembra[[#This Row],[1]:[ ]],Koda3)</f>
        <v>0</v>
      </c>
      <c r="AL11" s="50">
        <f>COUNTIF(PrisotnostNovembra[[#This Row],[1]:[ ]],Koda4)</f>
        <v>0</v>
      </c>
      <c r="AM11" s="6">
        <f>SUM(PrisotnostNovembra[[#This Row],[E]:[N]])</f>
        <v>0</v>
      </c>
      <c r="AN11" s="10"/>
    </row>
    <row r="12" spans="1:40" ht="16.5" customHeight="1" x14ac:dyDescent="0.25">
      <c r="B12" s="144"/>
      <c r="C12" s="145" t="s">
        <v>115</v>
      </c>
      <c r="D12" s="146">
        <f>COUNTIF(PrisotnostNovembra[1],"N")+COUNTIF(PrisotnostNovembra[1],"E")</f>
        <v>0</v>
      </c>
      <c r="E12" s="146">
        <f>COUNTIF(PrisotnostNovembra[2],"N")+COUNTIF(PrisotnostNovembra[2],"E")</f>
        <v>0</v>
      </c>
      <c r="F12" s="146">
        <f>COUNTIF(PrisotnostNovembra[3],"N")+COUNTIF(PrisotnostNovembra[3],"E")</f>
        <v>0</v>
      </c>
      <c r="G12" s="146">
        <f>COUNTIF(PrisotnostNovembra[4],"N")+COUNTIF(PrisotnostNovembra[4],"E")</f>
        <v>0</v>
      </c>
      <c r="H12" s="146">
        <f>COUNTIF(PrisotnostNovembra[5],"N")+COUNTIF(PrisotnostNovembra[5],"E")</f>
        <v>0</v>
      </c>
      <c r="I12" s="146">
        <f>COUNTIF(PrisotnostNovembra[6],"N")+COUNTIF(PrisotnostNovembra[6],"E")</f>
        <v>0</v>
      </c>
      <c r="J12" s="146">
        <f>COUNTIF(PrisotnostNovembra[7],"N")+COUNTIF(PrisotnostNovembra[7],"E")</f>
        <v>0</v>
      </c>
      <c r="K12" s="146">
        <f>COUNTIF(PrisotnostNovembra[8],"N")+COUNTIF(PrisotnostNovembra[8],"E")</f>
        <v>0</v>
      </c>
      <c r="L12" s="146">
        <f>COUNTIF(PrisotnostNovembra[9],"N")+COUNTIF(PrisotnostNovembra[9],"E")</f>
        <v>0</v>
      </c>
      <c r="M12" s="146">
        <f>COUNTIF(PrisotnostNovembra[10],"N")+COUNTIF(PrisotnostNovembra[10],"E")</f>
        <v>0</v>
      </c>
      <c r="N12" s="146">
        <f>COUNTIF(PrisotnostNovembra[11],"N")+COUNTIF(PrisotnostNovembra[11],"E")</f>
        <v>0</v>
      </c>
      <c r="O12" s="146">
        <f>COUNTIF(PrisotnostNovembra[12],"N")+COUNTIF(PrisotnostNovembra[12],"E")</f>
        <v>0</v>
      </c>
      <c r="P12" s="146">
        <f>COUNTIF(PrisotnostNovembra[13],"N")+COUNTIF(PrisotnostNovembra[13],"E")</f>
        <v>0</v>
      </c>
      <c r="Q12" s="146">
        <f>COUNTIF(PrisotnostNovembra[14],"N")+COUNTIF(PrisotnostNovembra[14],"E")</f>
        <v>0</v>
      </c>
      <c r="R12" s="146">
        <f>COUNTIF(PrisotnostNovembra[15],"N")+COUNTIF(PrisotnostNovembra[15],"E")</f>
        <v>0</v>
      </c>
      <c r="S12" s="146">
        <f>COUNTIF(PrisotnostNovembra[16],"N")+COUNTIF(PrisotnostNovembra[16],"E")</f>
        <v>0</v>
      </c>
      <c r="T12" s="146">
        <f>COUNTIF(PrisotnostNovembra[17],"N")+COUNTIF(PrisotnostNovembra[17],"E")</f>
        <v>0</v>
      </c>
      <c r="U12" s="146">
        <f>COUNTIF(PrisotnostNovembra[18],"N")+COUNTIF(PrisotnostNovembra[18],"E")</f>
        <v>0</v>
      </c>
      <c r="V12" s="146">
        <f>COUNTIF(PrisotnostNovembra[19],"N")+COUNTIF(PrisotnostNovembra[19],"E")</f>
        <v>0</v>
      </c>
      <c r="W12" s="146">
        <f>COUNTIF(PrisotnostNovembra[20],"N")+COUNTIF(PrisotnostNovembra[20],"E")</f>
        <v>0</v>
      </c>
      <c r="X12" s="146">
        <f>COUNTIF(PrisotnostNovembra[21],"N")+COUNTIF(PrisotnostNovembra[21],"E")</f>
        <v>0</v>
      </c>
      <c r="Y12" s="146">
        <f>COUNTIF(PrisotnostNovembra[22],"N")+COUNTIF(PrisotnostNovembra[22],"E")</f>
        <v>0</v>
      </c>
      <c r="Z12" s="146">
        <f>COUNTIF(PrisotnostNovembra[23],"N")+COUNTIF(PrisotnostNovembra[23],"E")</f>
        <v>0</v>
      </c>
      <c r="AA12" s="146">
        <f>COUNTIF(PrisotnostNovembra[24],"N")+COUNTIF(PrisotnostNovembra[24],"E")</f>
        <v>0</v>
      </c>
      <c r="AB12" s="146">
        <f>COUNTIF(PrisotnostNovembra[25],"N")+COUNTIF(PrisotnostNovembra[25],"E")</f>
        <v>0</v>
      </c>
      <c r="AC12" s="146">
        <f>COUNTIF(PrisotnostNovembra[26],"N")+COUNTIF(PrisotnostNovembra[26],"E")</f>
        <v>0</v>
      </c>
      <c r="AD12" s="146">
        <f>COUNTIF(PrisotnostNovembra[27],"N")+COUNTIF(PrisotnostNovembra[27],"E")</f>
        <v>0</v>
      </c>
      <c r="AE12" s="146">
        <f>COUNTIF(PrisotnostNovembra[28],"N")+COUNTIF(PrisotnostNovembra[28],"E")</f>
        <v>0</v>
      </c>
      <c r="AF12" s="146">
        <f>COUNTIF(PrisotnostNovembra[29],"N")+COUNTIF(PrisotnostNovembra[29],"E")</f>
        <v>0</v>
      </c>
      <c r="AG12" s="146">
        <f>COUNTIF(PrisotnostNovembra[30],"N")+COUNTIF(PrisotnostNovembra[30],"E")</f>
        <v>0</v>
      </c>
      <c r="AH12" s="146">
        <f>COUNTIF(PrisotnostNovembra[[ ]],"N")+COUNTIF(PrisotnostNovembra[[ ]],"E")</f>
        <v>0</v>
      </c>
      <c r="AI12" s="146">
        <f>SUBTOTAL(109,PrisotnostNovembra[Po])</f>
        <v>0</v>
      </c>
      <c r="AJ12" s="146">
        <f>SUBTOTAL(109,PrisotnostNovembra[E])</f>
        <v>0</v>
      </c>
      <c r="AK12" s="146">
        <f>SUBTOTAL(109,PrisotnostNovembra[N])</f>
        <v>0</v>
      </c>
      <c r="AL12" s="146">
        <f>SUBTOTAL(109,PrisotnostNovembra[P])</f>
        <v>0</v>
      </c>
      <c r="AM12" s="146">
        <f>SUBTOTAL(109,PrisotnostNovembra[Dni odsoten])</f>
        <v>0</v>
      </c>
    </row>
    <row r="13" spans="1:40" ht="16.5" customHeight="1" x14ac:dyDescent="0.25"/>
    <row r="14" spans="1:40" ht="16.5" customHeight="1" x14ac:dyDescent="0.25"/>
    <row r="15" spans="1:40" ht="16.5" customHeight="1" x14ac:dyDescent="0.25"/>
    <row r="16" spans="1:40"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sheetData>
  <sheetProtection formatCells="0" formatColumns="0" formatRows="0" insertColumns="0" insertRows="0" insertHyperlinks="0" deleteColumns="0" deleteRows="0" sort="0" autoFilter="0" pivotTables="0"/>
  <mergeCells count="1">
    <mergeCell ref="AI5:AM5"/>
  </mergeCells>
  <conditionalFormatting sqref="AM7:AM11">
    <cfRule type="dataBar" priority="6">
      <dataBar>
        <cfvo type="min"/>
        <cfvo type="num" val="31"/>
        <color theme="4"/>
      </dataBar>
      <extLst>
        <ext xmlns:x14="http://schemas.microsoft.com/office/spreadsheetml/2009/9/main" uri="{B025F937-C7B1-47D3-B67F-A62EFF666E3E}">
          <x14:id>{4EF7D5CF-EA6D-4C42-92A1-96F3633946CC}</x14:id>
        </ext>
      </extLst>
    </cfRule>
  </conditionalFormatting>
  <conditionalFormatting sqref="AG7:AI11">
    <cfRule type="expression" dxfId="869" priority="7" stopIfTrue="1">
      <formula>AG7=Koda2</formula>
    </cfRule>
  </conditionalFormatting>
  <conditionalFormatting sqref="AG7:AH11">
    <cfRule type="expression" dxfId="868" priority="8" stopIfTrue="1">
      <formula>AG7=Koda5</formula>
    </cfRule>
    <cfRule type="expression" dxfId="867" priority="9" stopIfTrue="1">
      <formula>AG7=Koda4</formula>
    </cfRule>
    <cfRule type="expression" dxfId="866" priority="10" stopIfTrue="1">
      <formula>AG7=Koda3</formula>
    </cfRule>
    <cfRule type="expression" dxfId="865" priority="11" stopIfTrue="1">
      <formula>AG7=Koda1</formula>
    </cfRule>
  </conditionalFormatting>
  <conditionalFormatting sqref="D7:AF11">
    <cfRule type="expression" dxfId="864" priority="1" stopIfTrue="1">
      <formula>D7=Koda2</formula>
    </cfRule>
  </conditionalFormatting>
  <conditionalFormatting sqref="D7:AF11">
    <cfRule type="expression" dxfId="863" priority="2" stopIfTrue="1">
      <formula>D7=Koda5</formula>
    </cfRule>
    <cfRule type="expression" dxfId="862" priority="3" stopIfTrue="1">
      <formula>D7=Koda4</formula>
    </cfRule>
    <cfRule type="expression" dxfId="861" priority="4" stopIfTrue="1">
      <formula>D7=Koda3</formula>
    </cfRule>
    <cfRule type="expression" dxfId="860" priority="5" stopIfTrue="1">
      <formula>D7=Koda1</formula>
    </cfRule>
  </conditionalFormatting>
  <dataValidations count="1">
    <dataValidation type="list" errorStyle="warning" allowBlank="1" showInputMessage="1" showErrorMessage="1" errorTitle="Ups!" error="»ID študenta«, ki ste ga vnesli, ni na listu »Seznam študentov«. Kliknete lahko »Da«, če želite uporabiti, kar ste vnesli, ampak ta »ID študenta« ne bo na voljo na listu »Poročilo prisotnosti študentov«." sqref="B7:B11">
      <formula1>IDUčenca</formula1>
    </dataValidation>
  </dataValidations>
  <printOptions horizontalCentered="1"/>
  <pageMargins left="0.5" right="0.5" top="0.75" bottom="0.75" header="0.3" footer="0.3"/>
  <pageSetup paperSize="9" scale="60" fitToHeight="0" orientation="landscape" verticalDpi="12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4EF7D5CF-EA6D-4C42-92A1-96F3633946CC}">
            <x14:dataBar minLength="0" maxLength="100" border="1" negativeBarBorderColorSameAsPositive="0">
              <x14:cfvo type="autoMin"/>
              <x14:cfvo type="num">
                <xm:f>31</xm:f>
              </x14:cfvo>
              <x14:borderColor theme="4"/>
              <x14:negativeFillColor rgb="FFFF0000"/>
              <x14:negativeBorderColor rgb="FFFF0000"/>
              <x14:axisColor rgb="FF000000"/>
            </x14:dataBar>
          </x14:cfRule>
          <xm:sqref>AM7:AM11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N346"/>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x14ac:dyDescent="0.25"/>
  <cols>
    <col min="1" max="1" width="2.7109375" style="11" customWidth="1"/>
    <col min="2" max="2" width="11.5703125" style="11" bestFit="1" customWidth="1"/>
    <col min="3" max="3" width="28.85546875" style="12" customWidth="1"/>
    <col min="4" max="34" width="5" style="10" customWidth="1"/>
    <col min="35" max="35" width="4.7109375" style="9" customWidth="1"/>
    <col min="36" max="36" width="4.7109375" style="10" customWidth="1"/>
    <col min="37" max="38" width="4.7109375" style="11" customWidth="1"/>
    <col min="39" max="39" width="12.7109375" style="11" customWidth="1"/>
    <col min="40" max="16384" width="9.140625" style="11"/>
  </cols>
  <sheetData>
    <row r="1" spans="1:40" s="1" customFormat="1" ht="42" customHeight="1" x14ac:dyDescent="0.25">
      <c r="A1" s="38" t="s">
        <v>84</v>
      </c>
      <c r="B1" s="39"/>
      <c r="C1" s="39"/>
      <c r="D1" s="40"/>
      <c r="E1" s="40"/>
      <c r="F1" s="40"/>
      <c r="G1" s="40"/>
      <c r="H1" s="40"/>
      <c r="I1" s="40"/>
      <c r="J1" s="40"/>
      <c r="K1" s="40"/>
      <c r="L1" s="40"/>
      <c r="M1" s="40"/>
      <c r="N1" s="40"/>
      <c r="O1" s="40"/>
      <c r="P1" s="40"/>
      <c r="Q1" s="40"/>
      <c r="R1" s="40"/>
      <c r="S1" s="40"/>
      <c r="T1" s="40"/>
      <c r="U1" s="40"/>
      <c r="V1" s="40"/>
      <c r="W1" s="40"/>
      <c r="X1" s="40"/>
      <c r="Y1" s="40"/>
      <c r="Z1" s="40"/>
      <c r="AA1" s="40"/>
      <c r="AB1" s="40"/>
      <c r="AC1" s="39"/>
      <c r="AD1" s="39"/>
      <c r="AE1" s="39"/>
      <c r="AF1" s="39"/>
      <c r="AG1" s="41"/>
      <c r="AH1" s="39"/>
      <c r="AI1" s="39"/>
      <c r="AJ1" s="42"/>
      <c r="AK1" s="39"/>
      <c r="AL1" s="58" t="s">
        <v>70</v>
      </c>
      <c r="AM1" s="59">
        <f>KoledarskoLeto</f>
        <v>2012</v>
      </c>
    </row>
    <row r="2" spans="1:40" customFormat="1" ht="13.5" x14ac:dyDescent="0.25"/>
    <row r="3" spans="1:40" s="32" customFormat="1" ht="12.75" customHeight="1" x14ac:dyDescent="0.25">
      <c r="C3" s="45" t="str">
        <f>BesediloBarvnegaKljuča</f>
        <v>BARVNI KLJUČ</v>
      </c>
      <c r="D3" s="52" t="str">
        <f>Koda1</f>
        <v>Po</v>
      </c>
      <c r="E3" s="69" t="str">
        <f>BesediloKode1</f>
        <v>Pozen</v>
      </c>
      <c r="F3" s="60"/>
      <c r="H3" s="53" t="str">
        <f>Koda2</f>
        <v>E</v>
      </c>
      <c r="I3" s="57" t="str">
        <f>BesediloKode2</f>
        <v>Opravičen</v>
      </c>
      <c r="L3" s="54" t="str">
        <f>Koda3</f>
        <v>N</v>
      </c>
      <c r="M3" s="57" t="str">
        <f>BesediloKode3</f>
        <v>Neopravičen</v>
      </c>
      <c r="P3" s="55" t="str">
        <f>Koda4</f>
        <v>P</v>
      </c>
      <c r="Q3" s="57" t="str">
        <f>BesediloKode4</f>
        <v>Prisoten</v>
      </c>
      <c r="T3" s="56" t="str">
        <f>Koda5</f>
        <v>Ni</v>
      </c>
      <c r="U3" s="57" t="str">
        <f>BesediloKode5</f>
        <v>Ni pouka</v>
      </c>
      <c r="W3"/>
      <c r="X3"/>
      <c r="Y3"/>
      <c r="AD3" s="31"/>
      <c r="AE3" s="31"/>
      <c r="AH3" s="33"/>
      <c r="AI3" s="34"/>
      <c r="AK3" s="35"/>
    </row>
    <row r="4" spans="1:40" customFormat="1" ht="16.5" customHeight="1" x14ac:dyDescent="0.25"/>
    <row r="5" spans="1:40" s="2" customFormat="1" ht="18" customHeight="1" x14ac:dyDescent="0.3">
      <c r="B5" s="62">
        <f>DATE(KoledarskoLeto,12,1)</f>
        <v>41244</v>
      </c>
      <c r="C5" s="61"/>
      <c r="D5" s="43" t="str">
        <f>TEXT(WEEKDAY(DATE(KoledarskoLeto,12,1),1),"aaa")</f>
        <v>sob</v>
      </c>
      <c r="E5" s="43" t="str">
        <f>TEXT(WEEKDAY(DATE(KoledarskoLeto,12,2),1),"aaa")</f>
        <v>ned</v>
      </c>
      <c r="F5" s="43" t="str">
        <f>TEXT(WEEKDAY(DATE(KoledarskoLeto,12,3),1),"aaa")</f>
        <v>pon</v>
      </c>
      <c r="G5" s="43" t="str">
        <f>TEXT(WEEKDAY(DATE(KoledarskoLeto,12,4),1),"aaa")</f>
        <v>tor</v>
      </c>
      <c r="H5" s="43" t="str">
        <f>TEXT(WEEKDAY(DATE(KoledarskoLeto,12,5),1),"aaa")</f>
        <v>sre</v>
      </c>
      <c r="I5" s="43" t="str">
        <f>TEXT(WEEKDAY(DATE(KoledarskoLeto,12,6),1),"aaa")</f>
        <v>čet</v>
      </c>
      <c r="J5" s="43" t="str">
        <f>TEXT(WEEKDAY(DATE(KoledarskoLeto,12,7),1),"aaa")</f>
        <v>pet</v>
      </c>
      <c r="K5" s="43" t="str">
        <f>TEXT(WEEKDAY(DATE(KoledarskoLeto,12,8),1),"aaa")</f>
        <v>sob</v>
      </c>
      <c r="L5" s="43" t="str">
        <f>TEXT(WEEKDAY(DATE(KoledarskoLeto,12,9),1),"aaa")</f>
        <v>ned</v>
      </c>
      <c r="M5" s="43" t="str">
        <f>TEXT(WEEKDAY(DATE(KoledarskoLeto,12,10),1),"aaa")</f>
        <v>pon</v>
      </c>
      <c r="N5" s="43" t="str">
        <f>TEXT(WEEKDAY(DATE(KoledarskoLeto,12,11),1),"aaa")</f>
        <v>tor</v>
      </c>
      <c r="O5" s="43" t="str">
        <f>TEXT(WEEKDAY(DATE(KoledarskoLeto,12,12),1),"aaa")</f>
        <v>sre</v>
      </c>
      <c r="P5" s="43" t="str">
        <f>TEXT(WEEKDAY(DATE(KoledarskoLeto,12,13),1),"aaa")</f>
        <v>čet</v>
      </c>
      <c r="Q5" s="43" t="str">
        <f>TEXT(WEEKDAY(DATE(KoledarskoLeto,12,14),1),"aaa")</f>
        <v>pet</v>
      </c>
      <c r="R5" s="43" t="str">
        <f>TEXT(WEEKDAY(DATE(KoledarskoLeto,12,15),1),"aaa")</f>
        <v>sob</v>
      </c>
      <c r="S5" s="43" t="str">
        <f>TEXT(WEEKDAY(DATE(KoledarskoLeto,12,16),1),"aaa")</f>
        <v>ned</v>
      </c>
      <c r="T5" s="43" t="str">
        <f>TEXT(WEEKDAY(DATE(KoledarskoLeto,12,17),1),"aaa")</f>
        <v>pon</v>
      </c>
      <c r="U5" s="43" t="str">
        <f>TEXT(WEEKDAY(DATE(KoledarskoLeto,12,18),1),"aaa")</f>
        <v>tor</v>
      </c>
      <c r="V5" s="43" t="str">
        <f>TEXT(WEEKDAY(DATE(KoledarskoLeto,12,19),1),"aaa")</f>
        <v>sre</v>
      </c>
      <c r="W5" s="43" t="str">
        <f>TEXT(WEEKDAY(DATE(KoledarskoLeto,12,20),1),"aaa")</f>
        <v>čet</v>
      </c>
      <c r="X5" s="43" t="str">
        <f>TEXT(WEEKDAY(DATE(KoledarskoLeto,12,21),1),"aaa")</f>
        <v>pet</v>
      </c>
      <c r="Y5" s="43" t="str">
        <f>TEXT(WEEKDAY(DATE(KoledarskoLeto,12,22),1),"aaa")</f>
        <v>sob</v>
      </c>
      <c r="Z5" s="43" t="str">
        <f>TEXT(WEEKDAY(DATE(KoledarskoLeto,12,23),1),"aaa")</f>
        <v>ned</v>
      </c>
      <c r="AA5" s="43" t="str">
        <f>TEXT(WEEKDAY(DATE(KoledarskoLeto,12,24),1),"aaa")</f>
        <v>pon</v>
      </c>
      <c r="AB5" s="43" t="str">
        <f>TEXT(WEEKDAY(DATE(KoledarskoLeto,12,25),1),"aaa")</f>
        <v>tor</v>
      </c>
      <c r="AC5" s="43" t="str">
        <f>TEXT(WEEKDAY(DATE(KoledarskoLeto,12,26),1),"aaa")</f>
        <v>sre</v>
      </c>
      <c r="AD5" s="43" t="str">
        <f>TEXT(WEEKDAY(DATE(KoledarskoLeto,12,27),1),"aaa")</f>
        <v>čet</v>
      </c>
      <c r="AE5" s="43" t="str">
        <f>TEXT(WEEKDAY(DATE(KoledarskoLeto,12,28),1),"aaa")</f>
        <v>pet</v>
      </c>
      <c r="AF5" s="43" t="str">
        <f>TEXT(WEEKDAY(DATE(KoledarskoLeto,12,29),1),"aaa")</f>
        <v>sob</v>
      </c>
      <c r="AG5" s="43" t="str">
        <f>TEXT(WEEKDAY(DATE(KoledarskoLeto,12,30),1),"aaa")</f>
        <v>ned</v>
      </c>
      <c r="AH5" s="43" t="str">
        <f>TEXT(WEEKDAY(DATE(KoledarskoLeto,12,31),1),"aaa")</f>
        <v>pon</v>
      </c>
      <c r="AI5" s="118" t="s">
        <v>41</v>
      </c>
      <c r="AJ5" s="119"/>
      <c r="AK5" s="119"/>
      <c r="AL5" s="119"/>
      <c r="AM5" s="120"/>
    </row>
    <row r="6" spans="1:40" s="5" customFormat="1" ht="14.25" customHeight="1" x14ac:dyDescent="0.25">
      <c r="B6" s="46" t="s">
        <v>34</v>
      </c>
      <c r="C6" s="47" t="s">
        <v>36</v>
      </c>
      <c r="D6" s="3" t="s">
        <v>0</v>
      </c>
      <c r="E6" s="3" t="s">
        <v>1</v>
      </c>
      <c r="F6" s="3" t="s">
        <v>2</v>
      </c>
      <c r="G6" s="3" t="s">
        <v>3</v>
      </c>
      <c r="H6" s="3" t="s">
        <v>4</v>
      </c>
      <c r="I6" s="3" t="s">
        <v>5</v>
      </c>
      <c r="J6" s="3" t="s">
        <v>6</v>
      </c>
      <c r="K6" s="3" t="s">
        <v>7</v>
      </c>
      <c r="L6" s="3" t="s">
        <v>8</v>
      </c>
      <c r="M6" s="3" t="s">
        <v>9</v>
      </c>
      <c r="N6" s="3" t="s">
        <v>10</v>
      </c>
      <c r="O6" s="3" t="s">
        <v>11</v>
      </c>
      <c r="P6" s="3" t="s">
        <v>12</v>
      </c>
      <c r="Q6" s="3" t="s">
        <v>13</v>
      </c>
      <c r="R6" s="3" t="s">
        <v>14</v>
      </c>
      <c r="S6" s="3" t="s">
        <v>15</v>
      </c>
      <c r="T6" s="3" t="s">
        <v>16</v>
      </c>
      <c r="U6" s="3" t="s">
        <v>17</v>
      </c>
      <c r="V6" s="3" t="s">
        <v>18</v>
      </c>
      <c r="W6" s="3" t="s">
        <v>19</v>
      </c>
      <c r="X6" s="3" t="s">
        <v>20</v>
      </c>
      <c r="Y6" s="3" t="s">
        <v>21</v>
      </c>
      <c r="Z6" s="3" t="s">
        <v>22</v>
      </c>
      <c r="AA6" s="3" t="s">
        <v>23</v>
      </c>
      <c r="AB6" s="3" t="s">
        <v>24</v>
      </c>
      <c r="AC6" s="3" t="s">
        <v>25</v>
      </c>
      <c r="AD6" s="3" t="s">
        <v>26</v>
      </c>
      <c r="AE6" s="3" t="s">
        <v>27</v>
      </c>
      <c r="AF6" s="3" t="s">
        <v>28</v>
      </c>
      <c r="AG6" s="3" t="s">
        <v>29</v>
      </c>
      <c r="AH6" s="3" t="s">
        <v>30</v>
      </c>
      <c r="AI6" s="52" t="s">
        <v>133</v>
      </c>
      <c r="AJ6" s="53" t="s">
        <v>39</v>
      </c>
      <c r="AK6" s="54" t="s">
        <v>38</v>
      </c>
      <c r="AL6" s="70" t="s">
        <v>31</v>
      </c>
      <c r="AM6" s="51" t="s">
        <v>40</v>
      </c>
      <c r="AN6" s="4"/>
    </row>
    <row r="7" spans="1:40" s="5" customFormat="1" ht="16.5" customHeight="1" x14ac:dyDescent="0.25">
      <c r="B7" s="48"/>
      <c r="C7" s="49" t="str">
        <f>IFERROR(VLOOKUP(PrisotnostDecembra[[#This Row],[ID študenta]],SeznamUčencev[],18,FALSE),"")</f>
        <v/>
      </c>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6"/>
      <c r="AG7" s="24"/>
      <c r="AH7" s="24"/>
      <c r="AI7" s="6">
        <f>COUNTIF(PrisotnostDecembra[[#This Row],[1]:[31]],Koda1)</f>
        <v>0</v>
      </c>
      <c r="AJ7" s="50">
        <f>COUNTIF(PrisotnostDecembra[[#This Row],[1]:[31]],Koda2)</f>
        <v>0</v>
      </c>
      <c r="AK7" s="50">
        <f>COUNTIF(PrisotnostDecembra[[#This Row],[1]:[31]],Koda3)</f>
        <v>0</v>
      </c>
      <c r="AL7" s="50">
        <f>COUNTIF(PrisotnostDecembra[[#This Row],[1]:[31]],Koda4)</f>
        <v>0</v>
      </c>
      <c r="AM7" s="6">
        <f>SUM(PrisotnostDecembra[[#This Row],[E]:[N]])</f>
        <v>0</v>
      </c>
      <c r="AN7" s="4"/>
    </row>
    <row r="8" spans="1:40" s="5" customFormat="1" ht="16.5" customHeight="1" x14ac:dyDescent="0.25">
      <c r="B8" s="48"/>
      <c r="C8" s="21" t="str">
        <f>IFERROR(VLOOKUP(PrisotnostDecembra[[#This Row],[ID študenta]],SeznamUčencev[],18,FALSE),"")</f>
        <v/>
      </c>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6"/>
      <c r="AG8" s="24"/>
      <c r="AH8" s="24"/>
      <c r="AI8" s="6">
        <f>COUNTIF(PrisotnostDecembra[[#This Row],[1]:[31]],Koda1)</f>
        <v>0</v>
      </c>
      <c r="AJ8" s="50">
        <f>COUNTIF(PrisotnostDecembra[[#This Row],[1]:[31]],Koda2)</f>
        <v>0</v>
      </c>
      <c r="AK8" s="50">
        <f>COUNTIF(PrisotnostDecembra[[#This Row],[1]:[31]],Koda3)</f>
        <v>0</v>
      </c>
      <c r="AL8" s="50">
        <f>COUNTIF(PrisotnostDecembra[[#This Row],[1]:[31]],Koda4)</f>
        <v>0</v>
      </c>
      <c r="AM8" s="6">
        <f>SUM(PrisotnostDecembra[[#This Row],[E]:[N]])</f>
        <v>0</v>
      </c>
      <c r="AN8" s="4"/>
    </row>
    <row r="9" spans="1:40" s="8" customFormat="1" ht="16.5" customHeight="1" x14ac:dyDescent="0.25">
      <c r="B9" s="48"/>
      <c r="C9" s="21" t="str">
        <f>IFERROR(VLOOKUP(PrisotnostDecembra[[#This Row],[ID študenta]],SeznamUčencev[],18,FALSE),"")</f>
        <v/>
      </c>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6"/>
      <c r="AG9" s="24"/>
      <c r="AH9" s="24"/>
      <c r="AI9" s="6">
        <f>COUNTIF(PrisotnostDecembra[[#This Row],[1]:[31]],Koda1)</f>
        <v>0</v>
      </c>
      <c r="AJ9" s="50">
        <f>COUNTIF(PrisotnostDecembra[[#This Row],[1]:[31]],Koda2)</f>
        <v>0</v>
      </c>
      <c r="AK9" s="50">
        <f>COUNTIF(PrisotnostDecembra[[#This Row],[1]:[31]],Koda3)</f>
        <v>0</v>
      </c>
      <c r="AL9" s="50">
        <f>COUNTIF(PrisotnostDecembra[[#This Row],[1]:[31]],Koda4)</f>
        <v>0</v>
      </c>
      <c r="AM9" s="6">
        <f>SUM(PrisotnostDecembra[[#This Row],[E]:[N]])</f>
        <v>0</v>
      </c>
      <c r="AN9" s="7"/>
    </row>
    <row r="10" spans="1:40" ht="16.5" customHeight="1" x14ac:dyDescent="0.25">
      <c r="B10" s="48"/>
      <c r="C10" s="21" t="str">
        <f>IFERROR(VLOOKUP(PrisotnostDecembra[[#This Row],[ID študenta]],SeznamUčencev[],18,FALSE),"")</f>
        <v/>
      </c>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6"/>
      <c r="AG10" s="24"/>
      <c r="AH10" s="24"/>
      <c r="AI10" s="6">
        <f>COUNTIF(PrisotnostDecembra[[#This Row],[1]:[31]],Koda1)</f>
        <v>0</v>
      </c>
      <c r="AJ10" s="50">
        <f>COUNTIF(PrisotnostDecembra[[#This Row],[1]:[31]],Koda2)</f>
        <v>0</v>
      </c>
      <c r="AK10" s="50">
        <f>COUNTIF(PrisotnostDecembra[[#This Row],[1]:[31]],Koda3)</f>
        <v>0</v>
      </c>
      <c r="AL10" s="50">
        <f>COUNTIF(PrisotnostDecembra[[#This Row],[1]:[31]],Koda4)</f>
        <v>0</v>
      </c>
      <c r="AM10" s="6">
        <f>SUM(PrisotnostDecembra[[#This Row],[E]:[N]])</f>
        <v>0</v>
      </c>
      <c r="AN10" s="10"/>
    </row>
    <row r="11" spans="1:40" ht="16.5" customHeight="1" x14ac:dyDescent="0.25">
      <c r="B11" s="48"/>
      <c r="C11" s="21" t="str">
        <f>IFERROR(VLOOKUP(PrisotnostDecembra[[#This Row],[ID študenta]],SeznamUčencev[],18,FALSE),"")</f>
        <v/>
      </c>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6"/>
      <c r="AG11" s="24"/>
      <c r="AH11" s="24"/>
      <c r="AI11" s="6">
        <f>COUNTIF(PrisotnostDecembra[[#This Row],[1]:[31]],Koda1)</f>
        <v>0</v>
      </c>
      <c r="AJ11" s="50">
        <f>COUNTIF(PrisotnostDecembra[[#This Row],[1]:[31]],Koda2)</f>
        <v>0</v>
      </c>
      <c r="AK11" s="50">
        <f>COUNTIF(PrisotnostDecembra[[#This Row],[1]:[31]],Koda3)</f>
        <v>0</v>
      </c>
      <c r="AL11" s="50">
        <f>COUNTIF(PrisotnostDecembra[[#This Row],[1]:[31]],Koda4)</f>
        <v>0</v>
      </c>
      <c r="AM11" s="6">
        <f>SUM(PrisotnostDecembra[[#This Row],[E]:[N]])</f>
        <v>0</v>
      </c>
      <c r="AN11" s="10"/>
    </row>
    <row r="12" spans="1:40" ht="16.5" customHeight="1" x14ac:dyDescent="0.25">
      <c r="B12" s="144"/>
      <c r="C12" s="145" t="s">
        <v>115</v>
      </c>
      <c r="D12" s="146">
        <f>COUNTIF(PrisotnostDecembra[1],"N")+COUNTIF(PrisotnostDecembra[1],"E")</f>
        <v>0</v>
      </c>
      <c r="E12" s="146">
        <f>COUNTIF(PrisotnostDecembra[2],"N")+COUNTIF(PrisotnostDecembra[2],"E")</f>
        <v>0</v>
      </c>
      <c r="F12" s="146">
        <f>COUNTIF(PrisotnostDecembra[3],"N")+COUNTIF(PrisotnostDecembra[3],"E")</f>
        <v>0</v>
      </c>
      <c r="G12" s="146">
        <f>COUNTIF(PrisotnostDecembra[4],"N")+COUNTIF(PrisotnostDecembra[4],"E")</f>
        <v>0</v>
      </c>
      <c r="H12" s="146">
        <f>COUNTIF(PrisotnostDecembra[5],"N")+COUNTIF(PrisotnostDecembra[5],"E")</f>
        <v>0</v>
      </c>
      <c r="I12" s="146">
        <f>COUNTIF(PrisotnostDecembra[6],"N")+COUNTIF(PrisotnostDecembra[6],"E")</f>
        <v>0</v>
      </c>
      <c r="J12" s="146">
        <f>COUNTIF(PrisotnostDecembra[7],"N")+COUNTIF(PrisotnostDecembra[7],"E")</f>
        <v>0</v>
      </c>
      <c r="K12" s="146">
        <f>COUNTIF(PrisotnostDecembra[8],"N")+COUNTIF(PrisotnostDecembra[8],"E")</f>
        <v>0</v>
      </c>
      <c r="L12" s="146">
        <f>COUNTIF(PrisotnostDecembra[9],"N")+COUNTIF(PrisotnostDecembra[9],"E")</f>
        <v>0</v>
      </c>
      <c r="M12" s="146">
        <f>COUNTIF(PrisotnostDecembra[10],"N")+COUNTIF(PrisotnostDecembra[10],"E")</f>
        <v>0</v>
      </c>
      <c r="N12" s="146">
        <f>COUNTIF(PrisotnostDecembra[11],"N")+COUNTIF(PrisotnostDecembra[11],"E")</f>
        <v>0</v>
      </c>
      <c r="O12" s="146">
        <f>COUNTIF(PrisotnostDecembra[12],"N")+COUNTIF(PrisotnostDecembra[12],"E")</f>
        <v>0</v>
      </c>
      <c r="P12" s="146">
        <f>COUNTIF(PrisotnostDecembra[13],"N")+COUNTIF(PrisotnostDecembra[13],"E")</f>
        <v>0</v>
      </c>
      <c r="Q12" s="146">
        <f>COUNTIF(PrisotnostDecembra[14],"N")+COUNTIF(PrisotnostDecembra[14],"E")</f>
        <v>0</v>
      </c>
      <c r="R12" s="146">
        <f>COUNTIF(PrisotnostDecembra[15],"N")+COUNTIF(PrisotnostDecembra[15],"E")</f>
        <v>0</v>
      </c>
      <c r="S12" s="146">
        <f>COUNTIF(PrisotnostDecembra[16],"N")+COUNTIF(PrisotnostDecembra[16],"E")</f>
        <v>0</v>
      </c>
      <c r="T12" s="146">
        <f>COUNTIF(PrisotnostDecembra[17],"N")+COUNTIF(PrisotnostDecembra[17],"E")</f>
        <v>0</v>
      </c>
      <c r="U12" s="146">
        <f>COUNTIF(PrisotnostDecembra[18],"N")+COUNTIF(PrisotnostDecembra[18],"E")</f>
        <v>0</v>
      </c>
      <c r="V12" s="146">
        <f>COUNTIF(PrisotnostDecembra[19],"N")+COUNTIF(PrisotnostDecembra[19],"E")</f>
        <v>0</v>
      </c>
      <c r="W12" s="146">
        <f>COUNTIF(PrisotnostDecembra[20],"N")+COUNTIF(PrisotnostDecembra[20],"E")</f>
        <v>0</v>
      </c>
      <c r="X12" s="146">
        <f>COUNTIF(PrisotnostDecembra[21],"N")+COUNTIF(PrisotnostDecembra[21],"E")</f>
        <v>0</v>
      </c>
      <c r="Y12" s="146">
        <f>COUNTIF(PrisotnostDecembra[22],"N")+COUNTIF(PrisotnostDecembra[22],"E")</f>
        <v>0</v>
      </c>
      <c r="Z12" s="146">
        <f>COUNTIF(PrisotnostDecembra[23],"N")+COUNTIF(PrisotnostDecembra[23],"E")</f>
        <v>0</v>
      </c>
      <c r="AA12" s="146">
        <f>COUNTIF(PrisotnostDecembra[24],"N")+COUNTIF(PrisotnostDecembra[24],"E")</f>
        <v>0</v>
      </c>
      <c r="AB12" s="146">
        <f>COUNTIF(PrisotnostDecembra[25],"N")+COUNTIF(PrisotnostDecembra[25],"E")</f>
        <v>0</v>
      </c>
      <c r="AC12" s="146">
        <f>COUNTIF(PrisotnostDecembra[26],"N")+COUNTIF(PrisotnostDecembra[26],"E")</f>
        <v>0</v>
      </c>
      <c r="AD12" s="146">
        <f>COUNTIF(PrisotnostDecembra[27],"N")+COUNTIF(PrisotnostDecembra[27],"E")</f>
        <v>0</v>
      </c>
      <c r="AE12" s="146">
        <f>COUNTIF(PrisotnostDecembra[28],"N")+COUNTIF(PrisotnostDecembra[28],"E")</f>
        <v>0</v>
      </c>
      <c r="AF12" s="146">
        <f>COUNTIF(PrisotnostDecembra[29],"N")+COUNTIF(PrisotnostDecembra[29],"E")</f>
        <v>0</v>
      </c>
      <c r="AG12" s="146">
        <f>COUNTIF(PrisotnostDecembra[30],"N")+COUNTIF(PrisotnostDecembra[30],"E")</f>
        <v>0</v>
      </c>
      <c r="AH12" s="146">
        <f>COUNTIF(PrisotnostDecembra[31],"N")+COUNTIF(PrisotnostDecembra[31],"E")</f>
        <v>0</v>
      </c>
      <c r="AI12" s="146">
        <f>SUBTOTAL(109,PrisotnostDecembra[Po])</f>
        <v>0</v>
      </c>
      <c r="AJ12" s="146">
        <f>SUBTOTAL(109,PrisotnostDecembra[E])</f>
        <v>0</v>
      </c>
      <c r="AK12" s="146">
        <f>SUBTOTAL(109,PrisotnostDecembra[N])</f>
        <v>0</v>
      </c>
      <c r="AL12" s="146">
        <f>SUBTOTAL(109,PrisotnostDecembra[P])</f>
        <v>0</v>
      </c>
      <c r="AM12" s="146">
        <f>SUBTOTAL(109,PrisotnostDecembra[Dni odsoten])</f>
        <v>0</v>
      </c>
    </row>
    <row r="14" spans="1:40" ht="16.5" customHeight="1" x14ac:dyDescent="0.25"/>
    <row r="15" spans="1:40" ht="16.5" customHeight="1" x14ac:dyDescent="0.25"/>
    <row r="16" spans="1:40"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sheetData>
  <sheetProtection formatCells="0" formatColumns="0" formatRows="0" insertColumns="0" insertRows="0" insertHyperlinks="0" deleteColumns="0" deleteRows="0" sort="0" autoFilter="0" pivotTables="0"/>
  <mergeCells count="1">
    <mergeCell ref="AI5:AM5"/>
  </mergeCells>
  <conditionalFormatting sqref="AM7:AM11">
    <cfRule type="dataBar" priority="6">
      <dataBar>
        <cfvo type="min"/>
        <cfvo type="num" val="31"/>
        <color theme="4"/>
      </dataBar>
      <extLst>
        <ext xmlns:x14="http://schemas.microsoft.com/office/spreadsheetml/2009/9/main" uri="{B025F937-C7B1-47D3-B67F-A62EFF666E3E}">
          <x14:id>{F1B3F415-3C3C-4616-B9AA-9BBD8C09A1CE}</x14:id>
        </ext>
      </extLst>
    </cfRule>
  </conditionalFormatting>
  <conditionalFormatting sqref="AG7:AI11">
    <cfRule type="expression" dxfId="824" priority="7" stopIfTrue="1">
      <formula>AG7=Koda2</formula>
    </cfRule>
  </conditionalFormatting>
  <conditionalFormatting sqref="AG7:AH11">
    <cfRule type="expression" dxfId="823" priority="8" stopIfTrue="1">
      <formula>AG7=Koda5</formula>
    </cfRule>
    <cfRule type="expression" dxfId="822" priority="9" stopIfTrue="1">
      <formula>AG7=Koda4</formula>
    </cfRule>
    <cfRule type="expression" dxfId="821" priority="10" stopIfTrue="1">
      <formula>AG7=Koda3</formula>
    </cfRule>
    <cfRule type="expression" dxfId="820" priority="11" stopIfTrue="1">
      <formula>AG7=Koda1</formula>
    </cfRule>
  </conditionalFormatting>
  <conditionalFormatting sqref="D7:AF11">
    <cfRule type="expression" dxfId="819" priority="1" stopIfTrue="1">
      <formula>D7=Koda2</formula>
    </cfRule>
  </conditionalFormatting>
  <conditionalFormatting sqref="D7:AF11">
    <cfRule type="expression" dxfId="818" priority="2" stopIfTrue="1">
      <formula>D7=Koda5</formula>
    </cfRule>
    <cfRule type="expression" dxfId="817" priority="3" stopIfTrue="1">
      <formula>D7=Koda4</formula>
    </cfRule>
    <cfRule type="expression" dxfId="816" priority="4" stopIfTrue="1">
      <formula>D7=Koda3</formula>
    </cfRule>
    <cfRule type="expression" dxfId="815" priority="5" stopIfTrue="1">
      <formula>D7=Koda1</formula>
    </cfRule>
  </conditionalFormatting>
  <dataValidations count="1">
    <dataValidation type="list" errorStyle="warning" allowBlank="1" showInputMessage="1" showErrorMessage="1" errorTitle="Ups!" error="»ID študenta«, ki ste ga vnesli, ni na listu »Seznam študentov«. Kliknete lahko »Da«, če želite uporabiti, kar ste vnesli, ampak ta »ID študenta« ne bo na voljo na listu »Poročilo prisotnosti študentov«." sqref="B7:B11">
      <formula1>IDUčenca</formula1>
    </dataValidation>
  </dataValidations>
  <printOptions horizontalCentered="1"/>
  <pageMargins left="0.5" right="0.5" top="0.75" bottom="0.75" header="0.3" footer="0.3"/>
  <pageSetup paperSize="9" scale="60" fitToHeight="0" orientation="landscape" verticalDpi="12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1B3F415-3C3C-4616-B9AA-9BBD8C09A1CE}">
            <x14:dataBar minLength="0" maxLength="100" border="1" negativeBarBorderColorSameAsPositive="0">
              <x14:cfvo type="autoMin"/>
              <x14:cfvo type="num">
                <xm:f>31</xm:f>
              </x14:cfvo>
              <x14:borderColor theme="4"/>
              <x14:negativeFillColor rgb="FFFF0000"/>
              <x14:negativeBorderColor rgb="FFFF0000"/>
              <x14:axisColor rgb="FF000000"/>
            </x14:dataBar>
          </x14:cfRule>
          <xm:sqref>AM7:AM11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M264"/>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x14ac:dyDescent="0.25"/>
  <cols>
    <col min="1" max="1" width="2.7109375" style="11" customWidth="1"/>
    <col min="2" max="2" width="11.5703125" style="11" bestFit="1" customWidth="1"/>
    <col min="3" max="3" width="28.85546875" style="12" customWidth="1"/>
    <col min="4" max="34" width="5" style="10" customWidth="1"/>
    <col min="35" max="35" width="4.7109375" style="9" customWidth="1"/>
    <col min="36" max="36" width="4.7109375" style="10" customWidth="1"/>
    <col min="37" max="38" width="4.7109375" style="11" customWidth="1"/>
    <col min="39" max="39" width="12.7109375" style="11" customWidth="1"/>
    <col min="40" max="16384" width="9.140625" style="11"/>
  </cols>
  <sheetData>
    <row r="1" spans="1:39" s="1" customFormat="1" ht="42" customHeight="1" x14ac:dyDescent="0.25">
      <c r="A1" s="38" t="s">
        <v>84</v>
      </c>
      <c r="B1" s="39"/>
      <c r="C1" s="39"/>
      <c r="D1" s="40"/>
      <c r="E1" s="40"/>
      <c r="F1" s="40"/>
      <c r="G1" s="40"/>
      <c r="H1" s="40"/>
      <c r="I1" s="40"/>
      <c r="J1" s="40"/>
      <c r="K1" s="40"/>
      <c r="L1" s="40"/>
      <c r="M1" s="40"/>
      <c r="N1" s="40"/>
      <c r="O1" s="40"/>
      <c r="P1" s="40"/>
      <c r="Q1" s="40"/>
      <c r="R1" s="40"/>
      <c r="S1" s="40"/>
      <c r="T1" s="40"/>
      <c r="U1" s="40"/>
      <c r="V1" s="40"/>
      <c r="W1" s="40"/>
      <c r="X1" s="40"/>
      <c r="Y1" s="40"/>
      <c r="Z1" s="40"/>
      <c r="AA1" s="40"/>
      <c r="AB1" s="40"/>
      <c r="AC1" s="39"/>
      <c r="AD1" s="39"/>
      <c r="AE1" s="39"/>
      <c r="AF1" s="39"/>
      <c r="AG1" s="41"/>
      <c r="AH1" s="39"/>
      <c r="AI1" s="39"/>
      <c r="AJ1" s="42"/>
      <c r="AK1" s="39"/>
      <c r="AL1" s="58" t="s">
        <v>70</v>
      </c>
      <c r="AM1" s="59">
        <f>KoledarskoLeto</f>
        <v>2012</v>
      </c>
    </row>
    <row r="2" spans="1:39" customFormat="1" ht="13.5" x14ac:dyDescent="0.25"/>
    <row r="3" spans="1:39" s="32" customFormat="1" ht="12.75" customHeight="1" x14ac:dyDescent="0.25">
      <c r="C3" s="45" t="str">
        <f>BesediloBarvnegaKljuča</f>
        <v>BARVNI KLJUČ</v>
      </c>
      <c r="D3" s="52" t="str">
        <f>Koda1</f>
        <v>Po</v>
      </c>
      <c r="E3" s="69" t="str">
        <f>BesediloKode1</f>
        <v>Pozen</v>
      </c>
      <c r="F3" s="60"/>
      <c r="H3" s="53" t="str">
        <f>Koda2</f>
        <v>E</v>
      </c>
      <c r="I3" s="57" t="str">
        <f>BesediloKode2</f>
        <v>Opravičen</v>
      </c>
      <c r="L3" s="54" t="str">
        <f>Koda3</f>
        <v>N</v>
      </c>
      <c r="M3" s="57" t="str">
        <f>BesediloKode3</f>
        <v>Neopravičen</v>
      </c>
      <c r="P3" s="55" t="str">
        <f>Koda4</f>
        <v>P</v>
      </c>
      <c r="Q3" s="57" t="str">
        <f>BesediloKode4</f>
        <v>Prisoten</v>
      </c>
      <c r="T3" s="56" t="str">
        <f>Koda5</f>
        <v>Ni</v>
      </c>
      <c r="U3" s="57" t="str">
        <f>BesediloKode5</f>
        <v>Ni pouka</v>
      </c>
      <c r="W3"/>
      <c r="X3"/>
      <c r="Y3"/>
      <c r="AD3" s="31"/>
      <c r="AE3" s="31"/>
      <c r="AH3" s="33"/>
      <c r="AI3" s="34"/>
      <c r="AK3" s="35"/>
    </row>
    <row r="4" spans="1:39" customFormat="1" ht="16.5" customHeight="1" x14ac:dyDescent="0.25"/>
    <row r="5" spans="1:39" s="2" customFormat="1" ht="18" customHeight="1" x14ac:dyDescent="0.3">
      <c r="B5" s="62">
        <f>DATE(KoledarskoLeto+1,1,1)</f>
        <v>41275</v>
      </c>
      <c r="C5" s="61"/>
      <c r="D5" s="43" t="str">
        <f>TEXT(WEEKDAY(DATE(KoledarskoLeto+1,1,1),1),"aaa")</f>
        <v>tor</v>
      </c>
      <c r="E5" s="43" t="str">
        <f>TEXT(WEEKDAY(DATE(KoledarskoLeto+1,1,2),1),"aaa")</f>
        <v>sre</v>
      </c>
      <c r="F5" s="43" t="str">
        <f>TEXT(WEEKDAY(DATE(KoledarskoLeto+1,1,3),1),"aaa")</f>
        <v>čet</v>
      </c>
      <c r="G5" s="43" t="str">
        <f>TEXT(WEEKDAY(DATE(KoledarskoLeto+1,1,4),1),"aaa")</f>
        <v>pet</v>
      </c>
      <c r="H5" s="43" t="str">
        <f>TEXT(WEEKDAY(DATE(KoledarskoLeto+1,1,5),1),"aaa")</f>
        <v>sob</v>
      </c>
      <c r="I5" s="43" t="str">
        <f>TEXT(WEEKDAY(DATE(KoledarskoLeto+1,1,6),1),"aaa")</f>
        <v>ned</v>
      </c>
      <c r="J5" s="43" t="str">
        <f>TEXT(WEEKDAY(DATE(KoledarskoLeto+1,1,7),1),"aaa")</f>
        <v>pon</v>
      </c>
      <c r="K5" s="43" t="str">
        <f>TEXT(WEEKDAY(DATE(KoledarskoLeto+1,1,8),1),"aaa")</f>
        <v>tor</v>
      </c>
      <c r="L5" s="43" t="str">
        <f>TEXT(WEEKDAY(DATE(KoledarskoLeto+1,1,9),1),"aaa")</f>
        <v>sre</v>
      </c>
      <c r="M5" s="43" t="str">
        <f>TEXT(WEEKDAY(DATE(KoledarskoLeto+1,1,10),1),"aaa")</f>
        <v>čet</v>
      </c>
      <c r="N5" s="43" t="str">
        <f>TEXT(WEEKDAY(DATE(KoledarskoLeto+1,1,11),1),"aaa")</f>
        <v>pet</v>
      </c>
      <c r="O5" s="43" t="str">
        <f>TEXT(WEEKDAY(DATE(KoledarskoLeto+1,1,12),1),"aaa")</f>
        <v>sob</v>
      </c>
      <c r="P5" s="43" t="str">
        <f>TEXT(WEEKDAY(DATE(KoledarskoLeto+1,1,13),1),"aaa")</f>
        <v>ned</v>
      </c>
      <c r="Q5" s="43" t="str">
        <f>TEXT(WEEKDAY(DATE(KoledarskoLeto+1,1,14),1),"aaa")</f>
        <v>pon</v>
      </c>
      <c r="R5" s="43" t="str">
        <f>TEXT(WEEKDAY(DATE(KoledarskoLeto+1,1,15),1),"aaa")</f>
        <v>tor</v>
      </c>
      <c r="S5" s="43" t="str">
        <f>TEXT(WEEKDAY(DATE(KoledarskoLeto+1,1,16),1),"aaa")</f>
        <v>sre</v>
      </c>
      <c r="T5" s="43" t="str">
        <f>TEXT(WEEKDAY(DATE(KoledarskoLeto+1,1,17),1),"aaa")</f>
        <v>čet</v>
      </c>
      <c r="U5" s="43" t="str">
        <f>TEXT(WEEKDAY(DATE(KoledarskoLeto+1,1,18),1),"aaa")</f>
        <v>pet</v>
      </c>
      <c r="V5" s="43" t="str">
        <f>TEXT(WEEKDAY(DATE(KoledarskoLeto+1,1,19),1),"aaa")</f>
        <v>sob</v>
      </c>
      <c r="W5" s="43" t="str">
        <f>TEXT(WEEKDAY(DATE(KoledarskoLeto+1,1,20),1),"aaa")</f>
        <v>ned</v>
      </c>
      <c r="X5" s="43" t="str">
        <f>TEXT(WEEKDAY(DATE(KoledarskoLeto+1,1,21),1),"aaa")</f>
        <v>pon</v>
      </c>
      <c r="Y5" s="43" t="str">
        <f>TEXT(WEEKDAY(DATE(KoledarskoLeto+1,1,22),1),"aaa")</f>
        <v>tor</v>
      </c>
      <c r="Z5" s="43" t="str">
        <f>TEXT(WEEKDAY(DATE(KoledarskoLeto+1,1,23),1),"aaa")</f>
        <v>sre</v>
      </c>
      <c r="AA5" s="43" t="str">
        <f>TEXT(WEEKDAY(DATE(KoledarskoLeto+1,1,24),1),"aaa")</f>
        <v>čet</v>
      </c>
      <c r="AB5" s="43" t="str">
        <f>TEXT(WEEKDAY(DATE(KoledarskoLeto+1,1,25),1),"aaa")</f>
        <v>pet</v>
      </c>
      <c r="AC5" s="43" t="str">
        <f>TEXT(WEEKDAY(DATE(KoledarskoLeto+1,1,26),1),"aaa")</f>
        <v>sob</v>
      </c>
      <c r="AD5" s="43" t="str">
        <f>TEXT(WEEKDAY(DATE(KoledarskoLeto+1,1,27),1),"aaa")</f>
        <v>ned</v>
      </c>
      <c r="AE5" s="43" t="str">
        <f>TEXT(WEEKDAY(DATE(KoledarskoLeto+1,1,28),1),"aaa")</f>
        <v>pon</v>
      </c>
      <c r="AF5" s="43" t="str">
        <f>TEXT(WEEKDAY(DATE(KoledarskoLeto+1,1,29),1),"aaa")</f>
        <v>tor</v>
      </c>
      <c r="AG5" s="43" t="str">
        <f>TEXT(WEEKDAY(DATE(KoledarskoLeto+1,1,30),1),"aaa")</f>
        <v>sre</v>
      </c>
      <c r="AH5" s="43" t="str">
        <f>TEXT(WEEKDAY(DATE(KoledarskoLeto+1,1,31),1),"aaa")</f>
        <v>čet</v>
      </c>
      <c r="AI5" s="121" t="s">
        <v>41</v>
      </c>
      <c r="AJ5" s="121"/>
      <c r="AK5" s="121"/>
      <c r="AL5" s="121"/>
      <c r="AM5" s="121"/>
    </row>
    <row r="6" spans="1:39" ht="14.25" customHeight="1" x14ac:dyDescent="0.25">
      <c r="B6" s="28" t="s">
        <v>34</v>
      </c>
      <c r="C6" s="29" t="s">
        <v>36</v>
      </c>
      <c r="D6" s="30" t="s">
        <v>0</v>
      </c>
      <c r="E6" s="30" t="s">
        <v>1</v>
      </c>
      <c r="F6" s="30" t="s">
        <v>2</v>
      </c>
      <c r="G6" s="30" t="s">
        <v>3</v>
      </c>
      <c r="H6" s="30" t="s">
        <v>4</v>
      </c>
      <c r="I6" s="30" t="s">
        <v>5</v>
      </c>
      <c r="J6" s="30" t="s">
        <v>6</v>
      </c>
      <c r="K6" s="30" t="s">
        <v>7</v>
      </c>
      <c r="L6" s="30" t="s">
        <v>8</v>
      </c>
      <c r="M6" s="30" t="s">
        <v>9</v>
      </c>
      <c r="N6" s="30" t="s">
        <v>10</v>
      </c>
      <c r="O6" s="30" t="s">
        <v>11</v>
      </c>
      <c r="P6" s="30" t="s">
        <v>12</v>
      </c>
      <c r="Q6" s="30" t="s">
        <v>13</v>
      </c>
      <c r="R6" s="30" t="s">
        <v>14</v>
      </c>
      <c r="S6" s="30" t="s">
        <v>15</v>
      </c>
      <c r="T6" s="30" t="s">
        <v>16</v>
      </c>
      <c r="U6" s="30" t="s">
        <v>17</v>
      </c>
      <c r="V6" s="30" t="s">
        <v>18</v>
      </c>
      <c r="W6" s="30" t="s">
        <v>19</v>
      </c>
      <c r="X6" s="30" t="s">
        <v>20</v>
      </c>
      <c r="Y6" s="30" t="s">
        <v>21</v>
      </c>
      <c r="Z6" s="30" t="s">
        <v>22</v>
      </c>
      <c r="AA6" s="30" t="s">
        <v>23</v>
      </c>
      <c r="AB6" s="30" t="s">
        <v>24</v>
      </c>
      <c r="AC6" s="30" t="s">
        <v>25</v>
      </c>
      <c r="AD6" s="30" t="s">
        <v>26</v>
      </c>
      <c r="AE6" s="30" t="s">
        <v>27</v>
      </c>
      <c r="AF6" s="30" t="s">
        <v>28</v>
      </c>
      <c r="AG6" s="30" t="s">
        <v>29</v>
      </c>
      <c r="AH6" s="30" t="s">
        <v>30</v>
      </c>
      <c r="AI6" s="52" t="s">
        <v>133</v>
      </c>
      <c r="AJ6" s="53" t="s">
        <v>39</v>
      </c>
      <c r="AK6" s="54" t="s">
        <v>38</v>
      </c>
      <c r="AL6" s="36" t="s">
        <v>31</v>
      </c>
      <c r="AM6" t="s">
        <v>40</v>
      </c>
    </row>
    <row r="7" spans="1:39" ht="16.5" customHeight="1" x14ac:dyDescent="0.25">
      <c r="B7" s="27"/>
      <c r="C7" s="22" t="str">
        <f>IFERROR(VLOOKUP(PrisotnostJanuarja[[#This Row],[ID študenta]],SeznamUčencev[],18,FALSE),"")</f>
        <v/>
      </c>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6"/>
      <c r="AG7" s="3"/>
      <c r="AH7" s="3"/>
      <c r="AI7" s="37">
        <f>COUNTIF(PrisotnostJanuarja[[#This Row],[1]:[31]],Koda1)</f>
        <v>0</v>
      </c>
      <c r="AJ7" s="37">
        <f>COUNTIF(PrisotnostJanuarja[[#This Row],[1]:[31]],Koda2)</f>
        <v>0</v>
      </c>
      <c r="AK7" s="37">
        <f>COUNTIF(PrisotnostJanuarja[[#This Row],[1]:[31]],Koda3)</f>
        <v>0</v>
      </c>
      <c r="AL7" s="37">
        <f>COUNTIF(PrisotnostJanuarja[[#This Row],[1]:[31]],Koda4)</f>
        <v>0</v>
      </c>
      <c r="AM7" s="6">
        <f>SUM(PrisotnostJanuarja[[#This Row],[E]:[N]])</f>
        <v>0</v>
      </c>
    </row>
    <row r="8" spans="1:39" ht="16.5" customHeight="1" x14ac:dyDescent="0.25">
      <c r="B8" s="27"/>
      <c r="C8" s="23" t="str">
        <f>IFERROR(VLOOKUP(PrisotnostJanuarja[[#This Row],[ID študenta]],SeznamUčencev[],18,FALSE),"")</f>
        <v/>
      </c>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6"/>
      <c r="AG8" s="3"/>
      <c r="AH8" s="3"/>
      <c r="AI8" s="37">
        <f>COUNTIF(PrisotnostJanuarja[[#This Row],[1]:[31]],Koda1)</f>
        <v>0</v>
      </c>
      <c r="AJ8" s="37">
        <f>COUNTIF(PrisotnostJanuarja[[#This Row],[1]:[31]],Koda2)</f>
        <v>0</v>
      </c>
      <c r="AK8" s="37">
        <f>COUNTIF(PrisotnostJanuarja[[#This Row],[1]:[31]],Koda3)</f>
        <v>0</v>
      </c>
      <c r="AL8" s="37">
        <f>COUNTIF(PrisotnostJanuarja[[#This Row],[1]:[31]],Koda4)</f>
        <v>0</v>
      </c>
      <c r="AM8" s="6">
        <f>SUM(PrisotnostJanuarja[[#This Row],[E]:[N]])</f>
        <v>0</v>
      </c>
    </row>
    <row r="9" spans="1:39" ht="16.5" customHeight="1" x14ac:dyDescent="0.25">
      <c r="B9" s="27"/>
      <c r="C9" s="23" t="str">
        <f>IFERROR(VLOOKUP(PrisotnostJanuarja[[#This Row],[ID študenta]],SeznamUčencev[],18,FALSE),"")</f>
        <v/>
      </c>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6"/>
      <c r="AG9" s="3"/>
      <c r="AH9" s="3"/>
      <c r="AI9" s="37">
        <f>COUNTIF(PrisotnostJanuarja[[#This Row],[1]:[31]],Koda1)</f>
        <v>0</v>
      </c>
      <c r="AJ9" s="37">
        <f>COUNTIF(PrisotnostJanuarja[[#This Row],[1]:[31]],Koda2)</f>
        <v>0</v>
      </c>
      <c r="AK9" s="37">
        <f>COUNTIF(PrisotnostJanuarja[[#This Row],[1]:[31]],Koda3)</f>
        <v>0</v>
      </c>
      <c r="AL9" s="37">
        <f>COUNTIF(PrisotnostJanuarja[[#This Row],[1]:[31]],Koda4)</f>
        <v>0</v>
      </c>
      <c r="AM9" s="6">
        <f>SUM(PrisotnostJanuarja[[#This Row],[E]:[N]])</f>
        <v>0</v>
      </c>
    </row>
    <row r="10" spans="1:39" ht="16.5" customHeight="1" x14ac:dyDescent="0.25">
      <c r="B10" s="27"/>
      <c r="C10" s="23" t="str">
        <f>IFERROR(VLOOKUP(PrisotnostJanuarja[[#This Row],[ID študenta]],SeznamUčencev[],18,FALSE),"")</f>
        <v/>
      </c>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6"/>
      <c r="AG10" s="3"/>
      <c r="AH10" s="3"/>
      <c r="AI10" s="37">
        <f>COUNTIF(PrisotnostJanuarja[[#This Row],[1]:[31]],Koda1)</f>
        <v>0</v>
      </c>
      <c r="AJ10" s="37">
        <f>COUNTIF(PrisotnostJanuarja[[#This Row],[1]:[31]],Koda2)</f>
        <v>0</v>
      </c>
      <c r="AK10" s="37">
        <f>COUNTIF(PrisotnostJanuarja[[#This Row],[1]:[31]],Koda3)</f>
        <v>0</v>
      </c>
      <c r="AL10" s="37">
        <f>COUNTIF(PrisotnostJanuarja[[#This Row],[1]:[31]],Koda4)</f>
        <v>0</v>
      </c>
      <c r="AM10" s="6">
        <f>SUM(PrisotnostJanuarja[[#This Row],[E]:[N]])</f>
        <v>0</v>
      </c>
    </row>
    <row r="11" spans="1:39" ht="16.5" customHeight="1" x14ac:dyDescent="0.25">
      <c r="B11" s="27"/>
      <c r="C11" s="23" t="str">
        <f>IFERROR(VLOOKUP(PrisotnostJanuarja[[#This Row],[ID študenta]],SeznamUčencev[],18,FALSE),"")</f>
        <v/>
      </c>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6"/>
      <c r="AG11" s="3"/>
      <c r="AH11" s="3"/>
      <c r="AI11" s="37">
        <f>COUNTIF(PrisotnostJanuarja[[#This Row],[1]:[31]],Koda1)</f>
        <v>0</v>
      </c>
      <c r="AJ11" s="37">
        <f>COUNTIF(PrisotnostJanuarja[[#This Row],[1]:[31]],Koda2)</f>
        <v>0</v>
      </c>
      <c r="AK11" s="37">
        <f>COUNTIF(PrisotnostJanuarja[[#This Row],[1]:[31]],Koda3)</f>
        <v>0</v>
      </c>
      <c r="AL11" s="37">
        <f>COUNTIF(PrisotnostJanuarja[[#This Row],[1]:[31]],Koda4)</f>
        <v>0</v>
      </c>
      <c r="AM11" s="6">
        <f>SUM(PrisotnostJanuarja[[#This Row],[E]:[N]])</f>
        <v>0</v>
      </c>
    </row>
    <row r="12" spans="1:39" ht="16.5" customHeight="1" x14ac:dyDescent="0.25">
      <c r="B12" s="144"/>
      <c r="C12" s="145" t="s">
        <v>115</v>
      </c>
      <c r="D12" s="146">
        <f>COUNTIF(PrisotnostJanuarja[1],"N")+COUNTIF(PrisotnostJanuarja[1],"E")</f>
        <v>0</v>
      </c>
      <c r="E12" s="146">
        <f>COUNTIF(PrisotnostJanuarja[2],"N")+COUNTIF(PrisotnostJanuarja[2],"E")</f>
        <v>0</v>
      </c>
      <c r="F12" s="146">
        <f>COUNTIF(PrisotnostJanuarja[3],"N")+COUNTIF(PrisotnostJanuarja[3],"E")</f>
        <v>0</v>
      </c>
      <c r="G12" s="146">
        <f>COUNTIF(PrisotnostJanuarja[4],"N")+COUNTIF(PrisotnostJanuarja[4],"E")</f>
        <v>0</v>
      </c>
      <c r="H12" s="146">
        <f>COUNTIF(PrisotnostJanuarja[5],"N")+COUNTIF(PrisotnostJanuarja[5],"E")</f>
        <v>0</v>
      </c>
      <c r="I12" s="146">
        <f>COUNTIF(PrisotnostJanuarja[6],"N")+COUNTIF(PrisotnostJanuarja[6],"E")</f>
        <v>0</v>
      </c>
      <c r="J12" s="146">
        <f>COUNTIF(PrisotnostJanuarja[7],"N")+COUNTIF(PrisotnostJanuarja[7],"E")</f>
        <v>0</v>
      </c>
      <c r="K12" s="146">
        <f>COUNTIF(PrisotnostJanuarja[8],"N")+COUNTIF(PrisotnostJanuarja[8],"E")</f>
        <v>0</v>
      </c>
      <c r="L12" s="146">
        <f>COUNTIF(PrisotnostJanuarja[9],"N")+COUNTIF(PrisotnostJanuarja[9],"E")</f>
        <v>0</v>
      </c>
      <c r="M12" s="146">
        <f>COUNTIF(PrisotnostJanuarja[10],"N")+COUNTIF(PrisotnostJanuarja[10],"E")</f>
        <v>0</v>
      </c>
      <c r="N12" s="146">
        <f>COUNTIF(PrisotnostJanuarja[11],"N")+COUNTIF(PrisotnostJanuarja[11],"E")</f>
        <v>0</v>
      </c>
      <c r="O12" s="146">
        <f>COUNTIF(PrisotnostJanuarja[12],"N")+COUNTIF(PrisotnostJanuarja[12],"E")</f>
        <v>0</v>
      </c>
      <c r="P12" s="146">
        <f>COUNTIF(PrisotnostJanuarja[13],"N")+COUNTIF(PrisotnostJanuarja[13],"E")</f>
        <v>0</v>
      </c>
      <c r="Q12" s="146">
        <f>COUNTIF(PrisotnostJanuarja[14],"N")+COUNTIF(PrisotnostJanuarja[14],"E")</f>
        <v>0</v>
      </c>
      <c r="R12" s="146">
        <f>COUNTIF(PrisotnostJanuarja[15],"N")+COUNTIF(PrisotnostJanuarja[15],"E")</f>
        <v>0</v>
      </c>
      <c r="S12" s="146">
        <f>COUNTIF(PrisotnostJanuarja[16],"N")+COUNTIF(PrisotnostJanuarja[16],"E")</f>
        <v>0</v>
      </c>
      <c r="T12" s="146">
        <f>COUNTIF(PrisotnostJanuarja[17],"N")+COUNTIF(PrisotnostJanuarja[17],"E")</f>
        <v>0</v>
      </c>
      <c r="U12" s="146">
        <f>COUNTIF(PrisotnostJanuarja[18],"N")+COUNTIF(PrisotnostJanuarja[18],"E")</f>
        <v>0</v>
      </c>
      <c r="V12" s="146">
        <f>COUNTIF(PrisotnostJanuarja[19],"N")+COUNTIF(PrisotnostJanuarja[19],"E")</f>
        <v>0</v>
      </c>
      <c r="W12" s="146">
        <f>COUNTIF(PrisotnostJanuarja[20],"N")+COUNTIF(PrisotnostJanuarja[20],"E")</f>
        <v>0</v>
      </c>
      <c r="X12" s="146">
        <f>COUNTIF(PrisotnostJanuarja[21],"N")+COUNTIF(PrisotnostJanuarja[21],"E")</f>
        <v>0</v>
      </c>
      <c r="Y12" s="146">
        <f>COUNTIF(PrisotnostJanuarja[22],"N")+COUNTIF(PrisotnostJanuarja[22],"E")</f>
        <v>0</v>
      </c>
      <c r="Z12" s="146">
        <f>COUNTIF(PrisotnostJanuarja[23],"N")+COUNTIF(PrisotnostJanuarja[23],"E")</f>
        <v>0</v>
      </c>
      <c r="AA12" s="146">
        <f>COUNTIF(PrisotnostJanuarja[24],"N")+COUNTIF(PrisotnostJanuarja[24],"E")</f>
        <v>0</v>
      </c>
      <c r="AB12" s="146">
        <f>COUNTIF(PrisotnostJanuarja[25],"N")+COUNTIF(PrisotnostJanuarja[25],"E")</f>
        <v>0</v>
      </c>
      <c r="AC12" s="146">
        <f>COUNTIF(PrisotnostJanuarja[26],"N")+COUNTIF(PrisotnostJanuarja[26],"E")</f>
        <v>0</v>
      </c>
      <c r="AD12" s="146">
        <f>COUNTIF(PrisotnostJanuarja[27],"N")+COUNTIF(PrisotnostJanuarja[27],"E")</f>
        <v>0</v>
      </c>
      <c r="AE12" s="146">
        <f>COUNTIF(PrisotnostJanuarja[28],"N")+COUNTIF(PrisotnostJanuarja[28],"E")</f>
        <v>0</v>
      </c>
      <c r="AF12" s="146">
        <f>COUNTIF(PrisotnostJanuarja[29],"N")+COUNTIF(PrisotnostJanuarja[29],"E")</f>
        <v>0</v>
      </c>
      <c r="AG12" s="146"/>
      <c r="AH12" s="146"/>
      <c r="AI12" s="146">
        <f>SUBTOTAL(109,PrisotnostJanuarja[Po])</f>
        <v>0</v>
      </c>
      <c r="AJ12" s="146">
        <f>SUBTOTAL(109,PrisotnostJanuarja[N])</f>
        <v>0</v>
      </c>
      <c r="AK12" s="146">
        <f>SUBTOTAL(109,PrisotnostJanuarja[N])</f>
        <v>0</v>
      </c>
      <c r="AL12" s="146">
        <f>SUBTOTAL(109,PrisotnostJanuarja[P])</f>
        <v>0</v>
      </c>
      <c r="AM12" s="146">
        <f>SUBTOTAL(109,PrisotnostJanuarja[Dni odsoten])</f>
        <v>0</v>
      </c>
    </row>
    <row r="14" spans="1:39" ht="16.5" customHeight="1" x14ac:dyDescent="0.25"/>
    <row r="15" spans="1:39" ht="16.5" customHeight="1" x14ac:dyDescent="0.25"/>
    <row r="16" spans="1:39"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sheetData>
  <sheetProtection formatCells="0" formatColumns="0" formatRows="0" insertColumns="0" insertRows="0" insertHyperlinks="0" deleteColumns="0" deleteRows="0" sort="0" autoFilter="0" pivotTables="0"/>
  <mergeCells count="1">
    <mergeCell ref="AI5:AM5"/>
  </mergeCells>
  <conditionalFormatting sqref="AM7:AM11">
    <cfRule type="dataBar" priority="3">
      <dataBar>
        <cfvo type="min"/>
        <cfvo type="num" val="DATEDIF(DATE(KoledarskoLeto,2,1),DATE(KoledarskoLeto,3,1),&quot;d&quot;)"/>
        <color theme="4"/>
      </dataBar>
      <extLst>
        <ext xmlns:x14="http://schemas.microsoft.com/office/spreadsheetml/2009/9/main" uri="{B025F937-C7B1-47D3-B67F-A62EFF666E3E}">
          <x14:id>{14404821-1BA2-401A-A36D-E7C5CA142FF7}</x14:id>
        </ext>
      </extLst>
    </cfRule>
  </conditionalFormatting>
  <conditionalFormatting sqref="D7:AF11">
    <cfRule type="expression" dxfId="779" priority="4" stopIfTrue="1">
      <formula>D7=Koda2</formula>
    </cfRule>
  </conditionalFormatting>
  <conditionalFormatting sqref="D7:AF11">
    <cfRule type="expression" dxfId="778" priority="5" stopIfTrue="1">
      <formula>D7=Koda5</formula>
    </cfRule>
    <cfRule type="expression" dxfId="777" priority="6" stopIfTrue="1">
      <formula>D7=Koda4</formula>
    </cfRule>
    <cfRule type="expression" dxfId="776" priority="7" stopIfTrue="1">
      <formula>D7=Koda3</formula>
    </cfRule>
    <cfRule type="expression" dxfId="775" priority="8" stopIfTrue="1">
      <formula>D7=Koda1</formula>
    </cfRule>
  </conditionalFormatting>
  <dataValidations count="1">
    <dataValidation type="list" errorStyle="warning" allowBlank="1" showInputMessage="1" showErrorMessage="1" errorTitle="Ups!" error="»ID študenta«, ki ste ga vnesli, ni na listu »Seznam študentov«. Kliknete lahko »Da«, če želite uporabiti, kar ste vnesli, ampak ta »ID študenta« ne bo na voljo na listu »Poročilo prisotnosti študentov«." sqref="B7:B11">
      <formula1>IDUčenca</formula1>
    </dataValidation>
  </dataValidations>
  <printOptions horizontalCentered="1"/>
  <pageMargins left="0.5" right="0.5" top="0.75" bottom="0.75" header="0.3" footer="0.3"/>
  <pageSetup paperSize="9" scale="60" fitToHeight="0" orientation="landscape" verticalDpi="12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4404821-1BA2-401A-A36D-E7C5CA142FF7}">
            <x14:dataBar minLength="0" maxLength="100" border="1" negativeBarBorderColorSameAsPositive="0">
              <x14:cfvo type="autoMin"/>
              <x14:cfvo type="num">
                <xm:f>DATEDIF(DATE(KoledarskoLeto,2,1),DATE(KoledarskoLeto,3,1),"d")</xm:f>
              </x14:cfvo>
              <x14:borderColor theme="4"/>
              <x14:negativeFillColor rgb="FFFF0000"/>
              <x14:negativeBorderColor rgb="FFFF0000"/>
              <x14:axisColor rgb="FF000000"/>
            </x14:dataBar>
          </x14:cfRule>
          <xm:sqref>AM7:AM11</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499984740745262"/>
    <pageSetUpPr fitToPage="1"/>
  </sheetPr>
  <dimension ref="A1:AM264"/>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x14ac:dyDescent="0.25"/>
  <cols>
    <col min="1" max="1" width="2.7109375" style="11" customWidth="1"/>
    <col min="2" max="2" width="11.5703125" style="11" bestFit="1" customWidth="1"/>
    <col min="3" max="3" width="28.85546875" style="12" customWidth="1"/>
    <col min="4" max="34" width="5" style="10" customWidth="1"/>
    <col min="35" max="35" width="4.7109375" style="9" customWidth="1"/>
    <col min="36" max="36" width="4.7109375" style="10" customWidth="1"/>
    <col min="37" max="38" width="4.7109375" style="11" customWidth="1"/>
    <col min="39" max="39" width="12.7109375" style="11" customWidth="1"/>
    <col min="40" max="16384" width="9.140625" style="11"/>
  </cols>
  <sheetData>
    <row r="1" spans="1:39" s="1" customFormat="1" ht="42" customHeight="1" x14ac:dyDescent="0.25">
      <c r="A1" s="38" t="s">
        <v>84</v>
      </c>
      <c r="B1" s="39"/>
      <c r="C1" s="39"/>
      <c r="D1" s="40"/>
      <c r="E1" s="40"/>
      <c r="F1" s="40"/>
      <c r="G1" s="40"/>
      <c r="H1" s="40"/>
      <c r="I1" s="40"/>
      <c r="J1" s="40"/>
      <c r="K1" s="40"/>
      <c r="L1" s="40"/>
      <c r="M1" s="40"/>
      <c r="N1" s="40"/>
      <c r="O1" s="40"/>
      <c r="P1" s="40"/>
      <c r="Q1" s="40"/>
      <c r="R1" s="40"/>
      <c r="S1" s="40"/>
      <c r="T1" s="40"/>
      <c r="U1" s="40"/>
      <c r="V1" s="40"/>
      <c r="W1" s="40"/>
      <c r="X1" s="40"/>
      <c r="Y1" s="40"/>
      <c r="Z1" s="40"/>
      <c r="AA1" s="40"/>
      <c r="AB1" s="40"/>
      <c r="AC1" s="39"/>
      <c r="AD1" s="39"/>
      <c r="AE1" s="39"/>
      <c r="AF1" s="39"/>
      <c r="AG1" s="41"/>
      <c r="AH1" s="39"/>
      <c r="AI1" s="39"/>
      <c r="AJ1" s="42"/>
      <c r="AK1" s="39"/>
      <c r="AL1" s="58" t="s">
        <v>70</v>
      </c>
      <c r="AM1" s="59">
        <f>KoledarskoLeto</f>
        <v>2012</v>
      </c>
    </row>
    <row r="2" spans="1:39" customFormat="1" ht="13.5" x14ac:dyDescent="0.25"/>
    <row r="3" spans="1:39" s="32" customFormat="1" ht="12.75" customHeight="1" x14ac:dyDescent="0.25">
      <c r="C3" s="45" t="str">
        <f>BesediloBarvnegaKljuča</f>
        <v>BARVNI KLJUČ</v>
      </c>
      <c r="D3" s="52" t="str">
        <f>Koda1</f>
        <v>Po</v>
      </c>
      <c r="E3" s="69" t="str">
        <f>BesediloKode1</f>
        <v>Pozen</v>
      </c>
      <c r="F3" s="60"/>
      <c r="H3" s="53" t="str">
        <f>Koda2</f>
        <v>E</v>
      </c>
      <c r="I3" s="57" t="str">
        <f>BesediloKode2</f>
        <v>Opravičen</v>
      </c>
      <c r="L3" s="54" t="str">
        <f>Koda3</f>
        <v>N</v>
      </c>
      <c r="M3" s="57" t="str">
        <f>BesediloKode3</f>
        <v>Neopravičen</v>
      </c>
      <c r="P3" s="55" t="str">
        <f>Koda4</f>
        <v>P</v>
      </c>
      <c r="Q3" s="57" t="str">
        <f>BesediloKode4</f>
        <v>Prisoten</v>
      </c>
      <c r="T3" s="56" t="str">
        <f>Koda5</f>
        <v>Ni</v>
      </c>
      <c r="U3" s="57" t="str">
        <f>BesediloKode5</f>
        <v>Ni pouka</v>
      </c>
      <c r="W3"/>
      <c r="X3"/>
      <c r="Y3"/>
      <c r="AD3" s="31"/>
      <c r="AE3" s="31"/>
      <c r="AH3" s="33"/>
      <c r="AI3" s="34"/>
      <c r="AK3" s="35"/>
    </row>
    <row r="4" spans="1:39" customFormat="1" ht="16.5" customHeight="1" x14ac:dyDescent="0.25"/>
    <row r="5" spans="1:39" s="2" customFormat="1" ht="18" customHeight="1" x14ac:dyDescent="0.3">
      <c r="B5" s="62">
        <f>DATE(KoledarskoLeto+1,2,1)</f>
        <v>41306</v>
      </c>
      <c r="C5" s="61"/>
      <c r="D5" s="43" t="str">
        <f>TEXT(WEEKDAY(DATE(KoledarskoLeto+1,2,1),1),"aaa")</f>
        <v>pet</v>
      </c>
      <c r="E5" s="43" t="str">
        <f>TEXT(WEEKDAY(DATE(KoledarskoLeto+1,2,2),1),"aaa")</f>
        <v>sob</v>
      </c>
      <c r="F5" s="43" t="str">
        <f>TEXT(WEEKDAY(DATE(KoledarskoLeto+1,2,3),1),"aaa")</f>
        <v>ned</v>
      </c>
      <c r="G5" s="43" t="str">
        <f>TEXT(WEEKDAY(DATE(KoledarskoLeto+1,2,4),1),"aaa")</f>
        <v>pon</v>
      </c>
      <c r="H5" s="43" t="str">
        <f>TEXT(WEEKDAY(DATE(KoledarskoLeto+1,2,5),1),"aaa")</f>
        <v>tor</v>
      </c>
      <c r="I5" s="43" t="str">
        <f>TEXT(WEEKDAY(DATE(KoledarskoLeto+1,2,6),1),"aaa")</f>
        <v>sre</v>
      </c>
      <c r="J5" s="43" t="str">
        <f>TEXT(WEEKDAY(DATE(KoledarskoLeto+1,2,7),1),"aaa")</f>
        <v>čet</v>
      </c>
      <c r="K5" s="43" t="str">
        <f>TEXT(WEEKDAY(DATE(KoledarskoLeto+1,2,8),1),"aaa")</f>
        <v>pet</v>
      </c>
      <c r="L5" s="43" t="str">
        <f>TEXT(WEEKDAY(DATE(KoledarskoLeto+1,2,9),1),"aaa")</f>
        <v>sob</v>
      </c>
      <c r="M5" s="43" t="str">
        <f>TEXT(WEEKDAY(DATE(KoledarskoLeto+1,2,10),1),"aaa")</f>
        <v>ned</v>
      </c>
      <c r="N5" s="43" t="str">
        <f>TEXT(WEEKDAY(DATE(KoledarskoLeto+1,2,11),1),"aaa")</f>
        <v>pon</v>
      </c>
      <c r="O5" s="43" t="str">
        <f>TEXT(WEEKDAY(DATE(KoledarskoLeto+1,2,12),1),"aaa")</f>
        <v>tor</v>
      </c>
      <c r="P5" s="43" t="str">
        <f>TEXT(WEEKDAY(DATE(KoledarskoLeto+1,2,13),1),"aaa")</f>
        <v>sre</v>
      </c>
      <c r="Q5" s="43" t="str">
        <f>TEXT(WEEKDAY(DATE(KoledarskoLeto+1,2,14),1),"aaa")</f>
        <v>čet</v>
      </c>
      <c r="R5" s="43" t="str">
        <f>TEXT(WEEKDAY(DATE(KoledarskoLeto+1,2,15),1),"aaa")</f>
        <v>pet</v>
      </c>
      <c r="S5" s="43" t="str">
        <f>TEXT(WEEKDAY(DATE(KoledarskoLeto+1,2,16),1),"aaa")</f>
        <v>sob</v>
      </c>
      <c r="T5" s="43" t="str">
        <f>TEXT(WEEKDAY(DATE(KoledarskoLeto+1,2,17),1),"aaa")</f>
        <v>ned</v>
      </c>
      <c r="U5" s="43" t="str">
        <f>TEXT(WEEKDAY(DATE(KoledarskoLeto+1,2,18),1),"aaa")</f>
        <v>pon</v>
      </c>
      <c r="V5" s="43" t="str">
        <f>TEXT(WEEKDAY(DATE(KoledarskoLeto+1,2,19),1),"aaa")</f>
        <v>tor</v>
      </c>
      <c r="W5" s="43" t="str">
        <f>TEXT(WEEKDAY(DATE(KoledarskoLeto+1,2,20),1),"aaa")</f>
        <v>sre</v>
      </c>
      <c r="X5" s="43" t="str">
        <f>TEXT(WEEKDAY(DATE(KoledarskoLeto+1,2,21),1),"aaa")</f>
        <v>čet</v>
      </c>
      <c r="Y5" s="43" t="str">
        <f>TEXT(WEEKDAY(DATE(KoledarskoLeto+1,2,22),1),"aaa")</f>
        <v>pet</v>
      </c>
      <c r="Z5" s="43" t="str">
        <f>TEXT(WEEKDAY(DATE(KoledarskoLeto+1,2,23),1),"aaa")</f>
        <v>sob</v>
      </c>
      <c r="AA5" s="43" t="str">
        <f>TEXT(WEEKDAY(DATE(KoledarskoLeto+1,2,24),1),"aaa")</f>
        <v>ned</v>
      </c>
      <c r="AB5" s="43" t="str">
        <f>TEXT(WEEKDAY(DATE(KoledarskoLeto+1,2,25),1),"aaa")</f>
        <v>pon</v>
      </c>
      <c r="AC5" s="43" t="str">
        <f>TEXT(WEEKDAY(DATE(KoledarskoLeto+1,2,26),1),"aaa")</f>
        <v>tor</v>
      </c>
      <c r="AD5" s="43" t="str">
        <f>TEXT(WEEKDAY(DATE(KoledarskoLeto+1,2,27),1),"aaa")</f>
        <v>sre</v>
      </c>
      <c r="AE5" s="43" t="str">
        <f>TEXT(WEEKDAY(DATE(KoledarskoLeto+1,2,28),1),"aaa")</f>
        <v>čet</v>
      </c>
      <c r="AF5" s="43" t="str">
        <f>TEXT(WEEKDAY(DATE(KoledarskoLeto+1,2,29),1),"aaa")</f>
        <v>pet</v>
      </c>
      <c r="AG5" s="43"/>
      <c r="AH5" s="43"/>
      <c r="AI5" s="121" t="s">
        <v>41</v>
      </c>
      <c r="AJ5" s="121"/>
      <c r="AK5" s="121"/>
      <c r="AL5" s="121"/>
      <c r="AM5" s="121"/>
    </row>
    <row r="6" spans="1:39" ht="14.25" customHeight="1" x14ac:dyDescent="0.25">
      <c r="B6" s="28" t="s">
        <v>34</v>
      </c>
      <c r="C6" s="29" t="s">
        <v>36</v>
      </c>
      <c r="D6" s="30" t="s">
        <v>0</v>
      </c>
      <c r="E6" s="30" t="s">
        <v>1</v>
      </c>
      <c r="F6" s="30" t="s">
        <v>2</v>
      </c>
      <c r="G6" s="30" t="s">
        <v>3</v>
      </c>
      <c r="H6" s="30" t="s">
        <v>4</v>
      </c>
      <c r="I6" s="30" t="s">
        <v>5</v>
      </c>
      <c r="J6" s="30" t="s">
        <v>6</v>
      </c>
      <c r="K6" s="30" t="s">
        <v>7</v>
      </c>
      <c r="L6" s="30" t="s">
        <v>8</v>
      </c>
      <c r="M6" s="30" t="s">
        <v>9</v>
      </c>
      <c r="N6" s="30" t="s">
        <v>10</v>
      </c>
      <c r="O6" s="30" t="s">
        <v>11</v>
      </c>
      <c r="P6" s="30" t="s">
        <v>12</v>
      </c>
      <c r="Q6" s="30" t="s">
        <v>13</v>
      </c>
      <c r="R6" s="30" t="s">
        <v>14</v>
      </c>
      <c r="S6" s="30" t="s">
        <v>15</v>
      </c>
      <c r="T6" s="30" t="s">
        <v>16</v>
      </c>
      <c r="U6" s="30" t="s">
        <v>17</v>
      </c>
      <c r="V6" s="30" t="s">
        <v>18</v>
      </c>
      <c r="W6" s="30" t="s">
        <v>19</v>
      </c>
      <c r="X6" s="30" t="s">
        <v>20</v>
      </c>
      <c r="Y6" s="30" t="s">
        <v>21</v>
      </c>
      <c r="Z6" s="30" t="s">
        <v>22</v>
      </c>
      <c r="AA6" s="30" t="s">
        <v>23</v>
      </c>
      <c r="AB6" s="30" t="s">
        <v>24</v>
      </c>
      <c r="AC6" s="30" t="s">
        <v>25</v>
      </c>
      <c r="AD6" s="30" t="s">
        <v>26</v>
      </c>
      <c r="AE6" s="30" t="s">
        <v>27</v>
      </c>
      <c r="AF6" s="30" t="s">
        <v>28</v>
      </c>
      <c r="AG6" s="30" t="s">
        <v>29</v>
      </c>
      <c r="AH6" s="30" t="s">
        <v>30</v>
      </c>
      <c r="AI6" s="52" t="s">
        <v>133</v>
      </c>
      <c r="AJ6" s="53" t="s">
        <v>39</v>
      </c>
      <c r="AK6" s="54" t="s">
        <v>38</v>
      </c>
      <c r="AL6" s="36" t="s">
        <v>31</v>
      </c>
      <c r="AM6" t="s">
        <v>40</v>
      </c>
    </row>
    <row r="7" spans="1:39" ht="16.5" customHeight="1" x14ac:dyDescent="0.25">
      <c r="B7" s="27"/>
      <c r="C7" s="22" t="str">
        <f>IFERROR(VLOOKUP(PrisotnostFebruarja[[#This Row],[ID študenta]],SeznamUčencev[],18,FALSE),"")</f>
        <v/>
      </c>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6"/>
      <c r="AG7" s="3"/>
      <c r="AH7" s="3"/>
      <c r="AI7" s="37">
        <f>COUNTIF(PrisotnostFebruarja[[#This Row],[1]:[31]],Koda1)</f>
        <v>0</v>
      </c>
      <c r="AJ7" s="37">
        <f>COUNTIF(PrisotnostFebruarja[[#This Row],[1]:[31]],Koda2)</f>
        <v>0</v>
      </c>
      <c r="AK7" s="37">
        <f>COUNTIF(PrisotnostFebruarja[[#This Row],[1]:[31]],Koda3)</f>
        <v>0</v>
      </c>
      <c r="AL7" s="37">
        <f>COUNTIF(PrisotnostFebruarja[[#This Row],[1]:[31]],Koda4)</f>
        <v>0</v>
      </c>
      <c r="AM7" s="6">
        <f>SUM(PrisotnostFebruarja[[#This Row],[E]:[N]])</f>
        <v>0</v>
      </c>
    </row>
    <row r="8" spans="1:39" ht="16.5" customHeight="1" x14ac:dyDescent="0.25">
      <c r="B8" s="27"/>
      <c r="C8" s="23" t="str">
        <f>IFERROR(VLOOKUP(PrisotnostFebruarja[[#This Row],[ID študenta]],SeznamUčencev[],18,FALSE),"")</f>
        <v/>
      </c>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6"/>
      <c r="AG8" s="3"/>
      <c r="AH8" s="3"/>
      <c r="AI8" s="37">
        <f>COUNTIF(PrisotnostFebruarja[[#This Row],[1]:[31]],Koda1)</f>
        <v>0</v>
      </c>
      <c r="AJ8" s="37">
        <f>COUNTIF(PrisotnostFebruarja[[#This Row],[1]:[31]],Koda2)</f>
        <v>0</v>
      </c>
      <c r="AK8" s="37">
        <f>COUNTIF(PrisotnostFebruarja[[#This Row],[1]:[31]],Koda3)</f>
        <v>0</v>
      </c>
      <c r="AL8" s="37">
        <f>COUNTIF(PrisotnostFebruarja[[#This Row],[1]:[31]],Koda4)</f>
        <v>0</v>
      </c>
      <c r="AM8" s="6">
        <f>SUM(PrisotnostFebruarja[[#This Row],[E]:[N]])</f>
        <v>0</v>
      </c>
    </row>
    <row r="9" spans="1:39" ht="16.5" customHeight="1" x14ac:dyDescent="0.25">
      <c r="B9" s="27"/>
      <c r="C9" s="23" t="str">
        <f>IFERROR(VLOOKUP(PrisotnostFebruarja[[#This Row],[ID študenta]],SeznamUčencev[],18,FALSE),"")</f>
        <v/>
      </c>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6"/>
      <c r="AG9" s="3"/>
      <c r="AH9" s="3"/>
      <c r="AI9" s="37">
        <f>COUNTIF(PrisotnostFebruarja[[#This Row],[1]:[31]],Koda1)</f>
        <v>0</v>
      </c>
      <c r="AJ9" s="37">
        <f>COUNTIF(PrisotnostFebruarja[[#This Row],[1]:[31]],Koda2)</f>
        <v>0</v>
      </c>
      <c r="AK9" s="37">
        <f>COUNTIF(PrisotnostFebruarja[[#This Row],[1]:[31]],Koda3)</f>
        <v>0</v>
      </c>
      <c r="AL9" s="37">
        <f>COUNTIF(PrisotnostFebruarja[[#This Row],[1]:[31]],Koda4)</f>
        <v>0</v>
      </c>
      <c r="AM9" s="6">
        <f>SUM(PrisotnostFebruarja[[#This Row],[E]:[N]])</f>
        <v>0</v>
      </c>
    </row>
    <row r="10" spans="1:39" ht="16.5" customHeight="1" x14ac:dyDescent="0.25">
      <c r="B10" s="27"/>
      <c r="C10" s="23" t="str">
        <f>IFERROR(VLOOKUP(PrisotnostFebruarja[[#This Row],[ID študenta]],SeznamUčencev[],18,FALSE),"")</f>
        <v/>
      </c>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6"/>
      <c r="AG10" s="3"/>
      <c r="AH10" s="3"/>
      <c r="AI10" s="37">
        <f>COUNTIF(PrisotnostFebruarja[[#This Row],[1]:[31]],Koda1)</f>
        <v>0</v>
      </c>
      <c r="AJ10" s="37">
        <f>COUNTIF(PrisotnostFebruarja[[#This Row],[1]:[31]],Koda2)</f>
        <v>0</v>
      </c>
      <c r="AK10" s="37">
        <f>COUNTIF(PrisotnostFebruarja[[#This Row],[1]:[31]],Koda3)</f>
        <v>0</v>
      </c>
      <c r="AL10" s="37">
        <f>COUNTIF(PrisotnostFebruarja[[#This Row],[1]:[31]],Koda4)</f>
        <v>0</v>
      </c>
      <c r="AM10" s="6">
        <f>SUM(PrisotnostFebruarja[[#This Row],[E]:[N]])</f>
        <v>0</v>
      </c>
    </row>
    <row r="11" spans="1:39" ht="16.5" customHeight="1" x14ac:dyDescent="0.25">
      <c r="B11" s="27"/>
      <c r="C11" s="23" t="str">
        <f>IFERROR(VLOOKUP(PrisotnostFebruarja[[#This Row],[ID študenta]],SeznamUčencev[],18,FALSE),"")</f>
        <v/>
      </c>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6"/>
      <c r="AG11" s="3"/>
      <c r="AH11" s="3"/>
      <c r="AI11" s="37">
        <f>COUNTIF(PrisotnostFebruarja[[#This Row],[1]:[31]],Koda1)</f>
        <v>0</v>
      </c>
      <c r="AJ11" s="37">
        <f>COUNTIF(PrisotnostFebruarja[[#This Row],[1]:[31]],Koda2)</f>
        <v>0</v>
      </c>
      <c r="AK11" s="37">
        <f>COUNTIF(PrisotnostFebruarja[[#This Row],[1]:[31]],Koda3)</f>
        <v>0</v>
      </c>
      <c r="AL11" s="37">
        <f>COUNTIF(PrisotnostFebruarja[[#This Row],[1]:[31]],Koda4)</f>
        <v>0</v>
      </c>
      <c r="AM11" s="6">
        <f>SUM(PrisotnostFebruarja[[#This Row],[E]:[N]])</f>
        <v>0</v>
      </c>
    </row>
    <row r="12" spans="1:39" ht="16.5" customHeight="1" x14ac:dyDescent="0.25">
      <c r="B12" s="144"/>
      <c r="C12" s="145" t="s">
        <v>115</v>
      </c>
      <c r="D12" s="146">
        <f>COUNTIF(PrisotnostFebruarja[1],"N")+COUNTIF(PrisotnostFebruarja[1],"E")</f>
        <v>0</v>
      </c>
      <c r="E12" s="146">
        <f>COUNTIF(PrisotnostFebruarja[2],"N")+COUNTIF(PrisotnostFebruarja[2],"E")</f>
        <v>0</v>
      </c>
      <c r="F12" s="146">
        <f>COUNTIF(PrisotnostFebruarja[3],"N")+COUNTIF(PrisotnostFebruarja[3],"E")</f>
        <v>0</v>
      </c>
      <c r="G12" s="146">
        <f>COUNTIF(PrisotnostFebruarja[4],"N")+COUNTIF(PrisotnostFebruarja[4],"E")</f>
        <v>0</v>
      </c>
      <c r="H12" s="146">
        <f>COUNTIF(PrisotnostFebruarja[5],"N")+COUNTIF(PrisotnostFebruarja[5],"E")</f>
        <v>0</v>
      </c>
      <c r="I12" s="146">
        <f>COUNTIF(PrisotnostFebruarja[6],"N")+COUNTIF(PrisotnostFebruarja[6],"E")</f>
        <v>0</v>
      </c>
      <c r="J12" s="146">
        <f>COUNTIF(PrisotnostFebruarja[7],"N")+COUNTIF(PrisotnostFebruarja[7],"E")</f>
        <v>0</v>
      </c>
      <c r="K12" s="146">
        <f>COUNTIF(PrisotnostFebruarja[8],"N")+COUNTIF(PrisotnostFebruarja[8],"E")</f>
        <v>0</v>
      </c>
      <c r="L12" s="146">
        <f>COUNTIF(PrisotnostFebruarja[9],"N")+COUNTIF(PrisotnostFebruarja[9],"E")</f>
        <v>0</v>
      </c>
      <c r="M12" s="146">
        <f>COUNTIF(PrisotnostFebruarja[10],"N")+COUNTIF(PrisotnostFebruarja[10],"E")</f>
        <v>0</v>
      </c>
      <c r="N12" s="146">
        <f>COUNTIF(PrisotnostFebruarja[11],"N")+COUNTIF(PrisotnostFebruarja[11],"E")</f>
        <v>0</v>
      </c>
      <c r="O12" s="146">
        <f>COUNTIF(PrisotnostFebruarja[12],"N")+COUNTIF(PrisotnostFebruarja[12],"E")</f>
        <v>0</v>
      </c>
      <c r="P12" s="146">
        <f>COUNTIF(PrisotnostFebruarja[13],"N")+COUNTIF(PrisotnostFebruarja[13],"E")</f>
        <v>0</v>
      </c>
      <c r="Q12" s="146">
        <f>COUNTIF(PrisotnostFebruarja[14],"N")+COUNTIF(PrisotnostFebruarja[14],"E")</f>
        <v>0</v>
      </c>
      <c r="R12" s="146">
        <f>COUNTIF(PrisotnostFebruarja[15],"N")+COUNTIF(PrisotnostFebruarja[15],"E")</f>
        <v>0</v>
      </c>
      <c r="S12" s="146">
        <f>COUNTIF(PrisotnostFebruarja[16],"N")+COUNTIF(PrisotnostFebruarja[16],"E")</f>
        <v>0</v>
      </c>
      <c r="T12" s="146">
        <f>COUNTIF(PrisotnostFebruarja[17],"N")+COUNTIF(PrisotnostFebruarja[17],"E")</f>
        <v>0</v>
      </c>
      <c r="U12" s="146">
        <f>COUNTIF(PrisotnostFebruarja[18],"N")+COUNTIF(PrisotnostFebruarja[18],"E")</f>
        <v>0</v>
      </c>
      <c r="V12" s="146">
        <f>COUNTIF(PrisotnostFebruarja[19],"N")+COUNTIF(PrisotnostFebruarja[19],"E")</f>
        <v>0</v>
      </c>
      <c r="W12" s="146">
        <f>COUNTIF(PrisotnostFebruarja[20],"N")+COUNTIF(PrisotnostFebruarja[20],"E")</f>
        <v>0</v>
      </c>
      <c r="X12" s="146">
        <f>COUNTIF(PrisotnostFebruarja[21],"N")+COUNTIF(PrisotnostFebruarja[21],"E")</f>
        <v>0</v>
      </c>
      <c r="Y12" s="146">
        <f>COUNTIF(PrisotnostFebruarja[22],"N")+COUNTIF(PrisotnostFebruarja[22],"E")</f>
        <v>0</v>
      </c>
      <c r="Z12" s="146">
        <f>COUNTIF(PrisotnostFebruarja[23],"N")+COUNTIF(PrisotnostFebruarja[23],"E")</f>
        <v>0</v>
      </c>
      <c r="AA12" s="146">
        <f>COUNTIF(PrisotnostFebruarja[24],"N")+COUNTIF(PrisotnostFebruarja[24],"E")</f>
        <v>0</v>
      </c>
      <c r="AB12" s="146">
        <f>COUNTIF(PrisotnostFebruarja[25],"N")+COUNTIF(PrisotnostFebruarja[25],"E")</f>
        <v>0</v>
      </c>
      <c r="AC12" s="146">
        <f>COUNTIF(PrisotnostFebruarja[26],"N")+COUNTIF(PrisotnostFebruarja[26],"E")</f>
        <v>0</v>
      </c>
      <c r="AD12" s="146">
        <f>COUNTIF(PrisotnostFebruarja[27],"N")+COUNTIF(PrisotnostFebruarja[27],"E")</f>
        <v>0</v>
      </c>
      <c r="AE12" s="146">
        <f>COUNTIF(PrisotnostFebruarja[28],"N")+COUNTIF(PrisotnostFebruarja[28],"E")</f>
        <v>0</v>
      </c>
      <c r="AF12" s="146">
        <f>COUNTIF(PrisotnostFebruarja[29],"N")+COUNTIF(PrisotnostFebruarja[29],"E")</f>
        <v>0</v>
      </c>
      <c r="AG12" s="146"/>
      <c r="AH12" s="146"/>
      <c r="AI12" s="146">
        <f>SUBTOTAL(109,PrisotnostFebruarja[Po])</f>
        <v>0</v>
      </c>
      <c r="AJ12" s="146">
        <f>SUBTOTAL(109,PrisotnostFebruarja[E])</f>
        <v>0</v>
      </c>
      <c r="AK12" s="146">
        <f>SUBTOTAL(109,PrisotnostFebruarja[N])</f>
        <v>0</v>
      </c>
      <c r="AL12" s="146">
        <f>SUBTOTAL(109,PrisotnostFebruarja[P])</f>
        <v>0</v>
      </c>
      <c r="AM12" s="146">
        <f>SUBTOTAL(109,PrisotnostFebruarja[Dni odsoten])</f>
        <v>0</v>
      </c>
    </row>
    <row r="14" spans="1:39" ht="16.5" customHeight="1" x14ac:dyDescent="0.25"/>
    <row r="15" spans="1:39" ht="16.5" customHeight="1" x14ac:dyDescent="0.25"/>
    <row r="16" spans="1:39"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sheetData>
  <sheetProtection formatCells="0" formatColumns="0" formatRows="0" insertColumns="0" insertRows="0" insertHyperlinks="0" deleteColumns="0" deleteRows="0" sort="0" autoFilter="0" pivotTables="0"/>
  <mergeCells count="1">
    <mergeCell ref="AI5:AM5"/>
  </mergeCells>
  <conditionalFormatting sqref="AM7:AM11">
    <cfRule type="dataBar" priority="3">
      <dataBar>
        <cfvo type="min"/>
        <cfvo type="num" val="DATEDIF(DATE(KoledarskoLeto,2,1),DATE(KoledarskoLeto,3,1),&quot;d&quot;)"/>
        <color theme="4"/>
      </dataBar>
      <extLst>
        <ext xmlns:x14="http://schemas.microsoft.com/office/spreadsheetml/2009/9/main" uri="{B025F937-C7B1-47D3-B67F-A62EFF666E3E}">
          <x14:id>{AB18F5F5-27F6-438D-8C1C-359FFE3EF7E4}</x14:id>
        </ext>
      </extLst>
    </cfRule>
  </conditionalFormatting>
  <conditionalFormatting sqref="AF5:AH5">
    <cfRule type="expression" dxfId="734" priority="2">
      <formula>DATE(KoledarskoLeto+1,2,AF6)&gt;EOMONTH(DATE(KoledarskoLeto+1,1,1),1)</formula>
    </cfRule>
  </conditionalFormatting>
  <conditionalFormatting sqref="D7:AF11">
    <cfRule type="expression" dxfId="733" priority="5" stopIfTrue="1">
      <formula>D7=Koda2</formula>
    </cfRule>
  </conditionalFormatting>
  <conditionalFormatting sqref="D7:AF11">
    <cfRule type="expression" dxfId="732" priority="6" stopIfTrue="1">
      <formula>D7=Koda5</formula>
    </cfRule>
    <cfRule type="expression" dxfId="731" priority="7" stopIfTrue="1">
      <formula>D7=Koda4</formula>
    </cfRule>
    <cfRule type="expression" dxfId="730" priority="8" stopIfTrue="1">
      <formula>D7=Koda3</formula>
    </cfRule>
    <cfRule type="expression" dxfId="729" priority="9" stopIfTrue="1">
      <formula>D7=Koda1</formula>
    </cfRule>
  </conditionalFormatting>
  <conditionalFormatting sqref="AF6:AH6">
    <cfRule type="expression" dxfId="728" priority="1">
      <formula>DATE(KoledarskoLeto+1,2,AF6)&gt;EOMONTH(DATE(KoledarskoLeto+1,1,1),1)</formula>
    </cfRule>
  </conditionalFormatting>
  <dataValidations count="1">
    <dataValidation type="list" errorStyle="warning" allowBlank="1" showInputMessage="1" showErrorMessage="1" errorTitle="Ups!" error="»ID študenta«, ki ste ga vnesli, ni na listu »Seznam študentov«. Kliknete lahko »Da«, če želite uporabiti, kar ste vnesli, ampak ta »ID študenta« ne bo na voljo na listu »Poročilo prisotnosti študentov«." sqref="B7:B11">
      <formula1>IDUčenca</formula1>
    </dataValidation>
  </dataValidations>
  <printOptions horizontalCentered="1"/>
  <pageMargins left="0.5" right="0.5" top="0.75" bottom="0.75" header="0.3" footer="0.3"/>
  <pageSetup paperSize="9" scale="60" fitToHeight="0" orientation="landscape" verticalDpi="1200" r:id="rId1"/>
  <legacy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AB18F5F5-27F6-438D-8C1C-359FFE3EF7E4}">
            <x14:dataBar minLength="0" maxLength="100" border="1" negativeBarBorderColorSameAsPositive="0">
              <x14:cfvo type="autoMin"/>
              <x14:cfvo type="num">
                <xm:f>DATEDIF(DATE(KoledarskoLeto,2,1),DATE(KoledarskoLeto,3,1),"d")</xm:f>
              </x14:cfvo>
              <x14:borderColor theme="4"/>
              <x14:negativeFillColor rgb="FFFF0000"/>
              <x14:negativeBorderColor rgb="FFFF0000"/>
              <x14:axisColor rgb="FF000000"/>
            </x14:dataBar>
          </x14:cfRule>
          <xm:sqref>AM7:AM11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irectSourceMarket xmlns="e8dc6129-b2e8-490d-b1b8-9dd11744d117">english</DirectSourceMarket>
    <ApprovalStatus xmlns="e8dc6129-b2e8-490d-b1b8-9dd11744d117">InProgress</ApprovalStatus>
    <MarketSpecific xmlns="e8dc6129-b2e8-490d-b1b8-9dd11744d117">false</MarketSpecific>
    <LocComments xmlns="e8dc6129-b2e8-490d-b1b8-9dd11744d117" xsi:nil="true"/>
    <ThumbnailAssetId xmlns="e8dc6129-b2e8-490d-b1b8-9dd11744d117" xsi:nil="true"/>
    <PrimaryImageGen xmlns="e8dc6129-b2e8-490d-b1b8-9dd11744d117">true</PrimaryImageGen>
    <LegacyData xmlns="e8dc6129-b2e8-490d-b1b8-9dd11744d117" xsi:nil="true"/>
    <LocRecommendedHandoff xmlns="e8dc6129-b2e8-490d-b1b8-9dd11744d117" xsi:nil="true"/>
    <BusinessGroup xmlns="e8dc6129-b2e8-490d-b1b8-9dd11744d117" xsi:nil="true"/>
    <BlockPublish xmlns="e8dc6129-b2e8-490d-b1b8-9dd11744d117">false</BlockPublish>
    <TPFriendlyName xmlns="e8dc6129-b2e8-490d-b1b8-9dd11744d117" xsi:nil="true"/>
    <NumericId xmlns="e8dc6129-b2e8-490d-b1b8-9dd11744d117" xsi:nil="true"/>
    <APEditor xmlns="e8dc6129-b2e8-490d-b1b8-9dd11744d117">
      <UserInfo>
        <DisplayName/>
        <AccountId xsi:nil="true"/>
        <AccountType/>
      </UserInfo>
    </APEditor>
    <SourceTitle xmlns="e8dc6129-b2e8-490d-b1b8-9dd11744d117" xsi:nil="true"/>
    <OpenTemplate xmlns="e8dc6129-b2e8-490d-b1b8-9dd11744d117">true</OpenTemplate>
    <UALocComments xmlns="e8dc6129-b2e8-490d-b1b8-9dd11744d117" xsi:nil="true"/>
    <ParentAssetId xmlns="e8dc6129-b2e8-490d-b1b8-9dd11744d117" xsi:nil="true"/>
    <IntlLangReviewDate xmlns="e8dc6129-b2e8-490d-b1b8-9dd11744d117" xsi:nil="true"/>
    <FeatureTagsTaxHTField0 xmlns="e8dc6129-b2e8-490d-b1b8-9dd11744d117">
      <Terms xmlns="http://schemas.microsoft.com/office/infopath/2007/PartnerControls"/>
    </FeatureTagsTaxHTField0>
    <PublishStatusLookup xmlns="e8dc6129-b2e8-490d-b1b8-9dd11744d117">
      <Value>216602</Value>
    </PublishStatusLookup>
    <Providers xmlns="e8dc6129-b2e8-490d-b1b8-9dd11744d117" xsi:nil="true"/>
    <MachineTranslated xmlns="e8dc6129-b2e8-490d-b1b8-9dd11744d117">false</MachineTranslated>
    <OriginalSourceMarket xmlns="e8dc6129-b2e8-490d-b1b8-9dd11744d117">english</OriginalSourceMarket>
    <APDescription xmlns="e8dc6129-b2e8-490d-b1b8-9dd11744d117">Teachers can use this handy template to track the attendance of all their students by month and year. Detailed instructions are included.
</APDescription>
    <ClipArtFilename xmlns="e8dc6129-b2e8-490d-b1b8-9dd11744d117" xsi:nil="true"/>
    <ContentItem xmlns="e8dc6129-b2e8-490d-b1b8-9dd11744d117" xsi:nil="true"/>
    <TPInstallLocation xmlns="e8dc6129-b2e8-490d-b1b8-9dd11744d117" xsi:nil="true"/>
    <PublishTargets xmlns="e8dc6129-b2e8-490d-b1b8-9dd11744d117">OfficeOnlineVNext</PublishTargets>
    <TimesCloned xmlns="e8dc6129-b2e8-490d-b1b8-9dd11744d117" xsi:nil="true"/>
    <AssetStart xmlns="e8dc6129-b2e8-490d-b1b8-9dd11744d117">2011-12-15T00:32:00+00:00</AssetStart>
    <Provider xmlns="e8dc6129-b2e8-490d-b1b8-9dd11744d117" xsi:nil="true"/>
    <AcquiredFrom xmlns="e8dc6129-b2e8-490d-b1b8-9dd11744d117">Internal MS</AcquiredFrom>
    <FriendlyTitle xmlns="e8dc6129-b2e8-490d-b1b8-9dd11744d117" xsi:nil="true"/>
    <LastHandOff xmlns="e8dc6129-b2e8-490d-b1b8-9dd11744d117" xsi:nil="true"/>
    <TPClientViewer xmlns="e8dc6129-b2e8-490d-b1b8-9dd11744d117" xsi:nil="true"/>
    <UACurrentWords xmlns="e8dc6129-b2e8-490d-b1b8-9dd11744d117" xsi:nil="true"/>
    <ArtSampleDocs xmlns="e8dc6129-b2e8-490d-b1b8-9dd11744d117" xsi:nil="true"/>
    <UALocRecommendation xmlns="e8dc6129-b2e8-490d-b1b8-9dd11744d117">Localize</UALocRecommendation>
    <Manager xmlns="e8dc6129-b2e8-490d-b1b8-9dd11744d117" xsi:nil="true"/>
    <ShowIn xmlns="e8dc6129-b2e8-490d-b1b8-9dd11744d117">Show everywhere</ShowIn>
    <UANotes xmlns="e8dc6129-b2e8-490d-b1b8-9dd11744d117" xsi:nil="true"/>
    <TemplateStatus xmlns="e8dc6129-b2e8-490d-b1b8-9dd11744d117">Complete</TemplateStatus>
    <InternalTagsTaxHTField0 xmlns="e8dc6129-b2e8-490d-b1b8-9dd11744d117">
      <Terms xmlns="http://schemas.microsoft.com/office/infopath/2007/PartnerControls"/>
    </InternalTagsTaxHTField0>
    <CSXHash xmlns="e8dc6129-b2e8-490d-b1b8-9dd11744d117" xsi:nil="true"/>
    <Downloads xmlns="e8dc6129-b2e8-490d-b1b8-9dd11744d117">0</Downloads>
    <VoteCount xmlns="e8dc6129-b2e8-490d-b1b8-9dd11744d117" xsi:nil="true"/>
    <OOCacheId xmlns="e8dc6129-b2e8-490d-b1b8-9dd11744d117" xsi:nil="true"/>
    <IsDeleted xmlns="e8dc6129-b2e8-490d-b1b8-9dd11744d117">false</IsDeleted>
    <AssetExpire xmlns="e8dc6129-b2e8-490d-b1b8-9dd11744d117">2035-01-01T08:00:00+00:00</AssetExpire>
    <DSATActionTaken xmlns="e8dc6129-b2e8-490d-b1b8-9dd11744d117" xsi:nil="true"/>
    <CSXSubmissionMarket xmlns="e8dc6129-b2e8-490d-b1b8-9dd11744d117" xsi:nil="true"/>
    <TPExecutable xmlns="e8dc6129-b2e8-490d-b1b8-9dd11744d117" xsi:nil="true"/>
    <SubmitterId xmlns="e8dc6129-b2e8-490d-b1b8-9dd11744d117" xsi:nil="true"/>
    <EditorialTags xmlns="e8dc6129-b2e8-490d-b1b8-9dd11744d117" xsi:nil="true"/>
    <ApprovalLog xmlns="e8dc6129-b2e8-490d-b1b8-9dd11744d117" xsi:nil="true"/>
    <AssetType xmlns="e8dc6129-b2e8-490d-b1b8-9dd11744d117">TP</AssetType>
    <BugNumber xmlns="e8dc6129-b2e8-490d-b1b8-9dd11744d117" xsi:nil="true"/>
    <CSXSubmissionDate xmlns="e8dc6129-b2e8-490d-b1b8-9dd11744d117" xsi:nil="true"/>
    <CSXUpdate xmlns="e8dc6129-b2e8-490d-b1b8-9dd11744d117">false</CSXUpdate>
    <Milestone xmlns="e8dc6129-b2e8-490d-b1b8-9dd11744d117" xsi:nil="true"/>
    <RecommendationsModifier xmlns="e8dc6129-b2e8-490d-b1b8-9dd11744d117" xsi:nil="true"/>
    <OriginAsset xmlns="e8dc6129-b2e8-490d-b1b8-9dd11744d117" xsi:nil="true"/>
    <TPComponent xmlns="e8dc6129-b2e8-490d-b1b8-9dd11744d117" xsi:nil="true"/>
    <AssetId xmlns="e8dc6129-b2e8-490d-b1b8-9dd11744d117">TP102802368</AssetId>
    <IntlLocPriority xmlns="e8dc6129-b2e8-490d-b1b8-9dd11744d117" xsi:nil="true"/>
    <PolicheckWords xmlns="e8dc6129-b2e8-490d-b1b8-9dd11744d117" xsi:nil="true"/>
    <TPLaunchHelpLink xmlns="e8dc6129-b2e8-490d-b1b8-9dd11744d117" xsi:nil="true"/>
    <TPApplication xmlns="e8dc6129-b2e8-490d-b1b8-9dd11744d117" xsi:nil="true"/>
    <CrawlForDependencies xmlns="e8dc6129-b2e8-490d-b1b8-9dd11744d117">false</CrawlForDependencies>
    <HandoffToMSDN xmlns="e8dc6129-b2e8-490d-b1b8-9dd11744d117" xsi:nil="true"/>
    <PlannedPubDate xmlns="e8dc6129-b2e8-490d-b1b8-9dd11744d117" xsi:nil="true"/>
    <IntlLangReviewer xmlns="e8dc6129-b2e8-490d-b1b8-9dd11744d117" xsi:nil="true"/>
    <TrustLevel xmlns="e8dc6129-b2e8-490d-b1b8-9dd11744d117">1 Microsoft Managed Content</TrustLevel>
    <LocLastLocAttemptVersionLookup xmlns="e8dc6129-b2e8-490d-b1b8-9dd11744d117">712809</LocLastLocAttemptVersionLookup>
    <IsSearchable xmlns="e8dc6129-b2e8-490d-b1b8-9dd11744d117">true</IsSearchable>
    <TemplateTemplateType xmlns="e8dc6129-b2e8-490d-b1b8-9dd11744d117">Excel 2007 Default</TemplateTemplateType>
    <CampaignTagsTaxHTField0 xmlns="e8dc6129-b2e8-490d-b1b8-9dd11744d117">
      <Terms xmlns="http://schemas.microsoft.com/office/infopath/2007/PartnerControls"/>
    </CampaignTagsTaxHTField0>
    <TPNamespace xmlns="e8dc6129-b2e8-490d-b1b8-9dd11744d117" xsi:nil="true"/>
    <TaxCatchAll xmlns="e8dc6129-b2e8-490d-b1b8-9dd11744d117"/>
    <Markets xmlns="e8dc6129-b2e8-490d-b1b8-9dd11744d117"/>
    <UAProjectedTotalWords xmlns="e8dc6129-b2e8-490d-b1b8-9dd11744d117" xsi:nil="true"/>
    <IntlLangReview xmlns="e8dc6129-b2e8-490d-b1b8-9dd11744d117">false</IntlLangReview>
    <OutputCachingOn xmlns="e8dc6129-b2e8-490d-b1b8-9dd11744d117">false</OutputCachingOn>
    <APAuthor xmlns="e8dc6129-b2e8-490d-b1b8-9dd11744d117">
      <UserInfo>
        <DisplayName>REDMOND\v-aptall</DisplayName>
        <AccountId>2566</AccountId>
        <AccountType/>
      </UserInfo>
    </APAuthor>
    <LocManualTestRequired xmlns="e8dc6129-b2e8-490d-b1b8-9dd11744d117">false</LocManualTestRequired>
    <TPCommandLine xmlns="e8dc6129-b2e8-490d-b1b8-9dd11744d117" xsi:nil="true"/>
    <TPAppVersion xmlns="e8dc6129-b2e8-490d-b1b8-9dd11744d117" xsi:nil="true"/>
    <EditorialStatus xmlns="e8dc6129-b2e8-490d-b1b8-9dd11744d117">Complete</EditorialStatus>
    <LastModifiedDateTime xmlns="e8dc6129-b2e8-490d-b1b8-9dd11744d117" xsi:nil="true"/>
    <ScenarioTagsTaxHTField0 xmlns="e8dc6129-b2e8-490d-b1b8-9dd11744d117">
      <Terms xmlns="http://schemas.microsoft.com/office/infopath/2007/PartnerControls"/>
    </ScenarioTagsTaxHTField0>
    <OriginalRelease xmlns="e8dc6129-b2e8-490d-b1b8-9dd11744d117">14</OriginalRelease>
    <TPLaunchHelpLinkType xmlns="e8dc6129-b2e8-490d-b1b8-9dd11744d117">Template</TPLaunchHelpLinkType>
    <LocalizationTagsTaxHTField0 xmlns="e8dc6129-b2e8-490d-b1b8-9dd11744d117">
      <Terms xmlns="http://schemas.microsoft.com/office/infopath/2007/PartnerControls"/>
    </LocalizationTagsTaxHTField0>
    <LocMarketGroupTiers2 xmlns="e8dc6129-b2e8-490d-b1b8-9dd11744d117" xsi:nil="true"/>
  </documentManagement>
</p:properties>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TemplateFile" ma:contentTypeID="0x010100DA42EBD431E25D48BAF21353513BEFF50400498E68C8DDA0E9488B63EFF5C26624D8" ma:contentTypeVersion="56" ma:contentTypeDescription="Create a new document." ma:contentTypeScope="" ma:versionID="6a0071d5c73af34e3e6aa16b4859ece6">
  <xsd:schema xmlns:xsd="http://www.w3.org/2001/XMLSchema" xmlns:xs="http://www.w3.org/2001/XMLSchema" xmlns:p="http://schemas.microsoft.com/office/2006/metadata/properties" xmlns:ns2="e8dc6129-b2e8-490d-b1b8-9dd11744d117" targetNamespace="http://schemas.microsoft.com/office/2006/metadata/properties" ma:root="true" ma:fieldsID="57f9577e44933622b24a6971a249411b" ns2:_="">
    <xsd:import namespace="e8dc6129-b2e8-490d-b1b8-9dd11744d117"/>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dc6129-b2e8-490d-b1b8-9dd11744d117"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78bd05d6-58bc-4aa9-812b-ff9719595aaf}"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88634DF5-7237-49F9-904A-3A6F5960B480}" ma:internalName="CSXSubmissionMarket" ma:readOnly="false" ma:showField="MarketName" ma:web="e8dc6129-b2e8-490d-b1b8-9dd11744d117">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9eea29f1-d3c3-47d3-b7cc-eb8e265a03bf}"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098FB02F-E2AC-4FF5-9031-B4F863F2DCB1}" ma:internalName="InProjectListLookup" ma:readOnly="true" ma:showField="InProjectList"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3fb9056d-3141-460f-aec4-30ac9b738383}"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098FB02F-E2AC-4FF5-9031-B4F863F2DCB1}" ma:internalName="LastCompleteVersionLookup" ma:readOnly="true" ma:showField="LastCompleteVersion"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098FB02F-E2AC-4FF5-9031-B4F863F2DCB1}" ma:internalName="LastPreviewErrorLookup" ma:readOnly="true" ma:showField="LastPreviewError"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098FB02F-E2AC-4FF5-9031-B4F863F2DCB1}" ma:internalName="LastPreviewResultLookup" ma:readOnly="true" ma:showField="LastPreviewResult"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098FB02F-E2AC-4FF5-9031-B4F863F2DCB1}" ma:internalName="LastPreviewAttemptDateLookup" ma:readOnly="true" ma:showField="LastPreviewAttemptDate"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098FB02F-E2AC-4FF5-9031-B4F863F2DCB1}" ma:internalName="LastPreviewedByLookup" ma:readOnly="true" ma:showField="LastPreviewedBy"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098FB02F-E2AC-4FF5-9031-B4F863F2DCB1}" ma:internalName="LastPreviewTimeLookup" ma:readOnly="true" ma:showField="LastPreviewTime"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098FB02F-E2AC-4FF5-9031-B4F863F2DCB1}" ma:internalName="LastPreviewVersionLookup" ma:readOnly="true" ma:showField="LastPreviewVersion"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098FB02F-E2AC-4FF5-9031-B4F863F2DCB1}" ma:internalName="LastPublishErrorLookup" ma:readOnly="true" ma:showField="LastPublishError"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098FB02F-E2AC-4FF5-9031-B4F863F2DCB1}" ma:internalName="LastPublishResultLookup" ma:readOnly="true" ma:showField="LastPublishResult"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098FB02F-E2AC-4FF5-9031-B4F863F2DCB1}" ma:internalName="LastPublishAttemptDateLookup" ma:readOnly="true" ma:showField="LastPublishAttemptDate"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098FB02F-E2AC-4FF5-9031-B4F863F2DCB1}" ma:internalName="LastPublishedByLookup" ma:readOnly="true" ma:showField="LastPublishedBy"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098FB02F-E2AC-4FF5-9031-B4F863F2DCB1}" ma:internalName="LastPublishTimeLookup" ma:readOnly="true" ma:showField="LastPublishTime"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098FB02F-E2AC-4FF5-9031-B4F863F2DCB1}" ma:internalName="LastPublishVersionLookup" ma:readOnly="true" ma:showField="LastPublishVersion"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4931D6FE-B32A-43CC-A0FD-D75B886DADA4}" ma:internalName="LocLastLocAttemptVersionLookup" ma:readOnly="false" ma:showField="LastLocAttemptVersion" ma:web="e8dc6129-b2e8-490d-b1b8-9dd11744d117">
      <xsd:simpleType>
        <xsd:restriction base="dms:Lookup"/>
      </xsd:simpleType>
    </xsd:element>
    <xsd:element name="LocLastLocAttemptVersionTypeLookup" ma:index="71" nillable="true" ma:displayName="Loc Last Loc Attempt Version Type" ma:default="" ma:list="{4931D6FE-B32A-43CC-A0FD-D75B886DADA4}" ma:internalName="LocLastLocAttemptVersionTypeLookup" ma:readOnly="true" ma:showField="LastLocAttemptVersionType" ma:web="e8dc6129-b2e8-490d-b1b8-9dd11744d117">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4931D6FE-B32A-43CC-A0FD-D75B886DADA4}" ma:internalName="LocNewPublishedVersionLookup" ma:readOnly="true" ma:showField="NewPublishedVersion" ma:web="e8dc6129-b2e8-490d-b1b8-9dd11744d117">
      <xsd:simpleType>
        <xsd:restriction base="dms:Lookup"/>
      </xsd:simpleType>
    </xsd:element>
    <xsd:element name="LocOverallHandbackStatusLookup" ma:index="75" nillable="true" ma:displayName="Loc Overall Handback Status" ma:default="" ma:list="{4931D6FE-B32A-43CC-A0FD-D75B886DADA4}" ma:internalName="LocOverallHandbackStatusLookup" ma:readOnly="true" ma:showField="OverallHandbackStatus" ma:web="e8dc6129-b2e8-490d-b1b8-9dd11744d117">
      <xsd:simpleType>
        <xsd:restriction base="dms:Lookup"/>
      </xsd:simpleType>
    </xsd:element>
    <xsd:element name="LocOverallLocStatusLookup" ma:index="76" nillable="true" ma:displayName="Loc Overall Localize Status" ma:default="" ma:list="{4931D6FE-B32A-43CC-A0FD-D75B886DADA4}" ma:internalName="LocOverallLocStatusLookup" ma:readOnly="true" ma:showField="OverallLocStatus" ma:web="e8dc6129-b2e8-490d-b1b8-9dd11744d117">
      <xsd:simpleType>
        <xsd:restriction base="dms:Lookup"/>
      </xsd:simpleType>
    </xsd:element>
    <xsd:element name="LocOverallPreviewStatusLookup" ma:index="77" nillable="true" ma:displayName="Loc Overall Preview Status" ma:default="" ma:list="{4931D6FE-B32A-43CC-A0FD-D75B886DADA4}" ma:internalName="LocOverallPreviewStatusLookup" ma:readOnly="true" ma:showField="OverallPreviewStatus" ma:web="e8dc6129-b2e8-490d-b1b8-9dd11744d117">
      <xsd:simpleType>
        <xsd:restriction base="dms:Lookup"/>
      </xsd:simpleType>
    </xsd:element>
    <xsd:element name="LocOverallPublishStatusLookup" ma:index="78" nillable="true" ma:displayName="Loc Overall Publish Status" ma:default="" ma:list="{4931D6FE-B32A-43CC-A0FD-D75B886DADA4}" ma:internalName="LocOverallPublishStatusLookup" ma:readOnly="true" ma:showField="OverallPublishStatus" ma:web="e8dc6129-b2e8-490d-b1b8-9dd11744d117">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4931D6FE-B32A-43CC-A0FD-D75B886DADA4}" ma:internalName="LocProcessedForHandoffsLookup" ma:readOnly="true" ma:showField="ProcessedForHandoffs" ma:web="e8dc6129-b2e8-490d-b1b8-9dd11744d117">
      <xsd:simpleType>
        <xsd:restriction base="dms:Lookup"/>
      </xsd:simpleType>
    </xsd:element>
    <xsd:element name="LocProcessedForMarketsLookup" ma:index="81" nillable="true" ma:displayName="Loc Processed For Markets" ma:default="" ma:list="{4931D6FE-B32A-43CC-A0FD-D75B886DADA4}" ma:internalName="LocProcessedForMarketsLookup" ma:readOnly="true" ma:showField="ProcessedForMarkets" ma:web="e8dc6129-b2e8-490d-b1b8-9dd11744d117">
      <xsd:simpleType>
        <xsd:restriction base="dms:Lookup"/>
      </xsd:simpleType>
    </xsd:element>
    <xsd:element name="LocPublishedDependentAssetsLookup" ma:index="82" nillable="true" ma:displayName="Loc Published Dependent Assets" ma:default="" ma:list="{4931D6FE-B32A-43CC-A0FD-D75B886DADA4}" ma:internalName="LocPublishedDependentAssetsLookup" ma:readOnly="true" ma:showField="PublishedDependentAssets" ma:web="e8dc6129-b2e8-490d-b1b8-9dd11744d117">
      <xsd:simpleType>
        <xsd:restriction base="dms:Lookup"/>
      </xsd:simpleType>
    </xsd:element>
    <xsd:element name="LocPublishedLinkedAssetsLookup" ma:index="83" nillable="true" ma:displayName="Loc Published Linked Assets" ma:default="" ma:list="{4931D6FE-B32A-43CC-A0FD-D75B886DADA4}" ma:internalName="LocPublishedLinkedAssetsLookup" ma:readOnly="true" ma:showField="PublishedLinkedAssets" ma:web="e8dc6129-b2e8-490d-b1b8-9dd11744d117">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899027dd-2268-4b10-8e88-56f3d7ef0ba4}"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88634DF5-7237-49F9-904A-3A6F5960B480}" ma:internalName="Markets" ma:readOnly="false" ma:showField="MarketName"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098FB02F-E2AC-4FF5-9031-B4F863F2DCB1}" ma:internalName="NumOfRatingsLookup" ma:readOnly="true" ma:showField="NumOfRatings"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098FB02F-E2AC-4FF5-9031-B4F863F2DCB1}" ma:internalName="PublishStatusLookup" ma:readOnly="false" ma:showField="PublishStatus"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da1e43b2-151f-43c6-9dad-d68cc2d10fc9}"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68a54b6a-f364-46cc-a1de-ceaa1300fad4}" ma:internalName="TaxCatchAll" ma:showField="CatchAllData"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68a54b6a-f364-46cc-a1de-ceaa1300fad4}" ma:internalName="TaxCatchAllLabel" ma:readOnly="true" ma:showField="CatchAllDataLabel"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F49177-07E4-4945-8B2E-E6385401DEBD}"/>
</file>

<file path=customXml/itemProps2.xml><?xml version="1.0" encoding="utf-8"?>
<ds:datastoreItem xmlns:ds="http://schemas.openxmlformats.org/officeDocument/2006/customXml" ds:itemID="{06CD18CD-13F4-472B-B1AB-DDBE2AC449C0}"/>
</file>

<file path=customXml/itemProps3.xml><?xml version="1.0" encoding="utf-8"?>
<ds:datastoreItem xmlns:ds="http://schemas.openxmlformats.org/officeDocument/2006/customXml" ds:itemID="{973458D3-8422-427E-9BF6-A868BDD072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15</vt:i4>
      </vt:variant>
      <vt:variant>
        <vt:lpstr>Imenovani obsegi</vt:lpstr>
      </vt:variant>
      <vt:variant>
        <vt:i4>16</vt:i4>
      </vt:variant>
    </vt:vector>
  </HeadingPairs>
  <TitlesOfParts>
    <vt:vector size="31" baseType="lpstr">
      <vt:lpstr>Kako uporabiti to predlogo</vt:lpstr>
      <vt:lpstr>Seznam študentov</vt:lpstr>
      <vt:lpstr>Avgust</vt:lpstr>
      <vt:lpstr>September</vt:lpstr>
      <vt:lpstr>Oktober</vt:lpstr>
      <vt:lpstr>November</vt:lpstr>
      <vt:lpstr>December</vt:lpstr>
      <vt:lpstr>Januar</vt:lpstr>
      <vt:lpstr>Februar</vt:lpstr>
      <vt:lpstr>Marec</vt:lpstr>
      <vt:lpstr>April</vt:lpstr>
      <vt:lpstr>Maj</vt:lpstr>
      <vt:lpstr>Junij</vt:lpstr>
      <vt:lpstr>Julij</vt:lpstr>
      <vt:lpstr>Poročilo prisotnosti študentov</vt:lpstr>
      <vt:lpstr>BesediloBarvnegaKljuča</vt:lpstr>
      <vt:lpstr>BesediloKode1</vt:lpstr>
      <vt:lpstr>BesediloKode2</vt:lpstr>
      <vt:lpstr>BesediloKode3</vt:lpstr>
      <vt:lpstr>BesediloKode4</vt:lpstr>
      <vt:lpstr>BesediloKode5</vt:lpstr>
      <vt:lpstr>IDUčenca</vt:lpstr>
      <vt:lpstr>ImeUčenca</vt:lpstr>
      <vt:lpstr>IskanjeUčencev</vt:lpstr>
      <vt:lpstr>Koda1</vt:lpstr>
      <vt:lpstr>Koda2</vt:lpstr>
      <vt:lpstr>Koda3</vt:lpstr>
      <vt:lpstr>Koda4</vt:lpstr>
      <vt:lpstr>Koda5</vt:lpstr>
      <vt:lpstr>KoledarskoLeto</vt:lpstr>
      <vt:lpstr>'Seznam študentov'!Natisni_Naslove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Petr Barborik</cp:lastModifiedBy>
  <dcterms:created xsi:type="dcterms:W3CDTF">2011-04-01T16:06:21Z</dcterms:created>
  <dcterms:modified xsi:type="dcterms:W3CDTF">2013-06-10T14:29:39Z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ternalTags">
    <vt:lpwstr/>
  </property>
  <property fmtid="{D5CDD505-2E9C-101B-9397-08002B2CF9AE}" pid="3" name="ContentTypeId">
    <vt:lpwstr>0x010100DA42EBD431E25D48BAF21353513BEFF50400498E68C8DDA0E9488B63EFF5C26624D8</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ies>
</file>