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P:\MS-IW-OFFICE-UA\Office_Online\Projects\Templates_Gemini_G1\Phases\65_Calendar_template_Customization_2016\07_FinalPostProcessing\Batch6\SKY\"/>
    </mc:Choice>
  </mc:AlternateContent>
  <bookViews>
    <workbookView xWindow="0" yWindow="1350" windowWidth="20490" windowHeight="7515" tabRatio="741"/>
  </bookViews>
  <sheets>
    <sheet name="Január" sheetId="1" r:id="rId1"/>
    <sheet name="Február" sheetId="6" r:id="rId2"/>
    <sheet name="Marec" sheetId="7" r:id="rId3"/>
    <sheet name="Apríl" sheetId="8" r:id="rId4"/>
    <sheet name="Máj" sheetId="9" r:id="rId5"/>
    <sheet name="Jún" sheetId="10" r:id="rId6"/>
    <sheet name="Júl" sheetId="11" r:id="rId7"/>
    <sheet name="August" sheetId="12" r:id="rId8"/>
    <sheet name="September" sheetId="13" r:id="rId9"/>
    <sheet name="Október" sheetId="14" r:id="rId10"/>
    <sheet name="November" sheetId="15" r:id="rId11"/>
    <sheet name="December" sheetId="16" r:id="rId12"/>
  </sheets>
  <definedNames>
    <definedName name="AprNed1">DATE(KalendárnyRok,4,1)-WEEKDAY(DATE(KalendárnyRok,4,1))+1</definedName>
    <definedName name="AugNed1">DATE(KalendárnyRok,8,1)-WEEKDAY(DATE(KalendárnyRok,8,1))+1</definedName>
    <definedName name="DecNed1">DATE(KalendárnyRok,12,1)-WEEKDAY(DATE(KalendárnyRok,12,1))+1</definedName>
    <definedName name="DniPriradeniaÚloh" localSheetId="3">Apríl!$L$4:$L$33</definedName>
    <definedName name="DniPriradeniaÚloh" localSheetId="7">August!$L$4:$L$33</definedName>
    <definedName name="DniPriradeniaÚloh" localSheetId="11">December!$L$4:$L$33</definedName>
    <definedName name="DniPriradeniaÚloh" localSheetId="1">Február!$L$4:$L$33</definedName>
    <definedName name="DniPriradeniaÚloh" localSheetId="6">Júl!$L$4:$L$33</definedName>
    <definedName name="DniPriradeniaÚloh" localSheetId="5">Jún!$L$4:$L$33</definedName>
    <definedName name="DniPriradeniaÚloh" localSheetId="4">Máj!$L$4:$L$33</definedName>
    <definedName name="DniPriradeniaÚloh" localSheetId="2">Marec!$L$4:$L$33</definedName>
    <definedName name="DniPriradeniaÚloh" localSheetId="10">November!$L$4:$L$33</definedName>
    <definedName name="DniPriradeniaÚloh" localSheetId="9">Október!$L$4:$L$33</definedName>
    <definedName name="DniPriradeniaÚloh" localSheetId="8">September!$L$4:$L$33</definedName>
    <definedName name="DniPriradeniaÚloh">Január!$L$4:$L$33</definedName>
    <definedName name="FebNed1">DATE(KalendárnyRok,2,1)-WEEKDAY(DATE(KalendárnyRok,2,1))+1</definedName>
    <definedName name="JanNed1">DATE(KalendárnyRok,1,1)-WEEKDAY(DATE(KalendárnyRok,1,1))+1</definedName>
    <definedName name="JúlNed1">DATE(KalendárnyRok,7,1)-WEEKDAY(DATE(KalendárnyRok,7,1))+1</definedName>
    <definedName name="JúnNed1">DATE(KalendárnyRok,6,1)-WEEKDAY(DATE(KalendárnyRok,6,1))+1</definedName>
    <definedName name="KalendárnyRok">Január!$N$2</definedName>
    <definedName name="MájNed1">DATE(KalendárnyRok,5,1)-WEEKDAY(DATE(KalendárnyRok,5,1))+1</definedName>
    <definedName name="MarNed1">DATE(KalendárnyRok,3,1)-WEEKDAY(DATE(KalendárnyRok,3,1))+1</definedName>
    <definedName name="NovNed1">DATE(KalendárnyRok,11,1)-WEEKDAY(DATE(KalendárnyRok,11,1))+1</definedName>
    <definedName name="OktNed1">DATE(KalendárnyRok,10,1)-WEEKDAY(DATE(KalendárnyRok,10,1))+1</definedName>
    <definedName name="_xlnm.Print_Area" localSheetId="3">Apríl!$A$1:$N$33</definedName>
    <definedName name="_xlnm.Print_Area" localSheetId="7">August!$A$1:$N$33</definedName>
    <definedName name="_xlnm.Print_Area" localSheetId="11">December!$A$1:$N$33</definedName>
    <definedName name="_xlnm.Print_Area" localSheetId="1">Február!$A$1:$N$33</definedName>
    <definedName name="_xlnm.Print_Area" localSheetId="0">Január!$A$1:$N$33</definedName>
    <definedName name="_xlnm.Print_Area" localSheetId="6">Júl!$A$1:$N$33</definedName>
    <definedName name="_xlnm.Print_Area" localSheetId="5">Jún!$A$1:$N$33</definedName>
    <definedName name="_xlnm.Print_Area" localSheetId="4">Máj!$A$1:$N$33</definedName>
    <definedName name="_xlnm.Print_Area" localSheetId="2">Marec!$A$1:$N$33</definedName>
    <definedName name="_xlnm.Print_Area" localSheetId="10">November!$A$1:$N$33</definedName>
    <definedName name="_xlnm.Print_Area" localSheetId="9">Október!$A$1:$N$33</definedName>
    <definedName name="_xlnm.Print_Area" localSheetId="8">September!$A$1:$N$33</definedName>
    <definedName name="SepNed1">DATE(KalendárnyRok,9,1)-WEEKDAY(DATE(KalendárnyRok,9,1))+1</definedName>
    <definedName name="TabuľkaDôležitýchDátumov" localSheetId="3">Apríl!$L$4:$M$8</definedName>
    <definedName name="TabuľkaDôležitýchDátumov" localSheetId="7">August!$L$4:$M$8</definedName>
    <definedName name="TabuľkaDôležitýchDátumov" localSheetId="11">December!$L$4:$M$8</definedName>
    <definedName name="TabuľkaDôležitýchDátumov" localSheetId="1">Február!$L$4:$M$8</definedName>
    <definedName name="TabuľkaDôležitýchDátumov" localSheetId="6">Júl!$L$4:$M$8</definedName>
    <definedName name="TabuľkaDôležitýchDátumov" localSheetId="5">Jún!$L$4:$M$8</definedName>
    <definedName name="TabuľkaDôležitýchDátumov" localSheetId="4">Máj!$L$4:$M$8</definedName>
    <definedName name="TabuľkaDôležitýchDátumov" localSheetId="2">Marec!$L$4:$M$8</definedName>
    <definedName name="TabuľkaDôležitýchDátumov" localSheetId="10">November!$L$4:$M$8</definedName>
    <definedName name="TabuľkaDôležitýchDátumov" localSheetId="9">Október!$L$4:$M$8</definedName>
    <definedName name="TabuľkaDôležitýchDátumov" localSheetId="8">September!$L$4:$M$8</definedName>
    <definedName name="TabuľkaDôležitýchDátumov">Január!$L$4:$M$8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" i="6" l="1"/>
  <c r="N2" i="7"/>
  <c r="N2" i="8"/>
  <c r="N2" i="9"/>
  <c r="N2" i="10"/>
  <c r="N2" i="11"/>
  <c r="N2" i="12"/>
  <c r="N2" i="13"/>
  <c r="N2" i="14"/>
  <c r="N2" i="15"/>
  <c r="N2" i="16"/>
  <c r="I9" i="16" l="1"/>
  <c r="H9" i="16"/>
  <c r="G9" i="16"/>
  <c r="F9" i="16"/>
  <c r="E9" i="16"/>
  <c r="D9" i="16"/>
  <c r="C9" i="16"/>
  <c r="I8" i="16"/>
  <c r="H8" i="16"/>
  <c r="G8" i="16"/>
  <c r="F8" i="16"/>
  <c r="E8" i="16"/>
  <c r="D8" i="16"/>
  <c r="C8" i="16"/>
  <c r="I7" i="16"/>
  <c r="H7" i="16"/>
  <c r="G7" i="16"/>
  <c r="F7" i="16"/>
  <c r="E7" i="16"/>
  <c r="D7" i="16"/>
  <c r="C7" i="16"/>
  <c r="I6" i="16"/>
  <c r="H6" i="16"/>
  <c r="G6" i="16"/>
  <c r="F6" i="16"/>
  <c r="E6" i="16"/>
  <c r="D6" i="16"/>
  <c r="C6" i="16"/>
  <c r="I5" i="16"/>
  <c r="H5" i="16"/>
  <c r="G5" i="16"/>
  <c r="F5" i="16"/>
  <c r="E5" i="16"/>
  <c r="D5" i="16"/>
  <c r="C5" i="16"/>
  <c r="I4" i="16"/>
  <c r="H4" i="16"/>
  <c r="G4" i="16"/>
  <c r="F4" i="16"/>
  <c r="E4" i="16"/>
  <c r="D4" i="16"/>
  <c r="C4" i="16"/>
  <c r="I9" i="15"/>
  <c r="H9" i="15"/>
  <c r="G9" i="15"/>
  <c r="F9" i="15"/>
  <c r="E9" i="15"/>
  <c r="D9" i="15"/>
  <c r="C9" i="15"/>
  <c r="I8" i="15"/>
  <c r="H8" i="15"/>
  <c r="G8" i="15"/>
  <c r="F8" i="15"/>
  <c r="E8" i="15"/>
  <c r="D8" i="15"/>
  <c r="C8" i="15"/>
  <c r="I7" i="15"/>
  <c r="H7" i="15"/>
  <c r="G7" i="15"/>
  <c r="F7" i="15"/>
  <c r="E7" i="15"/>
  <c r="D7" i="15"/>
  <c r="C7" i="15"/>
  <c r="I6" i="15"/>
  <c r="H6" i="15"/>
  <c r="G6" i="15"/>
  <c r="F6" i="15"/>
  <c r="E6" i="15"/>
  <c r="D6" i="15"/>
  <c r="C6" i="15"/>
  <c r="I5" i="15"/>
  <c r="H5" i="15"/>
  <c r="G5" i="15"/>
  <c r="F5" i="15"/>
  <c r="E5" i="15"/>
  <c r="D5" i="15"/>
  <c r="C5" i="15"/>
  <c r="I4" i="15"/>
  <c r="H4" i="15"/>
  <c r="G4" i="15"/>
  <c r="F4" i="15"/>
  <c r="E4" i="15"/>
  <c r="D4" i="15"/>
  <c r="C4" i="15"/>
  <c r="I9" i="14"/>
  <c r="H9" i="14"/>
  <c r="G9" i="14"/>
  <c r="F9" i="14"/>
  <c r="E9" i="14"/>
  <c r="D9" i="14"/>
  <c r="C9" i="14"/>
  <c r="I8" i="14"/>
  <c r="H8" i="14"/>
  <c r="G8" i="14"/>
  <c r="F8" i="14"/>
  <c r="E8" i="14"/>
  <c r="D8" i="14"/>
  <c r="C8" i="14"/>
  <c r="I7" i="14"/>
  <c r="H7" i="14"/>
  <c r="G7" i="14"/>
  <c r="F7" i="14"/>
  <c r="E7" i="14"/>
  <c r="D7" i="14"/>
  <c r="C7" i="14"/>
  <c r="I6" i="14"/>
  <c r="H6" i="14"/>
  <c r="G6" i="14"/>
  <c r="F6" i="14"/>
  <c r="E6" i="14"/>
  <c r="D6" i="14"/>
  <c r="C6" i="14"/>
  <c r="I5" i="14"/>
  <c r="H5" i="14"/>
  <c r="G5" i="14"/>
  <c r="F5" i="14"/>
  <c r="E5" i="14"/>
  <c r="D5" i="14"/>
  <c r="C5" i="14"/>
  <c r="I4" i="14"/>
  <c r="H4" i="14"/>
  <c r="G4" i="14"/>
  <c r="F4" i="14"/>
  <c r="E4" i="14"/>
  <c r="D4" i="14"/>
  <c r="C4" i="14"/>
  <c r="I9" i="13"/>
  <c r="H9" i="13"/>
  <c r="G9" i="13"/>
  <c r="F9" i="13"/>
  <c r="E9" i="13"/>
  <c r="D9" i="13"/>
  <c r="C9" i="13"/>
  <c r="I8" i="13"/>
  <c r="H8" i="13"/>
  <c r="G8" i="13"/>
  <c r="F8" i="13"/>
  <c r="E8" i="13"/>
  <c r="D8" i="13"/>
  <c r="C8" i="13"/>
  <c r="I7" i="13"/>
  <c r="H7" i="13"/>
  <c r="G7" i="13"/>
  <c r="F7" i="13"/>
  <c r="E7" i="13"/>
  <c r="D7" i="13"/>
  <c r="C7" i="13"/>
  <c r="I6" i="13"/>
  <c r="H6" i="13"/>
  <c r="G6" i="13"/>
  <c r="F6" i="13"/>
  <c r="E6" i="13"/>
  <c r="D6" i="13"/>
  <c r="C6" i="13"/>
  <c r="I5" i="13"/>
  <c r="H5" i="13"/>
  <c r="G5" i="13"/>
  <c r="F5" i="13"/>
  <c r="E5" i="13"/>
  <c r="D5" i="13"/>
  <c r="C5" i="13"/>
  <c r="I4" i="13"/>
  <c r="H4" i="13"/>
  <c r="G4" i="13"/>
  <c r="F4" i="13"/>
  <c r="E4" i="13"/>
  <c r="D4" i="13"/>
  <c r="C4" i="13"/>
  <c r="I9" i="12"/>
  <c r="H9" i="12"/>
  <c r="G9" i="12"/>
  <c r="F9" i="12"/>
  <c r="E9" i="12"/>
  <c r="D9" i="12"/>
  <c r="C9" i="12"/>
  <c r="I8" i="12"/>
  <c r="H8" i="12"/>
  <c r="G8" i="12"/>
  <c r="F8" i="12"/>
  <c r="E8" i="12"/>
  <c r="D8" i="12"/>
  <c r="C8" i="12"/>
  <c r="I7" i="12"/>
  <c r="H7" i="12"/>
  <c r="G7" i="12"/>
  <c r="F7" i="12"/>
  <c r="E7" i="12"/>
  <c r="D7" i="12"/>
  <c r="C7" i="12"/>
  <c r="I6" i="12"/>
  <c r="H6" i="12"/>
  <c r="G6" i="12"/>
  <c r="F6" i="12"/>
  <c r="E6" i="12"/>
  <c r="D6" i="12"/>
  <c r="C6" i="12"/>
  <c r="I5" i="12"/>
  <c r="H5" i="12"/>
  <c r="G5" i="12"/>
  <c r="F5" i="12"/>
  <c r="E5" i="12"/>
  <c r="D5" i="12"/>
  <c r="C5" i="12"/>
  <c r="I4" i="12"/>
  <c r="H4" i="12"/>
  <c r="G4" i="12"/>
  <c r="F4" i="12"/>
  <c r="E4" i="12"/>
  <c r="D4" i="12"/>
  <c r="C4" i="12"/>
  <c r="I9" i="11"/>
  <c r="H9" i="11"/>
  <c r="G9" i="11"/>
  <c r="F9" i="11"/>
  <c r="E9" i="11"/>
  <c r="D9" i="11"/>
  <c r="C9" i="11"/>
  <c r="I8" i="11"/>
  <c r="H8" i="11"/>
  <c r="G8" i="11"/>
  <c r="F8" i="11"/>
  <c r="E8" i="11"/>
  <c r="D8" i="11"/>
  <c r="C8" i="11"/>
  <c r="I7" i="11"/>
  <c r="H7" i="11"/>
  <c r="G7" i="11"/>
  <c r="F7" i="11"/>
  <c r="E7" i="11"/>
  <c r="D7" i="11"/>
  <c r="C7" i="11"/>
  <c r="I6" i="11"/>
  <c r="H6" i="11"/>
  <c r="G6" i="11"/>
  <c r="F6" i="11"/>
  <c r="E6" i="11"/>
  <c r="D6" i="11"/>
  <c r="C6" i="11"/>
  <c r="I5" i="11"/>
  <c r="H5" i="11"/>
  <c r="G5" i="11"/>
  <c r="F5" i="11"/>
  <c r="E5" i="11"/>
  <c r="D5" i="11"/>
  <c r="C5" i="11"/>
  <c r="I4" i="11"/>
  <c r="H4" i="11"/>
  <c r="G4" i="11"/>
  <c r="F4" i="11"/>
  <c r="E4" i="11"/>
  <c r="D4" i="11"/>
  <c r="C4" i="11"/>
  <c r="I9" i="10"/>
  <c r="H9" i="10"/>
  <c r="G9" i="10"/>
  <c r="F9" i="10"/>
  <c r="E9" i="10"/>
  <c r="D9" i="10"/>
  <c r="C9" i="10"/>
  <c r="I8" i="10"/>
  <c r="H8" i="10"/>
  <c r="G8" i="10"/>
  <c r="F8" i="10"/>
  <c r="E8" i="10"/>
  <c r="D8" i="10"/>
  <c r="C8" i="10"/>
  <c r="I7" i="10"/>
  <c r="H7" i="10"/>
  <c r="G7" i="10"/>
  <c r="F7" i="10"/>
  <c r="E7" i="10"/>
  <c r="D7" i="10"/>
  <c r="C7" i="10"/>
  <c r="I6" i="10"/>
  <c r="H6" i="10"/>
  <c r="G6" i="10"/>
  <c r="F6" i="10"/>
  <c r="E6" i="10"/>
  <c r="D6" i="10"/>
  <c r="C6" i="10"/>
  <c r="I5" i="10"/>
  <c r="H5" i="10"/>
  <c r="G5" i="10"/>
  <c r="F5" i="10"/>
  <c r="E5" i="10"/>
  <c r="D5" i="10"/>
  <c r="C5" i="10"/>
  <c r="I4" i="10"/>
  <c r="H4" i="10"/>
  <c r="G4" i="10"/>
  <c r="F4" i="10"/>
  <c r="E4" i="10"/>
  <c r="D4" i="10"/>
  <c r="C4" i="10"/>
  <c r="I9" i="9"/>
  <c r="H9" i="9"/>
  <c r="G9" i="9"/>
  <c r="F9" i="9"/>
  <c r="E9" i="9"/>
  <c r="D9" i="9"/>
  <c r="C9" i="9"/>
  <c r="I8" i="9"/>
  <c r="H8" i="9"/>
  <c r="G8" i="9"/>
  <c r="F8" i="9"/>
  <c r="E8" i="9"/>
  <c r="D8" i="9"/>
  <c r="C8" i="9"/>
  <c r="I7" i="9"/>
  <c r="H7" i="9"/>
  <c r="G7" i="9"/>
  <c r="F7" i="9"/>
  <c r="E7" i="9"/>
  <c r="D7" i="9"/>
  <c r="C7" i="9"/>
  <c r="I6" i="9"/>
  <c r="H6" i="9"/>
  <c r="G6" i="9"/>
  <c r="F6" i="9"/>
  <c r="E6" i="9"/>
  <c r="D6" i="9"/>
  <c r="C6" i="9"/>
  <c r="I5" i="9"/>
  <c r="H5" i="9"/>
  <c r="G5" i="9"/>
  <c r="F5" i="9"/>
  <c r="E5" i="9"/>
  <c r="D5" i="9"/>
  <c r="C5" i="9"/>
  <c r="I4" i="9"/>
  <c r="H4" i="9"/>
  <c r="G4" i="9"/>
  <c r="F4" i="9"/>
  <c r="E4" i="9"/>
  <c r="D4" i="9"/>
  <c r="C4" i="9"/>
  <c r="I9" i="8"/>
  <c r="H9" i="8"/>
  <c r="G9" i="8"/>
  <c r="F9" i="8"/>
  <c r="E9" i="8"/>
  <c r="D9" i="8"/>
  <c r="C9" i="8"/>
  <c r="I8" i="8"/>
  <c r="H8" i="8"/>
  <c r="G8" i="8"/>
  <c r="F8" i="8"/>
  <c r="E8" i="8"/>
  <c r="D8" i="8"/>
  <c r="C8" i="8"/>
  <c r="I7" i="8"/>
  <c r="H7" i="8"/>
  <c r="G7" i="8"/>
  <c r="F7" i="8"/>
  <c r="E7" i="8"/>
  <c r="D7" i="8"/>
  <c r="C7" i="8"/>
  <c r="I6" i="8"/>
  <c r="H6" i="8"/>
  <c r="G6" i="8"/>
  <c r="F6" i="8"/>
  <c r="E6" i="8"/>
  <c r="D6" i="8"/>
  <c r="C6" i="8"/>
  <c r="I5" i="8"/>
  <c r="H5" i="8"/>
  <c r="G5" i="8"/>
  <c r="F5" i="8"/>
  <c r="E5" i="8"/>
  <c r="D5" i="8"/>
  <c r="C5" i="8"/>
  <c r="I4" i="8"/>
  <c r="H4" i="8"/>
  <c r="G4" i="8"/>
  <c r="F4" i="8"/>
  <c r="E4" i="8"/>
  <c r="D4" i="8"/>
  <c r="C4" i="8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F7" i="7"/>
  <c r="E7" i="7"/>
  <c r="D7" i="7"/>
  <c r="C7" i="7"/>
  <c r="I6" i="7"/>
  <c r="H6" i="7"/>
  <c r="G6" i="7"/>
  <c r="F6" i="7"/>
  <c r="E6" i="7"/>
  <c r="D6" i="7"/>
  <c r="C6" i="7"/>
  <c r="I5" i="7"/>
  <c r="H5" i="7"/>
  <c r="G5" i="7"/>
  <c r="F5" i="7"/>
  <c r="E5" i="7"/>
  <c r="D5" i="7"/>
  <c r="C5" i="7"/>
  <c r="I4" i="7"/>
  <c r="H4" i="7"/>
  <c r="G4" i="7"/>
  <c r="F4" i="7"/>
  <c r="E4" i="7"/>
  <c r="D4" i="7"/>
  <c r="C4" i="7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F7" i="6"/>
  <c r="E7" i="6"/>
  <c r="D7" i="6"/>
  <c r="C7" i="6"/>
  <c r="I6" i="6"/>
  <c r="H6" i="6"/>
  <c r="G6" i="6"/>
  <c r="F6" i="6"/>
  <c r="E6" i="6"/>
  <c r="D6" i="6"/>
  <c r="C6" i="6"/>
  <c r="I5" i="6"/>
  <c r="H5" i="6"/>
  <c r="G5" i="6"/>
  <c r="F5" i="6"/>
  <c r="E5" i="6"/>
  <c r="D5" i="6"/>
  <c r="I4" i="6"/>
  <c r="H4" i="6"/>
  <c r="G4" i="6"/>
  <c r="F4" i="6"/>
  <c r="E4" i="6"/>
  <c r="D4" i="6"/>
  <c r="C4" i="6"/>
  <c r="C5" i="6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  <c r="I4" i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<sst xmlns="http://schemas.openxmlformats.org/spreadsheetml/2006/main" count="555" uniqueCount="34">
  <si>
    <t>JAN</t>
  </si>
  <si>
    <t>TÝŽDENNÝ ROZVRH</t>
  </si>
  <si>
    <t>PO</t>
  </si>
  <si>
    <t>8:00</t>
  </si>
  <si>
    <t>Francúzština</t>
  </si>
  <si>
    <t>10:00</t>
  </si>
  <si>
    <t>Matematika</t>
  </si>
  <si>
    <t>14:00</t>
  </si>
  <si>
    <t>Angličtina</t>
  </si>
  <si>
    <t>UT</t>
  </si>
  <si>
    <t>9:00</t>
  </si>
  <si>
    <t>Dejiny umenia</t>
  </si>
  <si>
    <t>16:00</t>
  </si>
  <si>
    <t>Programovanie</t>
  </si>
  <si>
    <t>ST</t>
  </si>
  <si>
    <t>ŠT</t>
  </si>
  <si>
    <t>PI</t>
  </si>
  <si>
    <t>PRIRADENÉ ÚLOHY</t>
  </si>
  <si>
    <t>Francúzština: Odovzdať prvý návrh práce</t>
  </si>
  <si>
    <t>Dejiny umenia: Test</t>
  </si>
  <si>
    <t>&lt; Do bunky N2 zadajte kalendárny rok.</t>
  </si>
  <si>
    <t>OKT</t>
  </si>
  <si>
    <t>NOV</t>
  </si>
  <si>
    <t>DEC</t>
  </si>
  <si>
    <t>FEB</t>
  </si>
  <si>
    <t>MAR</t>
  </si>
  <si>
    <t>APR</t>
  </si>
  <si>
    <t>MÁJ</t>
  </si>
  <si>
    <t>JÚN</t>
  </si>
  <si>
    <t>JÚL</t>
  </si>
  <si>
    <t>AUG</t>
  </si>
  <si>
    <t>SEP</t>
  </si>
  <si>
    <t>SO</t>
  </si>
  <si>
    <t>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</si>
</sst>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21" x14ac:knownFonts="1">
    <font>
      <sz val="10"/>
      <color theme="1"/>
      <name val="Arial"/>
      <family val="2"/>
      <scheme val="minor"/>
    </font>
    <font>
      <sz val="12"/>
      <color rgb="FF002060"/>
      <name val="Arial"/>
      <family val="2"/>
      <scheme val="minor"/>
    </font>
    <font>
      <sz val="8"/>
      <name val="Arial"/>
      <family val="2"/>
      <scheme val="minor"/>
    </font>
    <font>
      <sz val="12"/>
      <color theme="4"/>
      <name val="Arial"/>
      <family val="2"/>
      <scheme val="major"/>
    </font>
    <font>
      <sz val="10"/>
      <color theme="1"/>
      <name val="Arial"/>
      <family val="2"/>
      <scheme val="major"/>
    </font>
    <font>
      <b/>
      <sz val="12"/>
      <color theme="4"/>
      <name val="Arial"/>
      <family val="2"/>
      <scheme val="major"/>
    </font>
    <font>
      <b/>
      <sz val="10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color theme="0"/>
      <name val="Arial"/>
      <family val="2"/>
      <scheme val="minor"/>
    </font>
    <font>
      <b/>
      <sz val="8.5"/>
      <color theme="1"/>
      <name val="Arial"/>
      <family val="2"/>
      <scheme val="minor"/>
    </font>
    <font>
      <sz val="8.5"/>
      <color theme="1"/>
      <name val="Arial"/>
      <family val="2"/>
      <scheme val="minor"/>
    </font>
    <font>
      <b/>
      <sz val="8.5"/>
      <color theme="1"/>
      <name val="Arial"/>
      <family val="2"/>
      <scheme val="major"/>
    </font>
    <font>
      <sz val="10"/>
      <color theme="1" tint="0.249977111117893"/>
      <name val="Arial"/>
      <family val="2"/>
      <scheme val="minor"/>
    </font>
    <font>
      <sz val="12"/>
      <color theme="1" tint="0.249977111117893"/>
      <name val="Arial"/>
      <family val="2"/>
      <scheme val="minor"/>
    </font>
    <font>
      <sz val="10.5"/>
      <color theme="1" tint="0.249977111117893"/>
      <name val="Arial"/>
      <family val="2"/>
      <scheme val="minor"/>
    </font>
    <font>
      <b/>
      <sz val="10.5"/>
      <name val="Arial"/>
      <family val="2"/>
      <scheme val="minor"/>
    </font>
    <font>
      <b/>
      <sz val="17"/>
      <color theme="4"/>
      <name val="Arial"/>
      <family val="2"/>
      <scheme val="minor"/>
    </font>
    <font>
      <b/>
      <sz val="24"/>
      <color theme="4"/>
      <name val="Arial"/>
      <family val="2"/>
      <scheme val="minor"/>
    </font>
    <font>
      <b/>
      <sz val="26"/>
      <color theme="4"/>
      <name val="Arial"/>
      <family val="2"/>
      <scheme val="major"/>
    </font>
    <font>
      <b/>
      <sz val="10"/>
      <color rgb="FF39B5D4"/>
      <name val="Arial"/>
      <family val="2"/>
      <scheme val="minor"/>
    </font>
    <font>
      <b/>
      <sz val="10"/>
      <color theme="4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5"/>
      </top>
      <bottom style="thin">
        <color theme="4" tint="0.79998168889431442"/>
      </bottom>
      <diagonal/>
    </border>
    <border>
      <left/>
      <right style="thin">
        <color theme="0"/>
      </right>
      <top/>
      <bottom/>
      <diagonal/>
    </border>
    <border>
      <left style="thin">
        <color theme="4" tint="0.79998168889431442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/>
      <diagonal/>
    </border>
    <border>
      <left/>
      <right style="thin">
        <color theme="4" tint="0.79998168889431442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 style="thin">
        <color theme="4" tint="0.79995117038483843"/>
      </bottom>
      <diagonal/>
    </border>
    <border>
      <left style="thin">
        <color theme="0"/>
      </left>
      <right/>
      <top/>
      <bottom style="thin">
        <color theme="4" tint="0.79995117038483843"/>
      </bottom>
      <diagonal/>
    </border>
    <border>
      <left/>
      <right style="thin">
        <color theme="0"/>
      </right>
      <top/>
      <bottom style="thin">
        <color theme="4" tint="0.79995117038483843"/>
      </bottom>
      <diagonal/>
    </border>
    <border>
      <left/>
      <right/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/>
      <diagonal/>
    </border>
    <border>
      <left/>
      <right/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4" tint="0.7999816888943144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4" tint="0.79992065187536243"/>
      </right>
      <top/>
      <bottom style="thin">
        <color theme="0"/>
      </bottom>
      <diagonal/>
    </border>
    <border>
      <left/>
      <right style="thin">
        <color theme="4" tint="0.79992065187536243"/>
      </right>
      <top style="thin">
        <color theme="0"/>
      </top>
      <bottom/>
      <diagonal/>
    </border>
    <border>
      <left style="thin">
        <color theme="4" tint="0.79992065187536243"/>
      </left>
      <right/>
      <top/>
      <bottom/>
      <diagonal/>
    </border>
    <border>
      <left style="thin">
        <color theme="4" tint="0.79992065187536243"/>
      </left>
      <right/>
      <top/>
      <bottom style="thin">
        <color theme="4" tint="0.79989013336588644"/>
      </bottom>
      <diagonal/>
    </border>
    <border>
      <left/>
      <right/>
      <top/>
      <bottom style="thin">
        <color theme="4" tint="0.79989013336588644"/>
      </bottom>
      <diagonal/>
    </border>
    <border>
      <left/>
      <right style="thin">
        <color theme="4" tint="0.79989013336588644"/>
      </right>
      <top/>
      <bottom style="thin">
        <color theme="4" tint="0.79989013336588644"/>
      </bottom>
      <diagonal/>
    </border>
    <border>
      <left style="thin">
        <color theme="4" tint="0.79992065187536243"/>
      </left>
      <right/>
      <top style="thin">
        <color theme="4" tint="0.79989013336588644"/>
      </top>
      <bottom/>
      <diagonal/>
    </border>
    <border>
      <left/>
      <right/>
      <top style="thin">
        <color theme="4" tint="0.79989013336588644"/>
      </top>
      <bottom/>
      <diagonal/>
    </border>
    <border>
      <left/>
      <right style="thin">
        <color theme="4" tint="0.79989013336588644"/>
      </right>
      <top style="thin">
        <color theme="4" tint="0.79989013336588644"/>
      </top>
      <bottom/>
      <diagonal/>
    </border>
    <border>
      <left style="thin">
        <color theme="4" tint="0.79992065187536243"/>
      </left>
      <right/>
      <top style="thin">
        <color theme="4" tint="0.79998168889431442"/>
      </top>
      <bottom/>
      <diagonal/>
    </border>
    <border>
      <left/>
      <right/>
      <top style="thin">
        <color theme="4" tint="0.79989013336588644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89013336588644"/>
      </top>
      <bottom style="thin">
        <color theme="5"/>
      </bottom>
      <diagonal/>
    </border>
    <border>
      <left style="thin">
        <color theme="4" tint="0.79998168889431442"/>
      </left>
      <right/>
      <top style="thin">
        <color theme="4" tint="0.79995117038483843"/>
      </top>
      <bottom/>
      <diagonal/>
    </border>
    <border>
      <left/>
      <right/>
      <top style="thin">
        <color theme="4" tint="0.79995117038483843"/>
      </top>
      <bottom/>
      <diagonal/>
    </border>
    <border>
      <left/>
      <right style="thin">
        <color theme="4" tint="0.79992065187536243"/>
      </right>
      <top style="thin">
        <color theme="4" tint="0.79995117038483843"/>
      </top>
      <bottom/>
      <diagonal/>
    </border>
    <border>
      <left style="thin">
        <color theme="4" tint="0.79998168889431442"/>
      </left>
      <right/>
      <top/>
      <bottom style="thin">
        <color theme="4" tint="0.79995117038483843"/>
      </bottom>
      <diagonal/>
    </border>
    <border>
      <left/>
      <right style="thin">
        <color theme="4" tint="0.79985961485641044"/>
      </right>
      <top style="thin">
        <color theme="4" tint="0.79985961485641044"/>
      </top>
      <bottom/>
      <diagonal/>
    </border>
    <border>
      <left/>
      <right style="thin">
        <color theme="4" tint="0.79985961485641044"/>
      </right>
      <top/>
      <bottom style="thin">
        <color theme="4" tint="0.79989013336588644"/>
      </bottom>
      <diagonal/>
    </border>
  </borders>
  <cellStyleXfs count="6">
    <xf numFmtId="0" fontId="0" fillId="0" borderId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Protection="0">
      <alignment textRotation="90"/>
    </xf>
  </cellStyleXfs>
  <cellXfs count="81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indent="1"/>
    </xf>
    <xf numFmtId="0" fontId="0" fillId="0" borderId="8" xfId="0" applyFont="1" applyBorder="1"/>
    <xf numFmtId="0" fontId="0" fillId="0" borderId="15" xfId="0" applyFont="1" applyBorder="1"/>
    <xf numFmtId="0" fontId="10" fillId="3" borderId="20" xfId="0" applyFont="1" applyFill="1" applyBorder="1" applyAlignment="1">
      <alignment horizontal="left" vertical="top" indent="1"/>
    </xf>
    <xf numFmtId="0" fontId="10" fillId="3" borderId="10" xfId="0" applyFont="1" applyFill="1" applyBorder="1" applyAlignment="1">
      <alignment horizontal="left" vertical="top" indent="1"/>
    </xf>
    <xf numFmtId="49" fontId="9" fillId="3" borderId="7" xfId="0" applyNumberFormat="1" applyFont="1" applyFill="1" applyBorder="1" applyAlignment="1">
      <alignment horizontal="left" indent="1"/>
    </xf>
    <xf numFmtId="49" fontId="9" fillId="3" borderId="23" xfId="0" applyNumberFormat="1" applyFont="1" applyFill="1" applyBorder="1" applyAlignment="1">
      <alignment horizontal="left" indent="1"/>
    </xf>
    <xf numFmtId="164" fontId="1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textRotation="90"/>
    </xf>
    <xf numFmtId="0" fontId="6" fillId="0" borderId="0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textRotation="90"/>
    </xf>
    <xf numFmtId="164" fontId="1" fillId="0" borderId="13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0" fontId="0" fillId="0" borderId="39" xfId="0" applyFont="1" applyBorder="1"/>
    <xf numFmtId="0" fontId="0" fillId="0" borderId="40" xfId="0" applyFont="1" applyBorder="1"/>
    <xf numFmtId="164" fontId="15" fillId="0" borderId="13" xfId="0" applyNumberFormat="1" applyFont="1" applyFill="1" applyBorder="1" applyAlignment="1">
      <alignment horizontal="left" vertical="center" wrapText="1" indent="1"/>
    </xf>
    <xf numFmtId="0" fontId="0" fillId="0" borderId="14" xfId="0" applyFont="1" applyBorder="1"/>
    <xf numFmtId="0" fontId="19" fillId="0" borderId="0" xfId="0" applyFont="1" applyAlignment="1">
      <alignment vertical="center" wrapText="1"/>
    </xf>
    <xf numFmtId="0" fontId="17" fillId="0" borderId="6" xfId="2" applyFill="1" applyBorder="1" applyAlignment="1">
      <alignment vertical="top"/>
    </xf>
    <xf numFmtId="0" fontId="17" fillId="0" borderId="41" xfId="2" applyFill="1" applyBorder="1" applyAlignment="1">
      <alignment vertical="top"/>
    </xf>
    <xf numFmtId="0" fontId="17" fillId="0" borderId="6" xfId="2" applyFill="1" applyBorder="1" applyAlignment="1">
      <alignment vertical="center" textRotation="90"/>
    </xf>
    <xf numFmtId="0" fontId="17" fillId="0" borderId="41" xfId="2" applyFill="1" applyBorder="1" applyAlignment="1">
      <alignment vertical="center" textRotation="90"/>
    </xf>
    <xf numFmtId="0" fontId="0" fillId="0" borderId="38" xfId="0" applyFont="1" applyBorder="1"/>
    <xf numFmtId="0" fontId="7" fillId="0" borderId="35" xfId="5" applyBorder="1" applyAlignment="1">
      <alignment vertical="top"/>
    </xf>
    <xf numFmtId="0" fontId="7" fillId="0" borderId="28" xfId="5" applyBorder="1" applyAlignment="1">
      <alignment vertical="top"/>
    </xf>
    <xf numFmtId="0" fontId="12" fillId="0" borderId="2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8" fillId="2" borderId="9" xfId="0" applyFont="1" applyFill="1" applyBorder="1" applyAlignment="1">
      <alignment horizontal="left" indent="1"/>
    </xf>
    <xf numFmtId="0" fontId="8" fillId="2" borderId="15" xfId="0" applyFont="1" applyFill="1" applyBorder="1" applyAlignment="1">
      <alignment horizontal="left" indent="1"/>
    </xf>
    <xf numFmtId="0" fontId="8" fillId="2" borderId="5" xfId="0" applyFont="1" applyFill="1" applyBorder="1" applyAlignment="1">
      <alignment horizontal="left" indent="1"/>
    </xf>
    <xf numFmtId="0" fontId="16" fillId="0" borderId="32" xfId="3" applyBorder="1" applyAlignment="1">
      <alignment horizontal="left" vertical="center"/>
    </xf>
    <xf numFmtId="0" fontId="16" fillId="0" borderId="33" xfId="3" applyBorder="1" applyAlignment="1">
      <alignment horizontal="left" vertical="center"/>
    </xf>
    <xf numFmtId="0" fontId="16" fillId="0" borderId="29" xfId="3" applyBorder="1" applyAlignment="1">
      <alignment horizontal="left" vertical="center"/>
    </xf>
    <xf numFmtId="0" fontId="16" fillId="0" borderId="30" xfId="3" applyBorder="1" applyAlignment="1">
      <alignment horizontal="left" vertical="center"/>
    </xf>
    <xf numFmtId="0" fontId="7" fillId="0" borderId="32" xfId="5" applyBorder="1" applyAlignment="1">
      <alignment vertical="top"/>
    </xf>
    <xf numFmtId="0" fontId="12" fillId="0" borderId="36" xfId="0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16" fillId="0" borderId="34" xfId="3" applyFill="1" applyBorder="1" applyAlignment="1">
      <alignment horizontal="center" vertical="center"/>
    </xf>
    <xf numFmtId="0" fontId="16" fillId="0" borderId="31" xfId="3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 vertical="top" indent="1"/>
    </xf>
    <xf numFmtId="0" fontId="10" fillId="3" borderId="22" xfId="0" applyFont="1" applyFill="1" applyBorder="1" applyAlignment="1">
      <alignment horizontal="left" vertical="top" indent="1"/>
    </xf>
    <xf numFmtId="49" fontId="9" fillId="3" borderId="9" xfId="0" applyNumberFormat="1" applyFont="1" applyFill="1" applyBorder="1" applyAlignment="1">
      <alignment horizontal="left" indent="1"/>
    </xf>
    <xf numFmtId="49" fontId="9" fillId="3" borderId="5" xfId="0" applyNumberFormat="1" applyFont="1" applyFill="1" applyBorder="1" applyAlignment="1">
      <alignment horizontal="left" indent="1"/>
    </xf>
    <xf numFmtId="49" fontId="9" fillId="3" borderId="24" xfId="0" applyNumberFormat="1" applyFont="1" applyFill="1" applyBorder="1" applyAlignment="1">
      <alignment horizontal="left" indent="1"/>
    </xf>
    <xf numFmtId="49" fontId="9" fillId="3" borderId="25" xfId="0" applyNumberFormat="1" applyFont="1" applyFill="1" applyBorder="1" applyAlignment="1">
      <alignment horizontal="left" indent="1"/>
    </xf>
    <xf numFmtId="0" fontId="10" fillId="3" borderId="11" xfId="0" applyFont="1" applyFill="1" applyBorder="1" applyAlignment="1">
      <alignment horizontal="left" vertical="top" indent="1"/>
    </xf>
    <xf numFmtId="0" fontId="10" fillId="3" borderId="12" xfId="0" applyFont="1" applyFill="1" applyBorder="1" applyAlignment="1">
      <alignment horizontal="left" vertical="top" indent="1"/>
    </xf>
    <xf numFmtId="164" fontId="10" fillId="3" borderId="21" xfId="0" applyNumberFormat="1" applyFont="1" applyFill="1" applyBorder="1" applyAlignment="1">
      <alignment horizontal="left" vertical="top" indent="1"/>
    </xf>
    <xf numFmtId="164" fontId="10" fillId="3" borderId="26" xfId="0" applyNumberFormat="1" applyFont="1" applyFill="1" applyBorder="1" applyAlignment="1">
      <alignment horizontal="left" vertical="top" indent="1"/>
    </xf>
    <xf numFmtId="49" fontId="9" fillId="3" borderId="27" xfId="0" applyNumberFormat="1" applyFont="1" applyFill="1" applyBorder="1" applyAlignment="1">
      <alignment horizontal="left" indent="1"/>
    </xf>
    <xf numFmtId="49" fontId="9" fillId="3" borderId="15" xfId="0" applyNumberFormat="1" applyFont="1" applyFill="1" applyBorder="1" applyAlignment="1">
      <alignment horizontal="left" indent="1"/>
    </xf>
    <xf numFmtId="49" fontId="9" fillId="3" borderId="9" xfId="0" applyNumberFormat="1" applyFont="1" applyFill="1" applyBorder="1" applyAlignment="1">
      <alignment horizontal="left" vertical="center" indent="1"/>
    </xf>
    <xf numFmtId="49" fontId="9" fillId="3" borderId="15" xfId="0" applyNumberFormat="1" applyFont="1" applyFill="1" applyBorder="1" applyAlignment="1">
      <alignment horizontal="left" vertical="center" indent="1"/>
    </xf>
    <xf numFmtId="0" fontId="11" fillId="3" borderId="21" xfId="0" applyFont="1" applyFill="1" applyBorder="1" applyAlignment="1">
      <alignment horizontal="left" vertical="top" indent="1"/>
    </xf>
    <xf numFmtId="0" fontId="11" fillId="3" borderId="26" xfId="0" applyFont="1" applyFill="1" applyBorder="1" applyAlignment="1">
      <alignment horizontal="left" vertical="top" indent="1"/>
    </xf>
    <xf numFmtId="0" fontId="10" fillId="3" borderId="26" xfId="0" applyFont="1" applyFill="1" applyBorder="1" applyAlignment="1">
      <alignment horizontal="left" vertical="top" indent="1"/>
    </xf>
    <xf numFmtId="0" fontId="17" fillId="0" borderId="6" xfId="2" applyFill="1" applyBorder="1" applyAlignment="1">
      <alignment vertical="top"/>
    </xf>
    <xf numFmtId="0" fontId="20" fillId="0" borderId="0" xfId="0" applyFont="1" applyAlignment="1">
      <alignment vertical="center" wrapText="1"/>
    </xf>
    <xf numFmtId="0" fontId="7" fillId="0" borderId="6" xfId="4" applyBorder="1" applyAlignment="1">
      <alignment horizontal="left" vertical="center"/>
    </xf>
    <xf numFmtId="0" fontId="7" fillId="0" borderId="0" xfId="4" applyAlignment="1">
      <alignment horizontal="left" vertical="center"/>
    </xf>
    <xf numFmtId="0" fontId="7" fillId="0" borderId="15" xfId="4" applyBorder="1" applyAlignment="1">
      <alignment horizontal="left" vertical="center"/>
    </xf>
    <xf numFmtId="164" fontId="13" fillId="0" borderId="4" xfId="0" applyNumberFormat="1" applyFont="1" applyFill="1" applyBorder="1" applyAlignment="1">
      <alignment horizontal="left"/>
    </xf>
    <xf numFmtId="164" fontId="13" fillId="0" borderId="19" xfId="0" applyNumberFormat="1" applyFont="1" applyFill="1" applyBorder="1" applyAlignment="1">
      <alignment horizontal="left"/>
    </xf>
    <xf numFmtId="49" fontId="11" fillId="3" borderId="9" xfId="0" applyNumberFormat="1" applyFont="1" applyFill="1" applyBorder="1" applyAlignment="1">
      <alignment horizontal="left" indent="1"/>
    </xf>
    <xf numFmtId="49" fontId="11" fillId="3" borderId="15" xfId="0" applyNumberFormat="1" applyFont="1" applyFill="1" applyBorder="1" applyAlignment="1">
      <alignment horizontal="left" indent="1"/>
    </xf>
    <xf numFmtId="164" fontId="10" fillId="3" borderId="11" xfId="0" applyNumberFormat="1" applyFont="1" applyFill="1" applyBorder="1" applyAlignment="1">
      <alignment horizontal="left" vertical="top" indent="1"/>
    </xf>
    <xf numFmtId="164" fontId="10" fillId="3" borderId="14" xfId="0" applyNumberFormat="1" applyFont="1" applyFill="1" applyBorder="1" applyAlignment="1">
      <alignment horizontal="left" vertical="top" indent="1"/>
    </xf>
    <xf numFmtId="0" fontId="16" fillId="0" borderId="42" xfId="3" applyBorder="1" applyAlignment="1">
      <alignment horizontal="center" vertical="center"/>
    </xf>
    <xf numFmtId="0" fontId="16" fillId="0" borderId="43" xfId="3" applyBorder="1" applyAlignment="1">
      <alignment horizontal="center" vertical="center"/>
    </xf>
  </cellXfs>
  <cellStyles count="6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59"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ŠtýlTabuľkySvetlý7 2" pivot="0" count="7">
      <tableStyleElement type="wholeTable" dxfId="58"/>
      <tableStyleElement type="headerRow" dxfId="57"/>
      <tableStyleElement type="totalRow" dxfId="56"/>
      <tableStyleElement type="firstColumn" dxfId="55"/>
      <tableStyleElement type="lastColumn" dxfId="54"/>
      <tableStyleElement type="firstRowStripe" dxfId="53"/>
      <tableStyleElement type="firstColumnStripe" dxfId="52"/>
    </tableStyle>
    <tableStyle name="ŠtýlTabuľkySvetlý9 2" pivot="0" count="4">
      <tableStyleElement type="wholeTable" dxfId="51"/>
      <tableStyleElement type="headerRow" dxfId="50"/>
      <tableStyleElement type="totalRow" dxfId="49"/>
      <tableStyleElement type="firstColumn" dxfId="4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P33"/>
  <sheetViews>
    <sheetView showGridLines="0" tabSelected="1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" width="36.85546875" bestFit="1" customWidth="1"/>
    <col min="17" max="16384" width="8.7109375" style="1"/>
  </cols>
  <sheetData>
    <row r="1" spans="1:16" ht="11.25" customHeight="1" x14ac:dyDescent="0.2"/>
    <row r="2" spans="1:16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42" t="s">
        <v>17</v>
      </c>
      <c r="L2" s="43">
        <v>2013</v>
      </c>
      <c r="M2" s="43"/>
      <c r="N2" s="49">
        <v>2016</v>
      </c>
      <c r="P2" s="69" t="s">
        <v>20</v>
      </c>
    </row>
    <row r="3" spans="1:16" ht="21" customHeight="1" x14ac:dyDescent="0.2">
      <c r="A3" s="4"/>
      <c r="B3" s="68" t="s">
        <v>0</v>
      </c>
      <c r="C3" s="2" t="s">
        <v>2</v>
      </c>
      <c r="D3" s="2" t="s">
        <v>9</v>
      </c>
      <c r="E3" s="2" t="s">
        <v>14</v>
      </c>
      <c r="F3" s="2" t="s">
        <v>15</v>
      </c>
      <c r="G3" s="2" t="s">
        <v>16</v>
      </c>
      <c r="H3" s="2" t="s">
        <v>32</v>
      </c>
      <c r="I3" s="2" t="s">
        <v>33</v>
      </c>
      <c r="J3" s="5"/>
      <c r="K3" s="44"/>
      <c r="L3" s="45"/>
      <c r="M3" s="45"/>
      <c r="N3" s="50"/>
      <c r="P3" s="69"/>
    </row>
    <row r="4" spans="1:16" ht="18" customHeight="1" x14ac:dyDescent="0.2">
      <c r="A4" s="4"/>
      <c r="B4" s="68"/>
      <c r="C4" s="10">
        <f>IF(DAY(JanNed1)=1,JanNed1-6,JanNed1+1)</f>
        <v>42366</v>
      </c>
      <c r="D4" s="10">
        <f>IF(DAY(JanNed1)=1,JanNed1-5,JanNed1+2)</f>
        <v>42367</v>
      </c>
      <c r="E4" s="10">
        <f>IF(DAY(JanNed1)=1,JanNed1-4,JanNed1+3)</f>
        <v>42368</v>
      </c>
      <c r="F4" s="10">
        <f>IF(DAY(JanNed1)=1,JanNed1-3,JanNed1+4)</f>
        <v>42369</v>
      </c>
      <c r="G4" s="10">
        <f>IF(DAY(JanNed1)=1,JanNed1-2,JanNed1+5)</f>
        <v>42370</v>
      </c>
      <c r="H4" s="10">
        <f>IF(DAY(JanNed1)=1,JanNed1-1,JanNed1+6)</f>
        <v>42371</v>
      </c>
      <c r="I4" s="10">
        <f>IF(DAY(JanNed1)=1,JanNed1,JanNed1+7)</f>
        <v>42372</v>
      </c>
      <c r="J4" s="5"/>
      <c r="K4" s="46" t="s">
        <v>2</v>
      </c>
      <c r="L4" s="16">
        <v>5</v>
      </c>
      <c r="M4" s="47" t="s">
        <v>18</v>
      </c>
      <c r="N4" s="48"/>
      <c r="P4" s="25"/>
    </row>
    <row r="5" spans="1:16" ht="18" customHeight="1" x14ac:dyDescent="0.2">
      <c r="A5" s="4"/>
      <c r="B5" s="26"/>
      <c r="C5" s="10">
        <f>IF(DAY(JanNed1)=1,JanNed1+1,JanNed1+8)</f>
        <v>42373</v>
      </c>
      <c r="D5" s="10">
        <f>IF(DAY(JanNed1)=1,JanNed1+2,JanNed1+9)</f>
        <v>42374</v>
      </c>
      <c r="E5" s="10">
        <f>IF(DAY(JanNed1)=1,JanNed1+3,JanNed1+10)</f>
        <v>42375</v>
      </c>
      <c r="F5" s="10">
        <f>IF(DAY(JanNed1)=1,JanNed1+4,JanNed1+11)</f>
        <v>42376</v>
      </c>
      <c r="G5" s="10">
        <f>IF(DAY(JanNed1)=1,JanNed1+5,JanNed1+12)</f>
        <v>42377</v>
      </c>
      <c r="H5" s="10">
        <f>IF(DAY(JanNed1)=1,JanNed1+6,JanNed1+13)</f>
        <v>42378</v>
      </c>
      <c r="I5" s="10">
        <f>IF(DAY(JanNed1)=1,JanNed1+7,JanNed1+14)</f>
        <v>42379</v>
      </c>
      <c r="J5" s="5"/>
      <c r="K5" s="32"/>
      <c r="L5" s="17"/>
      <c r="M5" s="33"/>
      <c r="N5" s="34"/>
      <c r="P5" s="25"/>
    </row>
    <row r="6" spans="1:16" ht="18" customHeight="1" x14ac:dyDescent="0.2">
      <c r="A6" s="4"/>
      <c r="B6" s="26"/>
      <c r="C6" s="10">
        <f>IF(DAY(JanNed1)=1,JanNed1+8,JanNed1+15)</f>
        <v>42380</v>
      </c>
      <c r="D6" s="10">
        <f>IF(DAY(JanNed1)=1,JanNed1+9,JanNed1+16)</f>
        <v>42381</v>
      </c>
      <c r="E6" s="10">
        <f>IF(DAY(JanNed1)=1,JanNed1+10,JanNed1+17)</f>
        <v>42382</v>
      </c>
      <c r="F6" s="10">
        <f>IF(DAY(JanNed1)=1,JanNed1+11,JanNed1+18)</f>
        <v>42383</v>
      </c>
      <c r="G6" s="10">
        <f>IF(DAY(JanNed1)=1,JanNed1+12,JanNed1+19)</f>
        <v>42384</v>
      </c>
      <c r="H6" s="10">
        <f>IF(DAY(JanNed1)=1,JanNed1+13,JanNed1+20)</f>
        <v>42385</v>
      </c>
      <c r="I6" s="10">
        <f>IF(DAY(JanNed1)=1,JanNed1+14,JanNed1+21)</f>
        <v>42386</v>
      </c>
      <c r="J6" s="5"/>
      <c r="K6" s="32"/>
      <c r="L6" s="17"/>
      <c r="M6" s="33"/>
      <c r="N6" s="34"/>
    </row>
    <row r="7" spans="1:16" ht="18" customHeight="1" x14ac:dyDescent="0.2">
      <c r="A7" s="4"/>
      <c r="B7" s="26"/>
      <c r="C7" s="10">
        <f>IF(DAY(JanNed1)=1,JanNed1+15,JanNed1+22)</f>
        <v>42387</v>
      </c>
      <c r="D7" s="10">
        <f>IF(DAY(JanNed1)=1,JanNed1+16,JanNed1+23)</f>
        <v>42388</v>
      </c>
      <c r="E7" s="10">
        <f>IF(DAY(JanNed1)=1,JanNed1+17,JanNed1+24)</f>
        <v>42389</v>
      </c>
      <c r="F7" s="10">
        <f>IF(DAY(JanNed1)=1,JanNed1+18,JanNed1+25)</f>
        <v>42390</v>
      </c>
      <c r="G7" s="10">
        <f>IF(DAY(JanNed1)=1,JanNed1+19,JanNed1+26)</f>
        <v>42391</v>
      </c>
      <c r="H7" s="10">
        <f>IF(DAY(JanNed1)=1,JanNed1+20,JanNed1+27)</f>
        <v>42392</v>
      </c>
      <c r="I7" s="10">
        <f>IF(DAY(JanNed1)=1,JanNed1+21,JanNed1+28)</f>
        <v>42393</v>
      </c>
      <c r="J7" s="5"/>
      <c r="K7" s="11"/>
      <c r="L7" s="17"/>
      <c r="M7" s="33"/>
      <c r="N7" s="34"/>
    </row>
    <row r="8" spans="1:16" ht="18.75" customHeight="1" x14ac:dyDescent="0.2">
      <c r="A8" s="4"/>
      <c r="B8" s="26"/>
      <c r="C8" s="10">
        <f>IF(DAY(JanNed1)=1,JanNed1+22,JanNed1+29)</f>
        <v>42394</v>
      </c>
      <c r="D8" s="10">
        <f>IF(DAY(JanNed1)=1,JanNed1+23,JanNed1+30)</f>
        <v>42395</v>
      </c>
      <c r="E8" s="10">
        <f>IF(DAY(JanNed1)=1,JanNed1+24,JanNed1+31)</f>
        <v>42396</v>
      </c>
      <c r="F8" s="10">
        <f>IF(DAY(JanNed1)=1,JanNed1+25,JanNed1+32)</f>
        <v>42397</v>
      </c>
      <c r="G8" s="10">
        <f>IF(DAY(JanNed1)=1,JanNed1+26,JanNed1+33)</f>
        <v>42398</v>
      </c>
      <c r="H8" s="10">
        <f>IF(DAY(JanNed1)=1,JanNed1+27,JanNed1+34)</f>
        <v>42399</v>
      </c>
      <c r="I8" s="10">
        <f>IF(DAY(JanNed1)=1,JanNed1+28,JanNed1+35)</f>
        <v>42400</v>
      </c>
      <c r="J8" s="5"/>
      <c r="K8" s="11"/>
      <c r="L8" s="17"/>
      <c r="M8" s="33"/>
      <c r="N8" s="34"/>
    </row>
    <row r="9" spans="1:16" ht="18" customHeight="1" x14ac:dyDescent="0.2">
      <c r="A9" s="4"/>
      <c r="B9" s="26"/>
      <c r="C9" s="10">
        <f>IF(DAY(JanNed1)=1,JanNed1+29,JanNed1+36)</f>
        <v>42401</v>
      </c>
      <c r="D9" s="10">
        <f>IF(DAY(JanNed1)=1,JanNed1+30,JanNed1+37)</f>
        <v>42402</v>
      </c>
      <c r="E9" s="10">
        <f>IF(DAY(JanNed1)=1,JanNed1+31,JanNed1+38)</f>
        <v>42403</v>
      </c>
      <c r="F9" s="10">
        <f>IF(DAY(JanNed1)=1,JanNed1+32,JanNed1+39)</f>
        <v>42404</v>
      </c>
      <c r="G9" s="10">
        <f>IF(DAY(JanNed1)=1,JanNed1+33,JanNed1+40)</f>
        <v>42405</v>
      </c>
      <c r="H9" s="10">
        <f>IF(DAY(JanNed1)=1,JanNed1+34,JanNed1+41)</f>
        <v>42406</v>
      </c>
      <c r="I9" s="10">
        <f>IF(DAY(JanNed1)=1,JanNed1+35,JanNed1+42)</f>
        <v>42407</v>
      </c>
      <c r="J9" s="5"/>
      <c r="K9" s="12"/>
      <c r="L9" s="18"/>
      <c r="M9" s="35"/>
      <c r="N9" s="36"/>
    </row>
    <row r="10" spans="1:16" ht="18" customHeight="1" x14ac:dyDescent="0.2">
      <c r="A10" s="4"/>
      <c r="B10" s="27"/>
      <c r="C10" s="23"/>
      <c r="D10" s="23"/>
      <c r="E10" s="23"/>
      <c r="F10" s="23"/>
      <c r="G10" s="23"/>
      <c r="H10" s="23"/>
      <c r="I10" s="23"/>
      <c r="J10" s="24"/>
      <c r="K10" s="31" t="s">
        <v>9</v>
      </c>
      <c r="L10" s="16">
        <v>20</v>
      </c>
      <c r="M10" s="37" t="s">
        <v>19</v>
      </c>
      <c r="N10" s="38"/>
    </row>
    <row r="11" spans="1:16" ht="18" customHeight="1" x14ac:dyDescent="0.2">
      <c r="A11" s="4"/>
      <c r="B11" s="70" t="s">
        <v>1</v>
      </c>
      <c r="C11" s="71"/>
      <c r="D11" s="71"/>
      <c r="E11" s="71"/>
      <c r="F11" s="71"/>
      <c r="G11" s="71"/>
      <c r="H11" s="71"/>
      <c r="I11" s="71"/>
      <c r="J11" s="72"/>
      <c r="K11" s="32"/>
      <c r="L11" s="17"/>
      <c r="M11" s="33"/>
      <c r="N11" s="34"/>
    </row>
    <row r="12" spans="1:16" ht="18" customHeight="1" x14ac:dyDescent="0.2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7"/>
      <c r="M12" s="33"/>
      <c r="N12" s="34"/>
    </row>
    <row r="13" spans="1:16" ht="18" customHeight="1" x14ac:dyDescent="0.2">
      <c r="B13" s="3" t="s">
        <v>2</v>
      </c>
      <c r="C13" s="39" t="s">
        <v>9</v>
      </c>
      <c r="D13" s="41"/>
      <c r="E13" s="39" t="s">
        <v>14</v>
      </c>
      <c r="F13" s="41"/>
      <c r="G13" s="39" t="s">
        <v>15</v>
      </c>
      <c r="H13" s="41"/>
      <c r="I13" s="39" t="s">
        <v>16</v>
      </c>
      <c r="J13" s="40"/>
      <c r="K13" s="11"/>
      <c r="L13" s="17"/>
      <c r="M13" s="33"/>
      <c r="N13" s="34"/>
    </row>
    <row r="14" spans="1:16" ht="18" customHeight="1" x14ac:dyDescent="0.2">
      <c r="B14" s="8" t="s">
        <v>3</v>
      </c>
      <c r="C14" s="53"/>
      <c r="D14" s="54"/>
      <c r="E14" s="53" t="s">
        <v>3</v>
      </c>
      <c r="F14" s="54"/>
      <c r="G14" s="53"/>
      <c r="H14" s="54"/>
      <c r="I14" s="53" t="s">
        <v>3</v>
      </c>
      <c r="J14" s="62"/>
      <c r="K14" s="11"/>
      <c r="L14" s="17"/>
      <c r="M14" s="33"/>
      <c r="N14" s="34"/>
    </row>
    <row r="15" spans="1:16" ht="18" customHeight="1" x14ac:dyDescent="0.2">
      <c r="B15" s="6" t="s">
        <v>4</v>
      </c>
      <c r="C15" s="51"/>
      <c r="D15" s="52"/>
      <c r="E15" s="51" t="s">
        <v>4</v>
      </c>
      <c r="F15" s="52"/>
      <c r="G15" s="51"/>
      <c r="H15" s="52"/>
      <c r="I15" s="59" t="s">
        <v>4</v>
      </c>
      <c r="J15" s="60"/>
      <c r="K15" s="13"/>
      <c r="L15" s="19"/>
      <c r="M15" s="35"/>
      <c r="N15" s="36"/>
    </row>
    <row r="16" spans="1:16" ht="18" customHeight="1" x14ac:dyDescent="0.2">
      <c r="B16" s="8"/>
      <c r="C16" s="53" t="s">
        <v>10</v>
      </c>
      <c r="D16" s="54"/>
      <c r="E16" s="53"/>
      <c r="F16" s="54"/>
      <c r="G16" s="53" t="s">
        <v>10</v>
      </c>
      <c r="H16" s="54"/>
      <c r="I16" s="63"/>
      <c r="J16" s="64"/>
      <c r="K16" s="31" t="s">
        <v>14</v>
      </c>
      <c r="L16" s="16"/>
      <c r="M16" s="37"/>
      <c r="N16" s="38"/>
    </row>
    <row r="17" spans="2:14" ht="18" customHeight="1" x14ac:dyDescent="0.2">
      <c r="B17" s="6"/>
      <c r="C17" s="51" t="s">
        <v>11</v>
      </c>
      <c r="D17" s="52"/>
      <c r="E17" s="51"/>
      <c r="F17" s="52"/>
      <c r="G17" s="51" t="s">
        <v>11</v>
      </c>
      <c r="H17" s="52"/>
      <c r="I17" s="59"/>
      <c r="J17" s="60"/>
      <c r="K17" s="32"/>
      <c r="L17" s="17"/>
      <c r="M17" s="33"/>
      <c r="N17" s="34"/>
    </row>
    <row r="18" spans="2:14" ht="18" customHeight="1" x14ac:dyDescent="0.2">
      <c r="B18" s="9" t="s">
        <v>5</v>
      </c>
      <c r="C18" s="55"/>
      <c r="D18" s="56"/>
      <c r="E18" s="55" t="s">
        <v>5</v>
      </c>
      <c r="F18" s="56"/>
      <c r="G18" s="55"/>
      <c r="H18" s="56"/>
      <c r="I18" s="55" t="s">
        <v>5</v>
      </c>
      <c r="J18" s="61"/>
      <c r="K18" s="32"/>
      <c r="L18" s="17"/>
      <c r="M18" s="33"/>
      <c r="N18" s="34"/>
    </row>
    <row r="19" spans="2:14" ht="18" customHeight="1" x14ac:dyDescent="0.2">
      <c r="B19" s="6" t="s">
        <v>6</v>
      </c>
      <c r="C19" s="51"/>
      <c r="D19" s="52"/>
      <c r="E19" s="51" t="s">
        <v>6</v>
      </c>
      <c r="F19" s="52"/>
      <c r="G19" s="51"/>
      <c r="H19" s="52"/>
      <c r="I19" s="59" t="s">
        <v>6</v>
      </c>
      <c r="J19" s="60"/>
      <c r="K19" s="11"/>
      <c r="L19" s="17"/>
      <c r="M19" s="33"/>
      <c r="N19" s="34"/>
    </row>
    <row r="20" spans="2:14" ht="18" customHeight="1" x14ac:dyDescent="0.2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3"/>
      <c r="N20" s="34"/>
    </row>
    <row r="21" spans="2:14" ht="18" customHeight="1" x14ac:dyDescent="0.2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5"/>
      <c r="N21" s="36"/>
    </row>
    <row r="22" spans="2:14" ht="18" customHeight="1" x14ac:dyDescent="0.2">
      <c r="B22" s="8"/>
      <c r="C22" s="53"/>
      <c r="D22" s="54"/>
      <c r="E22" s="53"/>
      <c r="F22" s="54"/>
      <c r="G22" s="53"/>
      <c r="H22" s="54"/>
      <c r="I22" s="53"/>
      <c r="J22" s="62"/>
      <c r="K22" s="31" t="s">
        <v>15</v>
      </c>
      <c r="L22" s="16"/>
      <c r="M22" s="37"/>
      <c r="N22" s="38"/>
    </row>
    <row r="23" spans="2:14" ht="18" customHeight="1" x14ac:dyDescent="0.2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7"/>
      <c r="M23" s="33"/>
      <c r="N23" s="34"/>
    </row>
    <row r="24" spans="2:14" ht="18" customHeight="1" x14ac:dyDescent="0.2">
      <c r="B24" s="8"/>
      <c r="C24" s="53"/>
      <c r="D24" s="54"/>
      <c r="E24" s="53"/>
      <c r="F24" s="54"/>
      <c r="G24" s="53"/>
      <c r="H24" s="54"/>
      <c r="I24" s="53"/>
      <c r="J24" s="62"/>
      <c r="K24" s="32"/>
      <c r="L24" s="17"/>
      <c r="M24" s="33"/>
      <c r="N24" s="34"/>
    </row>
    <row r="25" spans="2:14" ht="18" customHeight="1" x14ac:dyDescent="0.2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7"/>
      <c r="M25" s="33"/>
      <c r="N25" s="34"/>
    </row>
    <row r="26" spans="2:14" ht="18" customHeight="1" x14ac:dyDescent="0.2">
      <c r="B26" s="8" t="s">
        <v>7</v>
      </c>
      <c r="C26" s="53"/>
      <c r="D26" s="54"/>
      <c r="E26" s="53" t="s">
        <v>7</v>
      </c>
      <c r="F26" s="54"/>
      <c r="G26" s="53"/>
      <c r="H26" s="54"/>
      <c r="I26" s="53" t="s">
        <v>7</v>
      </c>
      <c r="J26" s="62"/>
      <c r="K26" s="11"/>
      <c r="L26" s="17"/>
      <c r="M26" s="33"/>
      <c r="N26" s="34"/>
    </row>
    <row r="27" spans="2:14" ht="18" customHeight="1" x14ac:dyDescent="0.2">
      <c r="B27" s="6" t="s">
        <v>8</v>
      </c>
      <c r="C27" s="51"/>
      <c r="D27" s="52"/>
      <c r="E27" s="51" t="s">
        <v>8</v>
      </c>
      <c r="F27" s="52"/>
      <c r="G27" s="51"/>
      <c r="H27" s="52"/>
      <c r="I27" s="59" t="s">
        <v>8</v>
      </c>
      <c r="J27" s="60"/>
      <c r="K27" s="13"/>
      <c r="L27" s="19"/>
      <c r="M27" s="35"/>
      <c r="N27" s="36"/>
    </row>
    <row r="28" spans="2:14" ht="18" customHeight="1" x14ac:dyDescent="0.2">
      <c r="B28" s="8"/>
      <c r="C28" s="53"/>
      <c r="D28" s="54"/>
      <c r="E28" s="53"/>
      <c r="F28" s="54"/>
      <c r="G28" s="53"/>
      <c r="H28" s="54"/>
      <c r="I28" s="53"/>
      <c r="J28" s="62"/>
      <c r="K28" s="31" t="s">
        <v>16</v>
      </c>
      <c r="L28" s="16"/>
      <c r="M28" s="37"/>
      <c r="N28" s="38"/>
    </row>
    <row r="29" spans="2:14" ht="18" customHeight="1" x14ac:dyDescent="0.2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7"/>
      <c r="M29" s="33"/>
      <c r="N29" s="34"/>
    </row>
    <row r="30" spans="2:14" ht="18" customHeight="1" x14ac:dyDescent="0.2">
      <c r="B30" s="8"/>
      <c r="C30" s="53" t="s">
        <v>12</v>
      </c>
      <c r="D30" s="54"/>
      <c r="E30" s="53"/>
      <c r="F30" s="54"/>
      <c r="G30" s="53" t="s">
        <v>12</v>
      </c>
      <c r="H30" s="54"/>
      <c r="I30" s="75"/>
      <c r="J30" s="76"/>
      <c r="K30" s="32"/>
      <c r="L30" s="17"/>
      <c r="M30" s="33"/>
      <c r="N30" s="34"/>
    </row>
    <row r="31" spans="2:14" ht="18" customHeight="1" x14ac:dyDescent="0.2">
      <c r="B31" s="6"/>
      <c r="C31" s="51" t="s">
        <v>13</v>
      </c>
      <c r="D31" s="52"/>
      <c r="E31" s="51"/>
      <c r="F31" s="52"/>
      <c r="G31" s="51" t="s">
        <v>13</v>
      </c>
      <c r="H31" s="52"/>
      <c r="I31" s="51"/>
      <c r="J31" s="67"/>
      <c r="K31" s="14"/>
      <c r="L31" s="17"/>
      <c r="M31" s="33"/>
      <c r="N31" s="34"/>
    </row>
    <row r="32" spans="2:14" ht="18" customHeight="1" x14ac:dyDescent="0.2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3"/>
      <c r="N32" s="34"/>
    </row>
    <row r="33" spans="2:14" ht="18" customHeight="1" x14ac:dyDescent="0.2">
      <c r="B33" s="7"/>
      <c r="C33" s="57"/>
      <c r="D33" s="58"/>
      <c r="E33" s="57"/>
      <c r="F33" s="58"/>
      <c r="G33" s="57"/>
      <c r="H33" s="58"/>
      <c r="I33" s="77"/>
      <c r="J33" s="78"/>
      <c r="K33" s="15"/>
      <c r="L33" s="20"/>
      <c r="M33" s="73"/>
      <c r="N33" s="74"/>
    </row>
  </sheetData>
  <mergeCells count="124">
    <mergeCell ref="B3:B4"/>
    <mergeCell ref="P2:P3"/>
    <mergeCell ref="B11:J12"/>
    <mergeCell ref="M31:N31"/>
    <mergeCell ref="M32:N32"/>
    <mergeCell ref="M33:N33"/>
    <mergeCell ref="M26:N26"/>
    <mergeCell ref="M27:N27"/>
    <mergeCell ref="M28:N28"/>
    <mergeCell ref="M29:N29"/>
    <mergeCell ref="M30:N30"/>
    <mergeCell ref="M21:N21"/>
    <mergeCell ref="M22:N22"/>
    <mergeCell ref="M23:N23"/>
    <mergeCell ref="M24:N24"/>
    <mergeCell ref="M25:N25"/>
    <mergeCell ref="G30:H30"/>
    <mergeCell ref="G31:H31"/>
    <mergeCell ref="G32:H32"/>
    <mergeCell ref="G33:H33"/>
    <mergeCell ref="I30:J30"/>
    <mergeCell ref="I31:J31"/>
    <mergeCell ref="I32:J32"/>
    <mergeCell ref="I33:J33"/>
    <mergeCell ref="I25:J25"/>
    <mergeCell ref="I26:J26"/>
    <mergeCell ref="I27:J27"/>
    <mergeCell ref="I28:J28"/>
    <mergeCell ref="I29:J29"/>
    <mergeCell ref="G25:H25"/>
    <mergeCell ref="G26:H26"/>
    <mergeCell ref="G27:H27"/>
    <mergeCell ref="G28:H28"/>
    <mergeCell ref="G29:H29"/>
    <mergeCell ref="I22:J22"/>
    <mergeCell ref="I23:J23"/>
    <mergeCell ref="G22:H22"/>
    <mergeCell ref="G23:H23"/>
    <mergeCell ref="G24:H24"/>
    <mergeCell ref="I24:J24"/>
    <mergeCell ref="G20:H20"/>
    <mergeCell ref="G21:H21"/>
    <mergeCell ref="I19:J19"/>
    <mergeCell ref="I20:J20"/>
    <mergeCell ref="I21:J21"/>
    <mergeCell ref="G17:H17"/>
    <mergeCell ref="I17:J17"/>
    <mergeCell ref="G18:H18"/>
    <mergeCell ref="I18:J18"/>
    <mergeCell ref="G19:H19"/>
    <mergeCell ref="G14:H14"/>
    <mergeCell ref="I14:J14"/>
    <mergeCell ref="G15:H15"/>
    <mergeCell ref="I15:J15"/>
    <mergeCell ref="G16:H16"/>
    <mergeCell ref="I16:J16"/>
    <mergeCell ref="E18:F18"/>
    <mergeCell ref="E17:F17"/>
    <mergeCell ref="E16:F16"/>
    <mergeCell ref="E15:F15"/>
    <mergeCell ref="E14:F14"/>
    <mergeCell ref="E23:F23"/>
    <mergeCell ref="E22:F22"/>
    <mergeCell ref="E21:F21"/>
    <mergeCell ref="E20:F20"/>
    <mergeCell ref="E19:F19"/>
    <mergeCell ref="E28:F28"/>
    <mergeCell ref="E27:F27"/>
    <mergeCell ref="E26:F26"/>
    <mergeCell ref="E25:F25"/>
    <mergeCell ref="E24:F24"/>
    <mergeCell ref="E33:F33"/>
    <mergeCell ref="E32:F32"/>
    <mergeCell ref="E31:F31"/>
    <mergeCell ref="E30:F30"/>
    <mergeCell ref="E29:F29"/>
    <mergeCell ref="C16:D16"/>
    <mergeCell ref="C17:D17"/>
    <mergeCell ref="C18:D18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K28:K30"/>
    <mergeCell ref="I13:J13"/>
    <mergeCell ref="G13:H13"/>
    <mergeCell ref="E13:F13"/>
    <mergeCell ref="C13:D13"/>
    <mergeCell ref="K2:M3"/>
    <mergeCell ref="K10:K12"/>
    <mergeCell ref="K4:K6"/>
    <mergeCell ref="M4:N4"/>
    <mergeCell ref="M5:N5"/>
    <mergeCell ref="M6:N6"/>
    <mergeCell ref="M7:N7"/>
    <mergeCell ref="M8:N8"/>
    <mergeCell ref="M9:N9"/>
    <mergeCell ref="M10:N10"/>
    <mergeCell ref="M11:N11"/>
    <mergeCell ref="N2:N3"/>
    <mergeCell ref="C19:D19"/>
    <mergeCell ref="C20:D20"/>
    <mergeCell ref="C21:D21"/>
    <mergeCell ref="C22:D22"/>
    <mergeCell ref="C23:D23"/>
    <mergeCell ref="C14:D14"/>
    <mergeCell ref="C15:D15"/>
    <mergeCell ref="K16:K18"/>
    <mergeCell ref="K22:K25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</mergeCells>
  <phoneticPr fontId="2" type="noConversion"/>
  <conditionalFormatting sqref="C4:H4">
    <cfRule type="expression" dxfId="47" priority="4" stopIfTrue="1">
      <formula>DAY(C4)&gt;8</formula>
    </cfRule>
  </conditionalFormatting>
  <conditionalFormatting sqref="C8:I10">
    <cfRule type="expression" dxfId="46" priority="3" stopIfTrue="1">
      <formula>AND(DAY(C8)&gt;=1,DAY(C8)&lt;=15)</formula>
    </cfRule>
  </conditionalFormatting>
  <conditionalFormatting sqref="C4:I9">
    <cfRule type="expression" dxfId="45" priority="15">
      <formula>VLOOKUP(DAY(C4),DniPriradeniaÚloh,1,FALSE)=DAY(C4)</formula>
    </cfRule>
  </conditionalFormatting>
  <conditionalFormatting sqref="B14:J33">
    <cfRule type="expression" dxfId="44" priority="1">
      <formula>B14&lt;&gt;""</formula>
    </cfRule>
  </conditionalFormatting>
  <dataValidations count="1">
    <dataValidation allowBlank="1" showInputMessage="1" showErrorMessage="1" errorTitle="Invalid Year" error="Enter a year from 1900 to 9999, or use the scroll bar to find a year." sqref="N2"/>
  </dataValidations>
  <printOptions horizontalCentered="1" verticalCentered="1"/>
  <pageMargins left="0.5" right="0.5" top="0.5" bottom="0.5" header="0.3" footer="0.3"/>
  <pageSetup paperSize="9" scale="91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42" t="s">
        <v>17</v>
      </c>
      <c r="L2" s="43">
        <v>2013</v>
      </c>
      <c r="M2" s="43"/>
      <c r="N2" s="79">
        <f>KalendárnyRok</f>
        <v>2016</v>
      </c>
    </row>
    <row r="3" spans="1:14" ht="21" customHeight="1" x14ac:dyDescent="0.2">
      <c r="A3" s="4"/>
      <c r="B3" s="68" t="s">
        <v>21</v>
      </c>
      <c r="C3" s="2" t="s">
        <v>2</v>
      </c>
      <c r="D3" s="2" t="s">
        <v>9</v>
      </c>
      <c r="E3" s="2" t="s">
        <v>14</v>
      </c>
      <c r="F3" s="2" t="s">
        <v>15</v>
      </c>
      <c r="G3" s="2" t="s">
        <v>16</v>
      </c>
      <c r="H3" s="2" t="s">
        <v>32</v>
      </c>
      <c r="I3" s="2" t="s">
        <v>33</v>
      </c>
      <c r="J3" s="5"/>
      <c r="K3" s="44"/>
      <c r="L3" s="45"/>
      <c r="M3" s="45"/>
      <c r="N3" s="80"/>
    </row>
    <row r="4" spans="1:14" ht="18" customHeight="1" x14ac:dyDescent="0.2">
      <c r="A4" s="4"/>
      <c r="B4" s="68"/>
      <c r="C4" s="10">
        <f>IF(DAY(OktNed1)=1,OktNed1-6,OktNed1+1)</f>
        <v>42639</v>
      </c>
      <c r="D4" s="10">
        <f>IF(DAY(OktNed1)=1,OktNed1-5,OktNed1+2)</f>
        <v>42640</v>
      </c>
      <c r="E4" s="10">
        <f>IF(DAY(OktNed1)=1,OktNed1-4,OktNed1+3)</f>
        <v>42641</v>
      </c>
      <c r="F4" s="10">
        <f>IF(DAY(OktNed1)=1,OktNed1-3,OktNed1+4)</f>
        <v>42642</v>
      </c>
      <c r="G4" s="10">
        <f>IF(DAY(OktNed1)=1,OktNed1-2,OktNed1+5)</f>
        <v>42643</v>
      </c>
      <c r="H4" s="10">
        <f>IF(DAY(OktNed1)=1,OktNed1-1,OktNed1+6)</f>
        <v>42644</v>
      </c>
      <c r="I4" s="10">
        <f>IF(DAY(OktNed1)=1,OktNed1,OktNed1+7)</f>
        <v>42645</v>
      </c>
      <c r="J4" s="5"/>
      <c r="K4" s="46" t="s">
        <v>2</v>
      </c>
      <c r="L4" s="16"/>
      <c r="M4" s="47"/>
      <c r="N4" s="48"/>
    </row>
    <row r="5" spans="1:14" ht="18" customHeight="1" x14ac:dyDescent="0.2">
      <c r="A5" s="4"/>
      <c r="B5" s="28"/>
      <c r="C5" s="10">
        <f>IF(DAY(OktNed1)=1,OktNed1+1,OktNed1+8)</f>
        <v>42646</v>
      </c>
      <c r="D5" s="10">
        <f>IF(DAY(OktNed1)=1,OktNed1+2,OktNed1+9)</f>
        <v>42647</v>
      </c>
      <c r="E5" s="10">
        <f>IF(DAY(OktNed1)=1,OktNed1+3,OktNed1+10)</f>
        <v>42648</v>
      </c>
      <c r="F5" s="10">
        <f>IF(DAY(OktNed1)=1,OktNed1+4,OktNed1+11)</f>
        <v>42649</v>
      </c>
      <c r="G5" s="10">
        <f>IF(DAY(OktNed1)=1,OktNed1+5,OktNed1+12)</f>
        <v>42650</v>
      </c>
      <c r="H5" s="10">
        <f>IF(DAY(OktNed1)=1,OktNed1+6,OktNed1+13)</f>
        <v>42651</v>
      </c>
      <c r="I5" s="10">
        <f>IF(DAY(OktNed1)=1,OktNed1+7,OktNed1+14)</f>
        <v>42652</v>
      </c>
      <c r="J5" s="5"/>
      <c r="K5" s="32"/>
      <c r="L5" s="17"/>
      <c r="M5" s="33"/>
      <c r="N5" s="34"/>
    </row>
    <row r="6" spans="1:14" ht="18" customHeight="1" x14ac:dyDescent="0.2">
      <c r="A6" s="4"/>
      <c r="B6" s="28"/>
      <c r="C6" s="10">
        <f>IF(DAY(OktNed1)=1,OktNed1+8,OktNed1+15)</f>
        <v>42653</v>
      </c>
      <c r="D6" s="10">
        <f>IF(DAY(OktNed1)=1,OktNed1+9,OktNed1+16)</f>
        <v>42654</v>
      </c>
      <c r="E6" s="10">
        <f>IF(DAY(OktNed1)=1,OktNed1+10,OktNed1+17)</f>
        <v>42655</v>
      </c>
      <c r="F6" s="10">
        <f>IF(DAY(OktNed1)=1,OktNed1+11,OktNed1+18)</f>
        <v>42656</v>
      </c>
      <c r="G6" s="10">
        <f>IF(DAY(OktNed1)=1,OktNed1+12,OktNed1+19)</f>
        <v>42657</v>
      </c>
      <c r="H6" s="10">
        <f>IF(DAY(OktNed1)=1,OktNed1+13,OktNed1+20)</f>
        <v>42658</v>
      </c>
      <c r="I6" s="10">
        <f>IF(DAY(OktNed1)=1,OktNed1+14,OktNed1+21)</f>
        <v>42659</v>
      </c>
      <c r="J6" s="5"/>
      <c r="K6" s="32"/>
      <c r="L6" s="17"/>
      <c r="M6" s="33"/>
      <c r="N6" s="34"/>
    </row>
    <row r="7" spans="1:14" ht="18" customHeight="1" x14ac:dyDescent="0.2">
      <c r="A7" s="4"/>
      <c r="B7" s="28"/>
      <c r="C7" s="10">
        <f>IF(DAY(OktNed1)=1,OktNed1+15,OktNed1+22)</f>
        <v>42660</v>
      </c>
      <c r="D7" s="10">
        <f>IF(DAY(OktNed1)=1,OktNed1+16,OktNed1+23)</f>
        <v>42661</v>
      </c>
      <c r="E7" s="10">
        <f>IF(DAY(OktNed1)=1,OktNed1+17,OktNed1+24)</f>
        <v>42662</v>
      </c>
      <c r="F7" s="10">
        <f>IF(DAY(OktNed1)=1,OktNed1+18,OktNed1+25)</f>
        <v>42663</v>
      </c>
      <c r="G7" s="10">
        <f>IF(DAY(OktNed1)=1,OktNed1+19,OktNed1+26)</f>
        <v>42664</v>
      </c>
      <c r="H7" s="10">
        <f>IF(DAY(OktNed1)=1,OktNed1+20,OktNed1+27)</f>
        <v>42665</v>
      </c>
      <c r="I7" s="10">
        <f>IF(DAY(OktNed1)=1,OktNed1+21,OktNed1+28)</f>
        <v>42666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IF(DAY(OktNed1)=1,OktNed1+22,OktNed1+29)</f>
        <v>42667</v>
      </c>
      <c r="D8" s="10">
        <f>IF(DAY(OktNed1)=1,OktNed1+23,OktNed1+30)</f>
        <v>42668</v>
      </c>
      <c r="E8" s="10">
        <f>IF(DAY(OktNed1)=1,OktNed1+24,OktNed1+31)</f>
        <v>42669</v>
      </c>
      <c r="F8" s="10">
        <f>IF(DAY(OktNed1)=1,OktNed1+25,OktNed1+32)</f>
        <v>42670</v>
      </c>
      <c r="G8" s="10">
        <f>IF(DAY(OktNed1)=1,OktNed1+26,OktNed1+33)</f>
        <v>42671</v>
      </c>
      <c r="H8" s="10">
        <f>IF(DAY(OktNed1)=1,OktNed1+27,OktNed1+34)</f>
        <v>42672</v>
      </c>
      <c r="I8" s="10">
        <f>IF(DAY(OktNed1)=1,OktNed1+28,OktNed1+35)</f>
        <v>42673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IF(DAY(OktNed1)=1,OktNed1+29,OktNed1+36)</f>
        <v>42674</v>
      </c>
      <c r="D9" s="10">
        <f>IF(DAY(OktNed1)=1,OktNed1+30,OktNed1+37)</f>
        <v>42675</v>
      </c>
      <c r="E9" s="10">
        <f>IF(DAY(OktNed1)=1,OktNed1+31,OktNed1+38)</f>
        <v>42676</v>
      </c>
      <c r="F9" s="10">
        <f>IF(DAY(OktNed1)=1,OktNed1+32,OktNed1+39)</f>
        <v>42677</v>
      </c>
      <c r="G9" s="10">
        <f>IF(DAY(OktNed1)=1,OktNed1+33,OktNed1+40)</f>
        <v>42678</v>
      </c>
      <c r="H9" s="10">
        <f>IF(DAY(OktNed1)=1,OktNed1+34,OktNed1+41)</f>
        <v>42679</v>
      </c>
      <c r="I9" s="10">
        <f>IF(DAY(OktNed1)=1,OktNed1+35,OktNed1+42)</f>
        <v>42680</v>
      </c>
      <c r="J9" s="5"/>
      <c r="K9" s="12"/>
      <c r="L9" s="18"/>
      <c r="M9" s="35"/>
      <c r="N9" s="36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31" t="s">
        <v>9</v>
      </c>
      <c r="L10" s="16"/>
      <c r="M10" s="37"/>
      <c r="N10" s="38"/>
    </row>
    <row r="11" spans="1:14" ht="18" customHeight="1" x14ac:dyDescent="0.2">
      <c r="A11" s="4"/>
      <c r="B11" s="70" t="s">
        <v>1</v>
      </c>
      <c r="C11" s="71"/>
      <c r="D11" s="71"/>
      <c r="E11" s="71"/>
      <c r="F11" s="71"/>
      <c r="G11" s="71"/>
      <c r="H11" s="71"/>
      <c r="I11" s="71"/>
      <c r="J11" s="72"/>
      <c r="K11" s="32"/>
      <c r="L11" s="17"/>
      <c r="M11" s="33"/>
      <c r="N11" s="34"/>
    </row>
    <row r="12" spans="1:14" ht="18" customHeight="1" x14ac:dyDescent="0.2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7"/>
      <c r="M12" s="33"/>
      <c r="N12" s="34"/>
    </row>
    <row r="13" spans="1:14" ht="18" customHeight="1" x14ac:dyDescent="0.2">
      <c r="B13" s="3" t="s">
        <v>2</v>
      </c>
      <c r="C13" s="39" t="s">
        <v>9</v>
      </c>
      <c r="D13" s="41"/>
      <c r="E13" s="39" t="s">
        <v>14</v>
      </c>
      <c r="F13" s="41"/>
      <c r="G13" s="39" t="s">
        <v>15</v>
      </c>
      <c r="H13" s="41"/>
      <c r="I13" s="39" t="s">
        <v>16</v>
      </c>
      <c r="J13" s="40"/>
      <c r="K13" s="11"/>
      <c r="L13" s="17"/>
      <c r="M13" s="33"/>
      <c r="N13" s="34"/>
    </row>
    <row r="14" spans="1:14" ht="18" customHeight="1" x14ac:dyDescent="0.2">
      <c r="B14" s="8" t="s">
        <v>3</v>
      </c>
      <c r="C14" s="53"/>
      <c r="D14" s="54"/>
      <c r="E14" s="53" t="s">
        <v>3</v>
      </c>
      <c r="F14" s="54"/>
      <c r="G14" s="53"/>
      <c r="H14" s="54"/>
      <c r="I14" s="53" t="s">
        <v>3</v>
      </c>
      <c r="J14" s="62"/>
      <c r="K14" s="11"/>
      <c r="L14" s="17"/>
      <c r="M14" s="33"/>
      <c r="N14" s="34"/>
    </row>
    <row r="15" spans="1:14" ht="18" customHeight="1" x14ac:dyDescent="0.2">
      <c r="B15" s="6" t="s">
        <v>4</v>
      </c>
      <c r="C15" s="51"/>
      <c r="D15" s="52"/>
      <c r="E15" s="51" t="s">
        <v>4</v>
      </c>
      <c r="F15" s="52"/>
      <c r="G15" s="51"/>
      <c r="H15" s="52"/>
      <c r="I15" s="59" t="s">
        <v>4</v>
      </c>
      <c r="J15" s="60"/>
      <c r="K15" s="13"/>
      <c r="L15" s="19"/>
      <c r="M15" s="35"/>
      <c r="N15" s="36"/>
    </row>
    <row r="16" spans="1:14" ht="18" customHeight="1" x14ac:dyDescent="0.2">
      <c r="B16" s="8"/>
      <c r="C16" s="53" t="s">
        <v>10</v>
      </c>
      <c r="D16" s="54"/>
      <c r="E16" s="53"/>
      <c r="F16" s="54"/>
      <c r="G16" s="53" t="s">
        <v>10</v>
      </c>
      <c r="H16" s="54"/>
      <c r="I16" s="63"/>
      <c r="J16" s="64"/>
      <c r="K16" s="31" t="s">
        <v>14</v>
      </c>
      <c r="L16" s="16"/>
      <c r="M16" s="37"/>
      <c r="N16" s="38"/>
    </row>
    <row r="17" spans="2:14" ht="18" customHeight="1" x14ac:dyDescent="0.2">
      <c r="B17" s="6"/>
      <c r="C17" s="51" t="s">
        <v>11</v>
      </c>
      <c r="D17" s="52"/>
      <c r="E17" s="51"/>
      <c r="F17" s="52"/>
      <c r="G17" s="51" t="s">
        <v>11</v>
      </c>
      <c r="H17" s="52"/>
      <c r="I17" s="59"/>
      <c r="J17" s="60"/>
      <c r="K17" s="32"/>
      <c r="L17" s="17"/>
      <c r="M17" s="33"/>
      <c r="N17" s="34"/>
    </row>
    <row r="18" spans="2:14" ht="18" customHeight="1" x14ac:dyDescent="0.2">
      <c r="B18" s="9" t="s">
        <v>5</v>
      </c>
      <c r="C18" s="55"/>
      <c r="D18" s="56"/>
      <c r="E18" s="55" t="s">
        <v>5</v>
      </c>
      <c r="F18" s="56"/>
      <c r="G18" s="55"/>
      <c r="H18" s="56"/>
      <c r="I18" s="55" t="s">
        <v>5</v>
      </c>
      <c r="J18" s="61"/>
      <c r="K18" s="32"/>
      <c r="L18" s="17"/>
      <c r="M18" s="33"/>
      <c r="N18" s="34"/>
    </row>
    <row r="19" spans="2:14" ht="18" customHeight="1" x14ac:dyDescent="0.2">
      <c r="B19" s="6" t="s">
        <v>6</v>
      </c>
      <c r="C19" s="51"/>
      <c r="D19" s="52"/>
      <c r="E19" s="51" t="s">
        <v>6</v>
      </c>
      <c r="F19" s="52"/>
      <c r="G19" s="51"/>
      <c r="H19" s="52"/>
      <c r="I19" s="59" t="s">
        <v>6</v>
      </c>
      <c r="J19" s="60"/>
      <c r="K19" s="11"/>
      <c r="L19" s="17"/>
      <c r="M19" s="33"/>
      <c r="N19" s="34"/>
    </row>
    <row r="20" spans="2:14" ht="18" customHeight="1" x14ac:dyDescent="0.2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3"/>
      <c r="N20" s="34"/>
    </row>
    <row r="21" spans="2:14" ht="18" customHeight="1" x14ac:dyDescent="0.2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5"/>
      <c r="N21" s="36"/>
    </row>
    <row r="22" spans="2:14" ht="18" customHeight="1" x14ac:dyDescent="0.2">
      <c r="B22" s="8"/>
      <c r="C22" s="53"/>
      <c r="D22" s="54"/>
      <c r="E22" s="53"/>
      <c r="F22" s="54"/>
      <c r="G22" s="53"/>
      <c r="H22" s="54"/>
      <c r="I22" s="53"/>
      <c r="J22" s="62"/>
      <c r="K22" s="31" t="s">
        <v>15</v>
      </c>
      <c r="L22" s="16"/>
      <c r="M22" s="37"/>
      <c r="N22" s="38"/>
    </row>
    <row r="23" spans="2:14" ht="18" customHeight="1" x14ac:dyDescent="0.2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7"/>
      <c r="M23" s="33"/>
      <c r="N23" s="34"/>
    </row>
    <row r="24" spans="2:14" ht="18" customHeight="1" x14ac:dyDescent="0.2">
      <c r="B24" s="8"/>
      <c r="C24" s="53"/>
      <c r="D24" s="54"/>
      <c r="E24" s="53"/>
      <c r="F24" s="54"/>
      <c r="G24" s="53"/>
      <c r="H24" s="54"/>
      <c r="I24" s="53"/>
      <c r="J24" s="62"/>
      <c r="K24" s="32"/>
      <c r="L24" s="17"/>
      <c r="M24" s="33"/>
      <c r="N24" s="34"/>
    </row>
    <row r="25" spans="2:14" ht="18" customHeight="1" x14ac:dyDescent="0.2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7"/>
      <c r="M25" s="33"/>
      <c r="N25" s="34"/>
    </row>
    <row r="26" spans="2:14" ht="18" customHeight="1" x14ac:dyDescent="0.2">
      <c r="B26" s="8" t="s">
        <v>7</v>
      </c>
      <c r="C26" s="53"/>
      <c r="D26" s="54"/>
      <c r="E26" s="53" t="s">
        <v>7</v>
      </c>
      <c r="F26" s="54"/>
      <c r="G26" s="53"/>
      <c r="H26" s="54"/>
      <c r="I26" s="53" t="s">
        <v>7</v>
      </c>
      <c r="J26" s="62"/>
      <c r="K26" s="11"/>
      <c r="L26" s="17"/>
      <c r="M26" s="33"/>
      <c r="N26" s="34"/>
    </row>
    <row r="27" spans="2:14" ht="18" customHeight="1" x14ac:dyDescent="0.2">
      <c r="B27" s="6" t="s">
        <v>8</v>
      </c>
      <c r="C27" s="51"/>
      <c r="D27" s="52"/>
      <c r="E27" s="51" t="s">
        <v>8</v>
      </c>
      <c r="F27" s="52"/>
      <c r="G27" s="51"/>
      <c r="H27" s="52"/>
      <c r="I27" s="59" t="s">
        <v>8</v>
      </c>
      <c r="J27" s="60"/>
      <c r="K27" s="13"/>
      <c r="L27" s="19"/>
      <c r="M27" s="35"/>
      <c r="N27" s="36"/>
    </row>
    <row r="28" spans="2:14" ht="18" customHeight="1" x14ac:dyDescent="0.2">
      <c r="B28" s="8"/>
      <c r="C28" s="53"/>
      <c r="D28" s="54"/>
      <c r="E28" s="53"/>
      <c r="F28" s="54"/>
      <c r="G28" s="53"/>
      <c r="H28" s="54"/>
      <c r="I28" s="53"/>
      <c r="J28" s="62"/>
      <c r="K28" s="31" t="s">
        <v>16</v>
      </c>
      <c r="L28" s="16"/>
      <c r="M28" s="37"/>
      <c r="N28" s="38"/>
    </row>
    <row r="29" spans="2:14" ht="18" customHeight="1" x14ac:dyDescent="0.2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7"/>
      <c r="M29" s="33"/>
      <c r="N29" s="34"/>
    </row>
    <row r="30" spans="2:14" ht="18" customHeight="1" x14ac:dyDescent="0.2">
      <c r="B30" s="8"/>
      <c r="C30" s="53" t="s">
        <v>12</v>
      </c>
      <c r="D30" s="54"/>
      <c r="E30" s="53"/>
      <c r="F30" s="54"/>
      <c r="G30" s="53" t="s">
        <v>12</v>
      </c>
      <c r="H30" s="54"/>
      <c r="I30" s="75"/>
      <c r="J30" s="76"/>
      <c r="K30" s="32"/>
      <c r="L30" s="17"/>
      <c r="M30" s="33"/>
      <c r="N30" s="34"/>
    </row>
    <row r="31" spans="2:14" ht="18" customHeight="1" x14ac:dyDescent="0.2">
      <c r="B31" s="6"/>
      <c r="C31" s="51" t="s">
        <v>13</v>
      </c>
      <c r="D31" s="52"/>
      <c r="E31" s="51"/>
      <c r="F31" s="52"/>
      <c r="G31" s="51" t="s">
        <v>13</v>
      </c>
      <c r="H31" s="52"/>
      <c r="I31" s="51"/>
      <c r="J31" s="67"/>
      <c r="K31" s="14"/>
      <c r="L31" s="17"/>
      <c r="M31" s="33"/>
      <c r="N31" s="34"/>
    </row>
    <row r="32" spans="2:14" ht="18" customHeight="1" x14ac:dyDescent="0.2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3"/>
      <c r="N32" s="34"/>
    </row>
    <row r="33" spans="2:14" ht="18" customHeight="1" x14ac:dyDescent="0.2">
      <c r="B33" s="7"/>
      <c r="C33" s="57"/>
      <c r="D33" s="58"/>
      <c r="E33" s="57"/>
      <c r="F33" s="58"/>
      <c r="G33" s="57"/>
      <c r="H33" s="58"/>
      <c r="I33" s="77"/>
      <c r="J33" s="78"/>
      <c r="K33" s="15"/>
      <c r="L33" s="20"/>
      <c r="M33" s="73"/>
      <c r="N33" s="74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11" priority="3" stopIfTrue="1">
      <formula>DAY(C4)&gt;8</formula>
    </cfRule>
  </conditionalFormatting>
  <conditionalFormatting sqref="C8:I10">
    <cfRule type="expression" dxfId="10" priority="2" stopIfTrue="1">
      <formula>AND(DAY(C8)&gt;=1,DAY(C8)&lt;=15)</formula>
    </cfRule>
  </conditionalFormatting>
  <conditionalFormatting sqref="C4:I9">
    <cfRule type="expression" dxfId="9" priority="4">
      <formula>VLOOKUP(DAY(C4),DniPriradeniaÚloh,1,FALSE)=DAY(C4)</formula>
    </cfRule>
  </conditionalFormatting>
  <conditionalFormatting sqref="B14:J33">
    <cfRule type="expression" dxfId="8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42" t="s">
        <v>17</v>
      </c>
      <c r="L2" s="43">
        <v>2013</v>
      </c>
      <c r="M2" s="43"/>
      <c r="N2" s="79">
        <f>KalendárnyRok</f>
        <v>2016</v>
      </c>
    </row>
    <row r="3" spans="1:14" ht="21" customHeight="1" x14ac:dyDescent="0.2">
      <c r="A3" s="4"/>
      <c r="B3" s="68" t="s">
        <v>22</v>
      </c>
      <c r="C3" s="2" t="s">
        <v>2</v>
      </c>
      <c r="D3" s="2" t="s">
        <v>9</v>
      </c>
      <c r="E3" s="2" t="s">
        <v>14</v>
      </c>
      <c r="F3" s="2" t="s">
        <v>15</v>
      </c>
      <c r="G3" s="2" t="s">
        <v>16</v>
      </c>
      <c r="H3" s="2" t="s">
        <v>32</v>
      </c>
      <c r="I3" s="2" t="s">
        <v>33</v>
      </c>
      <c r="J3" s="5"/>
      <c r="K3" s="44"/>
      <c r="L3" s="45"/>
      <c r="M3" s="45"/>
      <c r="N3" s="80"/>
    </row>
    <row r="4" spans="1:14" ht="18" customHeight="1" x14ac:dyDescent="0.2">
      <c r="A4" s="4"/>
      <c r="B4" s="68"/>
      <c r="C4" s="10">
        <f>IF(DAY(NovNed1)=1,NovNed1-6,NovNed1+1)</f>
        <v>42674</v>
      </c>
      <c r="D4" s="10">
        <f>IF(DAY(NovNed1)=1,NovNed1-5,NovNed1+2)</f>
        <v>42675</v>
      </c>
      <c r="E4" s="10">
        <f>IF(DAY(NovNed1)=1,NovNed1-4,NovNed1+3)</f>
        <v>42676</v>
      </c>
      <c r="F4" s="10">
        <f>IF(DAY(NovNed1)=1,NovNed1-3,NovNed1+4)</f>
        <v>42677</v>
      </c>
      <c r="G4" s="10">
        <f>IF(DAY(NovNed1)=1,NovNed1-2,NovNed1+5)</f>
        <v>42678</v>
      </c>
      <c r="H4" s="10">
        <f>IF(DAY(NovNed1)=1,NovNed1-1,NovNed1+6)</f>
        <v>42679</v>
      </c>
      <c r="I4" s="10">
        <f>IF(DAY(NovNed1)=1,NovNed1,NovNed1+7)</f>
        <v>42680</v>
      </c>
      <c r="J4" s="5"/>
      <c r="K4" s="46" t="s">
        <v>2</v>
      </c>
      <c r="L4" s="16"/>
      <c r="M4" s="47"/>
      <c r="N4" s="48"/>
    </row>
    <row r="5" spans="1:14" ht="18" customHeight="1" x14ac:dyDescent="0.2">
      <c r="A5" s="4"/>
      <c r="B5" s="28"/>
      <c r="C5" s="10">
        <f>IF(DAY(NovNed1)=1,NovNed1+1,NovNed1+8)</f>
        <v>42681</v>
      </c>
      <c r="D5" s="10">
        <f>IF(DAY(NovNed1)=1,NovNed1+2,NovNed1+9)</f>
        <v>42682</v>
      </c>
      <c r="E5" s="10">
        <f>IF(DAY(NovNed1)=1,NovNed1+3,NovNed1+10)</f>
        <v>42683</v>
      </c>
      <c r="F5" s="10">
        <f>IF(DAY(NovNed1)=1,NovNed1+4,NovNed1+11)</f>
        <v>42684</v>
      </c>
      <c r="G5" s="10">
        <f>IF(DAY(NovNed1)=1,NovNed1+5,NovNed1+12)</f>
        <v>42685</v>
      </c>
      <c r="H5" s="10">
        <f>IF(DAY(NovNed1)=1,NovNed1+6,NovNed1+13)</f>
        <v>42686</v>
      </c>
      <c r="I5" s="10">
        <f>IF(DAY(NovNed1)=1,NovNed1+7,NovNed1+14)</f>
        <v>42687</v>
      </c>
      <c r="J5" s="5"/>
      <c r="K5" s="32"/>
      <c r="L5" s="17"/>
      <c r="M5" s="33"/>
      <c r="N5" s="34"/>
    </row>
    <row r="6" spans="1:14" ht="18" customHeight="1" x14ac:dyDescent="0.2">
      <c r="A6" s="4"/>
      <c r="B6" s="28"/>
      <c r="C6" s="10">
        <f>IF(DAY(NovNed1)=1,NovNed1+8,NovNed1+15)</f>
        <v>42688</v>
      </c>
      <c r="D6" s="10">
        <f>IF(DAY(NovNed1)=1,NovNed1+9,NovNed1+16)</f>
        <v>42689</v>
      </c>
      <c r="E6" s="10">
        <f>IF(DAY(NovNed1)=1,NovNed1+10,NovNed1+17)</f>
        <v>42690</v>
      </c>
      <c r="F6" s="10">
        <f>IF(DAY(NovNed1)=1,NovNed1+11,NovNed1+18)</f>
        <v>42691</v>
      </c>
      <c r="G6" s="10">
        <f>IF(DAY(NovNed1)=1,NovNed1+12,NovNed1+19)</f>
        <v>42692</v>
      </c>
      <c r="H6" s="10">
        <f>IF(DAY(NovNed1)=1,NovNed1+13,NovNed1+20)</f>
        <v>42693</v>
      </c>
      <c r="I6" s="10">
        <f>IF(DAY(NovNed1)=1,NovNed1+14,NovNed1+21)</f>
        <v>42694</v>
      </c>
      <c r="J6" s="5"/>
      <c r="K6" s="32"/>
      <c r="L6" s="17"/>
      <c r="M6" s="33"/>
      <c r="N6" s="34"/>
    </row>
    <row r="7" spans="1:14" ht="18" customHeight="1" x14ac:dyDescent="0.2">
      <c r="A7" s="4"/>
      <c r="B7" s="28"/>
      <c r="C7" s="10">
        <f>IF(DAY(NovNed1)=1,NovNed1+15,NovNed1+22)</f>
        <v>42695</v>
      </c>
      <c r="D7" s="10">
        <f>IF(DAY(NovNed1)=1,NovNed1+16,NovNed1+23)</f>
        <v>42696</v>
      </c>
      <c r="E7" s="10">
        <f>IF(DAY(NovNed1)=1,NovNed1+17,NovNed1+24)</f>
        <v>42697</v>
      </c>
      <c r="F7" s="10">
        <f>IF(DAY(NovNed1)=1,NovNed1+18,NovNed1+25)</f>
        <v>42698</v>
      </c>
      <c r="G7" s="10">
        <f>IF(DAY(NovNed1)=1,NovNed1+19,NovNed1+26)</f>
        <v>42699</v>
      </c>
      <c r="H7" s="10">
        <f>IF(DAY(NovNed1)=1,NovNed1+20,NovNed1+27)</f>
        <v>42700</v>
      </c>
      <c r="I7" s="10">
        <f>IF(DAY(NovNed1)=1,NovNed1+21,NovNed1+28)</f>
        <v>42701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IF(DAY(NovNed1)=1,NovNed1+22,NovNed1+29)</f>
        <v>42702</v>
      </c>
      <c r="D8" s="10">
        <f>IF(DAY(NovNed1)=1,NovNed1+23,NovNed1+30)</f>
        <v>42703</v>
      </c>
      <c r="E8" s="10">
        <f>IF(DAY(NovNed1)=1,NovNed1+24,NovNed1+31)</f>
        <v>42704</v>
      </c>
      <c r="F8" s="10">
        <f>IF(DAY(NovNed1)=1,NovNed1+25,NovNed1+32)</f>
        <v>42705</v>
      </c>
      <c r="G8" s="10">
        <f>IF(DAY(NovNed1)=1,NovNed1+26,NovNed1+33)</f>
        <v>42706</v>
      </c>
      <c r="H8" s="10">
        <f>IF(DAY(NovNed1)=1,NovNed1+27,NovNed1+34)</f>
        <v>42707</v>
      </c>
      <c r="I8" s="10">
        <f>IF(DAY(NovNed1)=1,NovNed1+28,NovNed1+35)</f>
        <v>42708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IF(DAY(NovNed1)=1,NovNed1+29,NovNed1+36)</f>
        <v>42709</v>
      </c>
      <c r="D9" s="10">
        <f>IF(DAY(NovNed1)=1,NovNed1+30,NovNed1+37)</f>
        <v>42710</v>
      </c>
      <c r="E9" s="10">
        <f>IF(DAY(NovNed1)=1,NovNed1+31,NovNed1+38)</f>
        <v>42711</v>
      </c>
      <c r="F9" s="10">
        <f>IF(DAY(NovNed1)=1,NovNed1+32,NovNed1+39)</f>
        <v>42712</v>
      </c>
      <c r="G9" s="10">
        <f>IF(DAY(NovNed1)=1,NovNed1+33,NovNed1+40)</f>
        <v>42713</v>
      </c>
      <c r="H9" s="10">
        <f>IF(DAY(NovNed1)=1,NovNed1+34,NovNed1+41)</f>
        <v>42714</v>
      </c>
      <c r="I9" s="10">
        <f>IF(DAY(NovNed1)=1,NovNed1+35,NovNed1+42)</f>
        <v>42715</v>
      </c>
      <c r="J9" s="5"/>
      <c r="K9" s="12"/>
      <c r="L9" s="18"/>
      <c r="M9" s="35"/>
      <c r="N9" s="36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31" t="s">
        <v>9</v>
      </c>
      <c r="L10" s="16"/>
      <c r="M10" s="37"/>
      <c r="N10" s="38"/>
    </row>
    <row r="11" spans="1:14" ht="18" customHeight="1" x14ac:dyDescent="0.2">
      <c r="A11" s="4"/>
      <c r="B11" s="70" t="s">
        <v>1</v>
      </c>
      <c r="C11" s="71"/>
      <c r="D11" s="71"/>
      <c r="E11" s="71"/>
      <c r="F11" s="71"/>
      <c r="G11" s="71"/>
      <c r="H11" s="71"/>
      <c r="I11" s="71"/>
      <c r="J11" s="72"/>
      <c r="K11" s="32"/>
      <c r="L11" s="17"/>
      <c r="M11" s="33"/>
      <c r="N11" s="34"/>
    </row>
    <row r="12" spans="1:14" ht="18" customHeight="1" x14ac:dyDescent="0.2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7"/>
      <c r="M12" s="33"/>
      <c r="N12" s="34"/>
    </row>
    <row r="13" spans="1:14" ht="18" customHeight="1" x14ac:dyDescent="0.2">
      <c r="B13" s="3" t="s">
        <v>2</v>
      </c>
      <c r="C13" s="39" t="s">
        <v>9</v>
      </c>
      <c r="D13" s="41"/>
      <c r="E13" s="39" t="s">
        <v>14</v>
      </c>
      <c r="F13" s="41"/>
      <c r="G13" s="39" t="s">
        <v>15</v>
      </c>
      <c r="H13" s="41"/>
      <c r="I13" s="39" t="s">
        <v>16</v>
      </c>
      <c r="J13" s="40"/>
      <c r="K13" s="11"/>
      <c r="L13" s="17"/>
      <c r="M13" s="33"/>
      <c r="N13" s="34"/>
    </row>
    <row r="14" spans="1:14" ht="18" customHeight="1" x14ac:dyDescent="0.2">
      <c r="B14" s="8" t="s">
        <v>3</v>
      </c>
      <c r="C14" s="53"/>
      <c r="D14" s="54"/>
      <c r="E14" s="53" t="s">
        <v>3</v>
      </c>
      <c r="F14" s="54"/>
      <c r="G14" s="53"/>
      <c r="H14" s="54"/>
      <c r="I14" s="53" t="s">
        <v>3</v>
      </c>
      <c r="J14" s="62"/>
      <c r="K14" s="11"/>
      <c r="L14" s="17"/>
      <c r="M14" s="33"/>
      <c r="N14" s="34"/>
    </row>
    <row r="15" spans="1:14" ht="18" customHeight="1" x14ac:dyDescent="0.2">
      <c r="B15" s="6" t="s">
        <v>4</v>
      </c>
      <c r="C15" s="51"/>
      <c r="D15" s="52"/>
      <c r="E15" s="51" t="s">
        <v>4</v>
      </c>
      <c r="F15" s="52"/>
      <c r="G15" s="51"/>
      <c r="H15" s="52"/>
      <c r="I15" s="59" t="s">
        <v>4</v>
      </c>
      <c r="J15" s="60"/>
      <c r="K15" s="13"/>
      <c r="L15" s="19"/>
      <c r="M15" s="35"/>
      <c r="N15" s="36"/>
    </row>
    <row r="16" spans="1:14" ht="18" customHeight="1" x14ac:dyDescent="0.2">
      <c r="B16" s="8"/>
      <c r="C16" s="53" t="s">
        <v>10</v>
      </c>
      <c r="D16" s="54"/>
      <c r="E16" s="53"/>
      <c r="F16" s="54"/>
      <c r="G16" s="53" t="s">
        <v>10</v>
      </c>
      <c r="H16" s="54"/>
      <c r="I16" s="63"/>
      <c r="J16" s="64"/>
      <c r="K16" s="31" t="s">
        <v>14</v>
      </c>
      <c r="L16" s="16"/>
      <c r="M16" s="37"/>
      <c r="N16" s="38"/>
    </row>
    <row r="17" spans="2:14" ht="18" customHeight="1" x14ac:dyDescent="0.2">
      <c r="B17" s="6"/>
      <c r="C17" s="51" t="s">
        <v>11</v>
      </c>
      <c r="D17" s="52"/>
      <c r="E17" s="51"/>
      <c r="F17" s="52"/>
      <c r="G17" s="51" t="s">
        <v>11</v>
      </c>
      <c r="H17" s="52"/>
      <c r="I17" s="59"/>
      <c r="J17" s="60"/>
      <c r="K17" s="32"/>
      <c r="L17" s="17"/>
      <c r="M17" s="33"/>
      <c r="N17" s="34"/>
    </row>
    <row r="18" spans="2:14" ht="18" customHeight="1" x14ac:dyDescent="0.2">
      <c r="B18" s="9" t="s">
        <v>5</v>
      </c>
      <c r="C18" s="55"/>
      <c r="D18" s="56"/>
      <c r="E18" s="55" t="s">
        <v>5</v>
      </c>
      <c r="F18" s="56"/>
      <c r="G18" s="55"/>
      <c r="H18" s="56"/>
      <c r="I18" s="55" t="s">
        <v>5</v>
      </c>
      <c r="J18" s="61"/>
      <c r="K18" s="32"/>
      <c r="L18" s="17"/>
      <c r="M18" s="33"/>
      <c r="N18" s="34"/>
    </row>
    <row r="19" spans="2:14" ht="18" customHeight="1" x14ac:dyDescent="0.2">
      <c r="B19" s="6" t="s">
        <v>6</v>
      </c>
      <c r="C19" s="51"/>
      <c r="D19" s="52"/>
      <c r="E19" s="51" t="s">
        <v>6</v>
      </c>
      <c r="F19" s="52"/>
      <c r="G19" s="51"/>
      <c r="H19" s="52"/>
      <c r="I19" s="59" t="s">
        <v>6</v>
      </c>
      <c r="J19" s="60"/>
      <c r="K19" s="11"/>
      <c r="L19" s="17"/>
      <c r="M19" s="33"/>
      <c r="N19" s="34"/>
    </row>
    <row r="20" spans="2:14" ht="18" customHeight="1" x14ac:dyDescent="0.2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3"/>
      <c r="N20" s="34"/>
    </row>
    <row r="21" spans="2:14" ht="18" customHeight="1" x14ac:dyDescent="0.2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5"/>
      <c r="N21" s="36"/>
    </row>
    <row r="22" spans="2:14" ht="18" customHeight="1" x14ac:dyDescent="0.2">
      <c r="B22" s="8"/>
      <c r="C22" s="53"/>
      <c r="D22" s="54"/>
      <c r="E22" s="53"/>
      <c r="F22" s="54"/>
      <c r="G22" s="53"/>
      <c r="H22" s="54"/>
      <c r="I22" s="53"/>
      <c r="J22" s="62"/>
      <c r="K22" s="31" t="s">
        <v>15</v>
      </c>
      <c r="L22" s="16"/>
      <c r="M22" s="37"/>
      <c r="N22" s="38"/>
    </row>
    <row r="23" spans="2:14" ht="18" customHeight="1" x14ac:dyDescent="0.2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7"/>
      <c r="M23" s="33"/>
      <c r="N23" s="34"/>
    </row>
    <row r="24" spans="2:14" ht="18" customHeight="1" x14ac:dyDescent="0.2">
      <c r="B24" s="8"/>
      <c r="C24" s="53"/>
      <c r="D24" s="54"/>
      <c r="E24" s="53"/>
      <c r="F24" s="54"/>
      <c r="G24" s="53"/>
      <c r="H24" s="54"/>
      <c r="I24" s="53"/>
      <c r="J24" s="62"/>
      <c r="K24" s="32"/>
      <c r="L24" s="17"/>
      <c r="M24" s="33"/>
      <c r="N24" s="34"/>
    </row>
    <row r="25" spans="2:14" ht="18" customHeight="1" x14ac:dyDescent="0.2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7"/>
      <c r="M25" s="33"/>
      <c r="N25" s="34"/>
    </row>
    <row r="26" spans="2:14" ht="18" customHeight="1" x14ac:dyDescent="0.2">
      <c r="B26" s="8" t="s">
        <v>7</v>
      </c>
      <c r="C26" s="53"/>
      <c r="D26" s="54"/>
      <c r="E26" s="53" t="s">
        <v>7</v>
      </c>
      <c r="F26" s="54"/>
      <c r="G26" s="53"/>
      <c r="H26" s="54"/>
      <c r="I26" s="53" t="s">
        <v>7</v>
      </c>
      <c r="J26" s="62"/>
      <c r="K26" s="11"/>
      <c r="L26" s="17"/>
      <c r="M26" s="33"/>
      <c r="N26" s="34"/>
    </row>
    <row r="27" spans="2:14" ht="18" customHeight="1" x14ac:dyDescent="0.2">
      <c r="B27" s="6" t="s">
        <v>8</v>
      </c>
      <c r="C27" s="51"/>
      <c r="D27" s="52"/>
      <c r="E27" s="51" t="s">
        <v>8</v>
      </c>
      <c r="F27" s="52"/>
      <c r="G27" s="51"/>
      <c r="H27" s="52"/>
      <c r="I27" s="59" t="s">
        <v>8</v>
      </c>
      <c r="J27" s="60"/>
      <c r="K27" s="13"/>
      <c r="L27" s="19"/>
      <c r="M27" s="35"/>
      <c r="N27" s="36"/>
    </row>
    <row r="28" spans="2:14" ht="18" customHeight="1" x14ac:dyDescent="0.2">
      <c r="B28" s="8"/>
      <c r="C28" s="53"/>
      <c r="D28" s="54"/>
      <c r="E28" s="53"/>
      <c r="F28" s="54"/>
      <c r="G28" s="53"/>
      <c r="H28" s="54"/>
      <c r="I28" s="53"/>
      <c r="J28" s="62"/>
      <c r="K28" s="31" t="s">
        <v>16</v>
      </c>
      <c r="L28" s="16"/>
      <c r="M28" s="37"/>
      <c r="N28" s="38"/>
    </row>
    <row r="29" spans="2:14" ht="18" customHeight="1" x14ac:dyDescent="0.2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7"/>
      <c r="M29" s="33"/>
      <c r="N29" s="34"/>
    </row>
    <row r="30" spans="2:14" ht="18" customHeight="1" x14ac:dyDescent="0.2">
      <c r="B30" s="8"/>
      <c r="C30" s="53" t="s">
        <v>12</v>
      </c>
      <c r="D30" s="54"/>
      <c r="E30" s="53"/>
      <c r="F30" s="54"/>
      <c r="G30" s="53" t="s">
        <v>12</v>
      </c>
      <c r="H30" s="54"/>
      <c r="I30" s="75"/>
      <c r="J30" s="76"/>
      <c r="K30" s="32"/>
      <c r="L30" s="17"/>
      <c r="M30" s="33"/>
      <c r="N30" s="34"/>
    </row>
    <row r="31" spans="2:14" ht="18" customHeight="1" x14ac:dyDescent="0.2">
      <c r="B31" s="6"/>
      <c r="C31" s="51" t="s">
        <v>13</v>
      </c>
      <c r="D31" s="52"/>
      <c r="E31" s="51"/>
      <c r="F31" s="52"/>
      <c r="G31" s="51" t="s">
        <v>13</v>
      </c>
      <c r="H31" s="52"/>
      <c r="I31" s="51"/>
      <c r="J31" s="67"/>
      <c r="K31" s="14"/>
      <c r="L31" s="17"/>
      <c r="M31" s="33"/>
      <c r="N31" s="34"/>
    </row>
    <row r="32" spans="2:14" ht="18" customHeight="1" x14ac:dyDescent="0.2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3"/>
      <c r="N32" s="34"/>
    </row>
    <row r="33" spans="2:14" ht="18" customHeight="1" x14ac:dyDescent="0.2">
      <c r="B33" s="7"/>
      <c r="C33" s="57"/>
      <c r="D33" s="58"/>
      <c r="E33" s="57"/>
      <c r="F33" s="58"/>
      <c r="G33" s="57"/>
      <c r="H33" s="58"/>
      <c r="I33" s="77"/>
      <c r="J33" s="78"/>
      <c r="K33" s="15"/>
      <c r="L33" s="20"/>
      <c r="M33" s="73"/>
      <c r="N33" s="74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7" priority="3" stopIfTrue="1">
      <formula>DAY(C4)&gt;8</formula>
    </cfRule>
  </conditionalFormatting>
  <conditionalFormatting sqref="C8:I10">
    <cfRule type="expression" dxfId="6" priority="2" stopIfTrue="1">
      <formula>AND(DAY(C8)&gt;=1,DAY(C8)&lt;=15)</formula>
    </cfRule>
  </conditionalFormatting>
  <conditionalFormatting sqref="C4:I9">
    <cfRule type="expression" dxfId="5" priority="4">
      <formula>VLOOKUP(DAY(C4),DniPriradeniaÚloh,1,FALSE)=DAY(C4)</formula>
    </cfRule>
  </conditionalFormatting>
  <conditionalFormatting sqref="B14:J33">
    <cfRule type="expression" dxfId="4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42" t="s">
        <v>17</v>
      </c>
      <c r="L2" s="43">
        <v>2013</v>
      </c>
      <c r="M2" s="43"/>
      <c r="N2" s="79">
        <f>KalendárnyRok</f>
        <v>2016</v>
      </c>
    </row>
    <row r="3" spans="1:14" ht="21" customHeight="1" x14ac:dyDescent="0.2">
      <c r="A3" s="4"/>
      <c r="B3" s="68" t="s">
        <v>23</v>
      </c>
      <c r="C3" s="2" t="s">
        <v>2</v>
      </c>
      <c r="D3" s="2" t="s">
        <v>9</v>
      </c>
      <c r="E3" s="2" t="s">
        <v>14</v>
      </c>
      <c r="F3" s="2" t="s">
        <v>15</v>
      </c>
      <c r="G3" s="2" t="s">
        <v>16</v>
      </c>
      <c r="H3" s="2" t="s">
        <v>32</v>
      </c>
      <c r="I3" s="2" t="s">
        <v>33</v>
      </c>
      <c r="J3" s="5"/>
      <c r="K3" s="44"/>
      <c r="L3" s="45"/>
      <c r="M3" s="45"/>
      <c r="N3" s="80"/>
    </row>
    <row r="4" spans="1:14" ht="18" customHeight="1" x14ac:dyDescent="0.2">
      <c r="A4" s="4"/>
      <c r="B4" s="68"/>
      <c r="C4" s="10">
        <f>IF(DAY(DecNed1)=1,DecNed1-6,DecNed1+1)</f>
        <v>42702</v>
      </c>
      <c r="D4" s="10">
        <f>IF(DAY(DecNed1)=1,DecNed1-5,DecNed1+2)</f>
        <v>42703</v>
      </c>
      <c r="E4" s="10">
        <f>IF(DAY(DecNed1)=1,DecNed1-4,DecNed1+3)</f>
        <v>42704</v>
      </c>
      <c r="F4" s="10">
        <f>IF(DAY(DecNed1)=1,DecNed1-3,DecNed1+4)</f>
        <v>42705</v>
      </c>
      <c r="G4" s="10">
        <f>IF(DAY(DecNed1)=1,DecNed1-2,DecNed1+5)</f>
        <v>42706</v>
      </c>
      <c r="H4" s="10">
        <f>IF(DAY(DecNed1)=1,DecNed1-1,DecNed1+6)</f>
        <v>42707</v>
      </c>
      <c r="I4" s="10">
        <f>IF(DAY(DecNed1)=1,DecNed1,DecNed1+7)</f>
        <v>42708</v>
      </c>
      <c r="J4" s="5"/>
      <c r="K4" s="46" t="s">
        <v>2</v>
      </c>
      <c r="L4" s="16"/>
      <c r="M4" s="47"/>
      <c r="N4" s="48"/>
    </row>
    <row r="5" spans="1:14" ht="18" customHeight="1" x14ac:dyDescent="0.2">
      <c r="A5" s="4"/>
      <c r="B5" s="28"/>
      <c r="C5" s="10">
        <f>IF(DAY(DecNed1)=1,DecNed1+1,DecNed1+8)</f>
        <v>42709</v>
      </c>
      <c r="D5" s="10">
        <f>IF(DAY(DecNed1)=1,DecNed1+2,DecNed1+9)</f>
        <v>42710</v>
      </c>
      <c r="E5" s="10">
        <f>IF(DAY(DecNed1)=1,DecNed1+3,DecNed1+10)</f>
        <v>42711</v>
      </c>
      <c r="F5" s="10">
        <f>IF(DAY(DecNed1)=1,DecNed1+4,DecNed1+11)</f>
        <v>42712</v>
      </c>
      <c r="G5" s="10">
        <f>IF(DAY(DecNed1)=1,DecNed1+5,DecNed1+12)</f>
        <v>42713</v>
      </c>
      <c r="H5" s="10">
        <f>IF(DAY(DecNed1)=1,DecNed1+6,DecNed1+13)</f>
        <v>42714</v>
      </c>
      <c r="I5" s="10">
        <f>IF(DAY(DecNed1)=1,DecNed1+7,DecNed1+14)</f>
        <v>42715</v>
      </c>
      <c r="J5" s="5"/>
      <c r="K5" s="32"/>
      <c r="L5" s="17"/>
      <c r="M5" s="33"/>
      <c r="N5" s="34"/>
    </row>
    <row r="6" spans="1:14" ht="18" customHeight="1" x14ac:dyDescent="0.2">
      <c r="A6" s="4"/>
      <c r="B6" s="28"/>
      <c r="C6" s="10">
        <f>IF(DAY(DecNed1)=1,DecNed1+8,DecNed1+15)</f>
        <v>42716</v>
      </c>
      <c r="D6" s="10">
        <f>IF(DAY(DecNed1)=1,DecNed1+9,DecNed1+16)</f>
        <v>42717</v>
      </c>
      <c r="E6" s="10">
        <f>IF(DAY(DecNed1)=1,DecNed1+10,DecNed1+17)</f>
        <v>42718</v>
      </c>
      <c r="F6" s="10">
        <f>IF(DAY(DecNed1)=1,DecNed1+11,DecNed1+18)</f>
        <v>42719</v>
      </c>
      <c r="G6" s="10">
        <f>IF(DAY(DecNed1)=1,DecNed1+12,DecNed1+19)</f>
        <v>42720</v>
      </c>
      <c r="H6" s="10">
        <f>IF(DAY(DecNed1)=1,DecNed1+13,DecNed1+20)</f>
        <v>42721</v>
      </c>
      <c r="I6" s="10">
        <f>IF(DAY(DecNed1)=1,DecNed1+14,DecNed1+21)</f>
        <v>42722</v>
      </c>
      <c r="J6" s="5"/>
      <c r="K6" s="32"/>
      <c r="L6" s="17"/>
      <c r="M6" s="33"/>
      <c r="N6" s="34"/>
    </row>
    <row r="7" spans="1:14" ht="18" customHeight="1" x14ac:dyDescent="0.2">
      <c r="A7" s="4"/>
      <c r="B7" s="28"/>
      <c r="C7" s="10">
        <f>IF(DAY(DecNed1)=1,DecNed1+15,DecNed1+22)</f>
        <v>42723</v>
      </c>
      <c r="D7" s="10">
        <f>IF(DAY(DecNed1)=1,DecNed1+16,DecNed1+23)</f>
        <v>42724</v>
      </c>
      <c r="E7" s="10">
        <f>IF(DAY(DecNed1)=1,DecNed1+17,DecNed1+24)</f>
        <v>42725</v>
      </c>
      <c r="F7" s="10">
        <f>IF(DAY(DecNed1)=1,DecNed1+18,DecNed1+25)</f>
        <v>42726</v>
      </c>
      <c r="G7" s="10">
        <f>IF(DAY(DecNed1)=1,DecNed1+19,DecNed1+26)</f>
        <v>42727</v>
      </c>
      <c r="H7" s="10">
        <f>IF(DAY(DecNed1)=1,DecNed1+20,DecNed1+27)</f>
        <v>42728</v>
      </c>
      <c r="I7" s="10">
        <f>IF(DAY(DecNed1)=1,DecNed1+21,DecNed1+28)</f>
        <v>42729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IF(DAY(DecNed1)=1,DecNed1+22,DecNed1+29)</f>
        <v>42730</v>
      </c>
      <c r="D8" s="10">
        <f>IF(DAY(DecNed1)=1,DecNed1+23,DecNed1+30)</f>
        <v>42731</v>
      </c>
      <c r="E8" s="10">
        <f>IF(DAY(DecNed1)=1,DecNed1+24,DecNed1+31)</f>
        <v>42732</v>
      </c>
      <c r="F8" s="10">
        <f>IF(DAY(DecNed1)=1,DecNed1+25,DecNed1+32)</f>
        <v>42733</v>
      </c>
      <c r="G8" s="10">
        <f>IF(DAY(DecNed1)=1,DecNed1+26,DecNed1+33)</f>
        <v>42734</v>
      </c>
      <c r="H8" s="10">
        <f>IF(DAY(DecNed1)=1,DecNed1+27,DecNed1+34)</f>
        <v>42735</v>
      </c>
      <c r="I8" s="10">
        <f>IF(DAY(DecNed1)=1,DecNed1+28,DecNed1+35)</f>
        <v>42736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IF(DAY(DecNed1)=1,DecNed1+29,DecNed1+36)</f>
        <v>42737</v>
      </c>
      <c r="D9" s="10">
        <f>IF(DAY(DecNed1)=1,DecNed1+30,DecNed1+37)</f>
        <v>42738</v>
      </c>
      <c r="E9" s="10">
        <f>IF(DAY(DecNed1)=1,DecNed1+31,DecNed1+38)</f>
        <v>42739</v>
      </c>
      <c r="F9" s="10">
        <f>IF(DAY(DecNed1)=1,DecNed1+32,DecNed1+39)</f>
        <v>42740</v>
      </c>
      <c r="G9" s="10">
        <f>IF(DAY(DecNed1)=1,DecNed1+33,DecNed1+40)</f>
        <v>42741</v>
      </c>
      <c r="H9" s="10">
        <f>IF(DAY(DecNed1)=1,DecNed1+34,DecNed1+41)</f>
        <v>42742</v>
      </c>
      <c r="I9" s="10">
        <f>IF(DAY(DecNed1)=1,DecNed1+35,DecNed1+42)</f>
        <v>42743</v>
      </c>
      <c r="J9" s="5"/>
      <c r="K9" s="12"/>
      <c r="L9" s="18"/>
      <c r="M9" s="35"/>
      <c r="N9" s="36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31" t="s">
        <v>9</v>
      </c>
      <c r="L10" s="16"/>
      <c r="M10" s="37"/>
      <c r="N10" s="38"/>
    </row>
    <row r="11" spans="1:14" ht="18" customHeight="1" x14ac:dyDescent="0.2">
      <c r="A11" s="4"/>
      <c r="B11" s="70" t="s">
        <v>1</v>
      </c>
      <c r="C11" s="71"/>
      <c r="D11" s="71"/>
      <c r="E11" s="71"/>
      <c r="F11" s="71"/>
      <c r="G11" s="71"/>
      <c r="H11" s="71"/>
      <c r="I11" s="71"/>
      <c r="J11" s="72"/>
      <c r="K11" s="32"/>
      <c r="L11" s="17"/>
      <c r="M11" s="33"/>
      <c r="N11" s="34"/>
    </row>
    <row r="12" spans="1:14" ht="18" customHeight="1" x14ac:dyDescent="0.2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7"/>
      <c r="M12" s="33"/>
      <c r="N12" s="34"/>
    </row>
    <row r="13" spans="1:14" ht="18" customHeight="1" x14ac:dyDescent="0.2">
      <c r="B13" s="3" t="s">
        <v>2</v>
      </c>
      <c r="C13" s="39" t="s">
        <v>9</v>
      </c>
      <c r="D13" s="41"/>
      <c r="E13" s="39" t="s">
        <v>14</v>
      </c>
      <c r="F13" s="41"/>
      <c r="G13" s="39" t="s">
        <v>15</v>
      </c>
      <c r="H13" s="41"/>
      <c r="I13" s="39" t="s">
        <v>16</v>
      </c>
      <c r="J13" s="40"/>
      <c r="K13" s="11"/>
      <c r="L13" s="17"/>
      <c r="M13" s="33"/>
      <c r="N13" s="34"/>
    </row>
    <row r="14" spans="1:14" ht="18" customHeight="1" x14ac:dyDescent="0.2">
      <c r="B14" s="8" t="s">
        <v>3</v>
      </c>
      <c r="C14" s="53"/>
      <c r="D14" s="54"/>
      <c r="E14" s="53" t="s">
        <v>3</v>
      </c>
      <c r="F14" s="54"/>
      <c r="G14" s="53"/>
      <c r="H14" s="54"/>
      <c r="I14" s="53" t="s">
        <v>3</v>
      </c>
      <c r="J14" s="62"/>
      <c r="K14" s="11"/>
      <c r="L14" s="17"/>
      <c r="M14" s="33"/>
      <c r="N14" s="34"/>
    </row>
    <row r="15" spans="1:14" ht="18" customHeight="1" x14ac:dyDescent="0.2">
      <c r="B15" s="6" t="s">
        <v>4</v>
      </c>
      <c r="C15" s="51"/>
      <c r="D15" s="52"/>
      <c r="E15" s="51" t="s">
        <v>4</v>
      </c>
      <c r="F15" s="52"/>
      <c r="G15" s="51"/>
      <c r="H15" s="52"/>
      <c r="I15" s="59" t="s">
        <v>4</v>
      </c>
      <c r="J15" s="60"/>
      <c r="K15" s="13"/>
      <c r="L15" s="19"/>
      <c r="M15" s="35"/>
      <c r="N15" s="36"/>
    </row>
    <row r="16" spans="1:14" ht="18" customHeight="1" x14ac:dyDescent="0.2">
      <c r="B16" s="8"/>
      <c r="C16" s="53" t="s">
        <v>10</v>
      </c>
      <c r="D16" s="54"/>
      <c r="E16" s="53"/>
      <c r="F16" s="54"/>
      <c r="G16" s="53" t="s">
        <v>10</v>
      </c>
      <c r="H16" s="54"/>
      <c r="I16" s="63"/>
      <c r="J16" s="64"/>
      <c r="K16" s="31" t="s">
        <v>14</v>
      </c>
      <c r="L16" s="16"/>
      <c r="M16" s="37"/>
      <c r="N16" s="38"/>
    </row>
    <row r="17" spans="2:14" ht="18" customHeight="1" x14ac:dyDescent="0.2">
      <c r="B17" s="6"/>
      <c r="C17" s="51" t="s">
        <v>11</v>
      </c>
      <c r="D17" s="52"/>
      <c r="E17" s="51"/>
      <c r="F17" s="52"/>
      <c r="G17" s="51" t="s">
        <v>11</v>
      </c>
      <c r="H17" s="52"/>
      <c r="I17" s="59"/>
      <c r="J17" s="60"/>
      <c r="K17" s="32"/>
      <c r="L17" s="17"/>
      <c r="M17" s="33"/>
      <c r="N17" s="34"/>
    </row>
    <row r="18" spans="2:14" ht="18" customHeight="1" x14ac:dyDescent="0.2">
      <c r="B18" s="9" t="s">
        <v>5</v>
      </c>
      <c r="C18" s="55"/>
      <c r="D18" s="56"/>
      <c r="E18" s="55" t="s">
        <v>5</v>
      </c>
      <c r="F18" s="56"/>
      <c r="G18" s="55"/>
      <c r="H18" s="56"/>
      <c r="I18" s="55" t="s">
        <v>5</v>
      </c>
      <c r="J18" s="61"/>
      <c r="K18" s="32"/>
      <c r="L18" s="17"/>
      <c r="M18" s="33"/>
      <c r="N18" s="34"/>
    </row>
    <row r="19" spans="2:14" ht="18" customHeight="1" x14ac:dyDescent="0.2">
      <c r="B19" s="6" t="s">
        <v>6</v>
      </c>
      <c r="C19" s="51"/>
      <c r="D19" s="52"/>
      <c r="E19" s="51" t="s">
        <v>6</v>
      </c>
      <c r="F19" s="52"/>
      <c r="G19" s="51"/>
      <c r="H19" s="52"/>
      <c r="I19" s="59" t="s">
        <v>6</v>
      </c>
      <c r="J19" s="60"/>
      <c r="K19" s="11"/>
      <c r="L19" s="17"/>
      <c r="M19" s="33"/>
      <c r="N19" s="34"/>
    </row>
    <row r="20" spans="2:14" ht="18" customHeight="1" x14ac:dyDescent="0.2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3"/>
      <c r="N20" s="34"/>
    </row>
    <row r="21" spans="2:14" ht="18" customHeight="1" x14ac:dyDescent="0.2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5"/>
      <c r="N21" s="36"/>
    </row>
    <row r="22" spans="2:14" ht="18" customHeight="1" x14ac:dyDescent="0.2">
      <c r="B22" s="8"/>
      <c r="C22" s="53"/>
      <c r="D22" s="54"/>
      <c r="E22" s="53"/>
      <c r="F22" s="54"/>
      <c r="G22" s="53"/>
      <c r="H22" s="54"/>
      <c r="I22" s="53"/>
      <c r="J22" s="62"/>
      <c r="K22" s="31" t="s">
        <v>15</v>
      </c>
      <c r="L22" s="16"/>
      <c r="M22" s="37"/>
      <c r="N22" s="38"/>
    </row>
    <row r="23" spans="2:14" ht="18" customHeight="1" x14ac:dyDescent="0.2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7"/>
      <c r="M23" s="33"/>
      <c r="N23" s="34"/>
    </row>
    <row r="24" spans="2:14" ht="18" customHeight="1" x14ac:dyDescent="0.2">
      <c r="B24" s="8"/>
      <c r="C24" s="53"/>
      <c r="D24" s="54"/>
      <c r="E24" s="53"/>
      <c r="F24" s="54"/>
      <c r="G24" s="53"/>
      <c r="H24" s="54"/>
      <c r="I24" s="53"/>
      <c r="J24" s="62"/>
      <c r="K24" s="32"/>
      <c r="L24" s="17"/>
      <c r="M24" s="33"/>
      <c r="N24" s="34"/>
    </row>
    <row r="25" spans="2:14" ht="18" customHeight="1" x14ac:dyDescent="0.2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7"/>
      <c r="M25" s="33"/>
      <c r="N25" s="34"/>
    </row>
    <row r="26" spans="2:14" ht="18" customHeight="1" x14ac:dyDescent="0.2">
      <c r="B26" s="8" t="s">
        <v>7</v>
      </c>
      <c r="C26" s="53"/>
      <c r="D26" s="54"/>
      <c r="E26" s="53" t="s">
        <v>7</v>
      </c>
      <c r="F26" s="54"/>
      <c r="G26" s="53"/>
      <c r="H26" s="54"/>
      <c r="I26" s="53" t="s">
        <v>7</v>
      </c>
      <c r="J26" s="62"/>
      <c r="K26" s="11"/>
      <c r="L26" s="17"/>
      <c r="M26" s="33"/>
      <c r="N26" s="34"/>
    </row>
    <row r="27" spans="2:14" ht="18" customHeight="1" x14ac:dyDescent="0.2">
      <c r="B27" s="6" t="s">
        <v>8</v>
      </c>
      <c r="C27" s="51"/>
      <c r="D27" s="52"/>
      <c r="E27" s="51" t="s">
        <v>8</v>
      </c>
      <c r="F27" s="52"/>
      <c r="G27" s="51"/>
      <c r="H27" s="52"/>
      <c r="I27" s="59" t="s">
        <v>8</v>
      </c>
      <c r="J27" s="60"/>
      <c r="K27" s="13"/>
      <c r="L27" s="19"/>
      <c r="M27" s="35"/>
      <c r="N27" s="36"/>
    </row>
    <row r="28" spans="2:14" ht="18" customHeight="1" x14ac:dyDescent="0.2">
      <c r="B28" s="8"/>
      <c r="C28" s="53"/>
      <c r="D28" s="54"/>
      <c r="E28" s="53"/>
      <c r="F28" s="54"/>
      <c r="G28" s="53"/>
      <c r="H28" s="54"/>
      <c r="I28" s="53"/>
      <c r="J28" s="62"/>
      <c r="K28" s="31" t="s">
        <v>16</v>
      </c>
      <c r="L28" s="16"/>
      <c r="M28" s="37"/>
      <c r="N28" s="38"/>
    </row>
    <row r="29" spans="2:14" ht="18" customHeight="1" x14ac:dyDescent="0.2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7"/>
      <c r="M29" s="33"/>
      <c r="N29" s="34"/>
    </row>
    <row r="30" spans="2:14" ht="18" customHeight="1" x14ac:dyDescent="0.2">
      <c r="B30" s="8"/>
      <c r="C30" s="53" t="s">
        <v>12</v>
      </c>
      <c r="D30" s="54"/>
      <c r="E30" s="53"/>
      <c r="F30" s="54"/>
      <c r="G30" s="53" t="s">
        <v>12</v>
      </c>
      <c r="H30" s="54"/>
      <c r="I30" s="75"/>
      <c r="J30" s="76"/>
      <c r="K30" s="32"/>
      <c r="L30" s="17"/>
      <c r="M30" s="33"/>
      <c r="N30" s="34"/>
    </row>
    <row r="31" spans="2:14" ht="18" customHeight="1" x14ac:dyDescent="0.2">
      <c r="B31" s="6"/>
      <c r="C31" s="51" t="s">
        <v>13</v>
      </c>
      <c r="D31" s="52"/>
      <c r="E31" s="51"/>
      <c r="F31" s="52"/>
      <c r="G31" s="51" t="s">
        <v>13</v>
      </c>
      <c r="H31" s="52"/>
      <c r="I31" s="51"/>
      <c r="J31" s="67"/>
      <c r="K31" s="14"/>
      <c r="L31" s="17"/>
      <c r="M31" s="33"/>
      <c r="N31" s="34"/>
    </row>
    <row r="32" spans="2:14" ht="18" customHeight="1" x14ac:dyDescent="0.2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3"/>
      <c r="N32" s="34"/>
    </row>
    <row r="33" spans="2:14" ht="18" customHeight="1" x14ac:dyDescent="0.2">
      <c r="B33" s="7"/>
      <c r="C33" s="57"/>
      <c r="D33" s="58"/>
      <c r="E33" s="57"/>
      <c r="F33" s="58"/>
      <c r="G33" s="57"/>
      <c r="H33" s="58"/>
      <c r="I33" s="77"/>
      <c r="J33" s="78"/>
      <c r="K33" s="15"/>
      <c r="L33" s="20"/>
      <c r="M33" s="73"/>
      <c r="N33" s="74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3" priority="3" stopIfTrue="1">
      <formula>DAY(C4)&gt;8</formula>
    </cfRule>
  </conditionalFormatting>
  <conditionalFormatting sqref="C8:I10">
    <cfRule type="expression" dxfId="2" priority="2" stopIfTrue="1">
      <formula>AND(DAY(C8)&gt;=1,DAY(C8)&lt;=15)</formula>
    </cfRule>
  </conditionalFormatting>
  <conditionalFormatting sqref="C4:I9">
    <cfRule type="expression" dxfId="1" priority="4">
      <formula>VLOOKUP(DAY(C4),DniPriradeniaÚloh,1,FALSE)=DAY(C4)</formula>
    </cfRule>
  </conditionalFormatting>
  <conditionalFormatting sqref="B14:J33">
    <cfRule type="expression" dxfId="0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42" t="s">
        <v>17</v>
      </c>
      <c r="L2" s="43">
        <v>2013</v>
      </c>
      <c r="M2" s="43"/>
      <c r="N2" s="79">
        <f>KalendárnyRok</f>
        <v>2016</v>
      </c>
    </row>
    <row r="3" spans="1:14" ht="21" customHeight="1" x14ac:dyDescent="0.2">
      <c r="A3" s="4"/>
      <c r="B3" s="68" t="s">
        <v>24</v>
      </c>
      <c r="C3" s="2" t="s">
        <v>2</v>
      </c>
      <c r="D3" s="2" t="s">
        <v>9</v>
      </c>
      <c r="E3" s="2" t="s">
        <v>14</v>
      </c>
      <c r="F3" s="2" t="s">
        <v>15</v>
      </c>
      <c r="G3" s="2" t="s">
        <v>16</v>
      </c>
      <c r="H3" s="2" t="s">
        <v>32</v>
      </c>
      <c r="I3" s="2" t="s">
        <v>33</v>
      </c>
      <c r="J3" s="5"/>
      <c r="K3" s="44"/>
      <c r="L3" s="45"/>
      <c r="M3" s="45"/>
      <c r="N3" s="80"/>
    </row>
    <row r="4" spans="1:14" ht="18" customHeight="1" x14ac:dyDescent="0.2">
      <c r="A4" s="4"/>
      <c r="B4" s="68"/>
      <c r="C4" s="10">
        <f>IF(DAY(FebNed1)=1,FebNed1-6,FebNed1+1)</f>
        <v>42401</v>
      </c>
      <c r="D4" s="10">
        <f>IF(DAY(FebNed1)=1,FebNed1-5,FebNed1+2)</f>
        <v>42402</v>
      </c>
      <c r="E4" s="10">
        <f>IF(DAY(FebNed1)=1,FebNed1-4,FebNed1+3)</f>
        <v>42403</v>
      </c>
      <c r="F4" s="10">
        <f>IF(DAY(FebNed1)=1,FebNed1-3,FebNed1+4)</f>
        <v>42404</v>
      </c>
      <c r="G4" s="10">
        <f>IF(DAY(FebNed1)=1,FebNed1-2,FebNed1+5)</f>
        <v>42405</v>
      </c>
      <c r="H4" s="10">
        <f>IF(DAY(FebNed1)=1,FebNed1-1,FebNed1+6)</f>
        <v>42406</v>
      </c>
      <c r="I4" s="10">
        <f>IF(DAY(FebNed1)=1,FebNed1,FebNed1+7)</f>
        <v>42407</v>
      </c>
      <c r="J4" s="5"/>
      <c r="K4" s="46" t="s">
        <v>2</v>
      </c>
      <c r="L4" s="16"/>
      <c r="M4" s="47"/>
      <c r="N4" s="48"/>
    </row>
    <row r="5" spans="1:14" ht="18" customHeight="1" x14ac:dyDescent="0.2">
      <c r="A5" s="4"/>
      <c r="B5" s="28"/>
      <c r="C5" s="10">
        <f>IF(DAY(FebNed1)=1,FebNed1+1,FebNed1+8)</f>
        <v>42408</v>
      </c>
      <c r="D5" s="10">
        <f>IF(DAY(FebNed1)=1,FebNed1+2,FebNed1+9)</f>
        <v>42409</v>
      </c>
      <c r="E5" s="10">
        <f>IF(DAY(FebNed1)=1,FebNed1+3,FebNed1+10)</f>
        <v>42410</v>
      </c>
      <c r="F5" s="10">
        <f>IF(DAY(FebNed1)=1,FebNed1+4,FebNed1+11)</f>
        <v>42411</v>
      </c>
      <c r="G5" s="10">
        <f>IF(DAY(FebNed1)=1,FebNed1+5,FebNed1+12)</f>
        <v>42412</v>
      </c>
      <c r="H5" s="10">
        <f>IF(DAY(FebNed1)=1,FebNed1+6,FebNed1+13)</f>
        <v>42413</v>
      </c>
      <c r="I5" s="10">
        <f>IF(DAY(FebNed1)=1,FebNed1+7,FebNed1+14)</f>
        <v>42414</v>
      </c>
      <c r="J5" s="5"/>
      <c r="K5" s="32"/>
      <c r="L5" s="17"/>
      <c r="M5" s="33"/>
      <c r="N5" s="34"/>
    </row>
    <row r="6" spans="1:14" ht="18" customHeight="1" x14ac:dyDescent="0.2">
      <c r="A6" s="4"/>
      <c r="B6" s="28"/>
      <c r="C6" s="10">
        <f>IF(DAY(FebNed1)=1,FebNed1+8,FebNed1+15)</f>
        <v>42415</v>
      </c>
      <c r="D6" s="10">
        <f>IF(DAY(FebNed1)=1,FebNed1+9,FebNed1+16)</f>
        <v>42416</v>
      </c>
      <c r="E6" s="10">
        <f>IF(DAY(FebNed1)=1,FebNed1+10,FebNed1+17)</f>
        <v>42417</v>
      </c>
      <c r="F6" s="10">
        <f>IF(DAY(FebNed1)=1,FebNed1+11,FebNed1+18)</f>
        <v>42418</v>
      </c>
      <c r="G6" s="10">
        <f>IF(DAY(FebNed1)=1,FebNed1+12,FebNed1+19)</f>
        <v>42419</v>
      </c>
      <c r="H6" s="10">
        <f>IF(DAY(FebNed1)=1,FebNed1+13,FebNed1+20)</f>
        <v>42420</v>
      </c>
      <c r="I6" s="10">
        <f>IF(DAY(FebNed1)=1,FebNed1+14,FebNed1+21)</f>
        <v>42421</v>
      </c>
      <c r="J6" s="5"/>
      <c r="K6" s="32"/>
      <c r="L6" s="17"/>
      <c r="M6" s="33"/>
      <c r="N6" s="34"/>
    </row>
    <row r="7" spans="1:14" ht="18" customHeight="1" x14ac:dyDescent="0.2">
      <c r="A7" s="4"/>
      <c r="B7" s="28"/>
      <c r="C7" s="10">
        <f>IF(DAY(FebNed1)=1,FebNed1+15,FebNed1+22)</f>
        <v>42422</v>
      </c>
      <c r="D7" s="10">
        <f>IF(DAY(FebNed1)=1,FebNed1+16,FebNed1+23)</f>
        <v>42423</v>
      </c>
      <c r="E7" s="10">
        <f>IF(DAY(FebNed1)=1,FebNed1+17,FebNed1+24)</f>
        <v>42424</v>
      </c>
      <c r="F7" s="10">
        <f>IF(DAY(FebNed1)=1,FebNed1+18,FebNed1+25)</f>
        <v>42425</v>
      </c>
      <c r="G7" s="10">
        <f>IF(DAY(FebNed1)=1,FebNed1+19,FebNed1+26)</f>
        <v>42426</v>
      </c>
      <c r="H7" s="10">
        <f>IF(DAY(FebNed1)=1,FebNed1+20,FebNed1+27)</f>
        <v>42427</v>
      </c>
      <c r="I7" s="10">
        <f>IF(DAY(FebNed1)=1,FebNed1+21,FebNed1+28)</f>
        <v>42428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IF(DAY(FebNed1)=1,FebNed1+22,FebNed1+29)</f>
        <v>42429</v>
      </c>
      <c r="D8" s="10">
        <f>IF(DAY(FebNed1)=1,FebNed1+23,FebNed1+30)</f>
        <v>42430</v>
      </c>
      <c r="E8" s="10">
        <f>IF(DAY(FebNed1)=1,FebNed1+24,FebNed1+31)</f>
        <v>42431</v>
      </c>
      <c r="F8" s="10">
        <f>IF(DAY(FebNed1)=1,FebNed1+25,FebNed1+32)</f>
        <v>42432</v>
      </c>
      <c r="G8" s="10">
        <f>IF(DAY(FebNed1)=1,FebNed1+26,FebNed1+33)</f>
        <v>42433</v>
      </c>
      <c r="H8" s="10">
        <f>IF(DAY(FebNed1)=1,FebNed1+27,FebNed1+34)</f>
        <v>42434</v>
      </c>
      <c r="I8" s="10">
        <f>IF(DAY(FebNed1)=1,FebNed1+28,FebNed1+35)</f>
        <v>42435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IF(DAY(FebNed1)=1,FebNed1+29,FebNed1+36)</f>
        <v>42436</v>
      </c>
      <c r="D9" s="10">
        <f>IF(DAY(FebNed1)=1,FebNed1+30,FebNed1+37)</f>
        <v>42437</v>
      </c>
      <c r="E9" s="10">
        <f>IF(DAY(FebNed1)=1,FebNed1+31,FebNed1+38)</f>
        <v>42438</v>
      </c>
      <c r="F9" s="10">
        <f>IF(DAY(FebNed1)=1,FebNed1+32,FebNed1+39)</f>
        <v>42439</v>
      </c>
      <c r="G9" s="10">
        <f>IF(DAY(FebNed1)=1,FebNed1+33,FebNed1+40)</f>
        <v>42440</v>
      </c>
      <c r="H9" s="10">
        <f>IF(DAY(FebNed1)=1,FebNed1+34,FebNed1+41)</f>
        <v>42441</v>
      </c>
      <c r="I9" s="10">
        <f>IF(DAY(FebNed1)=1,FebNed1+35,FebNed1+42)</f>
        <v>42442</v>
      </c>
      <c r="J9" s="5"/>
      <c r="K9" s="12"/>
      <c r="L9" s="18"/>
      <c r="M9" s="35"/>
      <c r="N9" s="36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31" t="s">
        <v>9</v>
      </c>
      <c r="L10" s="16"/>
      <c r="M10" s="37"/>
      <c r="N10" s="38"/>
    </row>
    <row r="11" spans="1:14" ht="18" customHeight="1" x14ac:dyDescent="0.2">
      <c r="A11" s="4"/>
      <c r="B11" s="70" t="s">
        <v>1</v>
      </c>
      <c r="C11" s="71"/>
      <c r="D11" s="71"/>
      <c r="E11" s="71"/>
      <c r="F11" s="71"/>
      <c r="G11" s="71"/>
      <c r="H11" s="71"/>
      <c r="I11" s="71"/>
      <c r="J11" s="72"/>
      <c r="K11" s="32"/>
      <c r="L11" s="17"/>
      <c r="M11" s="33"/>
      <c r="N11" s="34"/>
    </row>
    <row r="12" spans="1:14" ht="18" customHeight="1" x14ac:dyDescent="0.2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7"/>
      <c r="M12" s="33"/>
      <c r="N12" s="34"/>
    </row>
    <row r="13" spans="1:14" ht="18" customHeight="1" x14ac:dyDescent="0.2">
      <c r="B13" s="3" t="s">
        <v>2</v>
      </c>
      <c r="C13" s="39" t="s">
        <v>9</v>
      </c>
      <c r="D13" s="41"/>
      <c r="E13" s="39" t="s">
        <v>14</v>
      </c>
      <c r="F13" s="41"/>
      <c r="G13" s="39" t="s">
        <v>15</v>
      </c>
      <c r="H13" s="41"/>
      <c r="I13" s="39" t="s">
        <v>16</v>
      </c>
      <c r="J13" s="40"/>
      <c r="K13" s="11"/>
      <c r="L13" s="17"/>
      <c r="M13" s="33"/>
      <c r="N13" s="34"/>
    </row>
    <row r="14" spans="1:14" ht="18" customHeight="1" x14ac:dyDescent="0.2">
      <c r="B14" s="8" t="s">
        <v>3</v>
      </c>
      <c r="C14" s="53"/>
      <c r="D14" s="54"/>
      <c r="E14" s="53" t="s">
        <v>3</v>
      </c>
      <c r="F14" s="54"/>
      <c r="G14" s="53"/>
      <c r="H14" s="54"/>
      <c r="I14" s="53" t="s">
        <v>3</v>
      </c>
      <c r="J14" s="62"/>
      <c r="K14" s="11"/>
      <c r="L14" s="17"/>
      <c r="M14" s="33"/>
      <c r="N14" s="34"/>
    </row>
    <row r="15" spans="1:14" ht="18" customHeight="1" x14ac:dyDescent="0.2">
      <c r="B15" s="6" t="s">
        <v>4</v>
      </c>
      <c r="C15" s="51"/>
      <c r="D15" s="52"/>
      <c r="E15" s="51" t="s">
        <v>4</v>
      </c>
      <c r="F15" s="52"/>
      <c r="G15" s="51"/>
      <c r="H15" s="52"/>
      <c r="I15" s="59" t="s">
        <v>4</v>
      </c>
      <c r="J15" s="60"/>
      <c r="K15" s="13"/>
      <c r="L15" s="19"/>
      <c r="M15" s="35"/>
      <c r="N15" s="36"/>
    </row>
    <row r="16" spans="1:14" ht="18" customHeight="1" x14ac:dyDescent="0.2">
      <c r="B16" s="8"/>
      <c r="C16" s="53" t="s">
        <v>10</v>
      </c>
      <c r="D16" s="54"/>
      <c r="E16" s="53"/>
      <c r="F16" s="54"/>
      <c r="G16" s="53" t="s">
        <v>10</v>
      </c>
      <c r="H16" s="54"/>
      <c r="I16" s="63"/>
      <c r="J16" s="64"/>
      <c r="K16" s="31" t="s">
        <v>14</v>
      </c>
      <c r="L16" s="16"/>
      <c r="M16" s="37"/>
      <c r="N16" s="38"/>
    </row>
    <row r="17" spans="2:14" ht="18" customHeight="1" x14ac:dyDescent="0.2">
      <c r="B17" s="6"/>
      <c r="C17" s="51" t="s">
        <v>11</v>
      </c>
      <c r="D17" s="52"/>
      <c r="E17" s="51"/>
      <c r="F17" s="52"/>
      <c r="G17" s="51" t="s">
        <v>11</v>
      </c>
      <c r="H17" s="52"/>
      <c r="I17" s="59"/>
      <c r="J17" s="60"/>
      <c r="K17" s="32"/>
      <c r="L17" s="17"/>
      <c r="M17" s="33"/>
      <c r="N17" s="34"/>
    </row>
    <row r="18" spans="2:14" ht="18" customHeight="1" x14ac:dyDescent="0.2">
      <c r="B18" s="9" t="s">
        <v>5</v>
      </c>
      <c r="C18" s="55"/>
      <c r="D18" s="56"/>
      <c r="E18" s="55" t="s">
        <v>5</v>
      </c>
      <c r="F18" s="56"/>
      <c r="G18" s="55"/>
      <c r="H18" s="56"/>
      <c r="I18" s="55" t="s">
        <v>5</v>
      </c>
      <c r="J18" s="61"/>
      <c r="K18" s="32"/>
      <c r="L18" s="17"/>
      <c r="M18" s="33"/>
      <c r="N18" s="34"/>
    </row>
    <row r="19" spans="2:14" ht="18" customHeight="1" x14ac:dyDescent="0.2">
      <c r="B19" s="6" t="s">
        <v>6</v>
      </c>
      <c r="C19" s="51"/>
      <c r="D19" s="52"/>
      <c r="E19" s="51" t="s">
        <v>6</v>
      </c>
      <c r="F19" s="52"/>
      <c r="G19" s="51"/>
      <c r="H19" s="52"/>
      <c r="I19" s="59" t="s">
        <v>6</v>
      </c>
      <c r="J19" s="60"/>
      <c r="K19" s="11"/>
      <c r="L19" s="17"/>
      <c r="M19" s="33"/>
      <c r="N19" s="34"/>
    </row>
    <row r="20" spans="2:14" ht="18" customHeight="1" x14ac:dyDescent="0.2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3"/>
      <c r="N20" s="34"/>
    </row>
    <row r="21" spans="2:14" ht="18" customHeight="1" x14ac:dyDescent="0.2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5"/>
      <c r="N21" s="36"/>
    </row>
    <row r="22" spans="2:14" ht="18" customHeight="1" x14ac:dyDescent="0.2">
      <c r="B22" s="8"/>
      <c r="C22" s="53"/>
      <c r="D22" s="54"/>
      <c r="E22" s="53"/>
      <c r="F22" s="54"/>
      <c r="G22" s="53"/>
      <c r="H22" s="54"/>
      <c r="I22" s="53"/>
      <c r="J22" s="62"/>
      <c r="K22" s="31" t="s">
        <v>15</v>
      </c>
      <c r="L22" s="16"/>
      <c r="M22" s="37"/>
      <c r="N22" s="38"/>
    </row>
    <row r="23" spans="2:14" ht="18" customHeight="1" x14ac:dyDescent="0.2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7"/>
      <c r="M23" s="33"/>
      <c r="N23" s="34"/>
    </row>
    <row r="24" spans="2:14" ht="18" customHeight="1" x14ac:dyDescent="0.2">
      <c r="B24" s="8"/>
      <c r="C24" s="53"/>
      <c r="D24" s="54"/>
      <c r="E24" s="53"/>
      <c r="F24" s="54"/>
      <c r="G24" s="53"/>
      <c r="H24" s="54"/>
      <c r="I24" s="53"/>
      <c r="J24" s="62"/>
      <c r="K24" s="32"/>
      <c r="L24" s="17"/>
      <c r="M24" s="33"/>
      <c r="N24" s="34"/>
    </row>
    <row r="25" spans="2:14" ht="18" customHeight="1" x14ac:dyDescent="0.2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7"/>
      <c r="M25" s="33"/>
      <c r="N25" s="34"/>
    </row>
    <row r="26" spans="2:14" ht="18" customHeight="1" x14ac:dyDescent="0.2">
      <c r="B26" s="8" t="s">
        <v>7</v>
      </c>
      <c r="C26" s="53"/>
      <c r="D26" s="54"/>
      <c r="E26" s="53" t="s">
        <v>7</v>
      </c>
      <c r="F26" s="54"/>
      <c r="G26" s="53"/>
      <c r="H26" s="54"/>
      <c r="I26" s="53" t="s">
        <v>7</v>
      </c>
      <c r="J26" s="62"/>
      <c r="K26" s="11"/>
      <c r="L26" s="17"/>
      <c r="M26" s="33"/>
      <c r="N26" s="34"/>
    </row>
    <row r="27" spans="2:14" ht="18" customHeight="1" x14ac:dyDescent="0.2">
      <c r="B27" s="6" t="s">
        <v>8</v>
      </c>
      <c r="C27" s="51"/>
      <c r="D27" s="52"/>
      <c r="E27" s="51" t="s">
        <v>8</v>
      </c>
      <c r="F27" s="52"/>
      <c r="G27" s="51"/>
      <c r="H27" s="52"/>
      <c r="I27" s="59" t="s">
        <v>8</v>
      </c>
      <c r="J27" s="60"/>
      <c r="K27" s="13"/>
      <c r="L27" s="19"/>
      <c r="M27" s="35"/>
      <c r="N27" s="36"/>
    </row>
    <row r="28" spans="2:14" ht="18" customHeight="1" x14ac:dyDescent="0.2">
      <c r="B28" s="8"/>
      <c r="C28" s="53"/>
      <c r="D28" s="54"/>
      <c r="E28" s="53"/>
      <c r="F28" s="54"/>
      <c r="G28" s="53"/>
      <c r="H28" s="54"/>
      <c r="I28" s="53"/>
      <c r="J28" s="62"/>
      <c r="K28" s="31" t="s">
        <v>16</v>
      </c>
      <c r="L28" s="16"/>
      <c r="M28" s="37"/>
      <c r="N28" s="38"/>
    </row>
    <row r="29" spans="2:14" ht="18" customHeight="1" x14ac:dyDescent="0.2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7"/>
      <c r="M29" s="33"/>
      <c r="N29" s="34"/>
    </row>
    <row r="30" spans="2:14" ht="18" customHeight="1" x14ac:dyDescent="0.2">
      <c r="B30" s="8"/>
      <c r="C30" s="53" t="s">
        <v>12</v>
      </c>
      <c r="D30" s="54"/>
      <c r="E30" s="53"/>
      <c r="F30" s="54"/>
      <c r="G30" s="53" t="s">
        <v>12</v>
      </c>
      <c r="H30" s="54"/>
      <c r="I30" s="75"/>
      <c r="J30" s="76"/>
      <c r="K30" s="32"/>
      <c r="L30" s="17"/>
      <c r="M30" s="33"/>
      <c r="N30" s="34"/>
    </row>
    <row r="31" spans="2:14" ht="18" customHeight="1" x14ac:dyDescent="0.2">
      <c r="B31" s="6"/>
      <c r="C31" s="51" t="s">
        <v>13</v>
      </c>
      <c r="D31" s="52"/>
      <c r="E31" s="51"/>
      <c r="F31" s="52"/>
      <c r="G31" s="51" t="s">
        <v>13</v>
      </c>
      <c r="H31" s="52"/>
      <c r="I31" s="51"/>
      <c r="J31" s="67"/>
      <c r="K31" s="14"/>
      <c r="L31" s="17"/>
      <c r="M31" s="33"/>
      <c r="N31" s="34"/>
    </row>
    <row r="32" spans="2:14" ht="18" customHeight="1" x14ac:dyDescent="0.2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3"/>
      <c r="N32" s="34"/>
    </row>
    <row r="33" spans="2:14" ht="18" customHeight="1" x14ac:dyDescent="0.2">
      <c r="B33" s="7"/>
      <c r="C33" s="57"/>
      <c r="D33" s="58"/>
      <c r="E33" s="57"/>
      <c r="F33" s="58"/>
      <c r="G33" s="57"/>
      <c r="H33" s="58"/>
      <c r="I33" s="77"/>
      <c r="J33" s="78"/>
      <c r="K33" s="15"/>
      <c r="L33" s="20"/>
      <c r="M33" s="73"/>
      <c r="N33" s="74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43" priority="3" stopIfTrue="1">
      <formula>DAY(C4)&gt;8</formula>
    </cfRule>
  </conditionalFormatting>
  <conditionalFormatting sqref="C8:I10">
    <cfRule type="expression" dxfId="42" priority="2" stopIfTrue="1">
      <formula>AND(DAY(C8)&gt;=1,DAY(C8)&lt;=15)</formula>
    </cfRule>
  </conditionalFormatting>
  <conditionalFormatting sqref="C4:I9">
    <cfRule type="expression" dxfId="41" priority="4">
      <formula>VLOOKUP(DAY(C4),DniPriradeniaÚloh,1,FALSE)=DAY(C4)</formula>
    </cfRule>
  </conditionalFormatting>
  <conditionalFormatting sqref="B14:J33">
    <cfRule type="expression" dxfId="40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42" t="s">
        <v>17</v>
      </c>
      <c r="L2" s="43">
        <v>2013</v>
      </c>
      <c r="M2" s="43"/>
      <c r="N2" s="79">
        <f>KalendárnyRok</f>
        <v>2016</v>
      </c>
    </row>
    <row r="3" spans="1:14" ht="21" customHeight="1" x14ac:dyDescent="0.2">
      <c r="A3" s="4"/>
      <c r="B3" s="68" t="s">
        <v>25</v>
      </c>
      <c r="C3" s="2" t="s">
        <v>2</v>
      </c>
      <c r="D3" s="2" t="s">
        <v>9</v>
      </c>
      <c r="E3" s="2" t="s">
        <v>14</v>
      </c>
      <c r="F3" s="2" t="s">
        <v>15</v>
      </c>
      <c r="G3" s="2" t="s">
        <v>16</v>
      </c>
      <c r="H3" s="2" t="s">
        <v>32</v>
      </c>
      <c r="I3" s="2" t="s">
        <v>33</v>
      </c>
      <c r="J3" s="5"/>
      <c r="K3" s="44"/>
      <c r="L3" s="45"/>
      <c r="M3" s="45"/>
      <c r="N3" s="80"/>
    </row>
    <row r="4" spans="1:14" ht="18" customHeight="1" x14ac:dyDescent="0.2">
      <c r="A4" s="4"/>
      <c r="B4" s="68"/>
      <c r="C4" s="10">
        <f>IF(DAY(MarNed1)=1,MarNed1-6,MarNed1+1)</f>
        <v>42429</v>
      </c>
      <c r="D4" s="10">
        <f>IF(DAY(MarNed1)=1,MarNed1-5,MarNed1+2)</f>
        <v>42430</v>
      </c>
      <c r="E4" s="10">
        <f>IF(DAY(MarNed1)=1,MarNed1-4,MarNed1+3)</f>
        <v>42431</v>
      </c>
      <c r="F4" s="10">
        <f>IF(DAY(MarNed1)=1,MarNed1-3,MarNed1+4)</f>
        <v>42432</v>
      </c>
      <c r="G4" s="10">
        <f>IF(DAY(MarNed1)=1,MarNed1-2,MarNed1+5)</f>
        <v>42433</v>
      </c>
      <c r="H4" s="10">
        <f>IF(DAY(MarNed1)=1,MarNed1-1,MarNed1+6)</f>
        <v>42434</v>
      </c>
      <c r="I4" s="10">
        <f>IF(DAY(MarNed1)=1,MarNed1,MarNed1+7)</f>
        <v>42435</v>
      </c>
      <c r="J4" s="5"/>
      <c r="K4" s="46" t="s">
        <v>2</v>
      </c>
      <c r="L4" s="16"/>
      <c r="M4" s="47"/>
      <c r="N4" s="48"/>
    </row>
    <row r="5" spans="1:14" ht="18" customHeight="1" x14ac:dyDescent="0.2">
      <c r="A5" s="4"/>
      <c r="B5" s="28"/>
      <c r="C5" s="10">
        <f>IF(DAY(MarNed1)=1,MarNed1+1,MarNed1+8)</f>
        <v>42436</v>
      </c>
      <c r="D5" s="10">
        <f>IF(DAY(MarNed1)=1,MarNed1+2,MarNed1+9)</f>
        <v>42437</v>
      </c>
      <c r="E5" s="10">
        <f>IF(DAY(MarNed1)=1,MarNed1+3,MarNed1+10)</f>
        <v>42438</v>
      </c>
      <c r="F5" s="10">
        <f>IF(DAY(MarNed1)=1,MarNed1+4,MarNed1+11)</f>
        <v>42439</v>
      </c>
      <c r="G5" s="10">
        <f>IF(DAY(MarNed1)=1,MarNed1+5,MarNed1+12)</f>
        <v>42440</v>
      </c>
      <c r="H5" s="10">
        <f>IF(DAY(MarNed1)=1,MarNed1+6,MarNed1+13)</f>
        <v>42441</v>
      </c>
      <c r="I5" s="10">
        <f>IF(DAY(MarNed1)=1,MarNed1+7,MarNed1+14)</f>
        <v>42442</v>
      </c>
      <c r="J5" s="5"/>
      <c r="K5" s="32"/>
      <c r="L5" s="17"/>
      <c r="M5" s="33"/>
      <c r="N5" s="34"/>
    </row>
    <row r="6" spans="1:14" ht="18" customHeight="1" x14ac:dyDescent="0.2">
      <c r="A6" s="4"/>
      <c r="B6" s="28"/>
      <c r="C6" s="10">
        <f>IF(DAY(MarNed1)=1,MarNed1+8,MarNed1+15)</f>
        <v>42443</v>
      </c>
      <c r="D6" s="10">
        <f>IF(DAY(MarNed1)=1,MarNed1+9,MarNed1+16)</f>
        <v>42444</v>
      </c>
      <c r="E6" s="10">
        <f>IF(DAY(MarNed1)=1,MarNed1+10,MarNed1+17)</f>
        <v>42445</v>
      </c>
      <c r="F6" s="10">
        <f>IF(DAY(MarNed1)=1,MarNed1+11,MarNed1+18)</f>
        <v>42446</v>
      </c>
      <c r="G6" s="10">
        <f>IF(DAY(MarNed1)=1,MarNed1+12,MarNed1+19)</f>
        <v>42447</v>
      </c>
      <c r="H6" s="10">
        <f>IF(DAY(MarNed1)=1,MarNed1+13,MarNed1+20)</f>
        <v>42448</v>
      </c>
      <c r="I6" s="10">
        <f>IF(DAY(MarNed1)=1,MarNed1+14,MarNed1+21)</f>
        <v>42449</v>
      </c>
      <c r="J6" s="5"/>
      <c r="K6" s="32"/>
      <c r="L6" s="17"/>
      <c r="M6" s="33"/>
      <c r="N6" s="34"/>
    </row>
    <row r="7" spans="1:14" ht="18" customHeight="1" x14ac:dyDescent="0.2">
      <c r="A7" s="4"/>
      <c r="B7" s="28"/>
      <c r="C7" s="10">
        <f>IF(DAY(MarNed1)=1,MarNed1+15,MarNed1+22)</f>
        <v>42450</v>
      </c>
      <c r="D7" s="10">
        <f>IF(DAY(MarNed1)=1,MarNed1+16,MarNed1+23)</f>
        <v>42451</v>
      </c>
      <c r="E7" s="10">
        <f>IF(DAY(MarNed1)=1,MarNed1+17,MarNed1+24)</f>
        <v>42452</v>
      </c>
      <c r="F7" s="10">
        <f>IF(DAY(MarNed1)=1,MarNed1+18,MarNed1+25)</f>
        <v>42453</v>
      </c>
      <c r="G7" s="10">
        <f>IF(DAY(MarNed1)=1,MarNed1+19,MarNed1+26)</f>
        <v>42454</v>
      </c>
      <c r="H7" s="10">
        <f>IF(DAY(MarNed1)=1,MarNed1+20,MarNed1+27)</f>
        <v>42455</v>
      </c>
      <c r="I7" s="10">
        <f>IF(DAY(MarNed1)=1,MarNed1+21,MarNed1+28)</f>
        <v>42456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IF(DAY(MarNed1)=1,MarNed1+22,MarNed1+29)</f>
        <v>42457</v>
      </c>
      <c r="D8" s="10">
        <f>IF(DAY(MarNed1)=1,MarNed1+23,MarNed1+30)</f>
        <v>42458</v>
      </c>
      <c r="E8" s="10">
        <f>IF(DAY(MarNed1)=1,MarNed1+24,MarNed1+31)</f>
        <v>42459</v>
      </c>
      <c r="F8" s="10">
        <f>IF(DAY(MarNed1)=1,MarNed1+25,MarNed1+32)</f>
        <v>42460</v>
      </c>
      <c r="G8" s="10">
        <f>IF(DAY(MarNed1)=1,MarNed1+26,MarNed1+33)</f>
        <v>42461</v>
      </c>
      <c r="H8" s="10">
        <f>IF(DAY(MarNed1)=1,MarNed1+27,MarNed1+34)</f>
        <v>42462</v>
      </c>
      <c r="I8" s="10">
        <f>IF(DAY(MarNed1)=1,MarNed1+28,MarNed1+35)</f>
        <v>42463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IF(DAY(MarNed1)=1,MarNed1+29,MarNed1+36)</f>
        <v>42464</v>
      </c>
      <c r="D9" s="10">
        <f>IF(DAY(MarNed1)=1,MarNed1+30,MarNed1+37)</f>
        <v>42465</v>
      </c>
      <c r="E9" s="10">
        <f>IF(DAY(MarNed1)=1,MarNed1+31,MarNed1+38)</f>
        <v>42466</v>
      </c>
      <c r="F9" s="10">
        <f>IF(DAY(MarNed1)=1,MarNed1+32,MarNed1+39)</f>
        <v>42467</v>
      </c>
      <c r="G9" s="10">
        <f>IF(DAY(MarNed1)=1,MarNed1+33,MarNed1+40)</f>
        <v>42468</v>
      </c>
      <c r="H9" s="10">
        <f>IF(DAY(MarNed1)=1,MarNed1+34,MarNed1+41)</f>
        <v>42469</v>
      </c>
      <c r="I9" s="10">
        <f>IF(DAY(MarNed1)=1,MarNed1+35,MarNed1+42)</f>
        <v>42470</v>
      </c>
      <c r="J9" s="5"/>
      <c r="K9" s="12"/>
      <c r="L9" s="18"/>
      <c r="M9" s="35"/>
      <c r="N9" s="36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31" t="s">
        <v>9</v>
      </c>
      <c r="L10" s="16"/>
      <c r="M10" s="37"/>
      <c r="N10" s="38"/>
    </row>
    <row r="11" spans="1:14" ht="18" customHeight="1" x14ac:dyDescent="0.2">
      <c r="A11" s="4"/>
      <c r="B11" s="70" t="s">
        <v>1</v>
      </c>
      <c r="C11" s="71"/>
      <c r="D11" s="71"/>
      <c r="E11" s="71"/>
      <c r="F11" s="71"/>
      <c r="G11" s="71"/>
      <c r="H11" s="71"/>
      <c r="I11" s="71"/>
      <c r="J11" s="72"/>
      <c r="K11" s="32"/>
      <c r="L11" s="17"/>
      <c r="M11" s="33"/>
      <c r="N11" s="34"/>
    </row>
    <row r="12" spans="1:14" ht="18" customHeight="1" x14ac:dyDescent="0.2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7"/>
      <c r="M12" s="33"/>
      <c r="N12" s="34"/>
    </row>
    <row r="13" spans="1:14" ht="18" customHeight="1" x14ac:dyDescent="0.2">
      <c r="B13" s="3" t="s">
        <v>2</v>
      </c>
      <c r="C13" s="39" t="s">
        <v>9</v>
      </c>
      <c r="D13" s="41"/>
      <c r="E13" s="39" t="s">
        <v>14</v>
      </c>
      <c r="F13" s="41"/>
      <c r="G13" s="39" t="s">
        <v>15</v>
      </c>
      <c r="H13" s="41"/>
      <c r="I13" s="39" t="s">
        <v>16</v>
      </c>
      <c r="J13" s="40"/>
      <c r="K13" s="11"/>
      <c r="L13" s="17"/>
      <c r="M13" s="33"/>
      <c r="N13" s="34"/>
    </row>
    <row r="14" spans="1:14" ht="18" customHeight="1" x14ac:dyDescent="0.2">
      <c r="B14" s="8" t="s">
        <v>3</v>
      </c>
      <c r="C14" s="53"/>
      <c r="D14" s="54"/>
      <c r="E14" s="53" t="s">
        <v>3</v>
      </c>
      <c r="F14" s="54"/>
      <c r="G14" s="53"/>
      <c r="H14" s="54"/>
      <c r="I14" s="53" t="s">
        <v>3</v>
      </c>
      <c r="J14" s="62"/>
      <c r="K14" s="11"/>
      <c r="L14" s="17"/>
      <c r="M14" s="33"/>
      <c r="N14" s="34"/>
    </row>
    <row r="15" spans="1:14" ht="18" customHeight="1" x14ac:dyDescent="0.2">
      <c r="B15" s="6" t="s">
        <v>4</v>
      </c>
      <c r="C15" s="51"/>
      <c r="D15" s="52"/>
      <c r="E15" s="51" t="s">
        <v>4</v>
      </c>
      <c r="F15" s="52"/>
      <c r="G15" s="51"/>
      <c r="H15" s="52"/>
      <c r="I15" s="59" t="s">
        <v>4</v>
      </c>
      <c r="J15" s="60"/>
      <c r="K15" s="13"/>
      <c r="L15" s="19"/>
      <c r="M15" s="35"/>
      <c r="N15" s="36"/>
    </row>
    <row r="16" spans="1:14" ht="18" customHeight="1" x14ac:dyDescent="0.2">
      <c r="B16" s="8"/>
      <c r="C16" s="53" t="s">
        <v>10</v>
      </c>
      <c r="D16" s="54"/>
      <c r="E16" s="53"/>
      <c r="F16" s="54"/>
      <c r="G16" s="53" t="s">
        <v>10</v>
      </c>
      <c r="H16" s="54"/>
      <c r="I16" s="63"/>
      <c r="J16" s="64"/>
      <c r="K16" s="31" t="s">
        <v>14</v>
      </c>
      <c r="L16" s="16"/>
      <c r="M16" s="37"/>
      <c r="N16" s="38"/>
    </row>
    <row r="17" spans="2:14" ht="18" customHeight="1" x14ac:dyDescent="0.2">
      <c r="B17" s="6"/>
      <c r="C17" s="51" t="s">
        <v>11</v>
      </c>
      <c r="D17" s="52"/>
      <c r="E17" s="51"/>
      <c r="F17" s="52"/>
      <c r="G17" s="51" t="s">
        <v>11</v>
      </c>
      <c r="H17" s="52"/>
      <c r="I17" s="59"/>
      <c r="J17" s="60"/>
      <c r="K17" s="32"/>
      <c r="L17" s="17"/>
      <c r="M17" s="33"/>
      <c r="N17" s="34"/>
    </row>
    <row r="18" spans="2:14" ht="18" customHeight="1" x14ac:dyDescent="0.2">
      <c r="B18" s="9" t="s">
        <v>5</v>
      </c>
      <c r="C18" s="55"/>
      <c r="D18" s="56"/>
      <c r="E18" s="55" t="s">
        <v>5</v>
      </c>
      <c r="F18" s="56"/>
      <c r="G18" s="55"/>
      <c r="H18" s="56"/>
      <c r="I18" s="55" t="s">
        <v>5</v>
      </c>
      <c r="J18" s="61"/>
      <c r="K18" s="32"/>
      <c r="L18" s="17"/>
      <c r="M18" s="33"/>
      <c r="N18" s="34"/>
    </row>
    <row r="19" spans="2:14" ht="18" customHeight="1" x14ac:dyDescent="0.2">
      <c r="B19" s="6" t="s">
        <v>6</v>
      </c>
      <c r="C19" s="51"/>
      <c r="D19" s="52"/>
      <c r="E19" s="51" t="s">
        <v>6</v>
      </c>
      <c r="F19" s="52"/>
      <c r="G19" s="51"/>
      <c r="H19" s="52"/>
      <c r="I19" s="59" t="s">
        <v>6</v>
      </c>
      <c r="J19" s="60"/>
      <c r="K19" s="11"/>
      <c r="L19" s="17"/>
      <c r="M19" s="33"/>
      <c r="N19" s="34"/>
    </row>
    <row r="20" spans="2:14" ht="18" customHeight="1" x14ac:dyDescent="0.2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3"/>
      <c r="N20" s="34"/>
    </row>
    <row r="21" spans="2:14" ht="18" customHeight="1" x14ac:dyDescent="0.2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5"/>
      <c r="N21" s="36"/>
    </row>
    <row r="22" spans="2:14" ht="18" customHeight="1" x14ac:dyDescent="0.2">
      <c r="B22" s="8"/>
      <c r="C22" s="53"/>
      <c r="D22" s="54"/>
      <c r="E22" s="53"/>
      <c r="F22" s="54"/>
      <c r="G22" s="53"/>
      <c r="H22" s="54"/>
      <c r="I22" s="53"/>
      <c r="J22" s="62"/>
      <c r="K22" s="31" t="s">
        <v>15</v>
      </c>
      <c r="L22" s="16"/>
      <c r="M22" s="37"/>
      <c r="N22" s="38"/>
    </row>
    <row r="23" spans="2:14" ht="18" customHeight="1" x14ac:dyDescent="0.2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7"/>
      <c r="M23" s="33"/>
      <c r="N23" s="34"/>
    </row>
    <row r="24" spans="2:14" ht="18" customHeight="1" x14ac:dyDescent="0.2">
      <c r="B24" s="8"/>
      <c r="C24" s="53"/>
      <c r="D24" s="54"/>
      <c r="E24" s="53"/>
      <c r="F24" s="54"/>
      <c r="G24" s="53"/>
      <c r="H24" s="54"/>
      <c r="I24" s="53"/>
      <c r="J24" s="62"/>
      <c r="K24" s="32"/>
      <c r="L24" s="17"/>
      <c r="M24" s="33"/>
      <c r="N24" s="34"/>
    </row>
    <row r="25" spans="2:14" ht="18" customHeight="1" x14ac:dyDescent="0.2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7"/>
      <c r="M25" s="33"/>
      <c r="N25" s="34"/>
    </row>
    <row r="26" spans="2:14" ht="18" customHeight="1" x14ac:dyDescent="0.2">
      <c r="B26" s="8" t="s">
        <v>7</v>
      </c>
      <c r="C26" s="53"/>
      <c r="D26" s="54"/>
      <c r="E26" s="53" t="s">
        <v>7</v>
      </c>
      <c r="F26" s="54"/>
      <c r="G26" s="53"/>
      <c r="H26" s="54"/>
      <c r="I26" s="53" t="s">
        <v>7</v>
      </c>
      <c r="J26" s="62"/>
      <c r="K26" s="11"/>
      <c r="L26" s="17"/>
      <c r="M26" s="33"/>
      <c r="N26" s="34"/>
    </row>
    <row r="27" spans="2:14" ht="18" customHeight="1" x14ac:dyDescent="0.2">
      <c r="B27" s="6" t="s">
        <v>8</v>
      </c>
      <c r="C27" s="51"/>
      <c r="D27" s="52"/>
      <c r="E27" s="51" t="s">
        <v>8</v>
      </c>
      <c r="F27" s="52"/>
      <c r="G27" s="51"/>
      <c r="H27" s="52"/>
      <c r="I27" s="59" t="s">
        <v>8</v>
      </c>
      <c r="J27" s="60"/>
      <c r="K27" s="13"/>
      <c r="L27" s="19"/>
      <c r="M27" s="35"/>
      <c r="N27" s="36"/>
    </row>
    <row r="28" spans="2:14" ht="18" customHeight="1" x14ac:dyDescent="0.2">
      <c r="B28" s="8"/>
      <c r="C28" s="53"/>
      <c r="D28" s="54"/>
      <c r="E28" s="53"/>
      <c r="F28" s="54"/>
      <c r="G28" s="53"/>
      <c r="H28" s="54"/>
      <c r="I28" s="53"/>
      <c r="J28" s="62"/>
      <c r="K28" s="31" t="s">
        <v>16</v>
      </c>
      <c r="L28" s="16"/>
      <c r="M28" s="37"/>
      <c r="N28" s="38"/>
    </row>
    <row r="29" spans="2:14" ht="18" customHeight="1" x14ac:dyDescent="0.2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7"/>
      <c r="M29" s="33"/>
      <c r="N29" s="34"/>
    </row>
    <row r="30" spans="2:14" ht="18" customHeight="1" x14ac:dyDescent="0.2">
      <c r="B30" s="8"/>
      <c r="C30" s="53" t="s">
        <v>12</v>
      </c>
      <c r="D30" s="54"/>
      <c r="E30" s="53"/>
      <c r="F30" s="54"/>
      <c r="G30" s="53" t="s">
        <v>12</v>
      </c>
      <c r="H30" s="54"/>
      <c r="I30" s="75"/>
      <c r="J30" s="76"/>
      <c r="K30" s="32"/>
      <c r="L30" s="17"/>
      <c r="M30" s="33"/>
      <c r="N30" s="34"/>
    </row>
    <row r="31" spans="2:14" ht="18" customHeight="1" x14ac:dyDescent="0.2">
      <c r="B31" s="6"/>
      <c r="C31" s="51" t="s">
        <v>13</v>
      </c>
      <c r="D31" s="52"/>
      <c r="E31" s="51"/>
      <c r="F31" s="52"/>
      <c r="G31" s="51" t="s">
        <v>13</v>
      </c>
      <c r="H31" s="52"/>
      <c r="I31" s="51"/>
      <c r="J31" s="67"/>
      <c r="K31" s="14"/>
      <c r="L31" s="17"/>
      <c r="M31" s="33"/>
      <c r="N31" s="34"/>
    </row>
    <row r="32" spans="2:14" ht="18" customHeight="1" x14ac:dyDescent="0.2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3"/>
      <c r="N32" s="34"/>
    </row>
    <row r="33" spans="2:14" ht="18" customHeight="1" x14ac:dyDescent="0.2">
      <c r="B33" s="7"/>
      <c r="C33" s="57"/>
      <c r="D33" s="58"/>
      <c r="E33" s="57"/>
      <c r="F33" s="58"/>
      <c r="G33" s="57"/>
      <c r="H33" s="58"/>
      <c r="I33" s="77"/>
      <c r="J33" s="78"/>
      <c r="K33" s="15"/>
      <c r="L33" s="20"/>
      <c r="M33" s="73"/>
      <c r="N33" s="74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39" priority="3" stopIfTrue="1">
      <formula>DAY(C4)&gt;8</formula>
    </cfRule>
  </conditionalFormatting>
  <conditionalFormatting sqref="C8:I10">
    <cfRule type="expression" dxfId="38" priority="2" stopIfTrue="1">
      <formula>AND(DAY(C8)&gt;=1,DAY(C8)&lt;=15)</formula>
    </cfRule>
  </conditionalFormatting>
  <conditionalFormatting sqref="C4:I9">
    <cfRule type="expression" dxfId="37" priority="4">
      <formula>VLOOKUP(DAY(C4),DniPriradeniaÚloh,1,FALSE)=DAY(C4)</formula>
    </cfRule>
  </conditionalFormatting>
  <conditionalFormatting sqref="B14:J33">
    <cfRule type="expression" dxfId="36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42" t="s">
        <v>17</v>
      </c>
      <c r="L2" s="43">
        <v>2013</v>
      </c>
      <c r="M2" s="43"/>
      <c r="N2" s="79">
        <f>KalendárnyRok</f>
        <v>2016</v>
      </c>
    </row>
    <row r="3" spans="1:14" ht="21" customHeight="1" x14ac:dyDescent="0.2">
      <c r="A3" s="4"/>
      <c r="B3" s="68" t="s">
        <v>26</v>
      </c>
      <c r="C3" s="2" t="s">
        <v>2</v>
      </c>
      <c r="D3" s="2" t="s">
        <v>9</v>
      </c>
      <c r="E3" s="2" t="s">
        <v>14</v>
      </c>
      <c r="F3" s="2" t="s">
        <v>15</v>
      </c>
      <c r="G3" s="2" t="s">
        <v>16</v>
      </c>
      <c r="H3" s="2" t="s">
        <v>32</v>
      </c>
      <c r="I3" s="2" t="s">
        <v>33</v>
      </c>
      <c r="J3" s="5"/>
      <c r="K3" s="44"/>
      <c r="L3" s="45"/>
      <c r="M3" s="45"/>
      <c r="N3" s="80"/>
    </row>
    <row r="4" spans="1:14" ht="18" customHeight="1" x14ac:dyDescent="0.2">
      <c r="A4" s="4"/>
      <c r="B4" s="68"/>
      <c r="C4" s="10">
        <f>IF(DAY(AprNed1)=1,AprNed1-6,AprNed1+1)</f>
        <v>42457</v>
      </c>
      <c r="D4" s="10">
        <f>IF(DAY(AprNed1)=1,AprNed1-5,AprNed1+2)</f>
        <v>42458</v>
      </c>
      <c r="E4" s="10">
        <f>IF(DAY(AprNed1)=1,AprNed1-4,AprNed1+3)</f>
        <v>42459</v>
      </c>
      <c r="F4" s="10">
        <f>IF(DAY(AprNed1)=1,AprNed1-3,AprNed1+4)</f>
        <v>42460</v>
      </c>
      <c r="G4" s="10">
        <f>IF(DAY(AprNed1)=1,AprNed1-2,AprNed1+5)</f>
        <v>42461</v>
      </c>
      <c r="H4" s="10">
        <f>IF(DAY(AprNed1)=1,AprNed1-1,AprNed1+6)</f>
        <v>42462</v>
      </c>
      <c r="I4" s="10">
        <f>IF(DAY(AprNed1)=1,AprNed1,AprNed1+7)</f>
        <v>42463</v>
      </c>
      <c r="J4" s="5"/>
      <c r="K4" s="46" t="s">
        <v>2</v>
      </c>
      <c r="L4" s="16"/>
      <c r="M4" s="47"/>
      <c r="N4" s="48"/>
    </row>
    <row r="5" spans="1:14" ht="18" customHeight="1" x14ac:dyDescent="0.2">
      <c r="A5" s="4"/>
      <c r="B5" s="28"/>
      <c r="C5" s="10">
        <f>IF(DAY(AprNed1)=1,AprNed1+1,AprNed1+8)</f>
        <v>42464</v>
      </c>
      <c r="D5" s="10">
        <f>IF(DAY(AprNed1)=1,AprNed1+2,AprNed1+9)</f>
        <v>42465</v>
      </c>
      <c r="E5" s="10">
        <f>IF(DAY(AprNed1)=1,AprNed1+3,AprNed1+10)</f>
        <v>42466</v>
      </c>
      <c r="F5" s="10">
        <f>IF(DAY(AprNed1)=1,AprNed1+4,AprNed1+11)</f>
        <v>42467</v>
      </c>
      <c r="G5" s="10">
        <f>IF(DAY(AprNed1)=1,AprNed1+5,AprNed1+12)</f>
        <v>42468</v>
      </c>
      <c r="H5" s="10">
        <f>IF(DAY(AprNed1)=1,AprNed1+6,AprNed1+13)</f>
        <v>42469</v>
      </c>
      <c r="I5" s="10">
        <f>IF(DAY(AprNed1)=1,AprNed1+7,AprNed1+14)</f>
        <v>42470</v>
      </c>
      <c r="J5" s="5"/>
      <c r="K5" s="32"/>
      <c r="L5" s="17"/>
      <c r="M5" s="33"/>
      <c r="N5" s="34"/>
    </row>
    <row r="6" spans="1:14" ht="18" customHeight="1" x14ac:dyDescent="0.2">
      <c r="A6" s="4"/>
      <c r="B6" s="28"/>
      <c r="C6" s="10">
        <f>IF(DAY(AprNed1)=1,AprNed1+8,AprNed1+15)</f>
        <v>42471</v>
      </c>
      <c r="D6" s="10">
        <f>IF(DAY(AprNed1)=1,AprNed1+9,AprNed1+16)</f>
        <v>42472</v>
      </c>
      <c r="E6" s="10">
        <f>IF(DAY(AprNed1)=1,AprNed1+10,AprNed1+17)</f>
        <v>42473</v>
      </c>
      <c r="F6" s="10">
        <f>IF(DAY(AprNed1)=1,AprNed1+11,AprNed1+18)</f>
        <v>42474</v>
      </c>
      <c r="G6" s="10">
        <f>IF(DAY(AprNed1)=1,AprNed1+12,AprNed1+19)</f>
        <v>42475</v>
      </c>
      <c r="H6" s="10">
        <f>IF(DAY(AprNed1)=1,AprNed1+13,AprNed1+20)</f>
        <v>42476</v>
      </c>
      <c r="I6" s="10">
        <f>IF(DAY(AprNed1)=1,AprNed1+14,AprNed1+21)</f>
        <v>42477</v>
      </c>
      <c r="J6" s="5"/>
      <c r="K6" s="32"/>
      <c r="L6" s="17"/>
      <c r="M6" s="33"/>
      <c r="N6" s="34"/>
    </row>
    <row r="7" spans="1:14" ht="18" customHeight="1" x14ac:dyDescent="0.2">
      <c r="A7" s="4"/>
      <c r="B7" s="28"/>
      <c r="C7" s="10">
        <f>IF(DAY(AprNed1)=1,AprNed1+15,AprNed1+22)</f>
        <v>42478</v>
      </c>
      <c r="D7" s="10">
        <f>IF(DAY(AprNed1)=1,AprNed1+16,AprNed1+23)</f>
        <v>42479</v>
      </c>
      <c r="E7" s="10">
        <f>IF(DAY(AprNed1)=1,AprNed1+17,AprNed1+24)</f>
        <v>42480</v>
      </c>
      <c r="F7" s="10">
        <f>IF(DAY(AprNed1)=1,AprNed1+18,AprNed1+25)</f>
        <v>42481</v>
      </c>
      <c r="G7" s="10">
        <f>IF(DAY(AprNed1)=1,AprNed1+19,AprNed1+26)</f>
        <v>42482</v>
      </c>
      <c r="H7" s="10">
        <f>IF(DAY(AprNed1)=1,AprNed1+20,AprNed1+27)</f>
        <v>42483</v>
      </c>
      <c r="I7" s="10">
        <f>IF(DAY(AprNed1)=1,AprNed1+21,AprNed1+28)</f>
        <v>42484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IF(DAY(AprNed1)=1,AprNed1+22,AprNed1+29)</f>
        <v>42485</v>
      </c>
      <c r="D8" s="10">
        <f>IF(DAY(AprNed1)=1,AprNed1+23,AprNed1+30)</f>
        <v>42486</v>
      </c>
      <c r="E8" s="10">
        <f>IF(DAY(AprNed1)=1,AprNed1+24,AprNed1+31)</f>
        <v>42487</v>
      </c>
      <c r="F8" s="10">
        <f>IF(DAY(AprNed1)=1,AprNed1+25,AprNed1+32)</f>
        <v>42488</v>
      </c>
      <c r="G8" s="10">
        <f>IF(DAY(AprNed1)=1,AprNed1+26,AprNed1+33)</f>
        <v>42489</v>
      </c>
      <c r="H8" s="10">
        <f>IF(DAY(AprNed1)=1,AprNed1+27,AprNed1+34)</f>
        <v>42490</v>
      </c>
      <c r="I8" s="10">
        <f>IF(DAY(AprNed1)=1,AprNed1+28,AprNed1+35)</f>
        <v>42491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IF(DAY(AprNed1)=1,AprNed1+29,AprNed1+36)</f>
        <v>42492</v>
      </c>
      <c r="D9" s="10">
        <f>IF(DAY(AprNed1)=1,AprNed1+30,AprNed1+37)</f>
        <v>42493</v>
      </c>
      <c r="E9" s="10">
        <f>IF(DAY(AprNed1)=1,AprNed1+31,AprNed1+38)</f>
        <v>42494</v>
      </c>
      <c r="F9" s="10">
        <f>IF(DAY(AprNed1)=1,AprNed1+32,AprNed1+39)</f>
        <v>42495</v>
      </c>
      <c r="G9" s="10">
        <f>IF(DAY(AprNed1)=1,AprNed1+33,AprNed1+40)</f>
        <v>42496</v>
      </c>
      <c r="H9" s="10">
        <f>IF(DAY(AprNed1)=1,AprNed1+34,AprNed1+41)</f>
        <v>42497</v>
      </c>
      <c r="I9" s="10">
        <f>IF(DAY(AprNed1)=1,AprNed1+35,AprNed1+42)</f>
        <v>42498</v>
      </c>
      <c r="J9" s="5"/>
      <c r="K9" s="12"/>
      <c r="L9" s="18"/>
      <c r="M9" s="35"/>
      <c r="N9" s="36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31" t="s">
        <v>9</v>
      </c>
      <c r="L10" s="16"/>
      <c r="M10" s="37"/>
      <c r="N10" s="38"/>
    </row>
    <row r="11" spans="1:14" ht="18" customHeight="1" x14ac:dyDescent="0.2">
      <c r="A11" s="4"/>
      <c r="B11" s="70" t="s">
        <v>1</v>
      </c>
      <c r="C11" s="71"/>
      <c r="D11" s="71"/>
      <c r="E11" s="71"/>
      <c r="F11" s="71"/>
      <c r="G11" s="71"/>
      <c r="H11" s="71"/>
      <c r="I11" s="71"/>
      <c r="J11" s="72"/>
      <c r="K11" s="32"/>
      <c r="L11" s="17"/>
      <c r="M11" s="33"/>
      <c r="N11" s="34"/>
    </row>
    <row r="12" spans="1:14" ht="18" customHeight="1" x14ac:dyDescent="0.2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7"/>
      <c r="M12" s="33"/>
      <c r="N12" s="34"/>
    </row>
    <row r="13" spans="1:14" ht="18" customHeight="1" x14ac:dyDescent="0.2">
      <c r="B13" s="3" t="s">
        <v>2</v>
      </c>
      <c r="C13" s="39" t="s">
        <v>9</v>
      </c>
      <c r="D13" s="41"/>
      <c r="E13" s="39" t="s">
        <v>14</v>
      </c>
      <c r="F13" s="41"/>
      <c r="G13" s="39" t="s">
        <v>15</v>
      </c>
      <c r="H13" s="41"/>
      <c r="I13" s="39" t="s">
        <v>16</v>
      </c>
      <c r="J13" s="40"/>
      <c r="K13" s="11"/>
      <c r="L13" s="17"/>
      <c r="M13" s="33"/>
      <c r="N13" s="34"/>
    </row>
    <row r="14" spans="1:14" ht="18" customHeight="1" x14ac:dyDescent="0.2">
      <c r="B14" s="8" t="s">
        <v>3</v>
      </c>
      <c r="C14" s="53"/>
      <c r="D14" s="54"/>
      <c r="E14" s="53" t="s">
        <v>3</v>
      </c>
      <c r="F14" s="54"/>
      <c r="G14" s="53"/>
      <c r="H14" s="54"/>
      <c r="I14" s="53" t="s">
        <v>3</v>
      </c>
      <c r="J14" s="62"/>
      <c r="K14" s="11"/>
      <c r="L14" s="17"/>
      <c r="M14" s="33"/>
      <c r="N14" s="34"/>
    </row>
    <row r="15" spans="1:14" ht="18" customHeight="1" x14ac:dyDescent="0.2">
      <c r="B15" s="6" t="s">
        <v>4</v>
      </c>
      <c r="C15" s="51"/>
      <c r="D15" s="52"/>
      <c r="E15" s="51" t="s">
        <v>4</v>
      </c>
      <c r="F15" s="52"/>
      <c r="G15" s="51"/>
      <c r="H15" s="52"/>
      <c r="I15" s="59" t="s">
        <v>4</v>
      </c>
      <c r="J15" s="60"/>
      <c r="K15" s="13"/>
      <c r="L15" s="19"/>
      <c r="M15" s="35"/>
      <c r="N15" s="36"/>
    </row>
    <row r="16" spans="1:14" ht="18" customHeight="1" x14ac:dyDescent="0.2">
      <c r="B16" s="8"/>
      <c r="C16" s="53" t="s">
        <v>10</v>
      </c>
      <c r="D16" s="54"/>
      <c r="E16" s="53"/>
      <c r="F16" s="54"/>
      <c r="G16" s="53" t="s">
        <v>10</v>
      </c>
      <c r="H16" s="54"/>
      <c r="I16" s="63"/>
      <c r="J16" s="64"/>
      <c r="K16" s="31" t="s">
        <v>14</v>
      </c>
      <c r="L16" s="16"/>
      <c r="M16" s="37"/>
      <c r="N16" s="38"/>
    </row>
    <row r="17" spans="2:14" ht="18" customHeight="1" x14ac:dyDescent="0.2">
      <c r="B17" s="6"/>
      <c r="C17" s="51" t="s">
        <v>11</v>
      </c>
      <c r="D17" s="52"/>
      <c r="E17" s="51"/>
      <c r="F17" s="52"/>
      <c r="G17" s="51" t="s">
        <v>11</v>
      </c>
      <c r="H17" s="52"/>
      <c r="I17" s="59"/>
      <c r="J17" s="60"/>
      <c r="K17" s="32"/>
      <c r="L17" s="17"/>
      <c r="M17" s="33"/>
      <c r="N17" s="34"/>
    </row>
    <row r="18" spans="2:14" ht="18" customHeight="1" x14ac:dyDescent="0.2">
      <c r="B18" s="9" t="s">
        <v>5</v>
      </c>
      <c r="C18" s="55"/>
      <c r="D18" s="56"/>
      <c r="E18" s="55" t="s">
        <v>5</v>
      </c>
      <c r="F18" s="56"/>
      <c r="G18" s="55"/>
      <c r="H18" s="56"/>
      <c r="I18" s="55" t="s">
        <v>5</v>
      </c>
      <c r="J18" s="61"/>
      <c r="K18" s="32"/>
      <c r="L18" s="17"/>
      <c r="M18" s="33"/>
      <c r="N18" s="34"/>
    </row>
    <row r="19" spans="2:14" ht="18" customHeight="1" x14ac:dyDescent="0.2">
      <c r="B19" s="6" t="s">
        <v>6</v>
      </c>
      <c r="C19" s="51"/>
      <c r="D19" s="52"/>
      <c r="E19" s="51" t="s">
        <v>6</v>
      </c>
      <c r="F19" s="52"/>
      <c r="G19" s="51"/>
      <c r="H19" s="52"/>
      <c r="I19" s="59" t="s">
        <v>6</v>
      </c>
      <c r="J19" s="60"/>
      <c r="K19" s="11"/>
      <c r="L19" s="17"/>
      <c r="M19" s="33"/>
      <c r="N19" s="34"/>
    </row>
    <row r="20" spans="2:14" ht="18" customHeight="1" x14ac:dyDescent="0.2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3"/>
      <c r="N20" s="34"/>
    </row>
    <row r="21" spans="2:14" ht="18" customHeight="1" x14ac:dyDescent="0.2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5"/>
      <c r="N21" s="36"/>
    </row>
    <row r="22" spans="2:14" ht="18" customHeight="1" x14ac:dyDescent="0.2">
      <c r="B22" s="8"/>
      <c r="C22" s="53"/>
      <c r="D22" s="54"/>
      <c r="E22" s="53"/>
      <c r="F22" s="54"/>
      <c r="G22" s="53"/>
      <c r="H22" s="54"/>
      <c r="I22" s="53"/>
      <c r="J22" s="62"/>
      <c r="K22" s="31" t="s">
        <v>15</v>
      </c>
      <c r="L22" s="16"/>
      <c r="M22" s="37"/>
      <c r="N22" s="38"/>
    </row>
    <row r="23" spans="2:14" ht="18" customHeight="1" x14ac:dyDescent="0.2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7"/>
      <c r="M23" s="33"/>
      <c r="N23" s="34"/>
    </row>
    <row r="24" spans="2:14" ht="18" customHeight="1" x14ac:dyDescent="0.2">
      <c r="B24" s="8"/>
      <c r="C24" s="53"/>
      <c r="D24" s="54"/>
      <c r="E24" s="53"/>
      <c r="F24" s="54"/>
      <c r="G24" s="53"/>
      <c r="H24" s="54"/>
      <c r="I24" s="53"/>
      <c r="J24" s="62"/>
      <c r="K24" s="32"/>
      <c r="L24" s="17"/>
      <c r="M24" s="33"/>
      <c r="N24" s="34"/>
    </row>
    <row r="25" spans="2:14" ht="18" customHeight="1" x14ac:dyDescent="0.2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7"/>
      <c r="M25" s="33"/>
      <c r="N25" s="34"/>
    </row>
    <row r="26" spans="2:14" ht="18" customHeight="1" x14ac:dyDescent="0.2">
      <c r="B26" s="8" t="s">
        <v>7</v>
      </c>
      <c r="C26" s="53"/>
      <c r="D26" s="54"/>
      <c r="E26" s="53" t="s">
        <v>7</v>
      </c>
      <c r="F26" s="54"/>
      <c r="G26" s="53"/>
      <c r="H26" s="54"/>
      <c r="I26" s="53" t="s">
        <v>7</v>
      </c>
      <c r="J26" s="62"/>
      <c r="K26" s="11"/>
      <c r="L26" s="17"/>
      <c r="M26" s="33"/>
      <c r="N26" s="34"/>
    </row>
    <row r="27" spans="2:14" ht="18" customHeight="1" x14ac:dyDescent="0.2">
      <c r="B27" s="6" t="s">
        <v>8</v>
      </c>
      <c r="C27" s="51"/>
      <c r="D27" s="52"/>
      <c r="E27" s="51" t="s">
        <v>8</v>
      </c>
      <c r="F27" s="52"/>
      <c r="G27" s="51"/>
      <c r="H27" s="52"/>
      <c r="I27" s="59" t="s">
        <v>8</v>
      </c>
      <c r="J27" s="60"/>
      <c r="K27" s="13"/>
      <c r="L27" s="19"/>
      <c r="M27" s="35"/>
      <c r="N27" s="36"/>
    </row>
    <row r="28" spans="2:14" ht="18" customHeight="1" x14ac:dyDescent="0.2">
      <c r="B28" s="8"/>
      <c r="C28" s="53"/>
      <c r="D28" s="54"/>
      <c r="E28" s="53"/>
      <c r="F28" s="54"/>
      <c r="G28" s="53"/>
      <c r="H28" s="54"/>
      <c r="I28" s="53"/>
      <c r="J28" s="62"/>
      <c r="K28" s="31" t="s">
        <v>16</v>
      </c>
      <c r="L28" s="16"/>
      <c r="M28" s="37"/>
      <c r="N28" s="38"/>
    </row>
    <row r="29" spans="2:14" ht="18" customHeight="1" x14ac:dyDescent="0.2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7"/>
      <c r="M29" s="33"/>
      <c r="N29" s="34"/>
    </row>
    <row r="30" spans="2:14" ht="18" customHeight="1" x14ac:dyDescent="0.2">
      <c r="B30" s="8"/>
      <c r="C30" s="53" t="s">
        <v>12</v>
      </c>
      <c r="D30" s="54"/>
      <c r="E30" s="53"/>
      <c r="F30" s="54"/>
      <c r="G30" s="53" t="s">
        <v>12</v>
      </c>
      <c r="H30" s="54"/>
      <c r="I30" s="75"/>
      <c r="J30" s="76"/>
      <c r="K30" s="32"/>
      <c r="L30" s="17"/>
      <c r="M30" s="33"/>
      <c r="N30" s="34"/>
    </row>
    <row r="31" spans="2:14" ht="18" customHeight="1" x14ac:dyDescent="0.2">
      <c r="B31" s="6"/>
      <c r="C31" s="51" t="s">
        <v>13</v>
      </c>
      <c r="D31" s="52"/>
      <c r="E31" s="51"/>
      <c r="F31" s="52"/>
      <c r="G31" s="51" t="s">
        <v>13</v>
      </c>
      <c r="H31" s="52"/>
      <c r="I31" s="51"/>
      <c r="J31" s="67"/>
      <c r="K31" s="14"/>
      <c r="L31" s="17"/>
      <c r="M31" s="33"/>
      <c r="N31" s="34"/>
    </row>
    <row r="32" spans="2:14" ht="18" customHeight="1" x14ac:dyDescent="0.2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3"/>
      <c r="N32" s="34"/>
    </row>
    <row r="33" spans="2:14" ht="18" customHeight="1" x14ac:dyDescent="0.2">
      <c r="B33" s="7"/>
      <c r="C33" s="57"/>
      <c r="D33" s="58"/>
      <c r="E33" s="57"/>
      <c r="F33" s="58"/>
      <c r="G33" s="57"/>
      <c r="H33" s="58"/>
      <c r="I33" s="77"/>
      <c r="J33" s="78"/>
      <c r="K33" s="15"/>
      <c r="L33" s="20"/>
      <c r="M33" s="73"/>
      <c r="N33" s="74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35" priority="3" stopIfTrue="1">
      <formula>DAY(C4)&gt;8</formula>
    </cfRule>
  </conditionalFormatting>
  <conditionalFormatting sqref="C8:I10">
    <cfRule type="expression" dxfId="34" priority="2" stopIfTrue="1">
      <formula>AND(DAY(C8)&gt;=1,DAY(C8)&lt;=15)</formula>
    </cfRule>
  </conditionalFormatting>
  <conditionalFormatting sqref="C4:I9">
    <cfRule type="expression" dxfId="33" priority="4">
      <formula>VLOOKUP(DAY(C4),DniPriradeniaÚloh,1,FALSE)=DAY(C4)</formula>
    </cfRule>
  </conditionalFormatting>
  <conditionalFormatting sqref="B14:J33">
    <cfRule type="expression" dxfId="32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42" t="s">
        <v>17</v>
      </c>
      <c r="L2" s="43">
        <v>2013</v>
      </c>
      <c r="M2" s="43"/>
      <c r="N2" s="79">
        <f>KalendárnyRok</f>
        <v>2016</v>
      </c>
    </row>
    <row r="3" spans="1:14" ht="21" customHeight="1" x14ac:dyDescent="0.2">
      <c r="A3" s="4"/>
      <c r="B3" s="68" t="s">
        <v>27</v>
      </c>
      <c r="C3" s="2" t="s">
        <v>2</v>
      </c>
      <c r="D3" s="2" t="s">
        <v>9</v>
      </c>
      <c r="E3" s="2" t="s">
        <v>14</v>
      </c>
      <c r="F3" s="2" t="s">
        <v>15</v>
      </c>
      <c r="G3" s="2" t="s">
        <v>16</v>
      </c>
      <c r="H3" s="2" t="s">
        <v>32</v>
      </c>
      <c r="I3" s="2" t="s">
        <v>33</v>
      </c>
      <c r="J3" s="5"/>
      <c r="K3" s="44"/>
      <c r="L3" s="45"/>
      <c r="M3" s="45"/>
      <c r="N3" s="80"/>
    </row>
    <row r="4" spans="1:14" ht="18" customHeight="1" x14ac:dyDescent="0.2">
      <c r="A4" s="4"/>
      <c r="B4" s="68"/>
      <c r="C4" s="10">
        <f>IF(DAY(MájNed1)=1,MájNed1-6,MájNed1+1)</f>
        <v>42485</v>
      </c>
      <c r="D4" s="10">
        <f>IF(DAY(MájNed1)=1,MájNed1-5,MájNed1+2)</f>
        <v>42486</v>
      </c>
      <c r="E4" s="10">
        <f>IF(DAY(MájNed1)=1,MájNed1-4,MájNed1+3)</f>
        <v>42487</v>
      </c>
      <c r="F4" s="10">
        <f>IF(DAY(MájNed1)=1,MájNed1-3,MájNed1+4)</f>
        <v>42488</v>
      </c>
      <c r="G4" s="10">
        <f>IF(DAY(MájNed1)=1,MájNed1-2,MájNed1+5)</f>
        <v>42489</v>
      </c>
      <c r="H4" s="10">
        <f>IF(DAY(MájNed1)=1,MájNed1-1,MájNed1+6)</f>
        <v>42490</v>
      </c>
      <c r="I4" s="10">
        <f>IF(DAY(MájNed1)=1,MájNed1,MájNed1+7)</f>
        <v>42491</v>
      </c>
      <c r="J4" s="5"/>
      <c r="K4" s="46" t="s">
        <v>2</v>
      </c>
      <c r="L4" s="16"/>
      <c r="M4" s="47"/>
      <c r="N4" s="48"/>
    </row>
    <row r="5" spans="1:14" ht="18" customHeight="1" x14ac:dyDescent="0.2">
      <c r="A5" s="4"/>
      <c r="B5" s="28"/>
      <c r="C5" s="10">
        <f>IF(DAY(MájNed1)=1,MájNed1+1,MájNed1+8)</f>
        <v>42492</v>
      </c>
      <c r="D5" s="10">
        <f>IF(DAY(MájNed1)=1,MájNed1+2,MájNed1+9)</f>
        <v>42493</v>
      </c>
      <c r="E5" s="10">
        <f>IF(DAY(MájNed1)=1,MájNed1+3,MájNed1+10)</f>
        <v>42494</v>
      </c>
      <c r="F5" s="10">
        <f>IF(DAY(MájNed1)=1,MájNed1+4,MájNed1+11)</f>
        <v>42495</v>
      </c>
      <c r="G5" s="10">
        <f>IF(DAY(MájNed1)=1,MájNed1+5,MájNed1+12)</f>
        <v>42496</v>
      </c>
      <c r="H5" s="10">
        <f>IF(DAY(MájNed1)=1,MájNed1+6,MájNed1+13)</f>
        <v>42497</v>
      </c>
      <c r="I5" s="10">
        <f>IF(DAY(MájNed1)=1,MájNed1+7,MájNed1+14)</f>
        <v>42498</v>
      </c>
      <c r="J5" s="5"/>
      <c r="K5" s="32"/>
      <c r="L5" s="17"/>
      <c r="M5" s="33"/>
      <c r="N5" s="34"/>
    </row>
    <row r="6" spans="1:14" ht="18" customHeight="1" x14ac:dyDescent="0.2">
      <c r="A6" s="4"/>
      <c r="B6" s="28"/>
      <c r="C6" s="10">
        <f>IF(DAY(MájNed1)=1,MájNed1+8,MájNed1+15)</f>
        <v>42499</v>
      </c>
      <c r="D6" s="10">
        <f>IF(DAY(MájNed1)=1,MájNed1+9,MájNed1+16)</f>
        <v>42500</v>
      </c>
      <c r="E6" s="10">
        <f>IF(DAY(MájNed1)=1,MájNed1+10,MájNed1+17)</f>
        <v>42501</v>
      </c>
      <c r="F6" s="10">
        <f>IF(DAY(MájNed1)=1,MájNed1+11,MájNed1+18)</f>
        <v>42502</v>
      </c>
      <c r="G6" s="10">
        <f>IF(DAY(MájNed1)=1,MájNed1+12,MájNed1+19)</f>
        <v>42503</v>
      </c>
      <c r="H6" s="10">
        <f>IF(DAY(MájNed1)=1,MájNed1+13,MájNed1+20)</f>
        <v>42504</v>
      </c>
      <c r="I6" s="10">
        <f>IF(DAY(MájNed1)=1,MájNed1+14,MájNed1+21)</f>
        <v>42505</v>
      </c>
      <c r="J6" s="5"/>
      <c r="K6" s="32"/>
      <c r="L6" s="17"/>
      <c r="M6" s="33"/>
      <c r="N6" s="34"/>
    </row>
    <row r="7" spans="1:14" ht="18" customHeight="1" x14ac:dyDescent="0.2">
      <c r="A7" s="4"/>
      <c r="B7" s="28"/>
      <c r="C7" s="10">
        <f>IF(DAY(MájNed1)=1,MájNed1+15,MájNed1+22)</f>
        <v>42506</v>
      </c>
      <c r="D7" s="10">
        <f>IF(DAY(MájNed1)=1,MájNed1+16,MájNed1+23)</f>
        <v>42507</v>
      </c>
      <c r="E7" s="10">
        <f>IF(DAY(MájNed1)=1,MájNed1+17,MájNed1+24)</f>
        <v>42508</v>
      </c>
      <c r="F7" s="10">
        <f>IF(DAY(MájNed1)=1,MájNed1+18,MájNed1+25)</f>
        <v>42509</v>
      </c>
      <c r="G7" s="10">
        <f>IF(DAY(MájNed1)=1,MájNed1+19,MájNed1+26)</f>
        <v>42510</v>
      </c>
      <c r="H7" s="10">
        <f>IF(DAY(MájNed1)=1,MájNed1+20,MájNed1+27)</f>
        <v>42511</v>
      </c>
      <c r="I7" s="10">
        <f>IF(DAY(MájNed1)=1,MájNed1+21,MájNed1+28)</f>
        <v>42512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IF(DAY(MájNed1)=1,MájNed1+22,MájNed1+29)</f>
        <v>42513</v>
      </c>
      <c r="D8" s="10">
        <f>IF(DAY(MájNed1)=1,MájNed1+23,MájNed1+30)</f>
        <v>42514</v>
      </c>
      <c r="E8" s="10">
        <f>IF(DAY(MájNed1)=1,MájNed1+24,MájNed1+31)</f>
        <v>42515</v>
      </c>
      <c r="F8" s="10">
        <f>IF(DAY(MájNed1)=1,MájNed1+25,MájNed1+32)</f>
        <v>42516</v>
      </c>
      <c r="G8" s="10">
        <f>IF(DAY(MájNed1)=1,MájNed1+26,MájNed1+33)</f>
        <v>42517</v>
      </c>
      <c r="H8" s="10">
        <f>IF(DAY(MájNed1)=1,MájNed1+27,MájNed1+34)</f>
        <v>42518</v>
      </c>
      <c r="I8" s="10">
        <f>IF(DAY(MájNed1)=1,MájNed1+28,MájNed1+35)</f>
        <v>42519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IF(DAY(MájNed1)=1,MájNed1+29,MájNed1+36)</f>
        <v>42520</v>
      </c>
      <c r="D9" s="10">
        <f>IF(DAY(MájNed1)=1,MájNed1+30,MájNed1+37)</f>
        <v>42521</v>
      </c>
      <c r="E9" s="10">
        <f>IF(DAY(MájNed1)=1,MájNed1+31,MájNed1+38)</f>
        <v>42522</v>
      </c>
      <c r="F9" s="10">
        <f>IF(DAY(MájNed1)=1,MájNed1+32,MájNed1+39)</f>
        <v>42523</v>
      </c>
      <c r="G9" s="10">
        <f>IF(DAY(MájNed1)=1,MájNed1+33,MájNed1+40)</f>
        <v>42524</v>
      </c>
      <c r="H9" s="10">
        <f>IF(DAY(MájNed1)=1,MájNed1+34,MájNed1+41)</f>
        <v>42525</v>
      </c>
      <c r="I9" s="10">
        <f>IF(DAY(MájNed1)=1,MájNed1+35,MájNed1+42)</f>
        <v>42526</v>
      </c>
      <c r="J9" s="5"/>
      <c r="K9" s="12"/>
      <c r="L9" s="18"/>
      <c r="M9" s="35"/>
      <c r="N9" s="36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31" t="s">
        <v>9</v>
      </c>
      <c r="L10" s="16"/>
      <c r="M10" s="37"/>
      <c r="N10" s="38"/>
    </row>
    <row r="11" spans="1:14" ht="18" customHeight="1" x14ac:dyDescent="0.2">
      <c r="A11" s="4"/>
      <c r="B11" s="70" t="s">
        <v>1</v>
      </c>
      <c r="C11" s="71"/>
      <c r="D11" s="71"/>
      <c r="E11" s="71"/>
      <c r="F11" s="71"/>
      <c r="G11" s="71"/>
      <c r="H11" s="71"/>
      <c r="I11" s="71"/>
      <c r="J11" s="72"/>
      <c r="K11" s="32"/>
      <c r="L11" s="17"/>
      <c r="M11" s="33"/>
      <c r="N11" s="34"/>
    </row>
    <row r="12" spans="1:14" ht="18" customHeight="1" x14ac:dyDescent="0.2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7"/>
      <c r="M12" s="33"/>
      <c r="N12" s="34"/>
    </row>
    <row r="13" spans="1:14" ht="18" customHeight="1" x14ac:dyDescent="0.2">
      <c r="B13" s="3" t="s">
        <v>2</v>
      </c>
      <c r="C13" s="39" t="s">
        <v>9</v>
      </c>
      <c r="D13" s="41"/>
      <c r="E13" s="39" t="s">
        <v>14</v>
      </c>
      <c r="F13" s="41"/>
      <c r="G13" s="39" t="s">
        <v>15</v>
      </c>
      <c r="H13" s="41"/>
      <c r="I13" s="39" t="s">
        <v>16</v>
      </c>
      <c r="J13" s="40"/>
      <c r="K13" s="11"/>
      <c r="L13" s="17"/>
      <c r="M13" s="33"/>
      <c r="N13" s="34"/>
    </row>
    <row r="14" spans="1:14" ht="18" customHeight="1" x14ac:dyDescent="0.2">
      <c r="B14" s="8" t="s">
        <v>3</v>
      </c>
      <c r="C14" s="53"/>
      <c r="D14" s="54"/>
      <c r="E14" s="53" t="s">
        <v>3</v>
      </c>
      <c r="F14" s="54"/>
      <c r="G14" s="53"/>
      <c r="H14" s="54"/>
      <c r="I14" s="53" t="s">
        <v>3</v>
      </c>
      <c r="J14" s="62"/>
      <c r="K14" s="11"/>
      <c r="L14" s="17"/>
      <c r="M14" s="33"/>
      <c r="N14" s="34"/>
    </row>
    <row r="15" spans="1:14" ht="18" customHeight="1" x14ac:dyDescent="0.2">
      <c r="B15" s="6" t="s">
        <v>4</v>
      </c>
      <c r="C15" s="51"/>
      <c r="D15" s="52"/>
      <c r="E15" s="51" t="s">
        <v>4</v>
      </c>
      <c r="F15" s="52"/>
      <c r="G15" s="51"/>
      <c r="H15" s="52"/>
      <c r="I15" s="59" t="s">
        <v>4</v>
      </c>
      <c r="J15" s="60"/>
      <c r="K15" s="13"/>
      <c r="L15" s="19"/>
      <c r="M15" s="35"/>
      <c r="N15" s="36"/>
    </row>
    <row r="16" spans="1:14" ht="18" customHeight="1" x14ac:dyDescent="0.2">
      <c r="B16" s="8"/>
      <c r="C16" s="53" t="s">
        <v>10</v>
      </c>
      <c r="D16" s="54"/>
      <c r="E16" s="53"/>
      <c r="F16" s="54"/>
      <c r="G16" s="53" t="s">
        <v>10</v>
      </c>
      <c r="H16" s="54"/>
      <c r="I16" s="63"/>
      <c r="J16" s="64"/>
      <c r="K16" s="31" t="s">
        <v>14</v>
      </c>
      <c r="L16" s="16"/>
      <c r="M16" s="37"/>
      <c r="N16" s="38"/>
    </row>
    <row r="17" spans="2:14" ht="18" customHeight="1" x14ac:dyDescent="0.2">
      <c r="B17" s="6"/>
      <c r="C17" s="51" t="s">
        <v>11</v>
      </c>
      <c r="D17" s="52"/>
      <c r="E17" s="51"/>
      <c r="F17" s="52"/>
      <c r="G17" s="51" t="s">
        <v>11</v>
      </c>
      <c r="H17" s="52"/>
      <c r="I17" s="59"/>
      <c r="J17" s="60"/>
      <c r="K17" s="32"/>
      <c r="L17" s="17"/>
      <c r="M17" s="33"/>
      <c r="N17" s="34"/>
    </row>
    <row r="18" spans="2:14" ht="18" customHeight="1" x14ac:dyDescent="0.2">
      <c r="B18" s="9" t="s">
        <v>5</v>
      </c>
      <c r="C18" s="55"/>
      <c r="D18" s="56"/>
      <c r="E18" s="55" t="s">
        <v>5</v>
      </c>
      <c r="F18" s="56"/>
      <c r="G18" s="55"/>
      <c r="H18" s="56"/>
      <c r="I18" s="55" t="s">
        <v>5</v>
      </c>
      <c r="J18" s="61"/>
      <c r="K18" s="32"/>
      <c r="L18" s="17"/>
      <c r="M18" s="33"/>
      <c r="N18" s="34"/>
    </row>
    <row r="19" spans="2:14" ht="18" customHeight="1" x14ac:dyDescent="0.2">
      <c r="B19" s="6" t="s">
        <v>6</v>
      </c>
      <c r="C19" s="51"/>
      <c r="D19" s="52"/>
      <c r="E19" s="51" t="s">
        <v>6</v>
      </c>
      <c r="F19" s="52"/>
      <c r="G19" s="51"/>
      <c r="H19" s="52"/>
      <c r="I19" s="59" t="s">
        <v>6</v>
      </c>
      <c r="J19" s="60"/>
      <c r="K19" s="11"/>
      <c r="L19" s="17"/>
      <c r="M19" s="33"/>
      <c r="N19" s="34"/>
    </row>
    <row r="20" spans="2:14" ht="18" customHeight="1" x14ac:dyDescent="0.2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3"/>
      <c r="N20" s="34"/>
    </row>
    <row r="21" spans="2:14" ht="18" customHeight="1" x14ac:dyDescent="0.2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5"/>
      <c r="N21" s="36"/>
    </row>
    <row r="22" spans="2:14" ht="18" customHeight="1" x14ac:dyDescent="0.2">
      <c r="B22" s="8"/>
      <c r="C22" s="53"/>
      <c r="D22" s="54"/>
      <c r="E22" s="53"/>
      <c r="F22" s="54"/>
      <c r="G22" s="53"/>
      <c r="H22" s="54"/>
      <c r="I22" s="53"/>
      <c r="J22" s="62"/>
      <c r="K22" s="31" t="s">
        <v>15</v>
      </c>
      <c r="L22" s="16"/>
      <c r="M22" s="37"/>
      <c r="N22" s="38"/>
    </row>
    <row r="23" spans="2:14" ht="18" customHeight="1" x14ac:dyDescent="0.2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7"/>
      <c r="M23" s="33"/>
      <c r="N23" s="34"/>
    </row>
    <row r="24" spans="2:14" ht="18" customHeight="1" x14ac:dyDescent="0.2">
      <c r="B24" s="8"/>
      <c r="C24" s="53"/>
      <c r="D24" s="54"/>
      <c r="E24" s="53"/>
      <c r="F24" s="54"/>
      <c r="G24" s="53"/>
      <c r="H24" s="54"/>
      <c r="I24" s="53"/>
      <c r="J24" s="62"/>
      <c r="K24" s="32"/>
      <c r="L24" s="17"/>
      <c r="M24" s="33"/>
      <c r="N24" s="34"/>
    </row>
    <row r="25" spans="2:14" ht="18" customHeight="1" x14ac:dyDescent="0.2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7"/>
      <c r="M25" s="33"/>
      <c r="N25" s="34"/>
    </row>
    <row r="26" spans="2:14" ht="18" customHeight="1" x14ac:dyDescent="0.2">
      <c r="B26" s="8" t="s">
        <v>7</v>
      </c>
      <c r="C26" s="53"/>
      <c r="D26" s="54"/>
      <c r="E26" s="53" t="s">
        <v>7</v>
      </c>
      <c r="F26" s="54"/>
      <c r="G26" s="53"/>
      <c r="H26" s="54"/>
      <c r="I26" s="53" t="s">
        <v>7</v>
      </c>
      <c r="J26" s="62"/>
      <c r="K26" s="11"/>
      <c r="L26" s="17"/>
      <c r="M26" s="33"/>
      <c r="N26" s="34"/>
    </row>
    <row r="27" spans="2:14" ht="18" customHeight="1" x14ac:dyDescent="0.2">
      <c r="B27" s="6" t="s">
        <v>8</v>
      </c>
      <c r="C27" s="51"/>
      <c r="D27" s="52"/>
      <c r="E27" s="51" t="s">
        <v>8</v>
      </c>
      <c r="F27" s="52"/>
      <c r="G27" s="51"/>
      <c r="H27" s="52"/>
      <c r="I27" s="59" t="s">
        <v>8</v>
      </c>
      <c r="J27" s="60"/>
      <c r="K27" s="13"/>
      <c r="L27" s="19"/>
      <c r="M27" s="35"/>
      <c r="N27" s="36"/>
    </row>
    <row r="28" spans="2:14" ht="18" customHeight="1" x14ac:dyDescent="0.2">
      <c r="B28" s="8"/>
      <c r="C28" s="53"/>
      <c r="D28" s="54"/>
      <c r="E28" s="53"/>
      <c r="F28" s="54"/>
      <c r="G28" s="53"/>
      <c r="H28" s="54"/>
      <c r="I28" s="53"/>
      <c r="J28" s="62"/>
      <c r="K28" s="31" t="s">
        <v>16</v>
      </c>
      <c r="L28" s="16"/>
      <c r="M28" s="37"/>
      <c r="N28" s="38"/>
    </row>
    <row r="29" spans="2:14" ht="18" customHeight="1" x14ac:dyDescent="0.2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7"/>
      <c r="M29" s="33"/>
      <c r="N29" s="34"/>
    </row>
    <row r="30" spans="2:14" ht="18" customHeight="1" x14ac:dyDescent="0.2">
      <c r="B30" s="8"/>
      <c r="C30" s="53" t="s">
        <v>12</v>
      </c>
      <c r="D30" s="54"/>
      <c r="E30" s="53"/>
      <c r="F30" s="54"/>
      <c r="G30" s="53" t="s">
        <v>12</v>
      </c>
      <c r="H30" s="54"/>
      <c r="I30" s="75"/>
      <c r="J30" s="76"/>
      <c r="K30" s="32"/>
      <c r="L30" s="17"/>
      <c r="M30" s="33"/>
      <c r="N30" s="34"/>
    </row>
    <row r="31" spans="2:14" ht="18" customHeight="1" x14ac:dyDescent="0.2">
      <c r="B31" s="6"/>
      <c r="C31" s="51" t="s">
        <v>13</v>
      </c>
      <c r="D31" s="52"/>
      <c r="E31" s="51"/>
      <c r="F31" s="52"/>
      <c r="G31" s="51" t="s">
        <v>13</v>
      </c>
      <c r="H31" s="52"/>
      <c r="I31" s="51"/>
      <c r="J31" s="67"/>
      <c r="K31" s="14"/>
      <c r="L31" s="17"/>
      <c r="M31" s="33"/>
      <c r="N31" s="34"/>
    </row>
    <row r="32" spans="2:14" ht="18" customHeight="1" x14ac:dyDescent="0.2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3"/>
      <c r="N32" s="34"/>
    </row>
    <row r="33" spans="2:14" ht="18" customHeight="1" x14ac:dyDescent="0.2">
      <c r="B33" s="7"/>
      <c r="C33" s="57"/>
      <c r="D33" s="58"/>
      <c r="E33" s="57"/>
      <c r="F33" s="58"/>
      <c r="G33" s="57"/>
      <c r="H33" s="58"/>
      <c r="I33" s="77"/>
      <c r="J33" s="78"/>
      <c r="K33" s="15"/>
      <c r="L33" s="20"/>
      <c r="M33" s="73"/>
      <c r="N33" s="74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31" priority="3" stopIfTrue="1">
      <formula>DAY(C4)&gt;8</formula>
    </cfRule>
  </conditionalFormatting>
  <conditionalFormatting sqref="C8:I10">
    <cfRule type="expression" dxfId="30" priority="2" stopIfTrue="1">
      <formula>AND(DAY(C8)&gt;=1,DAY(C8)&lt;=15)</formula>
    </cfRule>
  </conditionalFormatting>
  <conditionalFormatting sqref="C4:I9">
    <cfRule type="expression" dxfId="29" priority="4">
      <formula>VLOOKUP(DAY(C4),DniPriradeniaÚloh,1,FALSE)=DAY(C4)</formula>
    </cfRule>
  </conditionalFormatting>
  <conditionalFormatting sqref="B14:J33">
    <cfRule type="expression" dxfId="28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42" t="s">
        <v>17</v>
      </c>
      <c r="L2" s="43">
        <v>2013</v>
      </c>
      <c r="M2" s="43"/>
      <c r="N2" s="79">
        <f>KalendárnyRok</f>
        <v>2016</v>
      </c>
    </row>
    <row r="3" spans="1:14" ht="21" customHeight="1" x14ac:dyDescent="0.2">
      <c r="A3" s="4"/>
      <c r="B3" s="68" t="s">
        <v>28</v>
      </c>
      <c r="C3" s="2" t="s">
        <v>2</v>
      </c>
      <c r="D3" s="2" t="s">
        <v>9</v>
      </c>
      <c r="E3" s="2" t="s">
        <v>14</v>
      </c>
      <c r="F3" s="2" t="s">
        <v>15</v>
      </c>
      <c r="G3" s="2" t="s">
        <v>16</v>
      </c>
      <c r="H3" s="2" t="s">
        <v>32</v>
      </c>
      <c r="I3" s="2" t="s">
        <v>33</v>
      </c>
      <c r="J3" s="5"/>
      <c r="K3" s="44"/>
      <c r="L3" s="45"/>
      <c r="M3" s="45"/>
      <c r="N3" s="80"/>
    </row>
    <row r="4" spans="1:14" ht="18" customHeight="1" x14ac:dyDescent="0.2">
      <c r="A4" s="4"/>
      <c r="B4" s="68"/>
      <c r="C4" s="10">
        <f>IF(DAY(JúnNed1)=1,JúnNed1-6,JúnNed1+1)</f>
        <v>42520</v>
      </c>
      <c r="D4" s="10">
        <f>IF(DAY(JúnNed1)=1,JúnNed1-5,JúnNed1+2)</f>
        <v>42521</v>
      </c>
      <c r="E4" s="10">
        <f>IF(DAY(JúnNed1)=1,JúnNed1-4,JúnNed1+3)</f>
        <v>42522</v>
      </c>
      <c r="F4" s="10">
        <f>IF(DAY(JúnNed1)=1,JúnNed1-3,JúnNed1+4)</f>
        <v>42523</v>
      </c>
      <c r="G4" s="10">
        <f>IF(DAY(JúnNed1)=1,JúnNed1-2,JúnNed1+5)</f>
        <v>42524</v>
      </c>
      <c r="H4" s="10">
        <f>IF(DAY(JúnNed1)=1,JúnNed1-1,JúnNed1+6)</f>
        <v>42525</v>
      </c>
      <c r="I4" s="10">
        <f>IF(DAY(JúnNed1)=1,JúnNed1,JúnNed1+7)</f>
        <v>42526</v>
      </c>
      <c r="J4" s="5"/>
      <c r="K4" s="46" t="s">
        <v>2</v>
      </c>
      <c r="L4" s="16"/>
      <c r="M4" s="47"/>
      <c r="N4" s="48"/>
    </row>
    <row r="5" spans="1:14" ht="18" customHeight="1" x14ac:dyDescent="0.2">
      <c r="A5" s="4"/>
      <c r="B5" s="28"/>
      <c r="C5" s="10">
        <f>IF(DAY(JúnNed1)=1,JúnNed1+1,JúnNed1+8)</f>
        <v>42527</v>
      </c>
      <c r="D5" s="10">
        <f>IF(DAY(JúnNed1)=1,JúnNed1+2,JúnNed1+9)</f>
        <v>42528</v>
      </c>
      <c r="E5" s="10">
        <f>IF(DAY(JúnNed1)=1,JúnNed1+3,JúnNed1+10)</f>
        <v>42529</v>
      </c>
      <c r="F5" s="10">
        <f>IF(DAY(JúnNed1)=1,JúnNed1+4,JúnNed1+11)</f>
        <v>42530</v>
      </c>
      <c r="G5" s="10">
        <f>IF(DAY(JúnNed1)=1,JúnNed1+5,JúnNed1+12)</f>
        <v>42531</v>
      </c>
      <c r="H5" s="10">
        <f>IF(DAY(JúnNed1)=1,JúnNed1+6,JúnNed1+13)</f>
        <v>42532</v>
      </c>
      <c r="I5" s="10">
        <f>IF(DAY(JúnNed1)=1,JúnNed1+7,JúnNed1+14)</f>
        <v>42533</v>
      </c>
      <c r="J5" s="5"/>
      <c r="K5" s="32"/>
      <c r="L5" s="17"/>
      <c r="M5" s="33"/>
      <c r="N5" s="34"/>
    </row>
    <row r="6" spans="1:14" ht="18" customHeight="1" x14ac:dyDescent="0.2">
      <c r="A6" s="4"/>
      <c r="B6" s="28"/>
      <c r="C6" s="10">
        <f>IF(DAY(JúnNed1)=1,JúnNed1+8,JúnNed1+15)</f>
        <v>42534</v>
      </c>
      <c r="D6" s="10">
        <f>IF(DAY(JúnNed1)=1,JúnNed1+9,JúnNed1+16)</f>
        <v>42535</v>
      </c>
      <c r="E6" s="10">
        <f>IF(DAY(JúnNed1)=1,JúnNed1+10,JúnNed1+17)</f>
        <v>42536</v>
      </c>
      <c r="F6" s="10">
        <f>IF(DAY(JúnNed1)=1,JúnNed1+11,JúnNed1+18)</f>
        <v>42537</v>
      </c>
      <c r="G6" s="10">
        <f>IF(DAY(JúnNed1)=1,JúnNed1+12,JúnNed1+19)</f>
        <v>42538</v>
      </c>
      <c r="H6" s="10">
        <f>IF(DAY(JúnNed1)=1,JúnNed1+13,JúnNed1+20)</f>
        <v>42539</v>
      </c>
      <c r="I6" s="10">
        <f>IF(DAY(JúnNed1)=1,JúnNed1+14,JúnNed1+21)</f>
        <v>42540</v>
      </c>
      <c r="J6" s="5"/>
      <c r="K6" s="32"/>
      <c r="L6" s="17"/>
      <c r="M6" s="33"/>
      <c r="N6" s="34"/>
    </row>
    <row r="7" spans="1:14" ht="18" customHeight="1" x14ac:dyDescent="0.2">
      <c r="A7" s="4"/>
      <c r="B7" s="28"/>
      <c r="C7" s="10">
        <f>IF(DAY(JúnNed1)=1,JúnNed1+15,JúnNed1+22)</f>
        <v>42541</v>
      </c>
      <c r="D7" s="10">
        <f>IF(DAY(JúnNed1)=1,JúnNed1+16,JúnNed1+23)</f>
        <v>42542</v>
      </c>
      <c r="E7" s="10">
        <f>IF(DAY(JúnNed1)=1,JúnNed1+17,JúnNed1+24)</f>
        <v>42543</v>
      </c>
      <c r="F7" s="10">
        <f>IF(DAY(JúnNed1)=1,JúnNed1+18,JúnNed1+25)</f>
        <v>42544</v>
      </c>
      <c r="G7" s="10">
        <f>IF(DAY(JúnNed1)=1,JúnNed1+19,JúnNed1+26)</f>
        <v>42545</v>
      </c>
      <c r="H7" s="10">
        <f>IF(DAY(JúnNed1)=1,JúnNed1+20,JúnNed1+27)</f>
        <v>42546</v>
      </c>
      <c r="I7" s="10">
        <f>IF(DAY(JúnNed1)=1,JúnNed1+21,JúnNed1+28)</f>
        <v>42547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IF(DAY(JúnNed1)=1,JúnNed1+22,JúnNed1+29)</f>
        <v>42548</v>
      </c>
      <c r="D8" s="10">
        <f>IF(DAY(JúnNed1)=1,JúnNed1+23,JúnNed1+30)</f>
        <v>42549</v>
      </c>
      <c r="E8" s="10">
        <f>IF(DAY(JúnNed1)=1,JúnNed1+24,JúnNed1+31)</f>
        <v>42550</v>
      </c>
      <c r="F8" s="10">
        <f>IF(DAY(JúnNed1)=1,JúnNed1+25,JúnNed1+32)</f>
        <v>42551</v>
      </c>
      <c r="G8" s="10">
        <f>IF(DAY(JúnNed1)=1,JúnNed1+26,JúnNed1+33)</f>
        <v>42552</v>
      </c>
      <c r="H8" s="10">
        <f>IF(DAY(JúnNed1)=1,JúnNed1+27,JúnNed1+34)</f>
        <v>42553</v>
      </c>
      <c r="I8" s="10">
        <f>IF(DAY(JúnNed1)=1,JúnNed1+28,JúnNed1+35)</f>
        <v>42554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IF(DAY(JúnNed1)=1,JúnNed1+29,JúnNed1+36)</f>
        <v>42555</v>
      </c>
      <c r="D9" s="10">
        <f>IF(DAY(JúnNed1)=1,JúnNed1+30,JúnNed1+37)</f>
        <v>42556</v>
      </c>
      <c r="E9" s="10">
        <f>IF(DAY(JúnNed1)=1,JúnNed1+31,JúnNed1+38)</f>
        <v>42557</v>
      </c>
      <c r="F9" s="10">
        <f>IF(DAY(JúnNed1)=1,JúnNed1+32,JúnNed1+39)</f>
        <v>42558</v>
      </c>
      <c r="G9" s="10">
        <f>IF(DAY(JúnNed1)=1,JúnNed1+33,JúnNed1+40)</f>
        <v>42559</v>
      </c>
      <c r="H9" s="10">
        <f>IF(DAY(JúnNed1)=1,JúnNed1+34,JúnNed1+41)</f>
        <v>42560</v>
      </c>
      <c r="I9" s="10">
        <f>IF(DAY(JúnNed1)=1,JúnNed1+35,JúnNed1+42)</f>
        <v>42561</v>
      </c>
      <c r="J9" s="5"/>
      <c r="K9" s="12"/>
      <c r="L9" s="18"/>
      <c r="M9" s="35"/>
      <c r="N9" s="36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31" t="s">
        <v>9</v>
      </c>
      <c r="L10" s="16"/>
      <c r="M10" s="37"/>
      <c r="N10" s="38"/>
    </row>
    <row r="11" spans="1:14" ht="18" customHeight="1" x14ac:dyDescent="0.2">
      <c r="A11" s="4"/>
      <c r="B11" s="70" t="s">
        <v>1</v>
      </c>
      <c r="C11" s="71"/>
      <c r="D11" s="71"/>
      <c r="E11" s="71"/>
      <c r="F11" s="71"/>
      <c r="G11" s="71"/>
      <c r="H11" s="71"/>
      <c r="I11" s="71"/>
      <c r="J11" s="72"/>
      <c r="K11" s="32"/>
      <c r="L11" s="17"/>
      <c r="M11" s="33"/>
      <c r="N11" s="34"/>
    </row>
    <row r="12" spans="1:14" ht="18" customHeight="1" x14ac:dyDescent="0.2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7"/>
      <c r="M12" s="33"/>
      <c r="N12" s="34"/>
    </row>
    <row r="13" spans="1:14" ht="18" customHeight="1" x14ac:dyDescent="0.2">
      <c r="B13" s="3" t="s">
        <v>2</v>
      </c>
      <c r="C13" s="39" t="s">
        <v>9</v>
      </c>
      <c r="D13" s="41"/>
      <c r="E13" s="39" t="s">
        <v>14</v>
      </c>
      <c r="F13" s="41"/>
      <c r="G13" s="39" t="s">
        <v>15</v>
      </c>
      <c r="H13" s="41"/>
      <c r="I13" s="39" t="s">
        <v>16</v>
      </c>
      <c r="J13" s="40"/>
      <c r="K13" s="11"/>
      <c r="L13" s="17"/>
      <c r="M13" s="33"/>
      <c r="N13" s="34"/>
    </row>
    <row r="14" spans="1:14" ht="18" customHeight="1" x14ac:dyDescent="0.2">
      <c r="B14" s="8" t="s">
        <v>3</v>
      </c>
      <c r="C14" s="53"/>
      <c r="D14" s="54"/>
      <c r="E14" s="53" t="s">
        <v>3</v>
      </c>
      <c r="F14" s="54"/>
      <c r="G14" s="53"/>
      <c r="H14" s="54"/>
      <c r="I14" s="53" t="s">
        <v>3</v>
      </c>
      <c r="J14" s="62"/>
      <c r="K14" s="11"/>
      <c r="L14" s="17"/>
      <c r="M14" s="33"/>
      <c r="N14" s="34"/>
    </row>
    <row r="15" spans="1:14" ht="18" customHeight="1" x14ac:dyDescent="0.2">
      <c r="B15" s="6" t="s">
        <v>4</v>
      </c>
      <c r="C15" s="51"/>
      <c r="D15" s="52"/>
      <c r="E15" s="51" t="s">
        <v>4</v>
      </c>
      <c r="F15" s="52"/>
      <c r="G15" s="51"/>
      <c r="H15" s="52"/>
      <c r="I15" s="59" t="s">
        <v>4</v>
      </c>
      <c r="J15" s="60"/>
      <c r="K15" s="13"/>
      <c r="L15" s="19"/>
      <c r="M15" s="35"/>
      <c r="N15" s="36"/>
    </row>
    <row r="16" spans="1:14" ht="18" customHeight="1" x14ac:dyDescent="0.2">
      <c r="B16" s="8"/>
      <c r="C16" s="53" t="s">
        <v>10</v>
      </c>
      <c r="D16" s="54"/>
      <c r="E16" s="53"/>
      <c r="F16" s="54"/>
      <c r="G16" s="53" t="s">
        <v>10</v>
      </c>
      <c r="H16" s="54"/>
      <c r="I16" s="63"/>
      <c r="J16" s="64"/>
      <c r="K16" s="31" t="s">
        <v>14</v>
      </c>
      <c r="L16" s="16"/>
      <c r="M16" s="37"/>
      <c r="N16" s="38"/>
    </row>
    <row r="17" spans="2:14" ht="18" customHeight="1" x14ac:dyDescent="0.2">
      <c r="B17" s="6"/>
      <c r="C17" s="51" t="s">
        <v>11</v>
      </c>
      <c r="D17" s="52"/>
      <c r="E17" s="51"/>
      <c r="F17" s="52"/>
      <c r="G17" s="51" t="s">
        <v>11</v>
      </c>
      <c r="H17" s="52"/>
      <c r="I17" s="59"/>
      <c r="J17" s="60"/>
      <c r="K17" s="32"/>
      <c r="L17" s="17"/>
      <c r="M17" s="33"/>
      <c r="N17" s="34"/>
    </row>
    <row r="18" spans="2:14" ht="18" customHeight="1" x14ac:dyDescent="0.2">
      <c r="B18" s="9" t="s">
        <v>5</v>
      </c>
      <c r="C18" s="55"/>
      <c r="D18" s="56"/>
      <c r="E18" s="55" t="s">
        <v>5</v>
      </c>
      <c r="F18" s="56"/>
      <c r="G18" s="55"/>
      <c r="H18" s="56"/>
      <c r="I18" s="55" t="s">
        <v>5</v>
      </c>
      <c r="J18" s="61"/>
      <c r="K18" s="32"/>
      <c r="L18" s="17"/>
      <c r="M18" s="33"/>
      <c r="N18" s="34"/>
    </row>
    <row r="19" spans="2:14" ht="18" customHeight="1" x14ac:dyDescent="0.2">
      <c r="B19" s="6" t="s">
        <v>6</v>
      </c>
      <c r="C19" s="51"/>
      <c r="D19" s="52"/>
      <c r="E19" s="51" t="s">
        <v>6</v>
      </c>
      <c r="F19" s="52"/>
      <c r="G19" s="51"/>
      <c r="H19" s="52"/>
      <c r="I19" s="59" t="s">
        <v>6</v>
      </c>
      <c r="J19" s="60"/>
      <c r="K19" s="11"/>
      <c r="L19" s="17"/>
      <c r="M19" s="33"/>
      <c r="N19" s="34"/>
    </row>
    <row r="20" spans="2:14" ht="18" customHeight="1" x14ac:dyDescent="0.2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3"/>
      <c r="N20" s="34"/>
    </row>
    <row r="21" spans="2:14" ht="18" customHeight="1" x14ac:dyDescent="0.2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5"/>
      <c r="N21" s="36"/>
    </row>
    <row r="22" spans="2:14" ht="18" customHeight="1" x14ac:dyDescent="0.2">
      <c r="B22" s="8"/>
      <c r="C22" s="53"/>
      <c r="D22" s="54"/>
      <c r="E22" s="53"/>
      <c r="F22" s="54"/>
      <c r="G22" s="53"/>
      <c r="H22" s="54"/>
      <c r="I22" s="53"/>
      <c r="J22" s="62"/>
      <c r="K22" s="31" t="s">
        <v>15</v>
      </c>
      <c r="L22" s="16"/>
      <c r="M22" s="37"/>
      <c r="N22" s="38"/>
    </row>
    <row r="23" spans="2:14" ht="18" customHeight="1" x14ac:dyDescent="0.2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7"/>
      <c r="M23" s="33"/>
      <c r="N23" s="34"/>
    </row>
    <row r="24" spans="2:14" ht="18" customHeight="1" x14ac:dyDescent="0.2">
      <c r="B24" s="8"/>
      <c r="C24" s="53"/>
      <c r="D24" s="54"/>
      <c r="E24" s="53"/>
      <c r="F24" s="54"/>
      <c r="G24" s="53"/>
      <c r="H24" s="54"/>
      <c r="I24" s="53"/>
      <c r="J24" s="62"/>
      <c r="K24" s="32"/>
      <c r="L24" s="17"/>
      <c r="M24" s="33"/>
      <c r="N24" s="34"/>
    </row>
    <row r="25" spans="2:14" ht="18" customHeight="1" x14ac:dyDescent="0.2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7"/>
      <c r="M25" s="33"/>
      <c r="N25" s="34"/>
    </row>
    <row r="26" spans="2:14" ht="18" customHeight="1" x14ac:dyDescent="0.2">
      <c r="B26" s="8" t="s">
        <v>7</v>
      </c>
      <c r="C26" s="53"/>
      <c r="D26" s="54"/>
      <c r="E26" s="53" t="s">
        <v>7</v>
      </c>
      <c r="F26" s="54"/>
      <c r="G26" s="53"/>
      <c r="H26" s="54"/>
      <c r="I26" s="53" t="s">
        <v>7</v>
      </c>
      <c r="J26" s="62"/>
      <c r="K26" s="11"/>
      <c r="L26" s="17"/>
      <c r="M26" s="33"/>
      <c r="N26" s="34"/>
    </row>
    <row r="27" spans="2:14" ht="18" customHeight="1" x14ac:dyDescent="0.2">
      <c r="B27" s="6" t="s">
        <v>8</v>
      </c>
      <c r="C27" s="51"/>
      <c r="D27" s="52"/>
      <c r="E27" s="51" t="s">
        <v>8</v>
      </c>
      <c r="F27" s="52"/>
      <c r="G27" s="51"/>
      <c r="H27" s="52"/>
      <c r="I27" s="59" t="s">
        <v>8</v>
      </c>
      <c r="J27" s="60"/>
      <c r="K27" s="13"/>
      <c r="L27" s="19"/>
      <c r="M27" s="35"/>
      <c r="N27" s="36"/>
    </row>
    <row r="28" spans="2:14" ht="18" customHeight="1" x14ac:dyDescent="0.2">
      <c r="B28" s="8"/>
      <c r="C28" s="53"/>
      <c r="D28" s="54"/>
      <c r="E28" s="53"/>
      <c r="F28" s="54"/>
      <c r="G28" s="53"/>
      <c r="H28" s="54"/>
      <c r="I28" s="53"/>
      <c r="J28" s="62"/>
      <c r="K28" s="31" t="s">
        <v>16</v>
      </c>
      <c r="L28" s="16"/>
      <c r="M28" s="37"/>
      <c r="N28" s="38"/>
    </row>
    <row r="29" spans="2:14" ht="18" customHeight="1" x14ac:dyDescent="0.2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7"/>
      <c r="M29" s="33"/>
      <c r="N29" s="34"/>
    </row>
    <row r="30" spans="2:14" ht="18" customHeight="1" x14ac:dyDescent="0.2">
      <c r="B30" s="8"/>
      <c r="C30" s="53" t="s">
        <v>12</v>
      </c>
      <c r="D30" s="54"/>
      <c r="E30" s="53"/>
      <c r="F30" s="54"/>
      <c r="G30" s="53" t="s">
        <v>12</v>
      </c>
      <c r="H30" s="54"/>
      <c r="I30" s="75"/>
      <c r="J30" s="76"/>
      <c r="K30" s="32"/>
      <c r="L30" s="17"/>
      <c r="M30" s="33"/>
      <c r="N30" s="34"/>
    </row>
    <row r="31" spans="2:14" ht="18" customHeight="1" x14ac:dyDescent="0.2">
      <c r="B31" s="6"/>
      <c r="C31" s="51" t="s">
        <v>13</v>
      </c>
      <c r="D31" s="52"/>
      <c r="E31" s="51"/>
      <c r="F31" s="52"/>
      <c r="G31" s="51" t="s">
        <v>13</v>
      </c>
      <c r="H31" s="52"/>
      <c r="I31" s="51"/>
      <c r="J31" s="67"/>
      <c r="K31" s="14"/>
      <c r="L31" s="17"/>
      <c r="M31" s="33"/>
      <c r="N31" s="34"/>
    </row>
    <row r="32" spans="2:14" ht="18" customHeight="1" x14ac:dyDescent="0.2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3"/>
      <c r="N32" s="34"/>
    </row>
    <row r="33" spans="2:14" ht="18" customHeight="1" x14ac:dyDescent="0.2">
      <c r="B33" s="7"/>
      <c r="C33" s="57"/>
      <c r="D33" s="58"/>
      <c r="E33" s="57"/>
      <c r="F33" s="58"/>
      <c r="G33" s="57"/>
      <c r="H33" s="58"/>
      <c r="I33" s="77"/>
      <c r="J33" s="78"/>
      <c r="K33" s="15"/>
      <c r="L33" s="20"/>
      <c r="M33" s="73"/>
      <c r="N33" s="74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27" priority="3" stopIfTrue="1">
      <formula>DAY(C4)&gt;8</formula>
    </cfRule>
  </conditionalFormatting>
  <conditionalFormatting sqref="C8:I10">
    <cfRule type="expression" dxfId="26" priority="2" stopIfTrue="1">
      <formula>AND(DAY(C8)&gt;=1,DAY(C8)&lt;=15)</formula>
    </cfRule>
  </conditionalFormatting>
  <conditionalFormatting sqref="C4:I9">
    <cfRule type="expression" dxfId="25" priority="4">
      <formula>VLOOKUP(DAY(C4),DniPriradeniaÚloh,1,FALSE)=DAY(C4)</formula>
    </cfRule>
  </conditionalFormatting>
  <conditionalFormatting sqref="B14:J33">
    <cfRule type="expression" dxfId="24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42" t="s">
        <v>17</v>
      </c>
      <c r="L2" s="43">
        <v>2013</v>
      </c>
      <c r="M2" s="43"/>
      <c r="N2" s="79">
        <f>KalendárnyRok</f>
        <v>2016</v>
      </c>
    </row>
    <row r="3" spans="1:14" ht="21" customHeight="1" x14ac:dyDescent="0.2">
      <c r="A3" s="4"/>
      <c r="B3" s="68" t="s">
        <v>29</v>
      </c>
      <c r="C3" s="2" t="s">
        <v>2</v>
      </c>
      <c r="D3" s="2" t="s">
        <v>9</v>
      </c>
      <c r="E3" s="2" t="s">
        <v>14</v>
      </c>
      <c r="F3" s="2" t="s">
        <v>15</v>
      </c>
      <c r="G3" s="2" t="s">
        <v>16</v>
      </c>
      <c r="H3" s="2" t="s">
        <v>32</v>
      </c>
      <c r="I3" s="2" t="s">
        <v>33</v>
      </c>
      <c r="J3" s="5"/>
      <c r="K3" s="44"/>
      <c r="L3" s="45"/>
      <c r="M3" s="45"/>
      <c r="N3" s="80"/>
    </row>
    <row r="4" spans="1:14" ht="18" customHeight="1" x14ac:dyDescent="0.2">
      <c r="A4" s="4"/>
      <c r="B4" s="68"/>
      <c r="C4" s="10">
        <f>IF(DAY(JúlNed1)=1,JúlNed1-6,JúlNed1+1)</f>
        <v>42548</v>
      </c>
      <c r="D4" s="10">
        <f>IF(DAY(JúlNed1)=1,JúlNed1-5,JúlNed1+2)</f>
        <v>42549</v>
      </c>
      <c r="E4" s="10">
        <f>IF(DAY(JúlNed1)=1,JúlNed1-4,JúlNed1+3)</f>
        <v>42550</v>
      </c>
      <c r="F4" s="10">
        <f>IF(DAY(JúlNed1)=1,JúlNed1-3,JúlNed1+4)</f>
        <v>42551</v>
      </c>
      <c r="G4" s="10">
        <f>IF(DAY(JúlNed1)=1,JúlNed1-2,JúlNed1+5)</f>
        <v>42552</v>
      </c>
      <c r="H4" s="10">
        <f>IF(DAY(JúlNed1)=1,JúlNed1-1,JúlNed1+6)</f>
        <v>42553</v>
      </c>
      <c r="I4" s="10">
        <f>IF(DAY(JúlNed1)=1,JúlNed1,JúlNed1+7)</f>
        <v>42554</v>
      </c>
      <c r="J4" s="5"/>
      <c r="K4" s="46" t="s">
        <v>2</v>
      </c>
      <c r="L4" s="16"/>
      <c r="M4" s="47"/>
      <c r="N4" s="48"/>
    </row>
    <row r="5" spans="1:14" ht="18" customHeight="1" x14ac:dyDescent="0.2">
      <c r="A5" s="4"/>
      <c r="B5" s="28"/>
      <c r="C5" s="10">
        <f>IF(DAY(JúlNed1)=1,JúlNed1+1,JúlNed1+8)</f>
        <v>42555</v>
      </c>
      <c r="D5" s="10">
        <f>IF(DAY(JúlNed1)=1,JúlNed1+2,JúlNed1+9)</f>
        <v>42556</v>
      </c>
      <c r="E5" s="10">
        <f>IF(DAY(JúlNed1)=1,JúlNed1+3,JúlNed1+10)</f>
        <v>42557</v>
      </c>
      <c r="F5" s="10">
        <f>IF(DAY(JúlNed1)=1,JúlNed1+4,JúlNed1+11)</f>
        <v>42558</v>
      </c>
      <c r="G5" s="10">
        <f>IF(DAY(JúlNed1)=1,JúlNed1+5,JúlNed1+12)</f>
        <v>42559</v>
      </c>
      <c r="H5" s="10">
        <f>IF(DAY(JúlNed1)=1,JúlNed1+6,JúlNed1+13)</f>
        <v>42560</v>
      </c>
      <c r="I5" s="10">
        <f>IF(DAY(JúlNed1)=1,JúlNed1+7,JúlNed1+14)</f>
        <v>42561</v>
      </c>
      <c r="J5" s="5"/>
      <c r="K5" s="32"/>
      <c r="L5" s="17"/>
      <c r="M5" s="33"/>
      <c r="N5" s="34"/>
    </row>
    <row r="6" spans="1:14" ht="18" customHeight="1" x14ac:dyDescent="0.2">
      <c r="A6" s="4"/>
      <c r="B6" s="28"/>
      <c r="C6" s="10">
        <f>IF(DAY(JúlNed1)=1,JúlNed1+8,JúlNed1+15)</f>
        <v>42562</v>
      </c>
      <c r="D6" s="10">
        <f>IF(DAY(JúlNed1)=1,JúlNed1+9,JúlNed1+16)</f>
        <v>42563</v>
      </c>
      <c r="E6" s="10">
        <f>IF(DAY(JúlNed1)=1,JúlNed1+10,JúlNed1+17)</f>
        <v>42564</v>
      </c>
      <c r="F6" s="10">
        <f>IF(DAY(JúlNed1)=1,JúlNed1+11,JúlNed1+18)</f>
        <v>42565</v>
      </c>
      <c r="G6" s="10">
        <f>IF(DAY(JúlNed1)=1,JúlNed1+12,JúlNed1+19)</f>
        <v>42566</v>
      </c>
      <c r="H6" s="10">
        <f>IF(DAY(JúlNed1)=1,JúlNed1+13,JúlNed1+20)</f>
        <v>42567</v>
      </c>
      <c r="I6" s="10">
        <f>IF(DAY(JúlNed1)=1,JúlNed1+14,JúlNed1+21)</f>
        <v>42568</v>
      </c>
      <c r="J6" s="5"/>
      <c r="K6" s="32"/>
      <c r="L6" s="17"/>
      <c r="M6" s="33"/>
      <c r="N6" s="34"/>
    </row>
    <row r="7" spans="1:14" ht="18" customHeight="1" x14ac:dyDescent="0.2">
      <c r="A7" s="4"/>
      <c r="B7" s="28"/>
      <c r="C7" s="10">
        <f>IF(DAY(JúlNed1)=1,JúlNed1+15,JúlNed1+22)</f>
        <v>42569</v>
      </c>
      <c r="D7" s="10">
        <f>IF(DAY(JúlNed1)=1,JúlNed1+16,JúlNed1+23)</f>
        <v>42570</v>
      </c>
      <c r="E7" s="10">
        <f>IF(DAY(JúlNed1)=1,JúlNed1+17,JúlNed1+24)</f>
        <v>42571</v>
      </c>
      <c r="F7" s="10">
        <f>IF(DAY(JúlNed1)=1,JúlNed1+18,JúlNed1+25)</f>
        <v>42572</v>
      </c>
      <c r="G7" s="10">
        <f>IF(DAY(JúlNed1)=1,JúlNed1+19,JúlNed1+26)</f>
        <v>42573</v>
      </c>
      <c r="H7" s="10">
        <f>IF(DAY(JúlNed1)=1,JúlNed1+20,JúlNed1+27)</f>
        <v>42574</v>
      </c>
      <c r="I7" s="10">
        <f>IF(DAY(JúlNed1)=1,JúlNed1+21,JúlNed1+28)</f>
        <v>42575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IF(DAY(JúlNed1)=1,JúlNed1+22,JúlNed1+29)</f>
        <v>42576</v>
      </c>
      <c r="D8" s="10">
        <f>IF(DAY(JúlNed1)=1,JúlNed1+23,JúlNed1+30)</f>
        <v>42577</v>
      </c>
      <c r="E8" s="10">
        <f>IF(DAY(JúlNed1)=1,JúlNed1+24,JúlNed1+31)</f>
        <v>42578</v>
      </c>
      <c r="F8" s="10">
        <f>IF(DAY(JúlNed1)=1,JúlNed1+25,JúlNed1+32)</f>
        <v>42579</v>
      </c>
      <c r="G8" s="10">
        <f>IF(DAY(JúlNed1)=1,JúlNed1+26,JúlNed1+33)</f>
        <v>42580</v>
      </c>
      <c r="H8" s="10">
        <f>IF(DAY(JúlNed1)=1,JúlNed1+27,JúlNed1+34)</f>
        <v>42581</v>
      </c>
      <c r="I8" s="10">
        <f>IF(DAY(JúlNed1)=1,JúlNed1+28,JúlNed1+35)</f>
        <v>42582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IF(DAY(JúlNed1)=1,JúlNed1+29,JúlNed1+36)</f>
        <v>42583</v>
      </c>
      <c r="D9" s="10">
        <f>IF(DAY(JúlNed1)=1,JúlNed1+30,JúlNed1+37)</f>
        <v>42584</v>
      </c>
      <c r="E9" s="10">
        <f>IF(DAY(JúlNed1)=1,JúlNed1+31,JúlNed1+38)</f>
        <v>42585</v>
      </c>
      <c r="F9" s="10">
        <f>IF(DAY(JúlNed1)=1,JúlNed1+32,JúlNed1+39)</f>
        <v>42586</v>
      </c>
      <c r="G9" s="10">
        <f>IF(DAY(JúlNed1)=1,JúlNed1+33,JúlNed1+40)</f>
        <v>42587</v>
      </c>
      <c r="H9" s="10">
        <f>IF(DAY(JúlNed1)=1,JúlNed1+34,JúlNed1+41)</f>
        <v>42588</v>
      </c>
      <c r="I9" s="10">
        <f>IF(DAY(JúlNed1)=1,JúlNed1+35,JúlNed1+42)</f>
        <v>42589</v>
      </c>
      <c r="J9" s="5"/>
      <c r="K9" s="12"/>
      <c r="L9" s="18"/>
      <c r="M9" s="35"/>
      <c r="N9" s="36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31" t="s">
        <v>9</v>
      </c>
      <c r="L10" s="16"/>
      <c r="M10" s="37"/>
      <c r="N10" s="38"/>
    </row>
    <row r="11" spans="1:14" ht="18" customHeight="1" x14ac:dyDescent="0.2">
      <c r="A11" s="4"/>
      <c r="B11" s="70" t="s">
        <v>1</v>
      </c>
      <c r="C11" s="71"/>
      <c r="D11" s="71"/>
      <c r="E11" s="71"/>
      <c r="F11" s="71"/>
      <c r="G11" s="71"/>
      <c r="H11" s="71"/>
      <c r="I11" s="71"/>
      <c r="J11" s="72"/>
      <c r="K11" s="32"/>
      <c r="L11" s="17"/>
      <c r="M11" s="33"/>
      <c r="N11" s="34"/>
    </row>
    <row r="12" spans="1:14" ht="18" customHeight="1" x14ac:dyDescent="0.2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7"/>
      <c r="M12" s="33"/>
      <c r="N12" s="34"/>
    </row>
    <row r="13" spans="1:14" ht="18" customHeight="1" x14ac:dyDescent="0.2">
      <c r="B13" s="3" t="s">
        <v>2</v>
      </c>
      <c r="C13" s="39" t="s">
        <v>9</v>
      </c>
      <c r="D13" s="41"/>
      <c r="E13" s="39" t="s">
        <v>14</v>
      </c>
      <c r="F13" s="41"/>
      <c r="G13" s="39" t="s">
        <v>15</v>
      </c>
      <c r="H13" s="41"/>
      <c r="I13" s="39" t="s">
        <v>16</v>
      </c>
      <c r="J13" s="40"/>
      <c r="K13" s="11"/>
      <c r="L13" s="17"/>
      <c r="M13" s="33"/>
      <c r="N13" s="34"/>
    </row>
    <row r="14" spans="1:14" ht="18" customHeight="1" x14ac:dyDescent="0.2">
      <c r="B14" s="8" t="s">
        <v>3</v>
      </c>
      <c r="C14" s="53"/>
      <c r="D14" s="54"/>
      <c r="E14" s="53" t="s">
        <v>3</v>
      </c>
      <c r="F14" s="54"/>
      <c r="G14" s="53"/>
      <c r="H14" s="54"/>
      <c r="I14" s="53" t="s">
        <v>3</v>
      </c>
      <c r="J14" s="62"/>
      <c r="K14" s="11"/>
      <c r="L14" s="17"/>
      <c r="M14" s="33"/>
      <c r="N14" s="34"/>
    </row>
    <row r="15" spans="1:14" ht="18" customHeight="1" x14ac:dyDescent="0.2">
      <c r="B15" s="6" t="s">
        <v>4</v>
      </c>
      <c r="C15" s="51"/>
      <c r="D15" s="52"/>
      <c r="E15" s="51" t="s">
        <v>4</v>
      </c>
      <c r="F15" s="52"/>
      <c r="G15" s="51"/>
      <c r="H15" s="52"/>
      <c r="I15" s="59" t="s">
        <v>4</v>
      </c>
      <c r="J15" s="60"/>
      <c r="K15" s="13"/>
      <c r="L15" s="19"/>
      <c r="M15" s="35"/>
      <c r="N15" s="36"/>
    </row>
    <row r="16" spans="1:14" ht="18" customHeight="1" x14ac:dyDescent="0.2">
      <c r="B16" s="8"/>
      <c r="C16" s="53" t="s">
        <v>10</v>
      </c>
      <c r="D16" s="54"/>
      <c r="E16" s="53"/>
      <c r="F16" s="54"/>
      <c r="G16" s="53" t="s">
        <v>10</v>
      </c>
      <c r="H16" s="54"/>
      <c r="I16" s="63"/>
      <c r="J16" s="64"/>
      <c r="K16" s="31" t="s">
        <v>14</v>
      </c>
      <c r="L16" s="16"/>
      <c r="M16" s="37"/>
      <c r="N16" s="38"/>
    </row>
    <row r="17" spans="2:14" ht="18" customHeight="1" x14ac:dyDescent="0.2">
      <c r="B17" s="6"/>
      <c r="C17" s="51" t="s">
        <v>11</v>
      </c>
      <c r="D17" s="52"/>
      <c r="E17" s="51"/>
      <c r="F17" s="52"/>
      <c r="G17" s="51" t="s">
        <v>11</v>
      </c>
      <c r="H17" s="52"/>
      <c r="I17" s="59"/>
      <c r="J17" s="60"/>
      <c r="K17" s="32"/>
      <c r="L17" s="17"/>
      <c r="M17" s="33"/>
      <c r="N17" s="34"/>
    </row>
    <row r="18" spans="2:14" ht="18" customHeight="1" x14ac:dyDescent="0.2">
      <c r="B18" s="9" t="s">
        <v>5</v>
      </c>
      <c r="C18" s="55"/>
      <c r="D18" s="56"/>
      <c r="E18" s="55" t="s">
        <v>5</v>
      </c>
      <c r="F18" s="56"/>
      <c r="G18" s="55"/>
      <c r="H18" s="56"/>
      <c r="I18" s="55" t="s">
        <v>5</v>
      </c>
      <c r="J18" s="61"/>
      <c r="K18" s="32"/>
      <c r="L18" s="17"/>
      <c r="M18" s="33"/>
      <c r="N18" s="34"/>
    </row>
    <row r="19" spans="2:14" ht="18" customHeight="1" x14ac:dyDescent="0.2">
      <c r="B19" s="6" t="s">
        <v>6</v>
      </c>
      <c r="C19" s="51"/>
      <c r="D19" s="52"/>
      <c r="E19" s="51" t="s">
        <v>6</v>
      </c>
      <c r="F19" s="52"/>
      <c r="G19" s="51"/>
      <c r="H19" s="52"/>
      <c r="I19" s="59" t="s">
        <v>6</v>
      </c>
      <c r="J19" s="60"/>
      <c r="K19" s="11"/>
      <c r="L19" s="17"/>
      <c r="M19" s="33"/>
      <c r="N19" s="34"/>
    </row>
    <row r="20" spans="2:14" ht="18" customHeight="1" x14ac:dyDescent="0.2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3"/>
      <c r="N20" s="34"/>
    </row>
    <row r="21" spans="2:14" ht="18" customHeight="1" x14ac:dyDescent="0.2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5"/>
      <c r="N21" s="36"/>
    </row>
    <row r="22" spans="2:14" ht="18" customHeight="1" x14ac:dyDescent="0.2">
      <c r="B22" s="8"/>
      <c r="C22" s="53"/>
      <c r="D22" s="54"/>
      <c r="E22" s="53"/>
      <c r="F22" s="54"/>
      <c r="G22" s="53"/>
      <c r="H22" s="54"/>
      <c r="I22" s="53"/>
      <c r="J22" s="62"/>
      <c r="K22" s="31" t="s">
        <v>15</v>
      </c>
      <c r="L22" s="16"/>
      <c r="M22" s="37"/>
      <c r="N22" s="38"/>
    </row>
    <row r="23" spans="2:14" ht="18" customHeight="1" x14ac:dyDescent="0.2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7"/>
      <c r="M23" s="33"/>
      <c r="N23" s="34"/>
    </row>
    <row r="24" spans="2:14" ht="18" customHeight="1" x14ac:dyDescent="0.2">
      <c r="B24" s="8"/>
      <c r="C24" s="53"/>
      <c r="D24" s="54"/>
      <c r="E24" s="53"/>
      <c r="F24" s="54"/>
      <c r="G24" s="53"/>
      <c r="H24" s="54"/>
      <c r="I24" s="53"/>
      <c r="J24" s="62"/>
      <c r="K24" s="32"/>
      <c r="L24" s="17"/>
      <c r="M24" s="33"/>
      <c r="N24" s="34"/>
    </row>
    <row r="25" spans="2:14" ht="18" customHeight="1" x14ac:dyDescent="0.2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7"/>
      <c r="M25" s="33"/>
      <c r="N25" s="34"/>
    </row>
    <row r="26" spans="2:14" ht="18" customHeight="1" x14ac:dyDescent="0.2">
      <c r="B26" s="8" t="s">
        <v>7</v>
      </c>
      <c r="C26" s="53"/>
      <c r="D26" s="54"/>
      <c r="E26" s="53" t="s">
        <v>7</v>
      </c>
      <c r="F26" s="54"/>
      <c r="G26" s="53"/>
      <c r="H26" s="54"/>
      <c r="I26" s="53" t="s">
        <v>7</v>
      </c>
      <c r="J26" s="62"/>
      <c r="K26" s="11"/>
      <c r="L26" s="17"/>
      <c r="M26" s="33"/>
      <c r="N26" s="34"/>
    </row>
    <row r="27" spans="2:14" ht="18" customHeight="1" x14ac:dyDescent="0.2">
      <c r="B27" s="6" t="s">
        <v>8</v>
      </c>
      <c r="C27" s="51"/>
      <c r="D27" s="52"/>
      <c r="E27" s="51" t="s">
        <v>8</v>
      </c>
      <c r="F27" s="52"/>
      <c r="G27" s="51"/>
      <c r="H27" s="52"/>
      <c r="I27" s="59" t="s">
        <v>8</v>
      </c>
      <c r="J27" s="60"/>
      <c r="K27" s="13"/>
      <c r="L27" s="19"/>
      <c r="M27" s="35"/>
      <c r="N27" s="36"/>
    </row>
    <row r="28" spans="2:14" ht="18" customHeight="1" x14ac:dyDescent="0.2">
      <c r="B28" s="8"/>
      <c r="C28" s="53"/>
      <c r="D28" s="54"/>
      <c r="E28" s="53"/>
      <c r="F28" s="54"/>
      <c r="G28" s="53"/>
      <c r="H28" s="54"/>
      <c r="I28" s="53"/>
      <c r="J28" s="62"/>
      <c r="K28" s="31" t="s">
        <v>16</v>
      </c>
      <c r="L28" s="16"/>
      <c r="M28" s="37"/>
      <c r="N28" s="38"/>
    </row>
    <row r="29" spans="2:14" ht="18" customHeight="1" x14ac:dyDescent="0.2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7"/>
      <c r="M29" s="33"/>
      <c r="N29" s="34"/>
    </row>
    <row r="30" spans="2:14" ht="18" customHeight="1" x14ac:dyDescent="0.2">
      <c r="B30" s="8"/>
      <c r="C30" s="53" t="s">
        <v>12</v>
      </c>
      <c r="D30" s="54"/>
      <c r="E30" s="53"/>
      <c r="F30" s="54"/>
      <c r="G30" s="53" t="s">
        <v>12</v>
      </c>
      <c r="H30" s="54"/>
      <c r="I30" s="75"/>
      <c r="J30" s="76"/>
      <c r="K30" s="32"/>
      <c r="L30" s="17"/>
      <c r="M30" s="33"/>
      <c r="N30" s="34"/>
    </row>
    <row r="31" spans="2:14" ht="18" customHeight="1" x14ac:dyDescent="0.2">
      <c r="B31" s="6"/>
      <c r="C31" s="51" t="s">
        <v>13</v>
      </c>
      <c r="D31" s="52"/>
      <c r="E31" s="51"/>
      <c r="F31" s="52"/>
      <c r="G31" s="51" t="s">
        <v>13</v>
      </c>
      <c r="H31" s="52"/>
      <c r="I31" s="51"/>
      <c r="J31" s="67"/>
      <c r="K31" s="14"/>
      <c r="L31" s="17"/>
      <c r="M31" s="33"/>
      <c r="N31" s="34"/>
    </row>
    <row r="32" spans="2:14" ht="18" customHeight="1" x14ac:dyDescent="0.2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3"/>
      <c r="N32" s="34"/>
    </row>
    <row r="33" spans="2:14" ht="18" customHeight="1" x14ac:dyDescent="0.2">
      <c r="B33" s="7"/>
      <c r="C33" s="57"/>
      <c r="D33" s="58"/>
      <c r="E33" s="57"/>
      <c r="F33" s="58"/>
      <c r="G33" s="57"/>
      <c r="H33" s="58"/>
      <c r="I33" s="77"/>
      <c r="J33" s="78"/>
      <c r="K33" s="15"/>
      <c r="L33" s="20"/>
      <c r="M33" s="73"/>
      <c r="N33" s="74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23" priority="3" stopIfTrue="1">
      <formula>DAY(C4)&gt;8</formula>
    </cfRule>
  </conditionalFormatting>
  <conditionalFormatting sqref="C8:I10">
    <cfRule type="expression" dxfId="22" priority="2" stopIfTrue="1">
      <formula>AND(DAY(C8)&gt;=1,DAY(C8)&lt;=15)</formula>
    </cfRule>
  </conditionalFormatting>
  <conditionalFormatting sqref="C4:I9">
    <cfRule type="expression" dxfId="21" priority="4">
      <formula>VLOOKUP(DAY(C4),DniPriradeniaÚloh,1,FALSE)=DAY(C4)</formula>
    </cfRule>
  </conditionalFormatting>
  <conditionalFormatting sqref="B14:J33">
    <cfRule type="expression" dxfId="20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42" t="s">
        <v>17</v>
      </c>
      <c r="L2" s="43">
        <v>2013</v>
      </c>
      <c r="M2" s="43"/>
      <c r="N2" s="79">
        <f>KalendárnyRok</f>
        <v>2016</v>
      </c>
    </row>
    <row r="3" spans="1:14" ht="21" customHeight="1" x14ac:dyDescent="0.2">
      <c r="A3" s="4"/>
      <c r="B3" s="68" t="s">
        <v>30</v>
      </c>
      <c r="C3" s="2" t="s">
        <v>2</v>
      </c>
      <c r="D3" s="2" t="s">
        <v>9</v>
      </c>
      <c r="E3" s="2" t="s">
        <v>14</v>
      </c>
      <c r="F3" s="2" t="s">
        <v>15</v>
      </c>
      <c r="G3" s="2" t="s">
        <v>16</v>
      </c>
      <c r="H3" s="2" t="s">
        <v>32</v>
      </c>
      <c r="I3" s="2" t="s">
        <v>33</v>
      </c>
      <c r="J3" s="5"/>
      <c r="K3" s="44"/>
      <c r="L3" s="45"/>
      <c r="M3" s="45"/>
      <c r="N3" s="80"/>
    </row>
    <row r="4" spans="1:14" ht="18" customHeight="1" x14ac:dyDescent="0.2">
      <c r="A4" s="4"/>
      <c r="B4" s="68"/>
      <c r="C4" s="10">
        <f>IF(DAY(AugNed1)=1,AugNed1-6,AugNed1+1)</f>
        <v>42583</v>
      </c>
      <c r="D4" s="10">
        <f>IF(DAY(AugNed1)=1,AugNed1-5,AugNed1+2)</f>
        <v>42584</v>
      </c>
      <c r="E4" s="10">
        <f>IF(DAY(AugNed1)=1,AugNed1-4,AugNed1+3)</f>
        <v>42585</v>
      </c>
      <c r="F4" s="10">
        <f>IF(DAY(AugNed1)=1,AugNed1-3,AugNed1+4)</f>
        <v>42586</v>
      </c>
      <c r="G4" s="10">
        <f>IF(DAY(AugNed1)=1,AugNed1-2,AugNed1+5)</f>
        <v>42587</v>
      </c>
      <c r="H4" s="10">
        <f>IF(DAY(AugNed1)=1,AugNed1-1,AugNed1+6)</f>
        <v>42588</v>
      </c>
      <c r="I4" s="10">
        <f>IF(DAY(AugNed1)=1,AugNed1,AugNed1+7)</f>
        <v>42589</v>
      </c>
      <c r="J4" s="5"/>
      <c r="K4" s="46" t="s">
        <v>2</v>
      </c>
      <c r="L4" s="16"/>
      <c r="M4" s="47"/>
      <c r="N4" s="48"/>
    </row>
    <row r="5" spans="1:14" ht="18" customHeight="1" x14ac:dyDescent="0.2">
      <c r="A5" s="4"/>
      <c r="B5" s="28"/>
      <c r="C5" s="10">
        <f>IF(DAY(AugNed1)=1,AugNed1+1,AugNed1+8)</f>
        <v>42590</v>
      </c>
      <c r="D5" s="10">
        <f>IF(DAY(AugNed1)=1,AugNed1+2,AugNed1+9)</f>
        <v>42591</v>
      </c>
      <c r="E5" s="10">
        <f>IF(DAY(AugNed1)=1,AugNed1+3,AugNed1+10)</f>
        <v>42592</v>
      </c>
      <c r="F5" s="10">
        <f>IF(DAY(AugNed1)=1,AugNed1+4,AugNed1+11)</f>
        <v>42593</v>
      </c>
      <c r="G5" s="10">
        <f>IF(DAY(AugNed1)=1,AugNed1+5,AugNed1+12)</f>
        <v>42594</v>
      </c>
      <c r="H5" s="10">
        <f>IF(DAY(AugNed1)=1,AugNed1+6,AugNed1+13)</f>
        <v>42595</v>
      </c>
      <c r="I5" s="10">
        <f>IF(DAY(AugNed1)=1,AugNed1+7,AugNed1+14)</f>
        <v>42596</v>
      </c>
      <c r="J5" s="5"/>
      <c r="K5" s="32"/>
      <c r="L5" s="17"/>
      <c r="M5" s="33"/>
      <c r="N5" s="34"/>
    </row>
    <row r="6" spans="1:14" ht="18" customHeight="1" x14ac:dyDescent="0.2">
      <c r="A6" s="4"/>
      <c r="B6" s="28"/>
      <c r="C6" s="10">
        <f>IF(DAY(AugNed1)=1,AugNed1+8,AugNed1+15)</f>
        <v>42597</v>
      </c>
      <c r="D6" s="10">
        <f>IF(DAY(AugNed1)=1,AugNed1+9,AugNed1+16)</f>
        <v>42598</v>
      </c>
      <c r="E6" s="10">
        <f>IF(DAY(AugNed1)=1,AugNed1+10,AugNed1+17)</f>
        <v>42599</v>
      </c>
      <c r="F6" s="10">
        <f>IF(DAY(AugNed1)=1,AugNed1+11,AugNed1+18)</f>
        <v>42600</v>
      </c>
      <c r="G6" s="10">
        <f>IF(DAY(AugNed1)=1,AugNed1+12,AugNed1+19)</f>
        <v>42601</v>
      </c>
      <c r="H6" s="10">
        <f>IF(DAY(AugNed1)=1,AugNed1+13,AugNed1+20)</f>
        <v>42602</v>
      </c>
      <c r="I6" s="10">
        <f>IF(DAY(AugNed1)=1,AugNed1+14,AugNed1+21)</f>
        <v>42603</v>
      </c>
      <c r="J6" s="5"/>
      <c r="K6" s="32"/>
      <c r="L6" s="17"/>
      <c r="M6" s="33"/>
      <c r="N6" s="34"/>
    </row>
    <row r="7" spans="1:14" ht="18" customHeight="1" x14ac:dyDescent="0.2">
      <c r="A7" s="4"/>
      <c r="B7" s="28"/>
      <c r="C7" s="10">
        <f>IF(DAY(AugNed1)=1,AugNed1+15,AugNed1+22)</f>
        <v>42604</v>
      </c>
      <c r="D7" s="10">
        <f>IF(DAY(AugNed1)=1,AugNed1+16,AugNed1+23)</f>
        <v>42605</v>
      </c>
      <c r="E7" s="10">
        <f>IF(DAY(AugNed1)=1,AugNed1+17,AugNed1+24)</f>
        <v>42606</v>
      </c>
      <c r="F7" s="10">
        <f>IF(DAY(AugNed1)=1,AugNed1+18,AugNed1+25)</f>
        <v>42607</v>
      </c>
      <c r="G7" s="10">
        <f>IF(DAY(AugNed1)=1,AugNed1+19,AugNed1+26)</f>
        <v>42608</v>
      </c>
      <c r="H7" s="10">
        <f>IF(DAY(AugNed1)=1,AugNed1+20,AugNed1+27)</f>
        <v>42609</v>
      </c>
      <c r="I7" s="10">
        <f>IF(DAY(AugNed1)=1,AugNed1+21,AugNed1+28)</f>
        <v>42610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IF(DAY(AugNed1)=1,AugNed1+22,AugNed1+29)</f>
        <v>42611</v>
      </c>
      <c r="D8" s="10">
        <f>IF(DAY(AugNed1)=1,AugNed1+23,AugNed1+30)</f>
        <v>42612</v>
      </c>
      <c r="E8" s="10">
        <f>IF(DAY(AugNed1)=1,AugNed1+24,AugNed1+31)</f>
        <v>42613</v>
      </c>
      <c r="F8" s="10">
        <f>IF(DAY(AugNed1)=1,AugNed1+25,AugNed1+32)</f>
        <v>42614</v>
      </c>
      <c r="G8" s="10">
        <f>IF(DAY(AugNed1)=1,AugNed1+26,AugNed1+33)</f>
        <v>42615</v>
      </c>
      <c r="H8" s="10">
        <f>IF(DAY(AugNed1)=1,AugNed1+27,AugNed1+34)</f>
        <v>42616</v>
      </c>
      <c r="I8" s="10">
        <f>IF(DAY(AugNed1)=1,AugNed1+28,AugNed1+35)</f>
        <v>42617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IF(DAY(AugNed1)=1,AugNed1+29,AugNed1+36)</f>
        <v>42618</v>
      </c>
      <c r="D9" s="10">
        <f>IF(DAY(AugNed1)=1,AugNed1+30,AugNed1+37)</f>
        <v>42619</v>
      </c>
      <c r="E9" s="10">
        <f>IF(DAY(AugNed1)=1,AugNed1+31,AugNed1+38)</f>
        <v>42620</v>
      </c>
      <c r="F9" s="10">
        <f>IF(DAY(AugNed1)=1,AugNed1+32,AugNed1+39)</f>
        <v>42621</v>
      </c>
      <c r="G9" s="10">
        <f>IF(DAY(AugNed1)=1,AugNed1+33,AugNed1+40)</f>
        <v>42622</v>
      </c>
      <c r="H9" s="10">
        <f>IF(DAY(AugNed1)=1,AugNed1+34,AugNed1+41)</f>
        <v>42623</v>
      </c>
      <c r="I9" s="10">
        <f>IF(DAY(AugNed1)=1,AugNed1+35,AugNed1+42)</f>
        <v>42624</v>
      </c>
      <c r="J9" s="5"/>
      <c r="K9" s="12"/>
      <c r="L9" s="18"/>
      <c r="M9" s="35"/>
      <c r="N9" s="36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31" t="s">
        <v>9</v>
      </c>
      <c r="L10" s="16"/>
      <c r="M10" s="37"/>
      <c r="N10" s="38"/>
    </row>
    <row r="11" spans="1:14" ht="18" customHeight="1" x14ac:dyDescent="0.2">
      <c r="A11" s="4"/>
      <c r="B11" s="70" t="s">
        <v>1</v>
      </c>
      <c r="C11" s="71"/>
      <c r="D11" s="71"/>
      <c r="E11" s="71"/>
      <c r="F11" s="71"/>
      <c r="G11" s="71"/>
      <c r="H11" s="71"/>
      <c r="I11" s="71"/>
      <c r="J11" s="72"/>
      <c r="K11" s="32"/>
      <c r="L11" s="17"/>
      <c r="M11" s="33"/>
      <c r="N11" s="34"/>
    </row>
    <row r="12" spans="1:14" ht="18" customHeight="1" x14ac:dyDescent="0.2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7"/>
      <c r="M12" s="33"/>
      <c r="N12" s="34"/>
    </row>
    <row r="13" spans="1:14" ht="18" customHeight="1" x14ac:dyDescent="0.2">
      <c r="B13" s="3" t="s">
        <v>2</v>
      </c>
      <c r="C13" s="39" t="s">
        <v>9</v>
      </c>
      <c r="D13" s="41"/>
      <c r="E13" s="39" t="s">
        <v>14</v>
      </c>
      <c r="F13" s="41"/>
      <c r="G13" s="39" t="s">
        <v>15</v>
      </c>
      <c r="H13" s="41"/>
      <c r="I13" s="39" t="s">
        <v>16</v>
      </c>
      <c r="J13" s="40"/>
      <c r="K13" s="11"/>
      <c r="L13" s="17"/>
      <c r="M13" s="33"/>
      <c r="N13" s="34"/>
    </row>
    <row r="14" spans="1:14" ht="18" customHeight="1" x14ac:dyDescent="0.2">
      <c r="B14" s="8" t="s">
        <v>3</v>
      </c>
      <c r="C14" s="53"/>
      <c r="D14" s="54"/>
      <c r="E14" s="53" t="s">
        <v>3</v>
      </c>
      <c r="F14" s="54"/>
      <c r="G14" s="53"/>
      <c r="H14" s="54"/>
      <c r="I14" s="53" t="s">
        <v>3</v>
      </c>
      <c r="J14" s="62"/>
      <c r="K14" s="11"/>
      <c r="L14" s="17"/>
      <c r="M14" s="33"/>
      <c r="N14" s="34"/>
    </row>
    <row r="15" spans="1:14" ht="18" customHeight="1" x14ac:dyDescent="0.2">
      <c r="B15" s="6" t="s">
        <v>4</v>
      </c>
      <c r="C15" s="51"/>
      <c r="D15" s="52"/>
      <c r="E15" s="51" t="s">
        <v>4</v>
      </c>
      <c r="F15" s="52"/>
      <c r="G15" s="51"/>
      <c r="H15" s="52"/>
      <c r="I15" s="59" t="s">
        <v>4</v>
      </c>
      <c r="J15" s="60"/>
      <c r="K15" s="13"/>
      <c r="L15" s="19"/>
      <c r="M15" s="35"/>
      <c r="N15" s="36"/>
    </row>
    <row r="16" spans="1:14" ht="18" customHeight="1" x14ac:dyDescent="0.2">
      <c r="B16" s="8"/>
      <c r="C16" s="53" t="s">
        <v>10</v>
      </c>
      <c r="D16" s="54"/>
      <c r="E16" s="53"/>
      <c r="F16" s="54"/>
      <c r="G16" s="53" t="s">
        <v>10</v>
      </c>
      <c r="H16" s="54"/>
      <c r="I16" s="63"/>
      <c r="J16" s="64"/>
      <c r="K16" s="31" t="s">
        <v>14</v>
      </c>
      <c r="L16" s="16"/>
      <c r="M16" s="37"/>
      <c r="N16" s="38"/>
    </row>
    <row r="17" spans="2:14" ht="18" customHeight="1" x14ac:dyDescent="0.2">
      <c r="B17" s="6"/>
      <c r="C17" s="51" t="s">
        <v>11</v>
      </c>
      <c r="D17" s="52"/>
      <c r="E17" s="51"/>
      <c r="F17" s="52"/>
      <c r="G17" s="51" t="s">
        <v>11</v>
      </c>
      <c r="H17" s="52"/>
      <c r="I17" s="59"/>
      <c r="J17" s="60"/>
      <c r="K17" s="32"/>
      <c r="L17" s="17"/>
      <c r="M17" s="33"/>
      <c r="N17" s="34"/>
    </row>
    <row r="18" spans="2:14" ht="18" customHeight="1" x14ac:dyDescent="0.2">
      <c r="B18" s="9" t="s">
        <v>5</v>
      </c>
      <c r="C18" s="55"/>
      <c r="D18" s="56"/>
      <c r="E18" s="55" t="s">
        <v>5</v>
      </c>
      <c r="F18" s="56"/>
      <c r="G18" s="55"/>
      <c r="H18" s="56"/>
      <c r="I18" s="55" t="s">
        <v>5</v>
      </c>
      <c r="J18" s="61"/>
      <c r="K18" s="32"/>
      <c r="L18" s="17"/>
      <c r="M18" s="33"/>
      <c r="N18" s="34"/>
    </row>
    <row r="19" spans="2:14" ht="18" customHeight="1" x14ac:dyDescent="0.2">
      <c r="B19" s="6" t="s">
        <v>6</v>
      </c>
      <c r="C19" s="51"/>
      <c r="D19" s="52"/>
      <c r="E19" s="51" t="s">
        <v>6</v>
      </c>
      <c r="F19" s="52"/>
      <c r="G19" s="51"/>
      <c r="H19" s="52"/>
      <c r="I19" s="59" t="s">
        <v>6</v>
      </c>
      <c r="J19" s="60"/>
      <c r="K19" s="11"/>
      <c r="L19" s="17"/>
      <c r="M19" s="33"/>
      <c r="N19" s="34"/>
    </row>
    <row r="20" spans="2:14" ht="18" customHeight="1" x14ac:dyDescent="0.2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3"/>
      <c r="N20" s="34"/>
    </row>
    <row r="21" spans="2:14" ht="18" customHeight="1" x14ac:dyDescent="0.2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5"/>
      <c r="N21" s="36"/>
    </row>
    <row r="22" spans="2:14" ht="18" customHeight="1" x14ac:dyDescent="0.2">
      <c r="B22" s="8"/>
      <c r="C22" s="53"/>
      <c r="D22" s="54"/>
      <c r="E22" s="53"/>
      <c r="F22" s="54"/>
      <c r="G22" s="53"/>
      <c r="H22" s="54"/>
      <c r="I22" s="53"/>
      <c r="J22" s="62"/>
      <c r="K22" s="31" t="s">
        <v>15</v>
      </c>
      <c r="L22" s="16"/>
      <c r="M22" s="37"/>
      <c r="N22" s="38"/>
    </row>
    <row r="23" spans="2:14" ht="18" customHeight="1" x14ac:dyDescent="0.2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7"/>
      <c r="M23" s="33"/>
      <c r="N23" s="34"/>
    </row>
    <row r="24" spans="2:14" ht="18" customHeight="1" x14ac:dyDescent="0.2">
      <c r="B24" s="8"/>
      <c r="C24" s="53"/>
      <c r="D24" s="54"/>
      <c r="E24" s="53"/>
      <c r="F24" s="54"/>
      <c r="G24" s="53"/>
      <c r="H24" s="54"/>
      <c r="I24" s="53"/>
      <c r="J24" s="62"/>
      <c r="K24" s="32"/>
      <c r="L24" s="17"/>
      <c r="M24" s="33"/>
      <c r="N24" s="34"/>
    </row>
    <row r="25" spans="2:14" ht="18" customHeight="1" x14ac:dyDescent="0.2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7"/>
      <c r="M25" s="33"/>
      <c r="N25" s="34"/>
    </row>
    <row r="26" spans="2:14" ht="18" customHeight="1" x14ac:dyDescent="0.2">
      <c r="B26" s="8" t="s">
        <v>7</v>
      </c>
      <c r="C26" s="53"/>
      <c r="D26" s="54"/>
      <c r="E26" s="53" t="s">
        <v>7</v>
      </c>
      <c r="F26" s="54"/>
      <c r="G26" s="53"/>
      <c r="H26" s="54"/>
      <c r="I26" s="53" t="s">
        <v>7</v>
      </c>
      <c r="J26" s="62"/>
      <c r="K26" s="11"/>
      <c r="L26" s="17"/>
      <c r="M26" s="33"/>
      <c r="N26" s="34"/>
    </row>
    <row r="27" spans="2:14" ht="18" customHeight="1" x14ac:dyDescent="0.2">
      <c r="B27" s="6" t="s">
        <v>8</v>
      </c>
      <c r="C27" s="51"/>
      <c r="D27" s="52"/>
      <c r="E27" s="51" t="s">
        <v>8</v>
      </c>
      <c r="F27" s="52"/>
      <c r="G27" s="51"/>
      <c r="H27" s="52"/>
      <c r="I27" s="59" t="s">
        <v>8</v>
      </c>
      <c r="J27" s="60"/>
      <c r="K27" s="13"/>
      <c r="L27" s="19"/>
      <c r="M27" s="35"/>
      <c r="N27" s="36"/>
    </row>
    <row r="28" spans="2:14" ht="18" customHeight="1" x14ac:dyDescent="0.2">
      <c r="B28" s="8"/>
      <c r="C28" s="53"/>
      <c r="D28" s="54"/>
      <c r="E28" s="53"/>
      <c r="F28" s="54"/>
      <c r="G28" s="53"/>
      <c r="H28" s="54"/>
      <c r="I28" s="53"/>
      <c r="J28" s="62"/>
      <c r="K28" s="31" t="s">
        <v>16</v>
      </c>
      <c r="L28" s="16"/>
      <c r="M28" s="37"/>
      <c r="N28" s="38"/>
    </row>
    <row r="29" spans="2:14" ht="18" customHeight="1" x14ac:dyDescent="0.2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7"/>
      <c r="M29" s="33"/>
      <c r="N29" s="34"/>
    </row>
    <row r="30" spans="2:14" ht="18" customHeight="1" x14ac:dyDescent="0.2">
      <c r="B30" s="8"/>
      <c r="C30" s="53" t="s">
        <v>12</v>
      </c>
      <c r="D30" s="54"/>
      <c r="E30" s="53"/>
      <c r="F30" s="54"/>
      <c r="G30" s="53" t="s">
        <v>12</v>
      </c>
      <c r="H30" s="54"/>
      <c r="I30" s="75"/>
      <c r="J30" s="76"/>
      <c r="K30" s="32"/>
      <c r="L30" s="17"/>
      <c r="M30" s="33"/>
      <c r="N30" s="34"/>
    </row>
    <row r="31" spans="2:14" ht="18" customHeight="1" x14ac:dyDescent="0.2">
      <c r="B31" s="6"/>
      <c r="C31" s="51" t="s">
        <v>13</v>
      </c>
      <c r="D31" s="52"/>
      <c r="E31" s="51"/>
      <c r="F31" s="52"/>
      <c r="G31" s="51" t="s">
        <v>13</v>
      </c>
      <c r="H31" s="52"/>
      <c r="I31" s="51"/>
      <c r="J31" s="67"/>
      <c r="K31" s="14"/>
      <c r="L31" s="17"/>
      <c r="M31" s="33"/>
      <c r="N31" s="34"/>
    </row>
    <row r="32" spans="2:14" ht="18" customHeight="1" x14ac:dyDescent="0.2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3"/>
      <c r="N32" s="34"/>
    </row>
    <row r="33" spans="2:14" ht="18" customHeight="1" x14ac:dyDescent="0.2">
      <c r="B33" s="7"/>
      <c r="C33" s="57"/>
      <c r="D33" s="58"/>
      <c r="E33" s="57"/>
      <c r="F33" s="58"/>
      <c r="G33" s="57"/>
      <c r="H33" s="58"/>
      <c r="I33" s="77"/>
      <c r="J33" s="78"/>
      <c r="K33" s="15"/>
      <c r="L33" s="20"/>
      <c r="M33" s="73"/>
      <c r="N33" s="74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19" priority="3" stopIfTrue="1">
      <formula>DAY(C4)&gt;8</formula>
    </cfRule>
  </conditionalFormatting>
  <conditionalFormatting sqref="C8:I10">
    <cfRule type="expression" dxfId="18" priority="2" stopIfTrue="1">
      <formula>AND(DAY(C8)&gt;=1,DAY(C8)&lt;=15)</formula>
    </cfRule>
  </conditionalFormatting>
  <conditionalFormatting sqref="C4:I9">
    <cfRule type="expression" dxfId="17" priority="4">
      <formula>VLOOKUP(DAY(C4),DniPriradeniaÚloh,1,FALSE)=DAY(C4)</formula>
    </cfRule>
  </conditionalFormatting>
  <conditionalFormatting sqref="B14:J33">
    <cfRule type="expression" dxfId="16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42" t="s">
        <v>17</v>
      </c>
      <c r="L2" s="43">
        <v>2013</v>
      </c>
      <c r="M2" s="43"/>
      <c r="N2" s="79">
        <f>KalendárnyRok</f>
        <v>2016</v>
      </c>
    </row>
    <row r="3" spans="1:14" ht="21" customHeight="1" x14ac:dyDescent="0.2">
      <c r="A3" s="4"/>
      <c r="B3" s="68" t="s">
        <v>31</v>
      </c>
      <c r="C3" s="2" t="s">
        <v>2</v>
      </c>
      <c r="D3" s="2" t="s">
        <v>9</v>
      </c>
      <c r="E3" s="2" t="s">
        <v>14</v>
      </c>
      <c r="F3" s="2" t="s">
        <v>15</v>
      </c>
      <c r="G3" s="2" t="s">
        <v>16</v>
      </c>
      <c r="H3" s="2" t="s">
        <v>32</v>
      </c>
      <c r="I3" s="2" t="s">
        <v>33</v>
      </c>
      <c r="J3" s="5"/>
      <c r="K3" s="44"/>
      <c r="L3" s="45"/>
      <c r="M3" s="45"/>
      <c r="N3" s="80"/>
    </row>
    <row r="4" spans="1:14" ht="18" customHeight="1" x14ac:dyDescent="0.2">
      <c r="A4" s="4"/>
      <c r="B4" s="68"/>
      <c r="C4" s="10">
        <f>IF(DAY(SepNed1)=1,SepNed1-6,SepNed1+1)</f>
        <v>42611</v>
      </c>
      <c r="D4" s="10">
        <f>IF(DAY(SepNed1)=1,SepNed1-5,SepNed1+2)</f>
        <v>42612</v>
      </c>
      <c r="E4" s="10">
        <f>IF(DAY(SepNed1)=1,SepNed1-4,SepNed1+3)</f>
        <v>42613</v>
      </c>
      <c r="F4" s="10">
        <f>IF(DAY(SepNed1)=1,SepNed1-3,SepNed1+4)</f>
        <v>42614</v>
      </c>
      <c r="G4" s="10">
        <f>IF(DAY(SepNed1)=1,SepNed1-2,SepNed1+5)</f>
        <v>42615</v>
      </c>
      <c r="H4" s="10">
        <f>IF(DAY(SepNed1)=1,SepNed1-1,SepNed1+6)</f>
        <v>42616</v>
      </c>
      <c r="I4" s="10">
        <f>IF(DAY(SepNed1)=1,SepNed1,SepNed1+7)</f>
        <v>42617</v>
      </c>
      <c r="J4" s="5"/>
      <c r="K4" s="46" t="s">
        <v>2</v>
      </c>
      <c r="L4" s="16"/>
      <c r="M4" s="47"/>
      <c r="N4" s="48"/>
    </row>
    <row r="5" spans="1:14" ht="18" customHeight="1" x14ac:dyDescent="0.2">
      <c r="A5" s="4"/>
      <c r="B5" s="28"/>
      <c r="C5" s="10">
        <f>IF(DAY(SepNed1)=1,SepNed1+1,SepNed1+8)</f>
        <v>42618</v>
      </c>
      <c r="D5" s="10">
        <f>IF(DAY(SepNed1)=1,SepNed1+2,SepNed1+9)</f>
        <v>42619</v>
      </c>
      <c r="E5" s="10">
        <f>IF(DAY(SepNed1)=1,SepNed1+3,SepNed1+10)</f>
        <v>42620</v>
      </c>
      <c r="F5" s="10">
        <f>IF(DAY(SepNed1)=1,SepNed1+4,SepNed1+11)</f>
        <v>42621</v>
      </c>
      <c r="G5" s="10">
        <f>IF(DAY(SepNed1)=1,SepNed1+5,SepNed1+12)</f>
        <v>42622</v>
      </c>
      <c r="H5" s="10">
        <f>IF(DAY(SepNed1)=1,SepNed1+6,SepNed1+13)</f>
        <v>42623</v>
      </c>
      <c r="I5" s="10">
        <f>IF(DAY(SepNed1)=1,SepNed1+7,SepNed1+14)</f>
        <v>42624</v>
      </c>
      <c r="J5" s="5"/>
      <c r="K5" s="32"/>
      <c r="L5" s="17"/>
      <c r="M5" s="33"/>
      <c r="N5" s="34"/>
    </row>
    <row r="6" spans="1:14" ht="18" customHeight="1" x14ac:dyDescent="0.2">
      <c r="A6" s="4"/>
      <c r="B6" s="28"/>
      <c r="C6" s="10">
        <f>IF(DAY(SepNed1)=1,SepNed1+8,SepNed1+15)</f>
        <v>42625</v>
      </c>
      <c r="D6" s="10">
        <f>IF(DAY(SepNed1)=1,SepNed1+9,SepNed1+16)</f>
        <v>42626</v>
      </c>
      <c r="E6" s="10">
        <f>IF(DAY(SepNed1)=1,SepNed1+10,SepNed1+17)</f>
        <v>42627</v>
      </c>
      <c r="F6" s="10">
        <f>IF(DAY(SepNed1)=1,SepNed1+11,SepNed1+18)</f>
        <v>42628</v>
      </c>
      <c r="G6" s="10">
        <f>IF(DAY(SepNed1)=1,SepNed1+12,SepNed1+19)</f>
        <v>42629</v>
      </c>
      <c r="H6" s="10">
        <f>IF(DAY(SepNed1)=1,SepNed1+13,SepNed1+20)</f>
        <v>42630</v>
      </c>
      <c r="I6" s="10">
        <f>IF(DAY(SepNed1)=1,SepNed1+14,SepNed1+21)</f>
        <v>42631</v>
      </c>
      <c r="J6" s="5"/>
      <c r="K6" s="32"/>
      <c r="L6" s="17"/>
      <c r="M6" s="33"/>
      <c r="N6" s="34"/>
    </row>
    <row r="7" spans="1:14" ht="18" customHeight="1" x14ac:dyDescent="0.2">
      <c r="A7" s="4"/>
      <c r="B7" s="28"/>
      <c r="C7" s="10">
        <f>IF(DAY(SepNed1)=1,SepNed1+15,SepNed1+22)</f>
        <v>42632</v>
      </c>
      <c r="D7" s="10">
        <f>IF(DAY(SepNed1)=1,SepNed1+16,SepNed1+23)</f>
        <v>42633</v>
      </c>
      <c r="E7" s="10">
        <f>IF(DAY(SepNed1)=1,SepNed1+17,SepNed1+24)</f>
        <v>42634</v>
      </c>
      <c r="F7" s="10">
        <f>IF(DAY(SepNed1)=1,SepNed1+18,SepNed1+25)</f>
        <v>42635</v>
      </c>
      <c r="G7" s="10">
        <f>IF(DAY(SepNed1)=1,SepNed1+19,SepNed1+26)</f>
        <v>42636</v>
      </c>
      <c r="H7" s="10">
        <f>IF(DAY(SepNed1)=1,SepNed1+20,SepNed1+27)</f>
        <v>42637</v>
      </c>
      <c r="I7" s="10">
        <f>IF(DAY(SepNed1)=1,SepNed1+21,SepNed1+28)</f>
        <v>42638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IF(DAY(SepNed1)=1,SepNed1+22,SepNed1+29)</f>
        <v>42639</v>
      </c>
      <c r="D8" s="10">
        <f>IF(DAY(SepNed1)=1,SepNed1+23,SepNed1+30)</f>
        <v>42640</v>
      </c>
      <c r="E8" s="10">
        <f>IF(DAY(SepNed1)=1,SepNed1+24,SepNed1+31)</f>
        <v>42641</v>
      </c>
      <c r="F8" s="10">
        <f>IF(DAY(SepNed1)=1,SepNed1+25,SepNed1+32)</f>
        <v>42642</v>
      </c>
      <c r="G8" s="10">
        <f>IF(DAY(SepNed1)=1,SepNed1+26,SepNed1+33)</f>
        <v>42643</v>
      </c>
      <c r="H8" s="10">
        <f>IF(DAY(SepNed1)=1,SepNed1+27,SepNed1+34)</f>
        <v>42644</v>
      </c>
      <c r="I8" s="10">
        <f>IF(DAY(SepNed1)=1,SepNed1+28,SepNed1+35)</f>
        <v>42645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IF(DAY(SepNed1)=1,SepNed1+29,SepNed1+36)</f>
        <v>42646</v>
      </c>
      <c r="D9" s="10">
        <f>IF(DAY(SepNed1)=1,SepNed1+30,SepNed1+37)</f>
        <v>42647</v>
      </c>
      <c r="E9" s="10">
        <f>IF(DAY(SepNed1)=1,SepNed1+31,SepNed1+38)</f>
        <v>42648</v>
      </c>
      <c r="F9" s="10">
        <f>IF(DAY(SepNed1)=1,SepNed1+32,SepNed1+39)</f>
        <v>42649</v>
      </c>
      <c r="G9" s="10">
        <f>IF(DAY(SepNed1)=1,SepNed1+33,SepNed1+40)</f>
        <v>42650</v>
      </c>
      <c r="H9" s="10">
        <f>IF(DAY(SepNed1)=1,SepNed1+34,SepNed1+41)</f>
        <v>42651</v>
      </c>
      <c r="I9" s="10">
        <f>IF(DAY(SepNed1)=1,SepNed1+35,SepNed1+42)</f>
        <v>42652</v>
      </c>
      <c r="J9" s="5"/>
      <c r="K9" s="12"/>
      <c r="L9" s="18"/>
      <c r="M9" s="35"/>
      <c r="N9" s="36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31" t="s">
        <v>9</v>
      </c>
      <c r="L10" s="16"/>
      <c r="M10" s="37"/>
      <c r="N10" s="38"/>
    </row>
    <row r="11" spans="1:14" ht="18" customHeight="1" x14ac:dyDescent="0.2">
      <c r="A11" s="4"/>
      <c r="B11" s="70" t="s">
        <v>1</v>
      </c>
      <c r="C11" s="71"/>
      <c r="D11" s="71"/>
      <c r="E11" s="71"/>
      <c r="F11" s="71"/>
      <c r="G11" s="71"/>
      <c r="H11" s="71"/>
      <c r="I11" s="71"/>
      <c r="J11" s="72"/>
      <c r="K11" s="32"/>
      <c r="L11" s="17"/>
      <c r="M11" s="33"/>
      <c r="N11" s="34"/>
    </row>
    <row r="12" spans="1:14" ht="18" customHeight="1" x14ac:dyDescent="0.2">
      <c r="A12" s="4"/>
      <c r="B12" s="70"/>
      <c r="C12" s="71"/>
      <c r="D12" s="71"/>
      <c r="E12" s="71"/>
      <c r="F12" s="71"/>
      <c r="G12" s="71"/>
      <c r="H12" s="71"/>
      <c r="I12" s="71"/>
      <c r="J12" s="72"/>
      <c r="K12" s="32"/>
      <c r="L12" s="17"/>
      <c r="M12" s="33"/>
      <c r="N12" s="34"/>
    </row>
    <row r="13" spans="1:14" ht="18" customHeight="1" x14ac:dyDescent="0.2">
      <c r="B13" s="3" t="s">
        <v>2</v>
      </c>
      <c r="C13" s="39" t="s">
        <v>9</v>
      </c>
      <c r="D13" s="41"/>
      <c r="E13" s="39" t="s">
        <v>14</v>
      </c>
      <c r="F13" s="41"/>
      <c r="G13" s="39" t="s">
        <v>15</v>
      </c>
      <c r="H13" s="41"/>
      <c r="I13" s="39" t="s">
        <v>16</v>
      </c>
      <c r="J13" s="40"/>
      <c r="K13" s="11"/>
      <c r="L13" s="17"/>
      <c r="M13" s="33"/>
      <c r="N13" s="34"/>
    </row>
    <row r="14" spans="1:14" ht="18" customHeight="1" x14ac:dyDescent="0.2">
      <c r="B14" s="8" t="s">
        <v>3</v>
      </c>
      <c r="C14" s="53"/>
      <c r="D14" s="54"/>
      <c r="E14" s="53" t="s">
        <v>3</v>
      </c>
      <c r="F14" s="54"/>
      <c r="G14" s="53"/>
      <c r="H14" s="54"/>
      <c r="I14" s="53" t="s">
        <v>3</v>
      </c>
      <c r="J14" s="62"/>
      <c r="K14" s="11"/>
      <c r="L14" s="17"/>
      <c r="M14" s="33"/>
      <c r="N14" s="34"/>
    </row>
    <row r="15" spans="1:14" ht="18" customHeight="1" x14ac:dyDescent="0.2">
      <c r="B15" s="6" t="s">
        <v>4</v>
      </c>
      <c r="C15" s="51"/>
      <c r="D15" s="52"/>
      <c r="E15" s="51" t="s">
        <v>4</v>
      </c>
      <c r="F15" s="52"/>
      <c r="G15" s="51"/>
      <c r="H15" s="52"/>
      <c r="I15" s="59" t="s">
        <v>4</v>
      </c>
      <c r="J15" s="60"/>
      <c r="K15" s="13"/>
      <c r="L15" s="19"/>
      <c r="M15" s="35"/>
      <c r="N15" s="36"/>
    </row>
    <row r="16" spans="1:14" ht="18" customHeight="1" x14ac:dyDescent="0.2">
      <c r="B16" s="8"/>
      <c r="C16" s="53" t="s">
        <v>10</v>
      </c>
      <c r="D16" s="54"/>
      <c r="E16" s="53"/>
      <c r="F16" s="54"/>
      <c r="G16" s="53" t="s">
        <v>10</v>
      </c>
      <c r="H16" s="54"/>
      <c r="I16" s="63"/>
      <c r="J16" s="64"/>
      <c r="K16" s="31" t="s">
        <v>14</v>
      </c>
      <c r="L16" s="16"/>
      <c r="M16" s="37"/>
      <c r="N16" s="38"/>
    </row>
    <row r="17" spans="2:14" ht="18" customHeight="1" x14ac:dyDescent="0.2">
      <c r="B17" s="6"/>
      <c r="C17" s="51" t="s">
        <v>11</v>
      </c>
      <c r="D17" s="52"/>
      <c r="E17" s="51"/>
      <c r="F17" s="52"/>
      <c r="G17" s="51" t="s">
        <v>11</v>
      </c>
      <c r="H17" s="52"/>
      <c r="I17" s="59"/>
      <c r="J17" s="60"/>
      <c r="K17" s="32"/>
      <c r="L17" s="17"/>
      <c r="M17" s="33"/>
      <c r="N17" s="34"/>
    </row>
    <row r="18" spans="2:14" ht="18" customHeight="1" x14ac:dyDescent="0.2">
      <c r="B18" s="9" t="s">
        <v>5</v>
      </c>
      <c r="C18" s="55"/>
      <c r="D18" s="56"/>
      <c r="E18" s="55" t="s">
        <v>5</v>
      </c>
      <c r="F18" s="56"/>
      <c r="G18" s="55"/>
      <c r="H18" s="56"/>
      <c r="I18" s="55" t="s">
        <v>5</v>
      </c>
      <c r="J18" s="61"/>
      <c r="K18" s="32"/>
      <c r="L18" s="17"/>
      <c r="M18" s="33"/>
      <c r="N18" s="34"/>
    </row>
    <row r="19" spans="2:14" ht="18" customHeight="1" x14ac:dyDescent="0.2">
      <c r="B19" s="6" t="s">
        <v>6</v>
      </c>
      <c r="C19" s="51"/>
      <c r="D19" s="52"/>
      <c r="E19" s="51" t="s">
        <v>6</v>
      </c>
      <c r="F19" s="52"/>
      <c r="G19" s="51"/>
      <c r="H19" s="52"/>
      <c r="I19" s="59" t="s">
        <v>6</v>
      </c>
      <c r="J19" s="60"/>
      <c r="K19" s="11"/>
      <c r="L19" s="17"/>
      <c r="M19" s="33"/>
      <c r="N19" s="34"/>
    </row>
    <row r="20" spans="2:14" ht="18" customHeight="1" x14ac:dyDescent="0.2">
      <c r="B20" s="8"/>
      <c r="C20" s="53"/>
      <c r="D20" s="54"/>
      <c r="E20" s="53"/>
      <c r="F20" s="54"/>
      <c r="G20" s="53"/>
      <c r="H20" s="54"/>
      <c r="I20" s="53"/>
      <c r="J20" s="62"/>
      <c r="K20" s="11"/>
      <c r="L20" s="17"/>
      <c r="M20" s="33"/>
      <c r="N20" s="34"/>
    </row>
    <row r="21" spans="2:14" ht="18" customHeight="1" x14ac:dyDescent="0.2">
      <c r="B21" s="6"/>
      <c r="C21" s="51"/>
      <c r="D21" s="52"/>
      <c r="E21" s="51"/>
      <c r="F21" s="52"/>
      <c r="G21" s="51"/>
      <c r="H21" s="52"/>
      <c r="I21" s="65"/>
      <c r="J21" s="66"/>
      <c r="K21" s="13"/>
      <c r="L21" s="19"/>
      <c r="M21" s="35"/>
      <c r="N21" s="36"/>
    </row>
    <row r="22" spans="2:14" ht="18" customHeight="1" x14ac:dyDescent="0.2">
      <c r="B22" s="8"/>
      <c r="C22" s="53"/>
      <c r="D22" s="54"/>
      <c r="E22" s="53"/>
      <c r="F22" s="54"/>
      <c r="G22" s="53"/>
      <c r="H22" s="54"/>
      <c r="I22" s="53"/>
      <c r="J22" s="62"/>
      <c r="K22" s="31" t="s">
        <v>15</v>
      </c>
      <c r="L22" s="16"/>
      <c r="M22" s="37"/>
      <c r="N22" s="38"/>
    </row>
    <row r="23" spans="2:14" ht="18" customHeight="1" x14ac:dyDescent="0.2">
      <c r="B23" s="6"/>
      <c r="C23" s="51"/>
      <c r="D23" s="52"/>
      <c r="E23" s="51"/>
      <c r="F23" s="52"/>
      <c r="G23" s="51"/>
      <c r="H23" s="52"/>
      <c r="I23" s="59"/>
      <c r="J23" s="60"/>
      <c r="K23" s="32"/>
      <c r="L23" s="17"/>
      <c r="M23" s="33"/>
      <c r="N23" s="34"/>
    </row>
    <row r="24" spans="2:14" ht="18" customHeight="1" x14ac:dyDescent="0.2">
      <c r="B24" s="8"/>
      <c r="C24" s="53"/>
      <c r="D24" s="54"/>
      <c r="E24" s="53"/>
      <c r="F24" s="54"/>
      <c r="G24" s="53"/>
      <c r="H24" s="54"/>
      <c r="I24" s="53"/>
      <c r="J24" s="62"/>
      <c r="K24" s="32"/>
      <c r="L24" s="17"/>
      <c r="M24" s="33"/>
      <c r="N24" s="34"/>
    </row>
    <row r="25" spans="2:14" ht="18" customHeight="1" x14ac:dyDescent="0.2">
      <c r="B25" s="6"/>
      <c r="C25" s="51"/>
      <c r="D25" s="52"/>
      <c r="E25" s="51"/>
      <c r="F25" s="52"/>
      <c r="G25" s="51"/>
      <c r="H25" s="52"/>
      <c r="I25" s="59"/>
      <c r="J25" s="60"/>
      <c r="K25" s="32"/>
      <c r="L25" s="17"/>
      <c r="M25" s="33"/>
      <c r="N25" s="34"/>
    </row>
    <row r="26" spans="2:14" ht="18" customHeight="1" x14ac:dyDescent="0.2">
      <c r="B26" s="8" t="s">
        <v>7</v>
      </c>
      <c r="C26" s="53"/>
      <c r="D26" s="54"/>
      <c r="E26" s="53" t="s">
        <v>7</v>
      </c>
      <c r="F26" s="54"/>
      <c r="G26" s="53"/>
      <c r="H26" s="54"/>
      <c r="I26" s="53" t="s">
        <v>7</v>
      </c>
      <c r="J26" s="62"/>
      <c r="K26" s="11"/>
      <c r="L26" s="17"/>
      <c r="M26" s="33"/>
      <c r="N26" s="34"/>
    </row>
    <row r="27" spans="2:14" ht="18" customHeight="1" x14ac:dyDescent="0.2">
      <c r="B27" s="6" t="s">
        <v>8</v>
      </c>
      <c r="C27" s="51"/>
      <c r="D27" s="52"/>
      <c r="E27" s="51" t="s">
        <v>8</v>
      </c>
      <c r="F27" s="52"/>
      <c r="G27" s="51"/>
      <c r="H27" s="52"/>
      <c r="I27" s="59" t="s">
        <v>8</v>
      </c>
      <c r="J27" s="60"/>
      <c r="K27" s="13"/>
      <c r="L27" s="19"/>
      <c r="M27" s="35"/>
      <c r="N27" s="36"/>
    </row>
    <row r="28" spans="2:14" ht="18" customHeight="1" x14ac:dyDescent="0.2">
      <c r="B28" s="8"/>
      <c r="C28" s="53"/>
      <c r="D28" s="54"/>
      <c r="E28" s="53"/>
      <c r="F28" s="54"/>
      <c r="G28" s="53"/>
      <c r="H28" s="54"/>
      <c r="I28" s="53"/>
      <c r="J28" s="62"/>
      <c r="K28" s="31" t="s">
        <v>16</v>
      </c>
      <c r="L28" s="16"/>
      <c r="M28" s="37"/>
      <c r="N28" s="38"/>
    </row>
    <row r="29" spans="2:14" ht="18" customHeight="1" x14ac:dyDescent="0.2">
      <c r="B29" s="6"/>
      <c r="C29" s="51"/>
      <c r="D29" s="52"/>
      <c r="E29" s="51"/>
      <c r="F29" s="52"/>
      <c r="G29" s="51"/>
      <c r="H29" s="52"/>
      <c r="I29" s="51"/>
      <c r="J29" s="67"/>
      <c r="K29" s="32"/>
      <c r="L29" s="17"/>
      <c r="M29" s="33"/>
      <c r="N29" s="34"/>
    </row>
    <row r="30" spans="2:14" ht="18" customHeight="1" x14ac:dyDescent="0.2">
      <c r="B30" s="8"/>
      <c r="C30" s="53" t="s">
        <v>12</v>
      </c>
      <c r="D30" s="54"/>
      <c r="E30" s="53"/>
      <c r="F30" s="54"/>
      <c r="G30" s="53" t="s">
        <v>12</v>
      </c>
      <c r="H30" s="54"/>
      <c r="I30" s="75"/>
      <c r="J30" s="76"/>
      <c r="K30" s="32"/>
      <c r="L30" s="17"/>
      <c r="M30" s="33"/>
      <c r="N30" s="34"/>
    </row>
    <row r="31" spans="2:14" ht="18" customHeight="1" x14ac:dyDescent="0.2">
      <c r="B31" s="6"/>
      <c r="C31" s="51" t="s">
        <v>13</v>
      </c>
      <c r="D31" s="52"/>
      <c r="E31" s="51"/>
      <c r="F31" s="52"/>
      <c r="G31" s="51" t="s">
        <v>13</v>
      </c>
      <c r="H31" s="52"/>
      <c r="I31" s="51"/>
      <c r="J31" s="67"/>
      <c r="K31" s="14"/>
      <c r="L31" s="17"/>
      <c r="M31" s="33"/>
      <c r="N31" s="34"/>
    </row>
    <row r="32" spans="2:14" ht="18" customHeight="1" x14ac:dyDescent="0.2">
      <c r="B32" s="8"/>
      <c r="C32" s="53"/>
      <c r="D32" s="54"/>
      <c r="E32" s="53"/>
      <c r="F32" s="54"/>
      <c r="G32" s="53"/>
      <c r="H32" s="54"/>
      <c r="I32" s="63"/>
      <c r="J32" s="64"/>
      <c r="K32" s="14"/>
      <c r="L32" s="17"/>
      <c r="M32" s="33"/>
      <c r="N32" s="34"/>
    </row>
    <row r="33" spans="2:14" ht="18" customHeight="1" x14ac:dyDescent="0.2">
      <c r="B33" s="7"/>
      <c r="C33" s="57"/>
      <c r="D33" s="58"/>
      <c r="E33" s="57"/>
      <c r="F33" s="58"/>
      <c r="G33" s="57"/>
      <c r="H33" s="58"/>
      <c r="I33" s="77"/>
      <c r="J33" s="78"/>
      <c r="K33" s="15"/>
      <c r="L33" s="20"/>
      <c r="M33" s="73"/>
      <c r="N33" s="74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15" priority="3" stopIfTrue="1">
      <formula>DAY(C4)&gt;8</formula>
    </cfRule>
  </conditionalFormatting>
  <conditionalFormatting sqref="C8:I10">
    <cfRule type="expression" dxfId="14" priority="2" stopIfTrue="1">
      <formula>AND(DAY(C8)&gt;=1,DAY(C8)&lt;=15)</formula>
    </cfRule>
  </conditionalFormatting>
  <conditionalFormatting sqref="C4:I9">
    <cfRule type="expression" dxfId="13" priority="4">
      <formula>VLOOKUP(DAY(C4),DniPriradeniaÚloh,1,FALSE)=DAY(C4)</formula>
    </cfRule>
  </conditionalFormatting>
  <conditionalFormatting sqref="B14:J33">
    <cfRule type="expression" dxfId="12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37</vt:i4>
      </vt:variant>
    </vt:vector>
  </HeadingPairs>
  <TitlesOfParts>
    <vt:vector size="49" baseType="lpstr">
      <vt:lpstr>Január</vt:lpstr>
      <vt:lpstr>Február</vt:lpstr>
      <vt:lpstr>Marec</vt:lpstr>
      <vt:lpstr>Apríl</vt:lpstr>
      <vt:lpstr>Máj</vt:lpstr>
      <vt:lpstr>Jún</vt:lpstr>
      <vt:lpstr>Júl</vt:lpstr>
      <vt:lpstr>August</vt:lpstr>
      <vt:lpstr>September</vt:lpstr>
      <vt:lpstr>Október</vt:lpstr>
      <vt:lpstr>November</vt:lpstr>
      <vt:lpstr>December</vt:lpstr>
      <vt:lpstr>Apríl!DniPriradeniaÚloh</vt:lpstr>
      <vt:lpstr>August!DniPriradeniaÚloh</vt:lpstr>
      <vt:lpstr>December!DniPriradeniaÚloh</vt:lpstr>
      <vt:lpstr>Február!DniPriradeniaÚloh</vt:lpstr>
      <vt:lpstr>Júl!DniPriradeniaÚloh</vt:lpstr>
      <vt:lpstr>Jún!DniPriradeniaÚloh</vt:lpstr>
      <vt:lpstr>Máj!DniPriradeniaÚloh</vt:lpstr>
      <vt:lpstr>Marec!DniPriradeniaÚloh</vt:lpstr>
      <vt:lpstr>November!DniPriradeniaÚloh</vt:lpstr>
      <vt:lpstr>Október!DniPriradeniaÚloh</vt:lpstr>
      <vt:lpstr>September!DniPriradeniaÚloh</vt:lpstr>
      <vt:lpstr>DniPriradeniaÚloh</vt:lpstr>
      <vt:lpstr>KalendárnyRok</vt:lpstr>
      <vt:lpstr>Apríl!Print_Area</vt:lpstr>
      <vt:lpstr>August!Print_Area</vt:lpstr>
      <vt:lpstr>December!Print_Area</vt:lpstr>
      <vt:lpstr>Február!Print_Area</vt:lpstr>
      <vt:lpstr>Január!Print_Area</vt:lpstr>
      <vt:lpstr>Júl!Print_Area</vt:lpstr>
      <vt:lpstr>Jún!Print_Area</vt:lpstr>
      <vt:lpstr>Máj!Print_Area</vt:lpstr>
      <vt:lpstr>Marec!Print_Area</vt:lpstr>
      <vt:lpstr>November!Print_Area</vt:lpstr>
      <vt:lpstr>Október!Print_Area</vt:lpstr>
      <vt:lpstr>September!Print_Area</vt:lpstr>
      <vt:lpstr>Apríl!TabuľkaDôležitýchDátumov</vt:lpstr>
      <vt:lpstr>August!TabuľkaDôležitýchDátumov</vt:lpstr>
      <vt:lpstr>December!TabuľkaDôležitýchDátumov</vt:lpstr>
      <vt:lpstr>Február!TabuľkaDôležitýchDátumov</vt:lpstr>
      <vt:lpstr>Júl!TabuľkaDôležitýchDátumov</vt:lpstr>
      <vt:lpstr>Jún!TabuľkaDôležitýchDátumov</vt:lpstr>
      <vt:lpstr>Máj!TabuľkaDôležitýchDátumov</vt:lpstr>
      <vt:lpstr>Marec!TabuľkaDôležitýchDátumov</vt:lpstr>
      <vt:lpstr>November!TabuľkaDôležitýchDátumov</vt:lpstr>
      <vt:lpstr>Október!TabuľkaDôležitýchDátumov</vt:lpstr>
      <vt:lpstr>September!TabuľkaDôležitýchDátumov</vt:lpstr>
      <vt:lpstr>TabuľkaDôležitýchDátumov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dcterms:created xsi:type="dcterms:W3CDTF">2013-11-22T23:21:45Z</dcterms:created>
  <dcterms:modified xsi:type="dcterms:W3CDTF">2015-10-27T11:11:36Z</dcterms:modified>
</cp:coreProperties>
</file>