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623016A-C0F1-464D-BD03-01E378EC0639}" xr6:coauthVersionLast="45" xr6:coauthVersionMax="45" xr10:uidLastSave="{00000000-0000-0000-0000-000000000000}"/>
  <bookViews>
    <workbookView xWindow="-120" yWindow="-120" windowWidth="28920" windowHeight="14415" xr2:uid="{00000000-000D-0000-FFFF-FFFF00000000}"/>
  </bookViews>
  <sheets>
    <sheet name="Календарь" sheetId="1" r:id="rId1"/>
  </sheets>
  <definedNames>
    <definedName name="АвгВс1">DATEVALUE("1/8/"&amp;Календарь!$P$2)-WEEKDAY(DATEVALUE("1/8/"&amp;Календарь!$P$2)-1)+1</definedName>
    <definedName name="АпрВс1">DATEVALUE("1/4/"&amp;Календарь!$P$2)-WEEKDAY(DATEVALUE("1/4/"&amp;Календарь!$P$2)-1)+1</definedName>
    <definedName name="ДекВс1">DATEVALUE("1/12/"&amp;Календарь!$P$2)-WEEKDAY(DATEVALUE("1/12/"&amp;Календарь!$P$2)-1)+1</definedName>
    <definedName name="ИюлВс1">DATEVALUE("1/7/"&amp;Календарь!$P$2)-WEEKDAY(DATEVALUE("1/7/"&amp;Календарь!$P$2)-1)+1</definedName>
    <definedName name="ИюнВс1">DATEVALUE("1/6/"&amp;Календарь!$P$2)-WEEKDAY(DATEVALUE("1/6/"&amp;Календарь!$P$2)-1)+1</definedName>
    <definedName name="МайВс1">DATEVALUE("1/5/"&amp;Календарь!$P$2)-WEEKDAY(DATEVALUE("1/5/"&amp;Календарь!$P$2)-1)+1</definedName>
    <definedName name="МарВс1">DATEVALUE("1/3/"&amp;Календарь!$P$2)-WEEKDAY(DATEVALUE("1/3/"&amp;Календарь!$P$2)-1)+1</definedName>
    <definedName name="НояВс1">DATEVALUE("1/11/"&amp;Календарь!$P$2)-WEEKDAY(DATEVALUE("1/11/"&amp;Календарь!$P$2)-1)+1</definedName>
    <definedName name="_xlnm.Print_Area" localSheetId="0">Календарь!$C$1:$AG$30</definedName>
    <definedName name="ОктВс1">DATEVALUE("1/10/"&amp;Календарь!$P$2)-WEEKDAY(DATEVALUE("1/10/"&amp;Календарь!$P$2)-1)+1</definedName>
    <definedName name="СенВс1">DATEVALUE("1/9/"&amp;Календарь!$P$2)-WEEKDAY(DATEVALUE("1/9/"&amp;Календарь!$P$2)-1)+1</definedName>
    <definedName name="ФевВс1">DATEVALUE("1/2/"&amp;Календарь!$P$2)-WEEKDAY(DATEVALUE("1/2/"&amp;Календарь!$P$2)-1)+1</definedName>
    <definedName name="ЯнвВс1">DATEVALUE("1/1/"&amp;Календарь!$P$2)-WEEKDAY(DATEVALUE("1/1/"&amp;Календарь!$P$2)-1)+1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6" i="1" l="1"/>
  <c r="AB26" i="1"/>
  <c r="AC26" i="1"/>
  <c r="AD26" i="1"/>
  <c r="AE26" i="1"/>
  <c r="AF26" i="1"/>
  <c r="AG26" i="1"/>
  <c r="AA27" i="1"/>
  <c r="AB27" i="1"/>
  <c r="AC27" i="1"/>
  <c r="AD27" i="1"/>
  <c r="AE27" i="1"/>
  <c r="AF27" i="1"/>
  <c r="AG27" i="1"/>
  <c r="AA28" i="1"/>
  <c r="AB28" i="1"/>
  <c r="AC28" i="1"/>
  <c r="AD28" i="1"/>
  <c r="AE28" i="1"/>
  <c r="AF28" i="1"/>
  <c r="AG28" i="1"/>
  <c r="AA29" i="1"/>
  <c r="AB29" i="1"/>
  <c r="AC29" i="1"/>
  <c r="AD29" i="1"/>
  <c r="AE29" i="1"/>
  <c r="AF29" i="1"/>
  <c r="AG29" i="1"/>
  <c r="AA30" i="1"/>
  <c r="AB30" i="1"/>
  <c r="AC30" i="1"/>
  <c r="AD30" i="1"/>
  <c r="AE30" i="1"/>
  <c r="AF30" i="1"/>
  <c r="AG30" i="1"/>
  <c r="AG25" i="1"/>
  <c r="AF25" i="1"/>
  <c r="AE25" i="1"/>
  <c r="AD25" i="1"/>
  <c r="AC25" i="1"/>
  <c r="AB25" i="1"/>
  <c r="AA25" i="1"/>
  <c r="AG21" i="1"/>
  <c r="AF21" i="1"/>
  <c r="AE21" i="1"/>
  <c r="AD21" i="1"/>
  <c r="AC21" i="1"/>
  <c r="AB21" i="1"/>
  <c r="AA21" i="1"/>
  <c r="AG20" i="1"/>
  <c r="AF20" i="1"/>
  <c r="AE20" i="1"/>
  <c r="AD20" i="1"/>
  <c r="AC20" i="1"/>
  <c r="AB20" i="1"/>
  <c r="AA20" i="1"/>
  <c r="AG19" i="1"/>
  <c r="AF19" i="1"/>
  <c r="AE19" i="1"/>
  <c r="AD19" i="1"/>
  <c r="AC19" i="1"/>
  <c r="AB19" i="1"/>
  <c r="AA19" i="1"/>
  <c r="AG18" i="1"/>
  <c r="AF18" i="1"/>
  <c r="AE18" i="1"/>
  <c r="AD18" i="1"/>
  <c r="AC18" i="1"/>
  <c r="AB18" i="1"/>
  <c r="AA18" i="1"/>
  <c r="AG17" i="1"/>
  <c r="AF17" i="1"/>
  <c r="AE17" i="1"/>
  <c r="AD17" i="1"/>
  <c r="AC17" i="1"/>
  <c r="AB17" i="1"/>
  <c r="AA17" i="1"/>
  <c r="AG16" i="1"/>
  <c r="AF16" i="1"/>
  <c r="AE16" i="1"/>
  <c r="AD16" i="1"/>
  <c r="AC16" i="1"/>
  <c r="AB16" i="1"/>
  <c r="AA16" i="1"/>
  <c r="AG12" i="1"/>
  <c r="AF12" i="1"/>
  <c r="AE12" i="1"/>
  <c r="AD12" i="1"/>
  <c r="AC12" i="1"/>
  <c r="AB12" i="1"/>
  <c r="AA12" i="1"/>
  <c r="AG11" i="1"/>
  <c r="AF11" i="1"/>
  <c r="AE11" i="1"/>
  <c r="AD11" i="1"/>
  <c r="AC11" i="1"/>
  <c r="AB11" i="1"/>
  <c r="AA11" i="1"/>
  <c r="AG10" i="1"/>
  <c r="AF10" i="1"/>
  <c r="AE10" i="1"/>
  <c r="AD10" i="1"/>
  <c r="AC10" i="1"/>
  <c r="AB10" i="1"/>
  <c r="AA10" i="1"/>
  <c r="AG9" i="1"/>
  <c r="AF9" i="1"/>
  <c r="AE9" i="1"/>
  <c r="AD9" i="1"/>
  <c r="AC9" i="1"/>
  <c r="AB9" i="1"/>
  <c r="AA9" i="1"/>
  <c r="AG8" i="1"/>
  <c r="AF8" i="1"/>
  <c r="AE8" i="1"/>
  <c r="AD8" i="1"/>
  <c r="AC8" i="1"/>
  <c r="AB8" i="1"/>
  <c r="AA8" i="1"/>
  <c r="AG7" i="1"/>
  <c r="AF7" i="1"/>
  <c r="AE7" i="1"/>
  <c r="AD7" i="1"/>
  <c r="AC7" i="1"/>
  <c r="AB7" i="1"/>
  <c r="AA7" i="1"/>
  <c r="Y30" i="1"/>
  <c r="X30" i="1"/>
  <c r="W30" i="1"/>
  <c r="V30" i="1"/>
  <c r="U30" i="1"/>
  <c r="T30" i="1"/>
  <c r="S30" i="1"/>
  <c r="Y29" i="1"/>
  <c r="X29" i="1"/>
  <c r="W29" i="1"/>
  <c r="V29" i="1"/>
  <c r="U29" i="1"/>
  <c r="T29" i="1"/>
  <c r="S29" i="1"/>
  <c r="Y28" i="1"/>
  <c r="X28" i="1"/>
  <c r="W28" i="1"/>
  <c r="V28" i="1"/>
  <c r="U28" i="1"/>
  <c r="T28" i="1"/>
  <c r="S28" i="1"/>
  <c r="Y27" i="1"/>
  <c r="X27" i="1"/>
  <c r="W27" i="1"/>
  <c r="V27" i="1"/>
  <c r="U27" i="1"/>
  <c r="T27" i="1"/>
  <c r="S27" i="1"/>
  <c r="Y26" i="1"/>
  <c r="X26" i="1"/>
  <c r="W26" i="1"/>
  <c r="V26" i="1"/>
  <c r="U26" i="1"/>
  <c r="T26" i="1"/>
  <c r="S26" i="1"/>
  <c r="Y25" i="1"/>
  <c r="X25" i="1"/>
  <c r="W25" i="1"/>
  <c r="V25" i="1"/>
  <c r="U25" i="1"/>
  <c r="T25" i="1"/>
  <c r="S25" i="1"/>
  <c r="Y21" i="1"/>
  <c r="X21" i="1"/>
  <c r="W21" i="1"/>
  <c r="V21" i="1"/>
  <c r="U21" i="1"/>
  <c r="T21" i="1"/>
  <c r="S21" i="1"/>
  <c r="Y20" i="1"/>
  <c r="X20" i="1"/>
  <c r="W20" i="1"/>
  <c r="V20" i="1"/>
  <c r="U20" i="1"/>
  <c r="T20" i="1"/>
  <c r="S20" i="1"/>
  <c r="Y19" i="1"/>
  <c r="X19" i="1"/>
  <c r="W19" i="1"/>
  <c r="V19" i="1"/>
  <c r="U19" i="1"/>
  <c r="T19" i="1"/>
  <c r="S19" i="1"/>
  <c r="Y18" i="1"/>
  <c r="X18" i="1"/>
  <c r="W18" i="1"/>
  <c r="V18" i="1"/>
  <c r="U18" i="1"/>
  <c r="T18" i="1"/>
  <c r="S18" i="1"/>
  <c r="Y17" i="1"/>
  <c r="X17" i="1"/>
  <c r="W17" i="1"/>
  <c r="V17" i="1"/>
  <c r="U17" i="1"/>
  <c r="T17" i="1"/>
  <c r="S17" i="1"/>
  <c r="Y16" i="1"/>
  <c r="X16" i="1"/>
  <c r="W16" i="1"/>
  <c r="V16" i="1"/>
  <c r="U16" i="1"/>
  <c r="T16" i="1"/>
  <c r="S16" i="1"/>
  <c r="Y12" i="1"/>
  <c r="X12" i="1"/>
  <c r="W12" i="1"/>
  <c r="V12" i="1"/>
  <c r="U12" i="1"/>
  <c r="T12" i="1"/>
  <c r="S12" i="1"/>
  <c r="Y11" i="1"/>
  <c r="X11" i="1"/>
  <c r="W11" i="1"/>
  <c r="V11" i="1"/>
  <c r="U11" i="1"/>
  <c r="T11" i="1"/>
  <c r="S11" i="1"/>
  <c r="Y10" i="1"/>
  <c r="X10" i="1"/>
  <c r="W10" i="1"/>
  <c r="V10" i="1"/>
  <c r="U10" i="1"/>
  <c r="T10" i="1"/>
  <c r="S10" i="1"/>
  <c r="Y9" i="1"/>
  <c r="X9" i="1"/>
  <c r="W9" i="1"/>
  <c r="V9" i="1"/>
  <c r="U9" i="1"/>
  <c r="T9" i="1"/>
  <c r="S9" i="1"/>
  <c r="Y8" i="1"/>
  <c r="X8" i="1"/>
  <c r="W8" i="1"/>
  <c r="V8" i="1"/>
  <c r="U8" i="1"/>
  <c r="T8" i="1"/>
  <c r="S8" i="1"/>
  <c r="Y7" i="1"/>
  <c r="X7" i="1"/>
  <c r="W7" i="1"/>
  <c r="V7" i="1"/>
  <c r="U7" i="1"/>
  <c r="T7" i="1"/>
  <c r="S7" i="1"/>
  <c r="Q30" i="1"/>
  <c r="P30" i="1"/>
  <c r="O30" i="1"/>
  <c r="N30" i="1"/>
  <c r="M30" i="1"/>
  <c r="L30" i="1"/>
  <c r="K30" i="1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1" i="1"/>
  <c r="P21" i="1"/>
  <c r="O21" i="1"/>
  <c r="N21" i="1"/>
  <c r="M21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<sst xmlns="http://schemas.openxmlformats.org/spreadsheetml/2006/main" count="288" uniqueCount="19">
  <si>
    <t>Январь</t>
  </si>
  <si>
    <t>ПН</t>
  </si>
  <si>
    <t>Февраль</t>
  </si>
  <si>
    <t>Март</t>
  </si>
  <si>
    <t>ВТ</t>
  </si>
  <si>
    <t>ЧТ</t>
  </si>
  <si>
    <t>СР</t>
  </si>
  <si>
    <t>ПТ</t>
  </si>
  <si>
    <t>СБ</t>
  </si>
  <si>
    <t>ВС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</si>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</sst>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d"/>
  </numFmts>
  <fonts count="25" x14ac:knownFonts="1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  <scheme val="minor"/>
    </font>
    <font>
      <b/>
      <sz val="40"/>
      <color theme="9"/>
      <name val="Century Gothic"/>
      <family val="2"/>
    </font>
    <font>
      <sz val="11"/>
      <color theme="1"/>
      <name val="Calibri"/>
      <family val="2"/>
    </font>
    <font>
      <b/>
      <sz val="18"/>
      <color theme="9"/>
      <name val="Calibri"/>
      <family val="2"/>
    </font>
    <font>
      <b/>
      <sz val="10"/>
      <color theme="1" tint="0.14996795556505021"/>
      <name val="Calibri"/>
      <family val="2"/>
    </font>
    <font>
      <b/>
      <sz val="40"/>
      <color theme="9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center" vertical="center"/>
    </xf>
    <xf numFmtId="0" fontId="7" fillId="0" borderId="0">
      <alignment horizontal="center" vertical="center"/>
    </xf>
    <xf numFmtId="0" fontId="5" fillId="0" borderId="0">
      <alignment horizontal="left" vertical="center"/>
    </xf>
    <xf numFmtId="0" fontId="6" fillId="2" borderId="0">
      <alignment horizontal="center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3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0" fillId="9" borderId="5" applyNumberFormat="0" applyAlignment="0" applyProtection="0"/>
    <xf numFmtId="0" fontId="24" fillId="0" borderId="7" applyNumberFormat="0" applyFill="0" applyAlignment="0" applyProtection="0"/>
    <xf numFmtId="0" fontId="15" fillId="10" borderId="8" applyNumberFormat="0" applyAlignment="0" applyProtection="0"/>
    <xf numFmtId="0" fontId="19" fillId="0" borderId="0" applyNumberFormat="0" applyFill="0" applyBorder="0" applyAlignment="0" applyProtection="0"/>
    <xf numFmtId="0" fontId="8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3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>
      <alignment horizontal="center" vertical="center"/>
    </xf>
    <xf numFmtId="0" fontId="6" fillId="2" borderId="0" xfId="3">
      <alignment horizontal="center" vertical="center"/>
    </xf>
    <xf numFmtId="0" fontId="2" fillId="4" borderId="0" xfId="0" applyFont="1" applyFill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0" xfId="0" applyNumberFormat="1" applyFont="1" applyBorder="1">
      <alignment horizontal="center" vertical="center"/>
    </xf>
    <xf numFmtId="0" fontId="2" fillId="0" borderId="0" xfId="0" applyNumberFormat="1" applyFont="1">
      <alignment horizontal="center" vertical="center"/>
    </xf>
    <xf numFmtId="0" fontId="2" fillId="0" borderId="0" xfId="0" applyNumberFormat="1" applyFont="1" applyAlignment="1"/>
    <xf numFmtId="168" fontId="2" fillId="3" borderId="1" xfId="0" applyNumberFormat="1" applyFont="1" applyFill="1" applyBorder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5" fillId="0" borderId="0" xfId="2">
      <alignment horizontal="left" vertical="center"/>
    </xf>
  </cellXfs>
  <cellStyles count="50">
    <cellStyle name="20% — акцент1" xfId="27" builtinId="30" customBuiltin="1"/>
    <cellStyle name="20% — акцент2" xfId="31" builtinId="34" customBuiltin="1"/>
    <cellStyle name="20% — акцент3" xfId="35" builtinId="38" customBuiltin="1"/>
    <cellStyle name="20% — акцент4" xfId="39" builtinId="42" customBuiltin="1"/>
    <cellStyle name="20% — акцент5" xfId="43" builtinId="46" customBuiltin="1"/>
    <cellStyle name="20% — акцент6" xfId="47" builtinId="50" customBuiltin="1"/>
    <cellStyle name="40% — акцент1" xfId="28" builtinId="31" customBuiltin="1"/>
    <cellStyle name="40% — акцент2" xfId="32" builtinId="35" customBuiltin="1"/>
    <cellStyle name="40% — акцент3" xfId="36" builtinId="39" customBuiltin="1"/>
    <cellStyle name="40% — акцент4" xfId="40" builtinId="43" customBuiltin="1"/>
    <cellStyle name="40% — акцент5" xfId="44" builtinId="47" customBuiltin="1"/>
    <cellStyle name="40% — акцент6" xfId="48" builtinId="51" customBuiltin="1"/>
    <cellStyle name="60% — акцент1" xfId="29" builtinId="32" customBuiltin="1"/>
    <cellStyle name="60% — акцент2" xfId="33" builtinId="36" customBuiltin="1"/>
    <cellStyle name="60% — акцент3" xfId="37" builtinId="40" customBuiltin="1"/>
    <cellStyle name="60% — акцент4" xfId="41" builtinId="44" customBuiltin="1"/>
    <cellStyle name="60% — акцент5" xfId="45" builtinId="48" customBuiltin="1"/>
    <cellStyle name="60% — акцент6" xfId="49" builtinId="52" customBuiltin="1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Год" xfId="1" xr:uid="{00000000-0005-0000-0000-000003000000}"/>
    <cellStyle name="Денежный" xfId="6" builtinId="4" customBuiltin="1"/>
    <cellStyle name="Денежный [0]" xfId="7" builtinId="7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5" builtinId="25" customBuiltin="1"/>
    <cellStyle name="Контрольная ячейка" xfId="21" builtinId="23" customBuiltin="1"/>
    <cellStyle name="Месяц" xfId="2" xr:uid="{00000000-0005-0000-0000-000000000000}"/>
    <cellStyle name="Название" xfId="9" builtinId="15" customBuiltin="1"/>
    <cellStyle name="Неделя" xfId="3" xr:uid="{00000000-0005-0000-0000-000002000000}"/>
    <cellStyle name="Нейтральный" xfId="16" builtinId="28" customBuiltin="1"/>
    <cellStyle name="Обычный" xfId="0" builtinId="0" customBuiltin="1"/>
    <cellStyle name="Плохой" xfId="15" builtinId="27" customBuiltin="1"/>
    <cellStyle name="Пояснение" xfId="24" builtinId="53" customBuiltin="1"/>
    <cellStyle name="Примечание" xfId="23" builtinId="10" customBuiltin="1"/>
    <cellStyle name="Процентный" xfId="8" builtinId="5" customBuiltin="1"/>
    <cellStyle name="Связанная ячейка" xfId="20" builtinId="24" customBuiltin="1"/>
    <cellStyle name="Текст предупреждения" xfId="22" builtinId="11" customBuiltin="1"/>
    <cellStyle name="Финансовый" xfId="4" builtinId="3" customBuiltin="1"/>
    <cellStyle name="Финансовый [0]" xfId="5" builtinId="6" customBuiltin="1"/>
    <cellStyle name="Хороший" xfId="1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P$2" max="9999" min="1900" page="10" val="201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</xdr:row>
          <xdr:rowOff>85725</xdr:rowOff>
        </xdr:from>
        <xdr:to>
          <xdr:col>21</xdr:col>
          <xdr:colOff>57150</xdr:colOff>
          <xdr:row>1</xdr:row>
          <xdr:rowOff>476250</xdr:rowOff>
        </xdr:to>
        <xdr:sp macro="" textlink="">
          <xdr:nvSpPr>
            <xdr:cNvPr id="1025" name="Счетчик 1" descr="Кнопка для выбора года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17">
      <a:dk1>
        <a:sysClr val="windowText" lastClr="000000"/>
      </a:dk1>
      <a:lt1>
        <a:sysClr val="window" lastClr="FFFFFF"/>
      </a:lt1>
      <a:dk2>
        <a:srgbClr val="1F497D"/>
      </a:dk2>
      <a:lt2>
        <a:srgbClr val="F2F2F2"/>
      </a:lt2>
      <a:accent1>
        <a:srgbClr val="99B998"/>
      </a:accent1>
      <a:accent2>
        <a:srgbClr val="F37655"/>
      </a:accent2>
      <a:accent3>
        <a:srgbClr val="9BBB59"/>
      </a:accent3>
      <a:accent4>
        <a:srgbClr val="8064A2"/>
      </a:accent4>
      <a:accent5>
        <a:srgbClr val="4BACC6"/>
      </a:accent5>
      <a:accent6>
        <a:srgbClr val="008080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J38"/>
  <sheetViews>
    <sheetView showGridLines="0" tabSelected="1" zoomScaleNormal="100" workbookViewId="0"/>
  </sheetViews>
  <sheetFormatPr defaultColWidth="9.140625" defaultRowHeight="13.5" x14ac:dyDescent="0.2"/>
  <cols>
    <col min="1" max="1" width="3.42578125" style="1" customWidth="1"/>
    <col min="2" max="9" width="3.7109375" style="1" customWidth="1"/>
    <col min="10" max="10" width="7.85546875" style="1" customWidth="1"/>
    <col min="11" max="17" width="3.7109375" style="1" customWidth="1"/>
    <col min="18" max="18" width="7.85546875" style="1" customWidth="1"/>
    <col min="19" max="25" width="3.7109375" style="1" customWidth="1"/>
    <col min="26" max="26" width="7.85546875" style="1" customWidth="1"/>
    <col min="27" max="33" width="3.7109375" style="1" customWidth="1"/>
    <col min="34" max="34" width="9.140625" style="1" customWidth="1"/>
    <col min="35" max="16384" width="9.140625" style="1"/>
  </cols>
  <sheetData>
    <row r="1" spans="2:34" s="8" customFormat="1" ht="14.25" customHeight="1" x14ac:dyDescent="0.25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34" ht="44.25" customHeight="1" x14ac:dyDescent="0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1">
        <v>2019</v>
      </c>
      <c r="Q2" s="11"/>
      <c r="R2" s="11"/>
      <c r="S2" s="11"/>
      <c r="T2" s="11"/>
      <c r="U2" s="6"/>
      <c r="V2" s="5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2:34" ht="24" customHeight="1" x14ac:dyDescent="0.2"/>
    <row r="5" spans="2:34" ht="22.5" customHeight="1" x14ac:dyDescent="0.2">
      <c r="C5" s="12" t="s">
        <v>0</v>
      </c>
      <c r="D5" s="12"/>
      <c r="E5" s="12"/>
      <c r="F5" s="12"/>
      <c r="G5" s="12"/>
      <c r="H5" s="12"/>
      <c r="I5" s="12"/>
      <c r="K5" s="12" t="s">
        <v>10</v>
      </c>
      <c r="L5" s="12"/>
      <c r="M5" s="12"/>
      <c r="N5" s="12"/>
      <c r="O5" s="12"/>
      <c r="P5" s="12"/>
      <c r="Q5" s="12"/>
      <c r="S5" s="12" t="s">
        <v>13</v>
      </c>
      <c r="T5" s="12"/>
      <c r="U5" s="12"/>
      <c r="V5" s="12"/>
      <c r="W5" s="12"/>
      <c r="X5" s="12"/>
      <c r="Y5" s="12"/>
      <c r="AA5" s="12" t="s">
        <v>16</v>
      </c>
      <c r="AB5" s="12"/>
      <c r="AC5" s="12"/>
      <c r="AD5" s="12"/>
      <c r="AE5" s="12"/>
      <c r="AF5" s="12"/>
      <c r="AG5" s="12"/>
    </row>
    <row r="6" spans="2:34" ht="15.95" customHeight="1" thickBot="1" x14ac:dyDescent="0.3">
      <c r="B6" s="2"/>
      <c r="C6" s="4" t="s">
        <v>1</v>
      </c>
      <c r="D6" s="4" t="s">
        <v>4</v>
      </c>
      <c r="E6" s="4" t="s">
        <v>6</v>
      </c>
      <c r="F6" s="4" t="s">
        <v>5</v>
      </c>
      <c r="G6" s="4" t="s">
        <v>7</v>
      </c>
      <c r="H6" s="4" t="s">
        <v>8</v>
      </c>
      <c r="I6" s="4" t="s">
        <v>9</v>
      </c>
      <c r="K6" s="4" t="s">
        <v>1</v>
      </c>
      <c r="L6" s="4" t="s">
        <v>4</v>
      </c>
      <c r="M6" s="4" t="s">
        <v>6</v>
      </c>
      <c r="N6" s="4" t="s">
        <v>5</v>
      </c>
      <c r="O6" s="4" t="s">
        <v>7</v>
      </c>
      <c r="P6" s="4" t="s">
        <v>8</v>
      </c>
      <c r="Q6" s="4" t="s">
        <v>9</v>
      </c>
      <c r="S6" s="4" t="s">
        <v>1</v>
      </c>
      <c r="T6" s="4" t="s">
        <v>4</v>
      </c>
      <c r="U6" s="4" t="s">
        <v>6</v>
      </c>
      <c r="V6" s="4" t="s">
        <v>5</v>
      </c>
      <c r="W6" s="4" t="s">
        <v>7</v>
      </c>
      <c r="X6" s="4" t="s">
        <v>8</v>
      </c>
      <c r="Y6" s="4" t="s">
        <v>9</v>
      </c>
      <c r="AA6" s="4" t="s">
        <v>1</v>
      </c>
      <c r="AB6" s="4" t="s">
        <v>4</v>
      </c>
      <c r="AC6" s="4" t="s">
        <v>6</v>
      </c>
      <c r="AD6" s="4" t="s">
        <v>5</v>
      </c>
      <c r="AE6" s="4" t="s">
        <v>7</v>
      </c>
      <c r="AF6" s="4" t="s">
        <v>8</v>
      </c>
      <c r="AG6" s="4" t="s">
        <v>9</v>
      </c>
    </row>
    <row r="7" spans="2:34" ht="15.95" customHeight="1" thickBot="1" x14ac:dyDescent="0.25">
      <c r="C7" s="10" t="str">
        <f>IF(AND(YEAR(ЯнвВс1)=$P$2,MONTH(ЯнвВс1)=1),ЯнвВс1, "")</f>
        <v/>
      </c>
      <c r="D7" s="10">
        <f>IF(AND(YEAR(ЯнвВс1+1)=$P$2,MONTH(ЯнвВс1+1)=1),ЯнвВс1+1, "")</f>
        <v>43466</v>
      </c>
      <c r="E7" s="10">
        <f>IF(AND(YEAR(ЯнвВс1+2)=$P$2,MONTH(ЯнвВс1+2)=1),ЯнвВс1+2, "")</f>
        <v>43467</v>
      </c>
      <c r="F7" s="10">
        <f>IF(AND(YEAR(ЯнвВс1+3)=$P$2,MONTH(ЯнвВс1+3)=1),ЯнвВс1+3, "")</f>
        <v>43468</v>
      </c>
      <c r="G7" s="10">
        <f>IF(AND(YEAR(ЯнвВс1+4)=$P$2,MONTH(ЯнвВс1+4)=1),ЯнвВс1+4, "")</f>
        <v>43469</v>
      </c>
      <c r="H7" s="10">
        <f>IF(AND(YEAR(ЯнвВс1+5)=$P$2,MONTH(ЯнвВс1+5)=1),ЯнвВс1+5, "")</f>
        <v>43470</v>
      </c>
      <c r="I7" s="10">
        <f>IF(AND(YEAR(ЯнвВс1+6)=$P$2,MONTH(ЯнвВс1+6)=1),ЯнвВс1+6, "")</f>
        <v>43471</v>
      </c>
      <c r="K7" s="10">
        <f>IF(AND(YEAR(АпрВс1)=$P$2,MONTH(АпрВс1)=4),АпрВс1, "")</f>
        <v>43556</v>
      </c>
      <c r="L7" s="10">
        <f>IF(AND(YEAR(АпрВс1+1)=$P$2,MONTH(АпрВс1+1)=4),АпрВс1+1, "")</f>
        <v>43557</v>
      </c>
      <c r="M7" s="10">
        <f>IF(AND(YEAR(АпрВс1+2)=$P$2,MONTH(АпрВс1+2)=4),АпрВс1+2, "")</f>
        <v>43558</v>
      </c>
      <c r="N7" s="10">
        <f>IF(AND(YEAR(АпрВс1+3)=$P$2,MONTH(АпрВс1+3)=4),АпрВс1+3, "")</f>
        <v>43559</v>
      </c>
      <c r="O7" s="10">
        <f>IF(AND(YEAR(АпрВс1+4)=$P$2,MONTH(АпрВс1+4)=4),АпрВс1+4, "")</f>
        <v>43560</v>
      </c>
      <c r="P7" s="10">
        <f>IF(AND(YEAR(АпрВс1+5)=$P$2,MONTH(АпрВс1+5)=4),АпрВс1+5, "")</f>
        <v>43561</v>
      </c>
      <c r="Q7" s="10">
        <f>IF(AND(YEAR(АпрВс1+6)=$P$2,MONTH(АпрВс1+6)=4),АпрВс1+6, "")</f>
        <v>43562</v>
      </c>
      <c r="S7" s="10">
        <f>IF(AND(YEAR(ИюлВс1)=$P$2,MONTH(ИюлВс1)=7),ИюлВс1, "")</f>
        <v>43647</v>
      </c>
      <c r="T7" s="10">
        <f>IF(AND(YEAR(ИюлВс1+1)=$P$2,MONTH(ИюлВс1+1)=7),ИюлВс1+1, "")</f>
        <v>43648</v>
      </c>
      <c r="U7" s="10">
        <f>IF(AND(YEAR(ИюлВс1+2)=$P$2,MONTH(ИюлВс1+2)=7),ИюлВс1+2, "")</f>
        <v>43649</v>
      </c>
      <c r="V7" s="10">
        <f>IF(AND(YEAR(ИюлВс1+3)=$P$2,MONTH(ИюлВс1+3)=7),ИюлВс1+3, "")</f>
        <v>43650</v>
      </c>
      <c r="W7" s="10">
        <f>IF(AND(YEAR(ИюлВс1+4)=$P$2,MONTH(ИюлВс1+4)=7),ИюлВс1+4, "")</f>
        <v>43651</v>
      </c>
      <c r="X7" s="10">
        <f>IF(AND(YEAR(ИюлВс1+5)=$P$2,MONTH(ИюлВс1+5)=7),ИюлВс1+5, "")</f>
        <v>43652</v>
      </c>
      <c r="Y7" s="10">
        <f>IF(AND(YEAR(ИюлВс1+6)=$P$2,MONTH(ИюлВс1+6)=7),ИюлВс1+6, "")</f>
        <v>43653</v>
      </c>
      <c r="AA7" s="10" t="str">
        <f>IF(AND(YEAR(ОктВс1)=$P$2,MONTH(ОктВс1)=10),ОктВс1, "")</f>
        <v/>
      </c>
      <c r="AB7" s="10">
        <f>IF(AND(YEAR(ОктВс1+1)=$P$2,MONTH(ОктВс1+1)=10),ОктВс1+1, "")</f>
        <v>43739</v>
      </c>
      <c r="AC7" s="10">
        <f>IF(AND(YEAR(ОктВс1+2)=$P$2,MONTH(ОктВс1+2)=10),ОктВс1+2, "")</f>
        <v>43740</v>
      </c>
      <c r="AD7" s="10">
        <f>IF(AND(YEAR(ОктВс1+3)=$P$2,MONTH(ОктВс1+3)=10),ОктВс1+3, "")</f>
        <v>43741</v>
      </c>
      <c r="AE7" s="10">
        <f>IF(AND(YEAR(ОктВс1+4)=$P$2,MONTH(ОктВс1+4)=10),ОктВс1+4, "")</f>
        <v>43742</v>
      </c>
      <c r="AF7" s="10">
        <f>IF(AND(YEAR(ОктВс1+5)=$P$2,MONTH(ОктВс1+5)=10),ОктВс1+5, "")</f>
        <v>43743</v>
      </c>
      <c r="AG7" s="10">
        <f>IF(AND(YEAR(ОктВс1+6)=$P$2,MONTH(ОктВс1+6)=10),ОктВс1+6, "")</f>
        <v>43744</v>
      </c>
    </row>
    <row r="8" spans="2:34" ht="15.95" customHeight="1" thickBot="1" x14ac:dyDescent="0.25">
      <c r="C8" s="10">
        <f>IF(AND(YEAR(ЯнвВс1+7)=$P$2,MONTH(ЯнвВс1+7)=1),ЯнвВс1+7, "")</f>
        <v>43472</v>
      </c>
      <c r="D8" s="10">
        <f>IF(AND(YEAR(ЯнвВс1+8)=$P$2,MONTH(ЯнвВс1+8)=1),ЯнвВс1+8, "")</f>
        <v>43473</v>
      </c>
      <c r="E8" s="10">
        <f>IF(AND(YEAR(ЯнвВс1+9)=$P$2,MONTH(ЯнвВс1+9)=1),ЯнвВс1+9, "")</f>
        <v>43474</v>
      </c>
      <c r="F8" s="10">
        <f>IF(AND(YEAR(ЯнвВс1+10)=$P$2,MONTH(ЯнвВс1+10)=1),ЯнвВс1+10, "")</f>
        <v>43475</v>
      </c>
      <c r="G8" s="10">
        <f>IF(AND(YEAR(ЯнвВс1+11)=$P$2,MONTH(ЯнвВс1+11)=1),ЯнвВс1+11, "")</f>
        <v>43476</v>
      </c>
      <c r="H8" s="10">
        <f>IF(AND(YEAR(ЯнвВс1+12)=$P$2,MONTH(ЯнвВс1+12)=1),ЯнвВс1+12, "")</f>
        <v>43477</v>
      </c>
      <c r="I8" s="10">
        <f>IF(AND(YEAR(ЯнвВс1+13)=$P$2,MONTH(ЯнвВс1+13)=1),ЯнвВс1+13, "")</f>
        <v>43478</v>
      </c>
      <c r="K8" s="10">
        <f>IF(AND(YEAR(АпрВс1+7)=$P$2,MONTH(АпрВс1+7)=4),АпрВс1+7, "")</f>
        <v>43563</v>
      </c>
      <c r="L8" s="10">
        <f>IF(AND(YEAR(АпрВс1+8)=$P$2,MONTH(АпрВс1+8)=4),АпрВс1+8, "")</f>
        <v>43564</v>
      </c>
      <c r="M8" s="10">
        <f>IF(AND(YEAR(АпрВс1+9)=$P$2,MONTH(АпрВс1+9)=4),АпрВс1+9, "")</f>
        <v>43565</v>
      </c>
      <c r="N8" s="10">
        <f>IF(AND(YEAR(АпрВс1+10)=$P$2,MONTH(АпрВс1+10)=4),АпрВс1+10, "")</f>
        <v>43566</v>
      </c>
      <c r="O8" s="10">
        <f>IF(AND(YEAR(АпрВс1+11)=$P$2,MONTH(АпрВс1+11)=4),АпрВс1+11, "")</f>
        <v>43567</v>
      </c>
      <c r="P8" s="10">
        <f>IF(AND(YEAR(АпрВс1+12)=$P$2,MONTH(АпрВс1+12)=4),АпрВс1+12, "")</f>
        <v>43568</v>
      </c>
      <c r="Q8" s="10">
        <f>IF(AND(YEAR(АпрВс1+13)=$P$2,MONTH(АпрВс1+13)=4),АпрВс1+13, "")</f>
        <v>43569</v>
      </c>
      <c r="S8" s="10">
        <f>IF(AND(YEAR(ИюлВс1+7)=$P$2,MONTH(ИюлВс1+7)=7),ИюлВс1+7, "")</f>
        <v>43654</v>
      </c>
      <c r="T8" s="10">
        <f>IF(AND(YEAR(ИюлВс1+8)=$P$2,MONTH(ИюлВс1+8)=7),ИюлВс1+8, "")</f>
        <v>43655</v>
      </c>
      <c r="U8" s="10">
        <f>IF(AND(YEAR(ИюлВс1+9)=$P$2,MONTH(ИюлВс1+9)=7),ИюлВс1+9, "")</f>
        <v>43656</v>
      </c>
      <c r="V8" s="10">
        <f>IF(AND(YEAR(ИюлВс1+10)=$P$2,MONTH(ИюлВс1+10)=7),ИюлВс1+10, "")</f>
        <v>43657</v>
      </c>
      <c r="W8" s="10">
        <f>IF(AND(YEAR(ИюлВс1+11)=$P$2,MONTH(ИюлВс1+11)=7),ИюлВс1+11, "")</f>
        <v>43658</v>
      </c>
      <c r="X8" s="10">
        <f>IF(AND(YEAR(ИюлВс1+12)=$P$2,MONTH(ИюлВс1+12)=7),ИюлВс1+12, "")</f>
        <v>43659</v>
      </c>
      <c r="Y8" s="10">
        <f>IF(AND(YEAR(ИюлВс1+13)=$P$2,MONTH(ИюлВс1+13)=7),ИюлВс1+13, "")</f>
        <v>43660</v>
      </c>
      <c r="AA8" s="10">
        <f>IF(AND(YEAR(ОктВс1+7)=$P$2,MONTH(ОктВс1+7)=10),ОктВс1+7, "")</f>
        <v>43745</v>
      </c>
      <c r="AB8" s="10">
        <f>IF(AND(YEAR(ОктВс1+8)=$P$2,MONTH(ОктВс1+8)=10),ОктВс1+8, "")</f>
        <v>43746</v>
      </c>
      <c r="AC8" s="10">
        <f>IF(AND(YEAR(ОктВс1+9)=$P$2,MONTH(ОктВс1+9)=10),ОктВс1+9, "")</f>
        <v>43747</v>
      </c>
      <c r="AD8" s="10">
        <f>IF(AND(YEAR(ОктВс1+10)=$P$2,MONTH(ОктВс1+10)=10),ОктВс1+10, "")</f>
        <v>43748</v>
      </c>
      <c r="AE8" s="10">
        <f>IF(AND(YEAR(ОктВс1+11)=$P$2,MONTH(ОктВс1+11)=10),ОктВс1+11, "")</f>
        <v>43749</v>
      </c>
      <c r="AF8" s="10">
        <f>IF(AND(YEAR(ОктВс1+12)=$P$2,MONTH(ОктВс1+12)=10),ОктВс1+12, "")</f>
        <v>43750</v>
      </c>
      <c r="AG8" s="10">
        <f>IF(AND(YEAR(ОктВс1+13)=$P$2,MONTH(ОктВс1+13)=10),ОктВс1+13, "")</f>
        <v>43751</v>
      </c>
    </row>
    <row r="9" spans="2:34" ht="15.95" customHeight="1" thickBot="1" x14ac:dyDescent="0.25">
      <c r="C9" s="10">
        <f>IF(AND(YEAR(ЯнвВс1+14)=$P$2,MONTH(ЯнвВс1+14)=1),ЯнвВс1+14, "")</f>
        <v>43479</v>
      </c>
      <c r="D9" s="10">
        <f>IF(AND(YEAR(ЯнвВс1+15)=$P$2,MONTH(ЯнвВс1+15)=1),ЯнвВс1+15, "")</f>
        <v>43480</v>
      </c>
      <c r="E9" s="10">
        <f>IF(AND(YEAR(ЯнвВс1+16)=$P$2,MONTH(ЯнвВс1+16)=1),ЯнвВс1+16, "")</f>
        <v>43481</v>
      </c>
      <c r="F9" s="10">
        <f>IF(AND(YEAR(ЯнвВс1+17)=$P$2,MONTH(ЯнвВс1+17)=1),ЯнвВс1+17, "")</f>
        <v>43482</v>
      </c>
      <c r="G9" s="10">
        <f>IF(AND(YEAR(ЯнвВс1+18)=$P$2,MONTH(ЯнвВс1+18)=1),ЯнвВс1+18, "")</f>
        <v>43483</v>
      </c>
      <c r="H9" s="10">
        <f>IF(AND(YEAR(ЯнвВс1+19)=$P$2,MONTH(ЯнвВс1+19)=1),ЯнвВс1+19, "")</f>
        <v>43484</v>
      </c>
      <c r="I9" s="10">
        <f>IF(AND(YEAR(ЯнвВс1+20)=$P$2,MONTH(ЯнвВс1+20)=1),ЯнвВс1+20, "")</f>
        <v>43485</v>
      </c>
      <c r="K9" s="10">
        <f>IF(AND(YEAR(АпрВс1+14)=$P$2,MONTH(АпрВс1+14)=4),АпрВс1+14, "")</f>
        <v>43570</v>
      </c>
      <c r="L9" s="10">
        <f>IF(AND(YEAR(АпрВс1+15)=$P$2,MONTH(АпрВс1+15)=4),АпрВс1+15, "")</f>
        <v>43571</v>
      </c>
      <c r="M9" s="10">
        <f>IF(AND(YEAR(АпрВс1+16)=$P$2,MONTH(АпрВс1+16)=4),АпрВс1+16, "")</f>
        <v>43572</v>
      </c>
      <c r="N9" s="10">
        <f>IF(AND(YEAR(АпрВс1+17)=$P$2,MONTH(АпрВс1+17)=4),АпрВс1+17, "")</f>
        <v>43573</v>
      </c>
      <c r="O9" s="10">
        <f>IF(AND(YEAR(АпрВс1+18)=$P$2,MONTH(АпрВс1+18)=4),АпрВс1+18, "")</f>
        <v>43574</v>
      </c>
      <c r="P9" s="10">
        <f>IF(AND(YEAR(АпрВс1+19)=$P$2,MONTH(АпрВс1+19)=4),АпрВс1+19, "")</f>
        <v>43575</v>
      </c>
      <c r="Q9" s="10">
        <f>IF(AND(YEAR(АпрВс1+20)=$P$2,MONTH(АпрВс1+20)=4),АпрВс1+20, "")</f>
        <v>43576</v>
      </c>
      <c r="S9" s="10">
        <f>IF(AND(YEAR(ИюлВс1+14)=$P$2,MONTH(ИюлВс1+14)=7),ИюлВс1+14, "")</f>
        <v>43661</v>
      </c>
      <c r="T9" s="10">
        <f>IF(AND(YEAR(ИюлВс1+15)=$P$2,MONTH(ИюлВс1+15)=7),ИюлВс1+15, "")</f>
        <v>43662</v>
      </c>
      <c r="U9" s="10">
        <f>IF(AND(YEAR(ИюлВс1+16)=$P$2,MONTH(ИюлВс1+16)=7),ИюлВс1+16, "")</f>
        <v>43663</v>
      </c>
      <c r="V9" s="10">
        <f>IF(AND(YEAR(ИюлВс1+17)=$P$2,MONTH(ИюлВс1+17)=7),ИюлВс1+17, "")</f>
        <v>43664</v>
      </c>
      <c r="W9" s="10">
        <f>IF(AND(YEAR(ИюлВс1+18)=$P$2,MONTH(ИюлВс1+18)=7),ИюлВс1+18, "")</f>
        <v>43665</v>
      </c>
      <c r="X9" s="10">
        <f>IF(AND(YEAR(ИюлВс1+19)=$P$2,MONTH(ИюлВс1+19)=7),ИюлВс1+19, "")</f>
        <v>43666</v>
      </c>
      <c r="Y9" s="10">
        <f>IF(AND(YEAR(ИюлВс1+20)=$P$2,MONTH(ИюлВс1+20)=7),ИюлВс1+20, "")</f>
        <v>43667</v>
      </c>
      <c r="AA9" s="10">
        <f>IF(AND(YEAR(ОктВс1+14)=$P$2,MONTH(ОктВс1+14)=10),ОктВс1+14, "")</f>
        <v>43752</v>
      </c>
      <c r="AB9" s="10">
        <f>IF(AND(YEAR(ОктВс1+15)=$P$2,MONTH(ОктВс1+15)=10),ОктВс1+15, "")</f>
        <v>43753</v>
      </c>
      <c r="AC9" s="10">
        <f>IF(AND(YEAR(ОктВс1+16)=$P$2,MONTH(ОктВс1+16)=10),ОктВс1+16, "")</f>
        <v>43754</v>
      </c>
      <c r="AD9" s="10">
        <f>IF(AND(YEAR(ОктВс1+17)=$P$2,MONTH(ОктВс1+17)=10),ОктВс1+17, "")</f>
        <v>43755</v>
      </c>
      <c r="AE9" s="10">
        <f>IF(AND(YEAR(ОктВс1+18)=$P$2,MONTH(ОктВс1+18)=10),ОктВс1+18, "")</f>
        <v>43756</v>
      </c>
      <c r="AF9" s="10">
        <f>IF(AND(YEAR(ОктВс1+19)=$P$2,MONTH(ОктВс1+19)=10),ОктВс1+19, "")</f>
        <v>43757</v>
      </c>
      <c r="AG9" s="10">
        <f>IF(AND(YEAR(ОктВс1+20)=$P$2,MONTH(ОктВс1+20)=10),ОктВс1+20, "")</f>
        <v>43758</v>
      </c>
    </row>
    <row r="10" spans="2:34" ht="15.95" customHeight="1" thickBot="1" x14ac:dyDescent="0.25">
      <c r="C10" s="10">
        <f>IF(AND(YEAR(ЯнвВс1+21)=$P$2,MONTH(ЯнвВс1+21)=1),ЯнвВс1+21, "")</f>
        <v>43486</v>
      </c>
      <c r="D10" s="10">
        <f>IF(AND(YEAR(ЯнвВс1+22)=$P$2,MONTH(ЯнвВс1+22)=1),ЯнвВс1+22, "")</f>
        <v>43487</v>
      </c>
      <c r="E10" s="10">
        <f>IF(AND(YEAR(ЯнвВс1+23)=$P$2,MONTH(ЯнвВс1+23)=1),ЯнвВс1+23, "")</f>
        <v>43488</v>
      </c>
      <c r="F10" s="10">
        <f>IF(AND(YEAR(ЯнвВс1+24)=$P$2,MONTH(ЯнвВс1+24)=1),ЯнвВс1+24, "")</f>
        <v>43489</v>
      </c>
      <c r="G10" s="10">
        <f>IF(AND(YEAR(ЯнвВс1+25)=$P$2,MONTH(ЯнвВс1+25)=1),ЯнвВс1+25, "")</f>
        <v>43490</v>
      </c>
      <c r="H10" s="10">
        <f>IF(AND(YEAR(ЯнвВс1+26)=$P$2,MONTH(ЯнвВс1+26)=1),ЯнвВс1+26, "")</f>
        <v>43491</v>
      </c>
      <c r="I10" s="10">
        <f>IF(AND(YEAR(ЯнвВс1+27)=$P$2,MONTH(ЯнвВс1+27)=1),ЯнвВс1+27, "")</f>
        <v>43492</v>
      </c>
      <c r="K10" s="10">
        <f>IF(AND(YEAR(АпрВс1+21)=$P$2,MONTH(АпрВс1+21)=4),АпрВс1+21, "")</f>
        <v>43577</v>
      </c>
      <c r="L10" s="10">
        <f>IF(AND(YEAR(АпрВс1+22)=$P$2,MONTH(АпрВс1+22)=4),АпрВс1+22, "")</f>
        <v>43578</v>
      </c>
      <c r="M10" s="10">
        <f>IF(AND(YEAR(АпрВс1+23)=$P$2,MONTH(АпрВс1+23)=4),АпрВс1+23, "")</f>
        <v>43579</v>
      </c>
      <c r="N10" s="10">
        <f>IF(AND(YEAR(АпрВс1+24)=$P$2,MONTH(АпрВс1+24)=4),АпрВс1+24, "")</f>
        <v>43580</v>
      </c>
      <c r="O10" s="10">
        <f>IF(AND(YEAR(АпрВс1+25)=$P$2,MONTH(АпрВс1+25)=4),АпрВс1+25, "")</f>
        <v>43581</v>
      </c>
      <c r="P10" s="10">
        <f>IF(AND(YEAR(АпрВс1+26)=$P$2,MONTH(АпрВс1+26)=4),АпрВс1+26, "")</f>
        <v>43582</v>
      </c>
      <c r="Q10" s="10">
        <f>IF(AND(YEAR(АпрВс1+27)=$P$2,MONTH(АпрВс1+27)=4),АпрВс1+27, "")</f>
        <v>43583</v>
      </c>
      <c r="S10" s="10">
        <f>IF(AND(YEAR(ИюлВс1+21)=$P$2,MONTH(ИюлВс1+21)=7),ИюлВс1+21, "")</f>
        <v>43668</v>
      </c>
      <c r="T10" s="10">
        <f>IF(AND(YEAR(ИюлВс1+22)=$P$2,MONTH(ИюлВс1+22)=7),ИюлВс1+22, "")</f>
        <v>43669</v>
      </c>
      <c r="U10" s="10">
        <f>IF(AND(YEAR(ИюлВс1+23)=$P$2,MONTH(ИюлВс1+23)=7),ИюлВс1+23, "")</f>
        <v>43670</v>
      </c>
      <c r="V10" s="10">
        <f>IF(AND(YEAR(ИюлВс1+24)=$P$2,MONTH(ИюлВс1+24)=7),ИюлВс1+24, "")</f>
        <v>43671</v>
      </c>
      <c r="W10" s="10">
        <f>IF(AND(YEAR(ИюлВс1+25)=$P$2,MONTH(ИюлВс1+25)=7),ИюлВс1+25, "")</f>
        <v>43672</v>
      </c>
      <c r="X10" s="10">
        <f>IF(AND(YEAR(ИюлВс1+26)=$P$2,MONTH(ИюлВс1+26)=7),ИюлВс1+26, "")</f>
        <v>43673</v>
      </c>
      <c r="Y10" s="10">
        <f>IF(AND(YEAR(ИюлВс1+27)=$P$2,MONTH(ИюлВс1+27)=7),ИюлВс1+27, "")</f>
        <v>43674</v>
      </c>
      <c r="AA10" s="10">
        <f>IF(AND(YEAR(ОктВс1+21)=$P$2,MONTH(ОктВс1+21)=10),ОктВс1+21, "")</f>
        <v>43759</v>
      </c>
      <c r="AB10" s="10">
        <f>IF(AND(YEAR(ОктВс1+22)=$P$2,MONTH(ОктВс1+22)=10),ОктВс1+22, "")</f>
        <v>43760</v>
      </c>
      <c r="AC10" s="10">
        <f>IF(AND(YEAR(ОктВс1+23)=$P$2,MONTH(ОктВс1+23)=10),ОктВс1+23, "")</f>
        <v>43761</v>
      </c>
      <c r="AD10" s="10">
        <f>IF(AND(YEAR(ОктВс1+24)=$P$2,MONTH(ОктВс1+24)=10),ОктВс1+24, "")</f>
        <v>43762</v>
      </c>
      <c r="AE10" s="10">
        <f>IF(AND(YEAR(ОктВс1+25)=$P$2,MONTH(ОктВс1+25)=10),ОктВс1+25, "")</f>
        <v>43763</v>
      </c>
      <c r="AF10" s="10">
        <f>IF(AND(YEAR(ОктВс1+26)=$P$2,MONTH(ОктВс1+26)=10),ОктВс1+26, "")</f>
        <v>43764</v>
      </c>
      <c r="AG10" s="10">
        <f>IF(AND(YEAR(ОктВс1+27)=$P$2,MONTH(ОктВс1+27)=10),ОктВс1+27, "")</f>
        <v>43765</v>
      </c>
    </row>
    <row r="11" spans="2:34" ht="15.95" customHeight="1" thickBot="1" x14ac:dyDescent="0.25">
      <c r="C11" s="10">
        <f>IF(AND(YEAR(ЯнвВс1+28)=$P$2,MONTH(ЯнвВс1+28)=1),ЯнвВс1+28, "")</f>
        <v>43493</v>
      </c>
      <c r="D11" s="10">
        <f>IF(AND(YEAR(ЯнвВс1+29)=$P$2,MONTH(ЯнвВс1+29)=1),ЯнвВс1+29, "")</f>
        <v>43494</v>
      </c>
      <c r="E11" s="10">
        <f>IF(AND(YEAR(ЯнвВс1+30)=$P$2,MONTH(ЯнвВс1+30)=1),ЯнвВс1+30, "")</f>
        <v>43495</v>
      </c>
      <c r="F11" s="10">
        <f>IF(AND(YEAR(ЯнвВс1+31)=$P$2,MONTH(ЯнвВс1+31)=1),ЯнвВс1+31, "")</f>
        <v>43496</v>
      </c>
      <c r="G11" s="10" t="str">
        <f>IF(AND(YEAR(ЯнвВс1+32)=$P$2,MONTH(ЯнвВс1+32)=1),ЯнвВс1+32, "")</f>
        <v/>
      </c>
      <c r="H11" s="10" t="str">
        <f>IF(AND(YEAR(ЯнвВс1+33)=$P$2,MONTH(ЯнвВс1+33)=1),ЯнвВс1+33, "")</f>
        <v/>
      </c>
      <c r="I11" s="10" t="str">
        <f>IF(AND(YEAR(ЯнвВс1+34)=$P$2,MONTH(ЯнвВс1+34)=1),ЯнвВс1+34, "")</f>
        <v/>
      </c>
      <c r="K11" s="10">
        <f>IF(AND(YEAR(АпрВс1+28)=$P$2,MONTH(АпрВс1+28)=4),АпрВс1+28, "")</f>
        <v>43584</v>
      </c>
      <c r="L11" s="10">
        <f>IF(AND(YEAR(АпрВс1+29)=$P$2,MONTH(АпрВс1+29)=4),АпрВс1+29, "")</f>
        <v>43585</v>
      </c>
      <c r="M11" s="10" t="str">
        <f>IF(AND(YEAR(АпрВс1+30)=$P$2,MONTH(АпрВс1+30)=4),АпрВс1+30, "")</f>
        <v/>
      </c>
      <c r="N11" s="10" t="str">
        <f>IF(AND(YEAR(АпрВс1+31)=$P$2,MONTH(АпрВс1+31)=4),АпрВс1+31, "")</f>
        <v/>
      </c>
      <c r="O11" s="10" t="str">
        <f>IF(AND(YEAR(АпрВс1+32)=$P$2,MONTH(АпрВс1+32)=4),АпрВс1+32, "")</f>
        <v/>
      </c>
      <c r="P11" s="10" t="str">
        <f>IF(AND(YEAR(АпрВс1+33)=$P$2,MONTH(АпрВс1+33)=4),АпрВс1+33, "")</f>
        <v/>
      </c>
      <c r="Q11" s="10" t="str">
        <f>IF(AND(YEAR(АпрВс1+34)=$P$2,MONTH(АпрВс1+34)=4),АпрВс1+34, "")</f>
        <v/>
      </c>
      <c r="S11" s="10">
        <f>IF(AND(YEAR(ИюлВс1+28)=$P$2,MONTH(ИюлВс1+28)=7),ИюлВс1+28, "")</f>
        <v>43675</v>
      </c>
      <c r="T11" s="10">
        <f>IF(AND(YEAR(ИюлВс1+29)=$P$2,MONTH(ИюлВс1+29)=7),ИюлВс1+29, "")</f>
        <v>43676</v>
      </c>
      <c r="U11" s="10">
        <f>IF(AND(YEAR(ИюлВс1+30)=$P$2,MONTH(ИюлВс1+30)=7),ИюлВс1+30, "")</f>
        <v>43677</v>
      </c>
      <c r="V11" s="10" t="str">
        <f>IF(AND(YEAR(ИюлВс1+31)=$P$2,MONTH(ИюлВс1+31)=7),ИюлВс1+31, "")</f>
        <v/>
      </c>
      <c r="W11" s="10" t="str">
        <f>IF(AND(YEAR(ИюлВс1+32)=$P$2,MONTH(ИюлВс1+32)=7),ИюлВс1+32, "")</f>
        <v/>
      </c>
      <c r="X11" s="10" t="str">
        <f>IF(AND(YEAR(ИюлВс1+33)=$P$2,MONTH(ИюлВс1+33)=7),ИюлВс1+33, "")</f>
        <v/>
      </c>
      <c r="Y11" s="10" t="str">
        <f>IF(AND(YEAR(ИюлВс1+34)=$P$2,MONTH(ИюлВс1+34)=7),ИюлВс1+34, "")</f>
        <v/>
      </c>
      <c r="AA11" s="10">
        <f>IF(AND(YEAR(ОктВс1+28)=$P$2,MONTH(ОктВс1+28)=10),ОктВс1+28, "")</f>
        <v>43766</v>
      </c>
      <c r="AB11" s="10">
        <f>IF(AND(YEAR(ОктВс1+29)=$P$2,MONTH(ОктВс1+29)=10),ОктВс1+29, "")</f>
        <v>43767</v>
      </c>
      <c r="AC11" s="10">
        <f>IF(AND(YEAR(ОктВс1+30)=$P$2,MONTH(ОктВс1+30)=10),ОктВс1+30, "")</f>
        <v>43768</v>
      </c>
      <c r="AD11" s="10">
        <f>IF(AND(YEAR(ОктВс1+31)=$P$2,MONTH(ОктВс1+31)=10),ОктВс1+31, "")</f>
        <v>43769</v>
      </c>
      <c r="AE11" s="10" t="str">
        <f>IF(AND(YEAR(ОктВс1+32)=$P$2,MONTH(ОктВс1+32)=10),ОктВс1+32, "")</f>
        <v/>
      </c>
      <c r="AF11" s="10" t="str">
        <f>IF(AND(YEAR(ОктВс1+33)=$P$2,MONTH(ОктВс1+33)=10),ОктВс1+33, "")</f>
        <v/>
      </c>
      <c r="AG11" s="10" t="str">
        <f>IF(AND(YEAR(ОктВс1+34)=$P$2,MONTH(ОктВс1+34)=10),ОктВс1+34, "")</f>
        <v/>
      </c>
    </row>
    <row r="12" spans="2:34" ht="15.95" customHeight="1" thickBot="1" x14ac:dyDescent="0.25">
      <c r="C12" s="10" t="str">
        <f>IF(AND(YEAR(ЯнвВс1+35)=$P$2,MONTH(ЯнвВс1+35)=1),ЯнвВс1+35, "")</f>
        <v/>
      </c>
      <c r="D12" s="10" t="str">
        <f>IF(AND(YEAR(ЯнвВс1+36)=$P$2,MONTH(ЯнвВс1+36)=1),ЯнвВс1+36, "")</f>
        <v/>
      </c>
      <c r="E12" s="10" t="str">
        <f>IF(AND(YEAR(ЯнвВс1+37)=$P$2,MONTH(ЯнвВс1+37)=1),ЯнвВс1+37, "")</f>
        <v/>
      </c>
      <c r="F12" s="10" t="str">
        <f>IF(AND(YEAR(ЯнвВс1+38)=$P$2,MONTH(ЯнвВс1+38)=1),ЯнвВс1+38, "")</f>
        <v/>
      </c>
      <c r="G12" s="10" t="str">
        <f>IF(AND(YEAR(ЯнвВс1+39)=$P$2,MONTH(ЯнвВс1+39)=1),ЯнвВс1+39, "")</f>
        <v/>
      </c>
      <c r="H12" s="10" t="str">
        <f>IF(AND(YEAR(ЯнвВс1+40)=$P$2,MONTH(ЯнвВс1+40)=1),ЯнвВс1+40, "")</f>
        <v/>
      </c>
      <c r="I12" s="10" t="str">
        <f>IF(AND(YEAR(ЯнвВс1+41)=$P$2,MONTH(ЯнвВс1+41)=1),ЯнвВс1+41, "")</f>
        <v/>
      </c>
      <c r="K12" s="10" t="str">
        <f>IF(AND(YEAR(АпрВс1+35)=$P$2,MONTH(АпрВс1+35)=4),АпрВс1+35, "")</f>
        <v/>
      </c>
      <c r="L12" s="10" t="str">
        <f>IF(AND(YEAR(АпрВс1+36)=$P$2,MONTH(АпрВс1+36)=4),АпрВс1+36, "")</f>
        <v/>
      </c>
      <c r="M12" s="10" t="str">
        <f>IF(AND(YEAR(АпрВс1+37)=$P$2,MONTH(АпрВс1+37)=4),АпрВс1+37, "")</f>
        <v/>
      </c>
      <c r="N12" s="10" t="str">
        <f>IF(AND(YEAR(АпрВс1+38)=$P$2,MONTH(АпрВс1+38)=4),АпрВс1+38, "")</f>
        <v/>
      </c>
      <c r="O12" s="10" t="str">
        <f>IF(AND(YEAR(АпрВс1+39)=$P$2,MONTH(АпрВс1+39)=4),АпрВс1+39, "")</f>
        <v/>
      </c>
      <c r="P12" s="10" t="str">
        <f>IF(AND(YEAR(АпрВс1+40)=$P$2,MONTH(АпрВс1+40)=4),АпрВс1+40, "")</f>
        <v/>
      </c>
      <c r="Q12" s="10" t="str">
        <f>IF(AND(YEAR(АпрВс1+41)=$P$2,MONTH(АпрВс1+41)=4),АпрВс1+41, "")</f>
        <v/>
      </c>
      <c r="S12" s="10" t="str">
        <f>IF(AND(YEAR(ИюлВс1+35)=$P$2,MONTH(ИюлВс1+35)=7),ИюлВс1+35, "")</f>
        <v/>
      </c>
      <c r="T12" s="10" t="str">
        <f>IF(AND(YEAR(ИюлВс1+36)=$P$2,MONTH(ИюлВс1+36)=7),ИюлВс1+36, "")</f>
        <v/>
      </c>
      <c r="U12" s="10" t="str">
        <f>IF(AND(YEAR(ИюлВс1+37)=$P$2,MONTH(ИюлВс1+37)=7),ИюлВс1+37, "")</f>
        <v/>
      </c>
      <c r="V12" s="10" t="str">
        <f>IF(AND(YEAR(ИюлВс1+38)=$P$2,MONTH(ИюлВс1+38)=7),ИюлВс1+38, "")</f>
        <v/>
      </c>
      <c r="W12" s="10" t="str">
        <f>IF(AND(YEAR(ИюлВс1+39)=$P$2,MONTH(ИюлВс1+39)=7),ИюлВс1+39, "")</f>
        <v/>
      </c>
      <c r="X12" s="10" t="str">
        <f>IF(AND(YEAR(ИюлВс1+40)=$P$2,MONTH(ИюлВс1+40)=7),ИюлВс1+40, "")</f>
        <v/>
      </c>
      <c r="Y12" s="10" t="str">
        <f>IF(AND(YEAR(ИюлВс1+41)=$P$2,MONTH(ИюлВс1+41)=7),ИюлВс1+41, "")</f>
        <v/>
      </c>
      <c r="AA12" s="10" t="str">
        <f>IF(AND(YEAR(ОктВс1+35)=$P$2,MONTH(ОктВс1+35)=10),ОктВс1+35, "")</f>
        <v/>
      </c>
      <c r="AB12" s="10" t="str">
        <f>IF(AND(YEAR(ОктВс1+36)=$P$2,MONTH(ОктВс1+36)=10),ОктВс1+36, "")</f>
        <v/>
      </c>
      <c r="AC12" s="10" t="str">
        <f>IF(AND(YEAR(ОктВс1+37)=$P$2,MONTH(ОктВс1+37)=10),ОктВс1+37, "")</f>
        <v/>
      </c>
      <c r="AD12" s="10" t="str">
        <f>IF(AND(YEAR(ОктВс1+38)=$P$2,MONTH(ОктВс1+38)=10),ОктВс1+38, "")</f>
        <v/>
      </c>
      <c r="AE12" s="10" t="str">
        <f>IF(AND(YEAR(ОктВс1+39)=$P$2,MONTH(ОктВс1+39)=10),ОктВс1+39, "")</f>
        <v/>
      </c>
      <c r="AF12" s="10" t="str">
        <f>IF(AND(YEAR(ОктВс1+40)=$P$2,MONTH(ОктВс1+40)=10),ОктВс1+40, "")</f>
        <v/>
      </c>
      <c r="AG12" s="10" t="str">
        <f>IF(AND(YEAR(ОктВс1+41)=$P$2,MONTH(ОктВс1+41)=10),ОктВс1+41, "")</f>
        <v/>
      </c>
    </row>
    <row r="13" spans="2:34" ht="26.25" customHeight="1" x14ac:dyDescent="0.2"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3"/>
    </row>
    <row r="14" spans="2:34" ht="22.5" customHeight="1" x14ac:dyDescent="0.2">
      <c r="C14" s="12" t="s">
        <v>2</v>
      </c>
      <c r="D14" s="12"/>
      <c r="E14" s="12"/>
      <c r="F14" s="12"/>
      <c r="G14" s="12"/>
      <c r="H14" s="12"/>
      <c r="I14" s="12"/>
      <c r="K14" s="12" t="s">
        <v>11</v>
      </c>
      <c r="L14" s="12"/>
      <c r="M14" s="12"/>
      <c r="N14" s="12"/>
      <c r="O14" s="12"/>
      <c r="P14" s="12"/>
      <c r="Q14" s="12"/>
      <c r="S14" s="12" t="s">
        <v>14</v>
      </c>
      <c r="T14" s="12"/>
      <c r="U14" s="12"/>
      <c r="V14" s="12"/>
      <c r="W14" s="12"/>
      <c r="X14" s="12"/>
      <c r="Y14" s="12"/>
      <c r="AA14" s="12" t="s">
        <v>17</v>
      </c>
      <c r="AB14" s="12"/>
      <c r="AC14" s="12"/>
      <c r="AD14" s="12"/>
      <c r="AE14" s="12"/>
      <c r="AF14" s="12"/>
      <c r="AG14" s="12"/>
    </row>
    <row r="15" spans="2:34" ht="15.95" customHeight="1" thickBot="1" x14ac:dyDescent="0.3">
      <c r="B15" s="2"/>
      <c r="C15" s="4" t="s">
        <v>1</v>
      </c>
      <c r="D15" s="4" t="s">
        <v>4</v>
      </c>
      <c r="E15" s="4" t="s">
        <v>6</v>
      </c>
      <c r="F15" s="4" t="s">
        <v>5</v>
      </c>
      <c r="G15" s="4" t="s">
        <v>7</v>
      </c>
      <c r="H15" s="4" t="s">
        <v>8</v>
      </c>
      <c r="I15" s="4" t="s">
        <v>9</v>
      </c>
      <c r="K15" s="4" t="s">
        <v>1</v>
      </c>
      <c r="L15" s="4" t="s">
        <v>4</v>
      </c>
      <c r="M15" s="4" t="s">
        <v>6</v>
      </c>
      <c r="N15" s="4" t="s">
        <v>5</v>
      </c>
      <c r="O15" s="4" t="s">
        <v>7</v>
      </c>
      <c r="P15" s="4" t="s">
        <v>8</v>
      </c>
      <c r="Q15" s="4" t="s">
        <v>9</v>
      </c>
      <c r="S15" s="4" t="s">
        <v>1</v>
      </c>
      <c r="T15" s="4" t="s">
        <v>4</v>
      </c>
      <c r="U15" s="4" t="s">
        <v>6</v>
      </c>
      <c r="V15" s="4" t="s">
        <v>5</v>
      </c>
      <c r="W15" s="4" t="s">
        <v>7</v>
      </c>
      <c r="X15" s="4" t="s">
        <v>8</v>
      </c>
      <c r="Y15" s="4" t="s">
        <v>9</v>
      </c>
      <c r="AA15" s="4" t="s">
        <v>1</v>
      </c>
      <c r="AB15" s="4" t="s">
        <v>4</v>
      </c>
      <c r="AC15" s="4" t="s">
        <v>6</v>
      </c>
      <c r="AD15" s="4" t="s">
        <v>5</v>
      </c>
      <c r="AE15" s="4" t="s">
        <v>7</v>
      </c>
      <c r="AF15" s="4" t="s">
        <v>8</v>
      </c>
      <c r="AG15" s="4" t="s">
        <v>9</v>
      </c>
    </row>
    <row r="16" spans="2:34" ht="15.95" customHeight="1" thickBot="1" x14ac:dyDescent="0.25">
      <c r="C16" s="10" t="str">
        <f>IF(AND(YEAR(ФевВс1)=$P$2,MONTH(ФевВс1)=2),ФевВс1, "")</f>
        <v/>
      </c>
      <c r="D16" s="10" t="str">
        <f>IF(AND(YEAR(ФевВс1+1)=$P$2,MONTH(ФевВс1+1)=2),ФевВс1+1, "")</f>
        <v/>
      </c>
      <c r="E16" s="10" t="str">
        <f>IF(AND(YEAR(ФевВс1+2)=$P$2,MONTH(ФевВс1+2)=2),ФевВс1+2, "")</f>
        <v/>
      </c>
      <c r="F16" s="10" t="str">
        <f>IF(AND(YEAR(ФевВс1+3)=$P$2,MONTH(ФевВс1+3)=2),ФевВс1+3, "")</f>
        <v/>
      </c>
      <c r="G16" s="10">
        <f>IF(AND(YEAR(ФевВс1+4)=$P$2,MONTH(ФевВс1+4)=2),ФевВс1+4, "")</f>
        <v>43497</v>
      </c>
      <c r="H16" s="10">
        <f>IF(AND(YEAR(ФевВс1+5)=$P$2,MONTH(ФевВс1+5)=2),ФевВс1+5, "")</f>
        <v>43498</v>
      </c>
      <c r="I16" s="10">
        <f>IF(AND(YEAR(ФевВс1+6)=$P$2,MONTH(ФевВс1+6)=2),ФевВс1+6, "")</f>
        <v>43499</v>
      </c>
      <c r="K16" s="10" t="str">
        <f>IF(AND(YEAR(МайВс1)=$P$2,MONTH(МайВс1)=5),МайВс1, "")</f>
        <v/>
      </c>
      <c r="L16" s="10" t="str">
        <f>IF(AND(YEAR(МайВс1+1)=$P$2,MONTH(МайВс1+1)=5),МайВс1+1, "")</f>
        <v/>
      </c>
      <c r="M16" s="10">
        <f>IF(AND(YEAR(МайВс1+2)=$P$2,MONTH(МайВс1+2)=5),МайВс1+2, "")</f>
        <v>43586</v>
      </c>
      <c r="N16" s="10">
        <f>IF(AND(YEAR(МайВс1+3)=$P$2,MONTH(МайВс1+3)=5),МайВс1+3, "")</f>
        <v>43587</v>
      </c>
      <c r="O16" s="10">
        <f>IF(AND(YEAR(МайВс1+4)=$P$2,MONTH(МайВс1+4)=5),МайВс1+4, "")</f>
        <v>43588</v>
      </c>
      <c r="P16" s="10">
        <f>IF(AND(YEAR(МайВс1+5)=$P$2,MONTH(МайВс1+5)=5),МайВс1+5, "")</f>
        <v>43589</v>
      </c>
      <c r="Q16" s="10">
        <f>IF(AND(YEAR(МайВс1+6)=$P$2,MONTH(МайВс1+6)=5),МайВс1+6, "")</f>
        <v>43590</v>
      </c>
      <c r="S16" s="10" t="str">
        <f>IF(AND(YEAR(АвгВс1)=$P$2,MONTH(АвгВс1)=8),АвгВс1, "")</f>
        <v/>
      </c>
      <c r="T16" s="10" t="str">
        <f>IF(AND(YEAR(АвгВс1+1)=$P$2,MONTH(АвгВс1+1)=8),АвгВс1+1, "")</f>
        <v/>
      </c>
      <c r="U16" s="10" t="str">
        <f>IF(AND(YEAR(АвгВс1+2)=$P$2,MONTH(АвгВс1+2)=8),АвгВс1+2, "")</f>
        <v/>
      </c>
      <c r="V16" s="10">
        <f>IF(AND(YEAR(АвгВс1+3)=$P$2,MONTH(АвгВс1+3)=8),АвгВс1+3, "")</f>
        <v>43678</v>
      </c>
      <c r="W16" s="10">
        <f>IF(AND(YEAR(АвгВс1+4)=$P$2,MONTH(АвгВс1+4)=8),АвгВс1+4, "")</f>
        <v>43679</v>
      </c>
      <c r="X16" s="10">
        <f>IF(AND(YEAR(АвгВс1+5)=$P$2,MONTH(АвгВс1+5)=8),АвгВс1+5, "")</f>
        <v>43680</v>
      </c>
      <c r="Y16" s="10">
        <f>IF(AND(YEAR(АвгВс1+6)=$P$2,MONTH(АвгВс1+6)=8),АвгВс1+6, "")</f>
        <v>43681</v>
      </c>
      <c r="AA16" s="10" t="str">
        <f>IF(AND(YEAR(НояВс1)=$P$2,MONTH(НояВс1)=11),НояВс1, "")</f>
        <v/>
      </c>
      <c r="AB16" s="10" t="str">
        <f>IF(AND(YEAR(НояВс1+1)=$P$2,MONTH(НояВс1+1)=11),НояВс1+1, "")</f>
        <v/>
      </c>
      <c r="AC16" s="10" t="str">
        <f>IF(AND(YEAR(НояВс1+2)=$P$2,MONTH(НояВс1+2)=11),НояВс1+2, "")</f>
        <v/>
      </c>
      <c r="AD16" s="10" t="str">
        <f>IF(AND(YEAR(НояВс1+3)=$P$2,MONTH(НояВс1+3)=11),НояВс1+3, "")</f>
        <v/>
      </c>
      <c r="AE16" s="10">
        <f>IF(AND(YEAR(НояВс1+4)=$P$2,MONTH(НояВс1+4)=11),НояВс1+4, "")</f>
        <v>43770</v>
      </c>
      <c r="AF16" s="10">
        <f>IF(AND(YEAR(НояВс1+5)=$P$2,MONTH(НояВс1+5)=11),НояВс1+5, "")</f>
        <v>43771</v>
      </c>
      <c r="AG16" s="10">
        <f>IF(AND(YEAR(НояВс1+6)=$P$2,MONTH(НояВс1+6)=11),НояВс1+6, "")</f>
        <v>43772</v>
      </c>
    </row>
    <row r="17" spans="2:36" ht="15.95" customHeight="1" thickBot="1" x14ac:dyDescent="0.25">
      <c r="C17" s="10">
        <f>IF(AND(YEAR(ФевВс1+7)=$P$2,MONTH(ФевВс1+7)=2),ФевВс1+7, "")</f>
        <v>43500</v>
      </c>
      <c r="D17" s="10">
        <f>IF(AND(YEAR(ФевВс1+8)=$P$2,MONTH(ФевВс1+8)=2),ФевВс1+8, "")</f>
        <v>43501</v>
      </c>
      <c r="E17" s="10">
        <f>IF(AND(YEAR(ФевВс1+9)=$P$2,MONTH(ФевВс1+9)=2),ФевВс1+9, "")</f>
        <v>43502</v>
      </c>
      <c r="F17" s="10">
        <f>IF(AND(YEAR(ФевВс1+10)=$P$2,MONTH(ФевВс1+10)=2),ФевВс1+10, "")</f>
        <v>43503</v>
      </c>
      <c r="G17" s="10">
        <f>IF(AND(YEAR(ФевВс1+11)=$P$2,MONTH(ФевВс1+11)=2),ФевВс1+11, "")</f>
        <v>43504</v>
      </c>
      <c r="H17" s="10">
        <f>IF(AND(YEAR(ФевВс1+12)=$P$2,MONTH(ФевВс1+12)=2),ФевВс1+12, "")</f>
        <v>43505</v>
      </c>
      <c r="I17" s="10">
        <f>IF(AND(YEAR(ФевВс1+13)=$P$2,MONTH(ФевВс1+13)=2),ФевВс1+13, "")</f>
        <v>43506</v>
      </c>
      <c r="K17" s="10">
        <f>IF(AND(YEAR(МайВс1+7)=$P$2,MONTH(МайВс1+7)=5),МайВс1+7, "")</f>
        <v>43591</v>
      </c>
      <c r="L17" s="10">
        <f>IF(AND(YEAR(МайВс1+8)=$P$2,MONTH(МайВс1+8)=5),МайВс1+8, "")</f>
        <v>43592</v>
      </c>
      <c r="M17" s="10">
        <f>IF(AND(YEAR(МайВс1+9)=$P$2,MONTH(МайВс1+9)=5),МайВс1+9, "")</f>
        <v>43593</v>
      </c>
      <c r="N17" s="10">
        <f>IF(AND(YEAR(МайВс1+10)=$P$2,MONTH(МайВс1+10)=5),МайВс1+10, "")</f>
        <v>43594</v>
      </c>
      <c r="O17" s="10">
        <f>IF(AND(YEAR(МайВс1+11)=$P$2,MONTH(МайВс1+11)=5),МайВс1+11, "")</f>
        <v>43595</v>
      </c>
      <c r="P17" s="10">
        <f>IF(AND(YEAR(МайВс1+12)=$P$2,MONTH(МайВс1+12)=5),МайВс1+12, "")</f>
        <v>43596</v>
      </c>
      <c r="Q17" s="10">
        <f>IF(AND(YEAR(МайВс1+13)=$P$2,MONTH(МайВс1+13)=5),МайВс1+13, "")</f>
        <v>43597</v>
      </c>
      <c r="S17" s="10">
        <f>IF(AND(YEAR(АвгВс1+7)=$P$2,MONTH(АвгВс1+7)=8),АвгВс1+7, "")</f>
        <v>43682</v>
      </c>
      <c r="T17" s="10">
        <f>IF(AND(YEAR(АвгВс1+8)=$P$2,MONTH(АвгВс1+8)=8),АвгВс1+8, "")</f>
        <v>43683</v>
      </c>
      <c r="U17" s="10">
        <f>IF(AND(YEAR(АвгВс1+9)=$P$2,MONTH(АвгВс1+9)=8),АвгВс1+9, "")</f>
        <v>43684</v>
      </c>
      <c r="V17" s="10">
        <f>IF(AND(YEAR(АвгВс1+10)=$P$2,MONTH(АвгВс1+10)=8),АвгВс1+10, "")</f>
        <v>43685</v>
      </c>
      <c r="W17" s="10">
        <f>IF(AND(YEAR(АвгВс1+11)=$P$2,MONTH(АвгВс1+11)=8),АвгВс1+11, "")</f>
        <v>43686</v>
      </c>
      <c r="X17" s="10">
        <f>IF(AND(YEAR(АвгВс1+12)=$P$2,MONTH(АвгВс1+12)=8),АвгВс1+12, "")</f>
        <v>43687</v>
      </c>
      <c r="Y17" s="10">
        <f>IF(AND(YEAR(АвгВс1+13)=$P$2,MONTH(АвгВс1+13)=8),АвгВс1+13, "")</f>
        <v>43688</v>
      </c>
      <c r="AA17" s="10">
        <f>IF(AND(YEAR(НояВс1+7)=$P$2,MONTH(НояВс1+7)=11),НояВс1+7, "")</f>
        <v>43773</v>
      </c>
      <c r="AB17" s="10">
        <f>IF(AND(YEAR(НояВс1+8)=$P$2,MONTH(НояВс1+8)=11),НояВс1+8, "")</f>
        <v>43774</v>
      </c>
      <c r="AC17" s="10">
        <f>IF(AND(YEAR(НояВс1+9)=$P$2,MONTH(НояВс1+9)=11),НояВс1+9, "")</f>
        <v>43775</v>
      </c>
      <c r="AD17" s="10">
        <f>IF(AND(YEAR(НояВс1+10)=$P$2,MONTH(НояВс1+10)=11),НояВс1+10, "")</f>
        <v>43776</v>
      </c>
      <c r="AE17" s="10">
        <f>IF(AND(YEAR(НояВс1+11)=$P$2,MONTH(НояВс1+11)=11),НояВс1+11, "")</f>
        <v>43777</v>
      </c>
      <c r="AF17" s="10">
        <f>IF(AND(YEAR(НояВс1+12)=$P$2,MONTH(НояВс1+12)=11),НояВс1+12, "")</f>
        <v>43778</v>
      </c>
      <c r="AG17" s="10">
        <f>IF(AND(YEAR(НояВс1+13)=$P$2,MONTH(НояВс1+13)=11),НояВс1+13, "")</f>
        <v>43779</v>
      </c>
    </row>
    <row r="18" spans="2:36" ht="15.95" customHeight="1" thickBot="1" x14ac:dyDescent="0.25">
      <c r="C18" s="10">
        <f>IF(AND(YEAR(ФевВс1+14)=$P$2,MONTH(ФевВс1+14)=2),ФевВс1+14, "")</f>
        <v>43507</v>
      </c>
      <c r="D18" s="10">
        <f>IF(AND(YEAR(ФевВс1+15)=$P$2,MONTH(ФевВс1+15)=2),ФевВс1+15, "")</f>
        <v>43508</v>
      </c>
      <c r="E18" s="10">
        <f>IF(AND(YEAR(ФевВс1+16)=$P$2,MONTH(ФевВс1+16)=2),ФевВс1+16, "")</f>
        <v>43509</v>
      </c>
      <c r="F18" s="10">
        <f>IF(AND(YEAR(ФевВс1+17)=$P$2,MONTH(ФевВс1+17)=2),ФевВс1+17, "")</f>
        <v>43510</v>
      </c>
      <c r="G18" s="10">
        <f>IF(AND(YEAR(ФевВс1+18)=$P$2,MONTH(ФевВс1+18)=2),ФевВс1+18, "")</f>
        <v>43511</v>
      </c>
      <c r="H18" s="10">
        <f>IF(AND(YEAR(ФевВс1+19)=$P$2,MONTH(ФевВс1+19)=2),ФевВс1+19, "")</f>
        <v>43512</v>
      </c>
      <c r="I18" s="10">
        <f>IF(AND(YEAR(ФевВс1+20)=$P$2,MONTH(ФевВс1+20)=2),ФевВс1+20, "")</f>
        <v>43513</v>
      </c>
      <c r="K18" s="10">
        <f>IF(AND(YEAR(МайВс1+14)=$P$2,MONTH(МайВс1+14)=5),МайВс1+14, "")</f>
        <v>43598</v>
      </c>
      <c r="L18" s="10">
        <f>IF(AND(YEAR(МайВс1+15)=$P$2,MONTH(МайВс1+15)=5),МайВс1+15, "")</f>
        <v>43599</v>
      </c>
      <c r="M18" s="10">
        <f>IF(AND(YEAR(МайВс1+16)=$P$2,MONTH(МайВс1+16)=5),МайВс1+16, "")</f>
        <v>43600</v>
      </c>
      <c r="N18" s="10">
        <f>IF(AND(YEAR(МайВс1+17)=$P$2,MONTH(МайВс1+17)=5),МайВс1+17, "")</f>
        <v>43601</v>
      </c>
      <c r="O18" s="10">
        <f>IF(AND(YEAR(МайВс1+18)=$P$2,MONTH(МайВс1+18)=5),МайВс1+18, "")</f>
        <v>43602</v>
      </c>
      <c r="P18" s="10">
        <f>IF(AND(YEAR(МайВс1+19)=$P$2,MONTH(МайВс1+19)=5),МайВс1+19, "")</f>
        <v>43603</v>
      </c>
      <c r="Q18" s="10">
        <f>IF(AND(YEAR(МайВс1+20)=$P$2,MONTH(МайВс1+20)=5),МайВс1+20, "")</f>
        <v>43604</v>
      </c>
      <c r="S18" s="10">
        <f>IF(AND(YEAR(АвгВс1+14)=$P$2,MONTH(АвгВс1+14)=8),АвгВс1+14, "")</f>
        <v>43689</v>
      </c>
      <c r="T18" s="10">
        <f>IF(AND(YEAR(АвгВс1+15)=$P$2,MONTH(АвгВс1+15)=8),АвгВс1+15, "")</f>
        <v>43690</v>
      </c>
      <c r="U18" s="10">
        <f>IF(AND(YEAR(АвгВс1+16)=$P$2,MONTH(АвгВс1+16)=8),АвгВс1+16, "")</f>
        <v>43691</v>
      </c>
      <c r="V18" s="10">
        <f>IF(AND(YEAR(АвгВс1+17)=$P$2,MONTH(АвгВс1+17)=8),АвгВс1+17, "")</f>
        <v>43692</v>
      </c>
      <c r="W18" s="10">
        <f>IF(AND(YEAR(АвгВс1+18)=$P$2,MONTH(АвгВс1+18)=8),АвгВс1+18, "")</f>
        <v>43693</v>
      </c>
      <c r="X18" s="10">
        <f>IF(AND(YEAR(АвгВс1+19)=$P$2,MONTH(АвгВс1+19)=8),АвгВс1+19, "")</f>
        <v>43694</v>
      </c>
      <c r="Y18" s="10">
        <f>IF(AND(YEAR(АвгВс1+20)=$P$2,MONTH(АвгВс1+20)=8),АвгВс1+20, "")</f>
        <v>43695</v>
      </c>
      <c r="AA18" s="10">
        <f>IF(AND(YEAR(НояВс1+14)=$P$2,MONTH(НояВс1+14)=11),НояВс1+14, "")</f>
        <v>43780</v>
      </c>
      <c r="AB18" s="10">
        <f>IF(AND(YEAR(НояВс1+15)=$P$2,MONTH(НояВс1+15)=11),НояВс1+15, "")</f>
        <v>43781</v>
      </c>
      <c r="AC18" s="10">
        <f>IF(AND(YEAR(НояВс1+16)=$P$2,MONTH(НояВс1+16)=11),НояВс1+16, "")</f>
        <v>43782</v>
      </c>
      <c r="AD18" s="10">
        <f>IF(AND(YEAR(НояВс1+17)=$P$2,MONTH(НояВс1+17)=11),НояВс1+17, "")</f>
        <v>43783</v>
      </c>
      <c r="AE18" s="10">
        <f>IF(AND(YEAR(НояВс1+18)=$P$2,MONTH(НояВс1+18)=11),НояВс1+18, "")</f>
        <v>43784</v>
      </c>
      <c r="AF18" s="10">
        <f>IF(AND(YEAR(НояВс1+19)=$P$2,MONTH(НояВс1+19)=11),НояВс1+19, "")</f>
        <v>43785</v>
      </c>
      <c r="AG18" s="10">
        <f>IF(AND(YEAR(НояВс1+20)=$P$2,MONTH(НояВс1+20)=11),НояВс1+20, "")</f>
        <v>43786</v>
      </c>
    </row>
    <row r="19" spans="2:36" ht="15.95" customHeight="1" thickBot="1" x14ac:dyDescent="0.25">
      <c r="C19" s="10">
        <f>IF(AND(YEAR(ФевВс1+21)=$P$2,MONTH(ФевВс1+21)=2),ФевВс1+21, "")</f>
        <v>43514</v>
      </c>
      <c r="D19" s="10">
        <f>IF(AND(YEAR(ФевВс1+22)=$P$2,MONTH(ФевВс1+22)=2),ФевВс1+22, "")</f>
        <v>43515</v>
      </c>
      <c r="E19" s="10">
        <f>IF(AND(YEAR(ФевВс1+23)=$P$2,MONTH(ФевВс1+23)=2),ФевВс1+23, "")</f>
        <v>43516</v>
      </c>
      <c r="F19" s="10">
        <f>IF(AND(YEAR(ФевВс1+24)=$P$2,MONTH(ФевВс1+24)=2),ФевВс1+24, "")</f>
        <v>43517</v>
      </c>
      <c r="G19" s="10">
        <f>IF(AND(YEAR(ФевВс1+25)=$P$2,MONTH(ФевВс1+25)=2),ФевВс1+25, "")</f>
        <v>43518</v>
      </c>
      <c r="H19" s="10">
        <f>IF(AND(YEAR(ФевВс1+26)=$P$2,MONTH(ФевВс1+26)=2),ФевВс1+26, "")</f>
        <v>43519</v>
      </c>
      <c r="I19" s="10">
        <f>IF(AND(YEAR(ФевВс1+27)=$P$2,MONTH(ФевВс1+27)=2),ФевВс1+27, "")</f>
        <v>43520</v>
      </c>
      <c r="K19" s="10">
        <f>IF(AND(YEAR(МайВс1+21)=$P$2,MONTH(МайВс1+21)=5),МайВс1+21, "")</f>
        <v>43605</v>
      </c>
      <c r="L19" s="10">
        <f>IF(AND(YEAR(МайВс1+22)=$P$2,MONTH(МайВс1+22)=5),МайВс1+22, "")</f>
        <v>43606</v>
      </c>
      <c r="M19" s="10">
        <f>IF(AND(YEAR(МайВс1+23)=$P$2,MONTH(МайВс1+23)=5),МайВс1+23, "")</f>
        <v>43607</v>
      </c>
      <c r="N19" s="10">
        <f>IF(AND(YEAR(МайВс1+24)=$P$2,MONTH(МайВс1+24)=5),МайВс1+24, "")</f>
        <v>43608</v>
      </c>
      <c r="O19" s="10">
        <f>IF(AND(YEAR(МайВс1+25)=$P$2,MONTH(МайВс1+25)=5),МайВс1+25, "")</f>
        <v>43609</v>
      </c>
      <c r="P19" s="10">
        <f>IF(AND(YEAR(МайВс1+26)=$P$2,MONTH(МайВс1+26)=5),МайВс1+26, "")</f>
        <v>43610</v>
      </c>
      <c r="Q19" s="10">
        <f>IF(AND(YEAR(МайВс1+27)=$P$2,MONTH(МайВс1+27)=5),МайВс1+27, "")</f>
        <v>43611</v>
      </c>
      <c r="S19" s="10">
        <f>IF(AND(YEAR(АвгВс1+21)=$P$2,MONTH(АвгВс1+21)=8),АвгВс1+21, "")</f>
        <v>43696</v>
      </c>
      <c r="T19" s="10">
        <f>IF(AND(YEAR(АвгВс1+22)=$P$2,MONTH(АвгВс1+22)=8),АвгВс1+22, "")</f>
        <v>43697</v>
      </c>
      <c r="U19" s="10">
        <f>IF(AND(YEAR(АвгВс1+23)=$P$2,MONTH(АвгВс1+23)=8),АвгВс1+23, "")</f>
        <v>43698</v>
      </c>
      <c r="V19" s="10">
        <f>IF(AND(YEAR(АвгВс1+24)=$P$2,MONTH(АвгВс1+24)=8),АвгВс1+24, "")</f>
        <v>43699</v>
      </c>
      <c r="W19" s="10">
        <f>IF(AND(YEAR(АвгВс1+25)=$P$2,MONTH(АвгВс1+25)=8),АвгВс1+25, "")</f>
        <v>43700</v>
      </c>
      <c r="X19" s="10">
        <f>IF(AND(YEAR(АвгВс1+26)=$P$2,MONTH(АвгВс1+26)=8),АвгВс1+26, "")</f>
        <v>43701</v>
      </c>
      <c r="Y19" s="10">
        <f>IF(AND(YEAR(АвгВс1+27)=$P$2,MONTH(АвгВс1+27)=8),АвгВс1+27, "")</f>
        <v>43702</v>
      </c>
      <c r="AA19" s="10">
        <f>IF(AND(YEAR(НояВс1+21)=$P$2,MONTH(НояВс1+21)=11),НояВс1+21, "")</f>
        <v>43787</v>
      </c>
      <c r="AB19" s="10">
        <f>IF(AND(YEAR(НояВс1+22)=$P$2,MONTH(НояВс1+22)=11),НояВс1+22, "")</f>
        <v>43788</v>
      </c>
      <c r="AC19" s="10">
        <f>IF(AND(YEAR(НояВс1+23)=$P$2,MONTH(НояВс1+23)=11),НояВс1+23, "")</f>
        <v>43789</v>
      </c>
      <c r="AD19" s="10">
        <f>IF(AND(YEAR(НояВс1+24)=$P$2,MONTH(НояВс1+24)=11),НояВс1+24, "")</f>
        <v>43790</v>
      </c>
      <c r="AE19" s="10">
        <f>IF(AND(YEAR(НояВс1+25)=$P$2,MONTH(НояВс1+25)=11),НояВс1+25, "")</f>
        <v>43791</v>
      </c>
      <c r="AF19" s="10">
        <f>IF(AND(YEAR(НояВс1+26)=$P$2,MONTH(НояВс1+26)=11),НояВс1+26, "")</f>
        <v>43792</v>
      </c>
      <c r="AG19" s="10">
        <f>IF(AND(YEAR(НояВс1+27)=$P$2,MONTH(НояВс1+27)=11),НояВс1+27, "")</f>
        <v>43793</v>
      </c>
    </row>
    <row r="20" spans="2:36" ht="15.95" customHeight="1" thickBot="1" x14ac:dyDescent="0.25">
      <c r="C20" s="10">
        <f>IF(AND(YEAR(ФевВс1+28)=$P$2,MONTH(ФевВс1+28)=2),ФевВс1+28, "")</f>
        <v>43521</v>
      </c>
      <c r="D20" s="10">
        <f>IF(AND(YEAR(ФевВс1+29)=$P$2,MONTH(ФевВс1+29)=2),ФевВс1+29, "")</f>
        <v>43522</v>
      </c>
      <c r="E20" s="10">
        <f>IF(AND(YEAR(ФевВс1+30)=$P$2,MONTH(ФевВс1+30)=2),ФевВс1+30, "")</f>
        <v>43523</v>
      </c>
      <c r="F20" s="10">
        <f>IF(AND(YEAR(ФевВс1+31)=$P$2,MONTH(ФевВс1+31)=2),ФевВс1+31, "")</f>
        <v>43524</v>
      </c>
      <c r="G20" s="10" t="str">
        <f>IF(AND(YEAR(ФевВс1+32)=$P$2,MONTH(ФевВс1+32)=2),ФевВс1+32, "")</f>
        <v/>
      </c>
      <c r="H20" s="10" t="str">
        <f>IF(AND(YEAR(ФевВс1+33)=$P$2,MONTH(ФевВс1+33)=2),ФевВс1+33, "")</f>
        <v/>
      </c>
      <c r="I20" s="10" t="str">
        <f>IF(AND(YEAR(ФевВс1+34)=$P$2,MONTH(ФевВс1+34)=2),ФевВс1+34, "")</f>
        <v/>
      </c>
      <c r="K20" s="10">
        <f>IF(AND(YEAR(МайВс1+28)=$P$2,MONTH(МайВс1+28)=5),МайВс1+28, "")</f>
        <v>43612</v>
      </c>
      <c r="L20" s="10">
        <f>IF(AND(YEAR(МайВс1+29)=$P$2,MONTH(МайВс1+29)=5),МайВс1+29, "")</f>
        <v>43613</v>
      </c>
      <c r="M20" s="10">
        <f>IF(AND(YEAR(МайВс1+30)=$P$2,MONTH(МайВс1+30)=5),МайВс1+30, "")</f>
        <v>43614</v>
      </c>
      <c r="N20" s="10">
        <f>IF(AND(YEAR(МайВс1+31)=$P$2,MONTH(МайВс1+31)=5),МайВс1+31, "")</f>
        <v>43615</v>
      </c>
      <c r="O20" s="10">
        <f>IF(AND(YEAR(МайВс1+32)=$P$2,MONTH(МайВс1+32)=5),МайВс1+32, "")</f>
        <v>43616</v>
      </c>
      <c r="P20" s="10" t="str">
        <f>IF(AND(YEAR(МайВс1+33)=$P$2,MONTH(МайВс1+33)=5),МайВс1+33, "")</f>
        <v/>
      </c>
      <c r="Q20" s="10" t="str">
        <f>IF(AND(YEAR(МайВс1+34)=$P$2,MONTH(МайВс1+34)=5),МайВс1+34, "")</f>
        <v/>
      </c>
      <c r="S20" s="10">
        <f>IF(AND(YEAR(АвгВс1+28)=$P$2,MONTH(АвгВс1+28)=8),АвгВс1+28, "")</f>
        <v>43703</v>
      </c>
      <c r="T20" s="10">
        <f>IF(AND(YEAR(АвгВс1+29)=$P$2,MONTH(АвгВс1+29)=8),АвгВс1+29, "")</f>
        <v>43704</v>
      </c>
      <c r="U20" s="10">
        <f>IF(AND(YEAR(АвгВс1+30)=$P$2,MONTH(АвгВс1+30)=8),АвгВс1+30, "")</f>
        <v>43705</v>
      </c>
      <c r="V20" s="10">
        <f>IF(AND(YEAR(АвгВс1+31)=$P$2,MONTH(АвгВс1+31)=8),АвгВс1+31, "")</f>
        <v>43706</v>
      </c>
      <c r="W20" s="10">
        <f>IF(AND(YEAR(АвгВс1+32)=$P$2,MONTH(АвгВс1+32)=8),АвгВс1+32, "")</f>
        <v>43707</v>
      </c>
      <c r="X20" s="10">
        <f>IF(AND(YEAR(АвгВс1+33)=$P$2,MONTH(АвгВс1+33)=8),АвгВс1+33, "")</f>
        <v>43708</v>
      </c>
      <c r="Y20" s="10" t="str">
        <f>IF(AND(YEAR(АвгВс1+34)=$P$2,MONTH(АвгВс1+34)=8),АвгВс1+34, "")</f>
        <v/>
      </c>
      <c r="AA20" s="10">
        <f>IF(AND(YEAR(НояВс1+28)=$P$2,MONTH(НояВс1+28)=11),НояВс1+28, "")</f>
        <v>43794</v>
      </c>
      <c r="AB20" s="10">
        <f>IF(AND(YEAR(НояВс1+29)=$P$2,MONTH(НояВс1+29)=11),НояВс1+29, "")</f>
        <v>43795</v>
      </c>
      <c r="AC20" s="10">
        <f>IF(AND(YEAR(НояВс1+30)=$P$2,MONTH(НояВс1+30)=11),НояВс1+30, "")</f>
        <v>43796</v>
      </c>
      <c r="AD20" s="10">
        <f>IF(AND(YEAR(НояВс1+31)=$P$2,MONTH(НояВс1+31)=11),НояВс1+31, "")</f>
        <v>43797</v>
      </c>
      <c r="AE20" s="10">
        <f>IF(AND(YEAR(НояВс1+32)=$P$2,MONTH(НояВс1+32)=11),НояВс1+32, "")</f>
        <v>43798</v>
      </c>
      <c r="AF20" s="10">
        <f>IF(AND(YEAR(НояВс1+33)=$P$2,MONTH(НояВс1+33)=11),НояВс1+33, "")</f>
        <v>43799</v>
      </c>
      <c r="AG20" s="10" t="str">
        <f>IF(AND(YEAR(НояВс1+34)=$P$2,MONTH(НояВс1+34)=11),НояВс1+34, "")</f>
        <v/>
      </c>
    </row>
    <row r="21" spans="2:36" ht="15.95" customHeight="1" thickBot="1" x14ac:dyDescent="0.25">
      <c r="C21" s="10" t="str">
        <f>IF(AND(YEAR(ФевВс1+35)=$P$2,MONTH(ФевВс1+35)=2),ФевВс1+35, "")</f>
        <v/>
      </c>
      <c r="D21" s="10" t="str">
        <f>IF(AND(YEAR(ФевВс1+36)=$P$2,MONTH(ФевВс1+36)=2),ФевВс1+36, "")</f>
        <v/>
      </c>
      <c r="E21" s="10" t="str">
        <f>IF(AND(YEAR(ФевВс1+37)=$P$2,MONTH(ФевВс1+37)=2),ФевВс1+37, "")</f>
        <v/>
      </c>
      <c r="F21" s="10" t="str">
        <f>IF(AND(YEAR(ФевВс1+38)=$P$2,MONTH(ФевВс1+38)=2),ФевВс1+38, "")</f>
        <v/>
      </c>
      <c r="G21" s="10" t="str">
        <f>IF(AND(YEAR(ФевВс1+39)=$P$2,MONTH(ФевВс1+39)=2),ФевВс1+39, "")</f>
        <v/>
      </c>
      <c r="H21" s="10" t="str">
        <f>IF(AND(YEAR(ФевВс1+40)=$P$2,MONTH(ФевВс1+40)=2),ФевВс1+40, "")</f>
        <v/>
      </c>
      <c r="I21" s="10" t="str">
        <f>IF(AND(YEAR(ФевВс1+41)=$P$2,MONTH(ФевВс1+41)=2),ФевВс1+41, "")</f>
        <v/>
      </c>
      <c r="K21" s="10" t="str">
        <f>IF(AND(YEAR(МайВс1+35)=$P$2,MONTH(МайВс1+35)=5),МайВс1+35, "")</f>
        <v/>
      </c>
      <c r="L21" s="10" t="str">
        <f>IF(AND(YEAR(МайВс1+36)=$P$2,MONTH(МайВс1+36)=5),МайВс1+36, "")</f>
        <v/>
      </c>
      <c r="M21" s="10" t="str">
        <f>IF(AND(YEAR(МайВс1+37)=$P$2,MONTH(МайВс1+37)=5),МайВс1+37, "")</f>
        <v/>
      </c>
      <c r="N21" s="10" t="str">
        <f>IF(AND(YEAR(МайВс1+38)=$P$2,MONTH(МайВс1+38)=5),МайВс1+38, "")</f>
        <v/>
      </c>
      <c r="O21" s="10" t="str">
        <f>IF(AND(YEAR(МайВс1+39)=$P$2,MONTH(МайВс1+39)=5),МайВс1+39, "")</f>
        <v/>
      </c>
      <c r="P21" s="10" t="str">
        <f>IF(AND(YEAR(МайВс1+40)=$P$2,MONTH(МайВс1+40)=5),МайВс1+40, "")</f>
        <v/>
      </c>
      <c r="Q21" s="10" t="str">
        <f>IF(AND(YEAR(МайВс1+41)=$P$2,MONTH(МайВс1+41)=5),МайВс1+41, "")</f>
        <v/>
      </c>
      <c r="S21" s="10" t="str">
        <f>IF(AND(YEAR(АвгВс1+35)=$P$2,MONTH(АвгВс1+35)=8),АвгВс1+35, "")</f>
        <v/>
      </c>
      <c r="T21" s="10" t="str">
        <f>IF(AND(YEAR(АвгВс1+36)=$P$2,MONTH(АвгВс1+36)=8),АвгВс1+36, "")</f>
        <v/>
      </c>
      <c r="U21" s="10" t="str">
        <f>IF(AND(YEAR(АвгВс1+37)=$P$2,MONTH(АвгВс1+37)=8),АвгВс1+37, "")</f>
        <v/>
      </c>
      <c r="V21" s="10" t="str">
        <f>IF(AND(YEAR(АвгВс1+38)=$P$2,MONTH(АвгВс1+38)=8),АвгВс1+38, "")</f>
        <v/>
      </c>
      <c r="W21" s="10" t="str">
        <f>IF(AND(YEAR(АвгВс1+39)=$P$2,MONTH(АвгВс1+39)=8),АвгВс1+39, "")</f>
        <v/>
      </c>
      <c r="X21" s="10" t="str">
        <f>IF(AND(YEAR(АвгВс1+40)=$P$2,MONTH(АвгВс1+40)=8),АвгВс1+40, "")</f>
        <v/>
      </c>
      <c r="Y21" s="10" t="str">
        <f>IF(AND(YEAR(АвгВс1+41)=$P$2,MONTH(АвгВс1+41)=8),АвгВс1+41, "")</f>
        <v/>
      </c>
      <c r="AA21" s="10" t="str">
        <f>IF(AND(YEAR(НояВс1+35)=$P$2,MONTH(НояВс1+35)=11),НояВс1+35, "")</f>
        <v/>
      </c>
      <c r="AB21" s="10" t="str">
        <f>IF(AND(YEAR(НояВс1+36)=$P$2,MONTH(НояВс1+36)=11),НояВс1+36, "")</f>
        <v/>
      </c>
      <c r="AC21" s="10" t="str">
        <f>IF(AND(YEAR(НояВс1+37)=$P$2,MONTH(НояВс1+37)=11),НояВс1+37, "")</f>
        <v/>
      </c>
      <c r="AD21" s="10" t="str">
        <f>IF(AND(YEAR(НояВс1+38)=$P$2,MONTH(НояВс1+38)=11),НояВс1+38, "")</f>
        <v/>
      </c>
      <c r="AE21" s="10" t="str">
        <f>IF(AND(YEAR(НояВс1+39)=$P$2,MONTH(НояВс1+39)=11),НояВс1+39, "")</f>
        <v/>
      </c>
      <c r="AF21" s="10" t="str">
        <f>IF(AND(YEAR(НояВс1+40)=$P$2,MONTH(НояВс1+40)=11),НояВс1+40, "")</f>
        <v/>
      </c>
      <c r="AG21" s="10" t="str">
        <f>IF(AND(YEAR(НояВс1+41)=$P$2,MONTH(НояВс1+41)=11),НояВс1+41, "")</f>
        <v/>
      </c>
    </row>
    <row r="22" spans="2:36" ht="26.25" customHeight="1" x14ac:dyDescent="0.2"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2:36" ht="22.5" customHeight="1" x14ac:dyDescent="0.2">
      <c r="C23" s="12" t="s">
        <v>3</v>
      </c>
      <c r="D23" s="12"/>
      <c r="E23" s="12"/>
      <c r="F23" s="12"/>
      <c r="G23" s="12"/>
      <c r="H23" s="12"/>
      <c r="I23" s="12"/>
      <c r="K23" s="12" t="s">
        <v>12</v>
      </c>
      <c r="L23" s="12"/>
      <c r="M23" s="12"/>
      <c r="N23" s="12"/>
      <c r="O23" s="12"/>
      <c r="P23" s="12"/>
      <c r="Q23" s="12"/>
      <c r="S23" s="12" t="s">
        <v>15</v>
      </c>
      <c r="T23" s="12"/>
      <c r="U23" s="12"/>
      <c r="V23" s="12"/>
      <c r="W23" s="12"/>
      <c r="X23" s="12"/>
      <c r="Y23" s="12"/>
      <c r="AA23" s="12" t="s">
        <v>18</v>
      </c>
      <c r="AB23" s="12"/>
      <c r="AC23" s="12"/>
      <c r="AD23" s="12"/>
      <c r="AE23" s="12"/>
      <c r="AF23" s="12"/>
      <c r="AG23" s="12"/>
    </row>
    <row r="24" spans="2:36" ht="15.95" customHeight="1" thickBot="1" x14ac:dyDescent="0.3">
      <c r="B24" s="2"/>
      <c r="C24" s="4" t="s">
        <v>1</v>
      </c>
      <c r="D24" s="4" t="s">
        <v>4</v>
      </c>
      <c r="E24" s="4" t="s">
        <v>6</v>
      </c>
      <c r="F24" s="4" t="s">
        <v>5</v>
      </c>
      <c r="G24" s="4" t="s">
        <v>7</v>
      </c>
      <c r="H24" s="4" t="s">
        <v>8</v>
      </c>
      <c r="I24" s="4" t="s">
        <v>9</v>
      </c>
      <c r="K24" s="4" t="s">
        <v>1</v>
      </c>
      <c r="L24" s="4" t="s">
        <v>4</v>
      </c>
      <c r="M24" s="4" t="s">
        <v>6</v>
      </c>
      <c r="N24" s="4" t="s">
        <v>5</v>
      </c>
      <c r="O24" s="4" t="s">
        <v>7</v>
      </c>
      <c r="P24" s="4" t="s">
        <v>8</v>
      </c>
      <c r="Q24" s="4" t="s">
        <v>9</v>
      </c>
      <c r="S24" s="4" t="s">
        <v>1</v>
      </c>
      <c r="T24" s="4" t="s">
        <v>4</v>
      </c>
      <c r="U24" s="4" t="s">
        <v>6</v>
      </c>
      <c r="V24" s="4" t="s">
        <v>5</v>
      </c>
      <c r="W24" s="4" t="s">
        <v>7</v>
      </c>
      <c r="X24" s="4" t="s">
        <v>8</v>
      </c>
      <c r="Y24" s="4" t="s">
        <v>9</v>
      </c>
      <c r="AA24" s="4" t="s">
        <v>1</v>
      </c>
      <c r="AB24" s="4" t="s">
        <v>4</v>
      </c>
      <c r="AC24" s="4" t="s">
        <v>6</v>
      </c>
      <c r="AD24" s="4" t="s">
        <v>5</v>
      </c>
      <c r="AE24" s="4" t="s">
        <v>7</v>
      </c>
      <c r="AF24" s="4" t="s">
        <v>8</v>
      </c>
      <c r="AG24" s="4" t="s">
        <v>9</v>
      </c>
    </row>
    <row r="25" spans="2:36" ht="15.95" customHeight="1" thickBot="1" x14ac:dyDescent="0.25">
      <c r="C25" s="10" t="str">
        <f>IF(AND(YEAR(МарВс1)=$P$2,MONTH(МарВс1)=3),МарВс1, "")</f>
        <v/>
      </c>
      <c r="D25" s="10" t="str">
        <f>IF(AND(YEAR(МарВс1+1)=$P$2,MONTH(МарВс1+1)=3),МарВс1+1, "")</f>
        <v/>
      </c>
      <c r="E25" s="10" t="str">
        <f>IF(AND(YEAR(МарВс1+2)=$P$2,MONTH(МарВс1+2)=3),МарВс1+2, "")</f>
        <v/>
      </c>
      <c r="F25" s="10" t="str">
        <f>IF(AND(YEAR(МарВс1+3)=$P$2,MONTH(МарВс1+3)=3),МарВс1+3, "")</f>
        <v/>
      </c>
      <c r="G25" s="10">
        <f>IF(AND(YEAR(МарВс1+4)=$P$2,MONTH(МарВс1+4)=3),МарВс1+4, "")</f>
        <v>43525</v>
      </c>
      <c r="H25" s="10">
        <f>IF(AND(YEAR(МарВс1+5)=$P$2,MONTH(МарВс1+5)=3),МарВс1+5, "")</f>
        <v>43526</v>
      </c>
      <c r="I25" s="10">
        <f>IF(AND(YEAR(МарВс1+6)=$P$2,MONTH(МарВс1+6)=3),МарВс1+6, "")</f>
        <v>43527</v>
      </c>
      <c r="K25" s="10" t="str">
        <f>IF(AND(YEAR(ИюнВс1)=$P$2,MONTH(ИюнВс1)=6),ИюнВс1, "")</f>
        <v/>
      </c>
      <c r="L25" s="10" t="str">
        <f>IF(AND(YEAR(ИюнВс1+1)=$P$2,MONTH(ИюнВс1+1)=6),ИюнВс1+1, "")</f>
        <v/>
      </c>
      <c r="M25" s="10" t="str">
        <f>IF(AND(YEAR(ИюнВс1+2)=$P$2,MONTH(ИюнВс1+2)=6),ИюнВс1+2, "")</f>
        <v/>
      </c>
      <c r="N25" s="10" t="str">
        <f>IF(AND(YEAR(ИюнВс1+3)=$P$2,MONTH(ИюнВс1+3)=6),ИюнВс1+3, "")</f>
        <v/>
      </c>
      <c r="O25" s="10" t="str">
        <f>IF(AND(YEAR(ИюнВс1+4)=$P$2,MONTH(ИюнВс1+4)=6),ИюнВс1+4, "")</f>
        <v/>
      </c>
      <c r="P25" s="10">
        <f>IF(AND(YEAR(ИюнВс1+5)=$P$2,MONTH(ИюнВс1+5)=6),ИюнВс1+5, "")</f>
        <v>43617</v>
      </c>
      <c r="Q25" s="10">
        <f>IF(AND(YEAR(ИюнВс1+6)=$P$2,MONTH(ИюнВс1+6)=6),ИюнВс1+6, "")</f>
        <v>43618</v>
      </c>
      <c r="S25" s="10" t="str">
        <f>IF(AND(YEAR(СенВс1)=$P$2,MONTH(СенВс1)=9),СенВс1, "")</f>
        <v/>
      </c>
      <c r="T25" s="10" t="str">
        <f>IF(AND(YEAR(СенВс1+1)=$P$2,MONTH(СенВс1+1)=9),СенВс1+1, "")</f>
        <v/>
      </c>
      <c r="U25" s="10" t="str">
        <f>IF(AND(YEAR(СенВс1+2)=$P$2,MONTH(СенВс1+2)=9),СенВс1+2, "")</f>
        <v/>
      </c>
      <c r="V25" s="10" t="str">
        <f>IF(AND(YEAR(СенВс1+3)=$P$2,MONTH(СенВс1+3)=9),СенВс1+3, "")</f>
        <v/>
      </c>
      <c r="W25" s="10" t="str">
        <f>IF(AND(YEAR(СенВс1+4)=$P$2,MONTH(СенВс1+4)=9),СенВс1+4, "")</f>
        <v/>
      </c>
      <c r="X25" s="10" t="str">
        <f>IF(AND(YEAR(СенВс1+5)=$P$2,MONTH(СенВс1+5)=9),СенВс1+5, "")</f>
        <v/>
      </c>
      <c r="Y25" s="10">
        <f>IF(AND(YEAR(СенВс1+6)=$P$2,MONTH(СенВс1+6)=9),СенВс1+6, "")</f>
        <v>43709</v>
      </c>
      <c r="AA25" s="10" t="str">
        <f>IF(AND(YEAR(ДекВс1)=$P$2,MONTH(ДекВс1)=12),ДекВс1, "")</f>
        <v/>
      </c>
      <c r="AB25" s="10" t="str">
        <f>IF(AND(YEAR(ДекВс1+1)=$P$2,MONTH(ДекВс1+1)=12),ДекВс1+1, "")</f>
        <v/>
      </c>
      <c r="AC25" s="10" t="str">
        <f>IF(AND(YEAR(ДекВс1+2)=$P$2,MONTH(ДекВс1+2)=12),ДекВс1+2, "")</f>
        <v/>
      </c>
      <c r="AD25" s="10" t="str">
        <f>IF(AND(YEAR(ДекВс1+3)=$P$2,MONTH(ДекВс1+3)=12),ДекВс1+3, "")</f>
        <v/>
      </c>
      <c r="AE25" s="10" t="str">
        <f>IF(AND(YEAR(ДекВс1+4)=$P$2,MONTH(ДекВс1+4)=12),ДекВс1+4, "")</f>
        <v/>
      </c>
      <c r="AF25" s="10" t="str">
        <f>IF(AND(YEAR(ДекВс1+5)=$P$2,MONTH(ДекВс1+5)=12),ДекВс1+5, "")</f>
        <v/>
      </c>
      <c r="AG25" s="10">
        <f>IF(AND(YEAR(ДекВс1+6)=$P$2,MONTH(ДекВс1+6)=12),ДекВс1+6, "")</f>
        <v>43800</v>
      </c>
    </row>
    <row r="26" spans="2:36" ht="15.95" customHeight="1" thickBot="1" x14ac:dyDescent="0.25">
      <c r="C26" s="10">
        <f>IF(AND(YEAR(МарВс1+7)=$P$2,MONTH(МарВс1+7)=3),МарВс1+7, "")</f>
        <v>43528</v>
      </c>
      <c r="D26" s="10">
        <f>IF(AND(YEAR(МарВс1+8)=$P$2,MONTH(МарВс1+8)=3),МарВс1+8, "")</f>
        <v>43529</v>
      </c>
      <c r="E26" s="10">
        <f>IF(AND(YEAR(МарВс1+9)=$P$2,MONTH(МарВс1+9)=3),МарВс1+9, "")</f>
        <v>43530</v>
      </c>
      <c r="F26" s="10">
        <f>IF(AND(YEAR(МарВс1+10)=$P$2,MONTH(МарВс1+10)=3),МарВс1+10, "")</f>
        <v>43531</v>
      </c>
      <c r="G26" s="10">
        <f>IF(AND(YEAR(МарВс1+11)=$P$2,MONTH(МарВс1+11)=3),МарВс1+11, "")</f>
        <v>43532</v>
      </c>
      <c r="H26" s="10">
        <f>IF(AND(YEAR(МарВс1+12)=$P$2,MONTH(МарВс1+12)=3),МарВс1+12, "")</f>
        <v>43533</v>
      </c>
      <c r="I26" s="10">
        <f>IF(AND(YEAR(МарВс1+13)=$P$2,MONTH(МарВс1+13)=3),МарВс1+13, "")</f>
        <v>43534</v>
      </c>
      <c r="K26" s="10">
        <f>IF(AND(YEAR(ИюнВс1+7)=$P$2,MONTH(ИюнВс1+7)=6),ИюнВс1+7, "")</f>
        <v>43619</v>
      </c>
      <c r="L26" s="10">
        <f>IF(AND(YEAR(ИюнВс1+8)=$P$2,MONTH(ИюнВс1+8)=6),ИюнВс1+8, "")</f>
        <v>43620</v>
      </c>
      <c r="M26" s="10">
        <f>IF(AND(YEAR(ИюнВс1+9)=$P$2,MONTH(ИюнВс1+9)=6),ИюнВс1+9, "")</f>
        <v>43621</v>
      </c>
      <c r="N26" s="10">
        <f>IF(AND(YEAR(ИюнВс1+10)=$P$2,MONTH(ИюнВс1+10)=6),ИюнВс1+10, "")</f>
        <v>43622</v>
      </c>
      <c r="O26" s="10">
        <f>IF(AND(YEAR(ИюнВс1+11)=$P$2,MONTH(ИюнВс1+11)=6),ИюнВс1+11, "")</f>
        <v>43623</v>
      </c>
      <c r="P26" s="10">
        <f>IF(AND(YEAR(ИюнВс1+12)=$P$2,MONTH(ИюнВс1+12)=6),ИюнВс1+12, "")</f>
        <v>43624</v>
      </c>
      <c r="Q26" s="10">
        <f>IF(AND(YEAR(ИюнВс1+13)=$P$2,MONTH(ИюнВс1+13)=6),ИюнВс1+13, "")</f>
        <v>43625</v>
      </c>
      <c r="S26" s="10">
        <f>IF(AND(YEAR(СенВс1+7)=$P$2,MONTH(СенВс1+7)=9),СенВс1+7, "")</f>
        <v>43710</v>
      </c>
      <c r="T26" s="10">
        <f>IF(AND(YEAR(СенВс1+8)=$P$2,MONTH(СенВс1+8)=9),СенВс1+8, "")</f>
        <v>43711</v>
      </c>
      <c r="U26" s="10">
        <f>IF(AND(YEAR(СенВс1+9)=$P$2,MONTH(СенВс1+9)=9),СенВс1+9, "")</f>
        <v>43712</v>
      </c>
      <c r="V26" s="10">
        <f>IF(AND(YEAR(СенВс1+10)=$P$2,MONTH(СенВс1+10)=9),СенВс1+10, "")</f>
        <v>43713</v>
      </c>
      <c r="W26" s="10">
        <f>IF(AND(YEAR(СенВс1+11)=$P$2,MONTH(СенВс1+11)=9),СенВс1+11, "")</f>
        <v>43714</v>
      </c>
      <c r="X26" s="10">
        <f>IF(AND(YEAR(СенВс1+12)=$P$2,MONTH(СенВс1+12)=9),СенВс1+12, "")</f>
        <v>43715</v>
      </c>
      <c r="Y26" s="10">
        <f>IF(AND(YEAR(СенВс1+13)=$P$2,MONTH(СенВс1+13)=9),СенВс1+13, "")</f>
        <v>43716</v>
      </c>
      <c r="AA26" s="10">
        <f>IF(AND(YEAR(ДекВс1+7)=$P$2,MONTH(ДекВс1+7)=12),ДекВс1+7, "")</f>
        <v>43801</v>
      </c>
      <c r="AB26" s="10">
        <f>IF(AND(YEAR(ДекВс1+8)=$P$2,MONTH(ДекВс1+8)=12),ДекВс1+8, "")</f>
        <v>43802</v>
      </c>
      <c r="AC26" s="10">
        <f>IF(AND(YEAR(ДекВс1+9)=$P$2,MONTH(ДекВс1+9)=12),ДекВс1+9, "")</f>
        <v>43803</v>
      </c>
      <c r="AD26" s="10">
        <f>IF(AND(YEAR(ДекВс1+10)=$P$2,MONTH(ДекВс1+10)=12),ДекВс1+10, "")</f>
        <v>43804</v>
      </c>
      <c r="AE26" s="10">
        <f>IF(AND(YEAR(ДекВс1+11)=$P$2,MONTH(ДекВс1+11)=12),ДекВс1+11, "")</f>
        <v>43805</v>
      </c>
      <c r="AF26" s="10">
        <f>IF(AND(YEAR(ДекВс1+12)=$P$2,MONTH(ДекВс1+12)=12),ДекВс1+12, "")</f>
        <v>43806</v>
      </c>
      <c r="AG26" s="10">
        <f>IF(AND(YEAR(ДекВс1+13)=$P$2,MONTH(ДекВс1+13)=12),ДекВс1+13, "")</f>
        <v>43807</v>
      </c>
    </row>
    <row r="27" spans="2:36" ht="15.95" customHeight="1" thickBot="1" x14ac:dyDescent="0.25">
      <c r="C27" s="10">
        <f>IF(AND(YEAR(МарВс1+14)=$P$2,MONTH(МарВс1+14)=3),МарВс1+14, "")</f>
        <v>43535</v>
      </c>
      <c r="D27" s="10">
        <f>IF(AND(YEAR(МарВс1+15)=$P$2,MONTH(МарВс1+15)=3),МарВс1+15, "")</f>
        <v>43536</v>
      </c>
      <c r="E27" s="10">
        <f>IF(AND(YEAR(МарВс1+16)=$P$2,MONTH(МарВс1+16)=3),МарВс1+16, "")</f>
        <v>43537</v>
      </c>
      <c r="F27" s="10">
        <f>IF(AND(YEAR(МарВс1+17)=$P$2,MONTH(МарВс1+17)=3),МарВс1+17, "")</f>
        <v>43538</v>
      </c>
      <c r="G27" s="10">
        <f>IF(AND(YEAR(МарВс1+18)=$P$2,MONTH(МарВс1+18)=3),МарВс1+18, "")</f>
        <v>43539</v>
      </c>
      <c r="H27" s="10">
        <f>IF(AND(YEAR(МарВс1+19)=$P$2,MONTH(МарВс1+19)=3),МарВс1+19, "")</f>
        <v>43540</v>
      </c>
      <c r="I27" s="10">
        <f>IF(AND(YEAR(МарВс1+20)=$P$2,MONTH(МарВс1+20)=3),МарВс1+20, "")</f>
        <v>43541</v>
      </c>
      <c r="K27" s="10">
        <f>IF(AND(YEAR(ИюнВс1+14)=$P$2,MONTH(ИюнВс1+14)=6),ИюнВс1+14, "")</f>
        <v>43626</v>
      </c>
      <c r="L27" s="10">
        <f>IF(AND(YEAR(ИюнВс1+15)=$P$2,MONTH(ИюнВс1+15)=6),ИюнВс1+15, "")</f>
        <v>43627</v>
      </c>
      <c r="M27" s="10">
        <f>IF(AND(YEAR(ИюнВс1+16)=$P$2,MONTH(ИюнВс1+16)=6),ИюнВс1+16, "")</f>
        <v>43628</v>
      </c>
      <c r="N27" s="10">
        <f>IF(AND(YEAR(ИюнВс1+17)=$P$2,MONTH(ИюнВс1+17)=6),ИюнВс1+17, "")</f>
        <v>43629</v>
      </c>
      <c r="O27" s="10">
        <f>IF(AND(YEAR(ИюнВс1+18)=$P$2,MONTH(ИюнВс1+18)=6),ИюнВс1+18, "")</f>
        <v>43630</v>
      </c>
      <c r="P27" s="10">
        <f>IF(AND(YEAR(ИюнВс1+19)=$P$2,MONTH(ИюнВс1+19)=6),ИюнВс1+19, "")</f>
        <v>43631</v>
      </c>
      <c r="Q27" s="10">
        <f>IF(AND(YEAR(ИюнВс1+20)=$P$2,MONTH(ИюнВс1+20)=6),ИюнВс1+20, "")</f>
        <v>43632</v>
      </c>
      <c r="S27" s="10">
        <f>IF(AND(YEAR(СенВс1+14)=$P$2,MONTH(СенВс1+14)=9),СенВс1+14, "")</f>
        <v>43717</v>
      </c>
      <c r="T27" s="10">
        <f>IF(AND(YEAR(СенВс1+15)=$P$2,MONTH(СенВс1+15)=9),СенВс1+15, "")</f>
        <v>43718</v>
      </c>
      <c r="U27" s="10">
        <f>IF(AND(YEAR(СенВс1+16)=$P$2,MONTH(СенВс1+16)=9),СенВс1+16, "")</f>
        <v>43719</v>
      </c>
      <c r="V27" s="10">
        <f>IF(AND(YEAR(СенВс1+17)=$P$2,MONTH(СенВс1+17)=9),СенВс1+17, "")</f>
        <v>43720</v>
      </c>
      <c r="W27" s="10">
        <f>IF(AND(YEAR(СенВс1+18)=$P$2,MONTH(СенВс1+18)=9),СенВс1+18, "")</f>
        <v>43721</v>
      </c>
      <c r="X27" s="10">
        <f>IF(AND(YEAR(СенВс1+19)=$P$2,MONTH(СенВс1+19)=9),СенВс1+19, "")</f>
        <v>43722</v>
      </c>
      <c r="Y27" s="10">
        <f>IF(AND(YEAR(СенВс1+20)=$P$2,MONTH(СенВс1+20)=9),СенВс1+20, "")</f>
        <v>43723</v>
      </c>
      <c r="AA27" s="10">
        <f>IF(AND(YEAR(ДекВс1+14)=$P$2,MONTH(ДекВс1+14)=12),ДекВс1+14, "")</f>
        <v>43808</v>
      </c>
      <c r="AB27" s="10">
        <f>IF(AND(YEAR(ДекВс1+15)=$P$2,MONTH(ДекВс1+15)=12),ДекВс1+15, "")</f>
        <v>43809</v>
      </c>
      <c r="AC27" s="10">
        <f>IF(AND(YEAR(ДекВс1+16)=$P$2,MONTH(ДекВс1+16)=12),ДекВс1+16, "")</f>
        <v>43810</v>
      </c>
      <c r="AD27" s="10">
        <f>IF(AND(YEAR(ДекВс1+17)=$P$2,MONTH(ДекВс1+17)=12),ДекВс1+17, "")</f>
        <v>43811</v>
      </c>
      <c r="AE27" s="10">
        <f>IF(AND(YEAR(ДекВс1+18)=$P$2,MONTH(ДекВс1+18)=12),ДекВс1+18, "")</f>
        <v>43812</v>
      </c>
      <c r="AF27" s="10">
        <f>IF(AND(YEAR(ДекВс1+19)=$P$2,MONTH(ДекВс1+19)=12),ДекВс1+19, "")</f>
        <v>43813</v>
      </c>
      <c r="AG27" s="10">
        <f>IF(AND(YEAR(ДекВс1+20)=$P$2,MONTH(ДекВс1+20)=12),ДекВс1+20, "")</f>
        <v>43814</v>
      </c>
    </row>
    <row r="28" spans="2:36" ht="15.95" customHeight="1" thickBot="1" x14ac:dyDescent="0.25">
      <c r="C28" s="10">
        <f>IF(AND(YEAR(МарВс1+21)=$P$2,MONTH(МарВс1+21)=3),МарВс1+21, "")</f>
        <v>43542</v>
      </c>
      <c r="D28" s="10">
        <f>IF(AND(YEAR(МарВс1+22)=$P$2,MONTH(МарВс1+22)=3),МарВс1+22, "")</f>
        <v>43543</v>
      </c>
      <c r="E28" s="10">
        <f>IF(AND(YEAR(МарВс1+23)=$P$2,MONTH(МарВс1+23)=3),МарВс1+23, "")</f>
        <v>43544</v>
      </c>
      <c r="F28" s="10">
        <f>IF(AND(YEAR(МарВс1+24)=$P$2,MONTH(МарВс1+24)=3),МарВс1+24, "")</f>
        <v>43545</v>
      </c>
      <c r="G28" s="10">
        <f>IF(AND(YEAR(МарВс1+25)=$P$2,MONTH(МарВс1+25)=3),МарВс1+25, "")</f>
        <v>43546</v>
      </c>
      <c r="H28" s="10">
        <f>IF(AND(YEAR(МарВс1+26)=$P$2,MONTH(МарВс1+26)=3),МарВс1+26, "")</f>
        <v>43547</v>
      </c>
      <c r="I28" s="10">
        <f>IF(AND(YEAR(МарВс1+27)=$P$2,MONTH(МарВс1+27)=3),МарВс1+27, "")</f>
        <v>43548</v>
      </c>
      <c r="K28" s="10">
        <f>IF(AND(YEAR(ИюнВс1+21)=$P$2,MONTH(ИюнВс1+21)=6),ИюнВс1+21, "")</f>
        <v>43633</v>
      </c>
      <c r="L28" s="10">
        <f>IF(AND(YEAR(ИюнВс1+22)=$P$2,MONTH(ИюнВс1+22)=6),ИюнВс1+22, "")</f>
        <v>43634</v>
      </c>
      <c r="M28" s="10">
        <f>IF(AND(YEAR(ИюнВс1+23)=$P$2,MONTH(ИюнВс1+23)=6),ИюнВс1+23, "")</f>
        <v>43635</v>
      </c>
      <c r="N28" s="10">
        <f>IF(AND(YEAR(ИюнВс1+24)=$P$2,MONTH(ИюнВс1+24)=6),ИюнВс1+24, "")</f>
        <v>43636</v>
      </c>
      <c r="O28" s="10">
        <f>IF(AND(YEAR(ИюнВс1+25)=$P$2,MONTH(ИюнВс1+25)=6),ИюнВс1+25, "")</f>
        <v>43637</v>
      </c>
      <c r="P28" s="10">
        <f>IF(AND(YEAR(ИюнВс1+26)=$P$2,MONTH(ИюнВс1+26)=6),ИюнВс1+26, "")</f>
        <v>43638</v>
      </c>
      <c r="Q28" s="10">
        <f>IF(AND(YEAR(ИюнВс1+27)=$P$2,MONTH(ИюнВс1+27)=6),ИюнВс1+27, "")</f>
        <v>43639</v>
      </c>
      <c r="S28" s="10">
        <f>IF(AND(YEAR(СенВс1+21)=$P$2,MONTH(СенВс1+21)=9),СенВс1+21, "")</f>
        <v>43724</v>
      </c>
      <c r="T28" s="10">
        <f>IF(AND(YEAR(СенВс1+22)=$P$2,MONTH(СенВс1+22)=9),СенВс1+22, "")</f>
        <v>43725</v>
      </c>
      <c r="U28" s="10">
        <f>IF(AND(YEAR(СенВс1+23)=$P$2,MONTH(СенВс1+23)=9),СенВс1+23, "")</f>
        <v>43726</v>
      </c>
      <c r="V28" s="10">
        <f>IF(AND(YEAR(СенВс1+24)=$P$2,MONTH(СенВс1+24)=9),СенВс1+24, "")</f>
        <v>43727</v>
      </c>
      <c r="W28" s="10">
        <f>IF(AND(YEAR(СенВс1+25)=$P$2,MONTH(СенВс1+25)=9),СенВс1+25, "")</f>
        <v>43728</v>
      </c>
      <c r="X28" s="10">
        <f>IF(AND(YEAR(СенВс1+26)=$P$2,MONTH(СенВс1+26)=9),СенВс1+26, "")</f>
        <v>43729</v>
      </c>
      <c r="Y28" s="10">
        <f>IF(AND(YEAR(СенВс1+27)=$P$2,MONTH(СенВс1+27)=9),СенВс1+27, "")</f>
        <v>43730</v>
      </c>
      <c r="AA28" s="10">
        <f>IF(AND(YEAR(ДекВс1+21)=$P$2,MONTH(ДекВс1+21)=12),ДекВс1+21, "")</f>
        <v>43815</v>
      </c>
      <c r="AB28" s="10">
        <f>IF(AND(YEAR(ДекВс1+22)=$P$2,MONTH(ДекВс1+22)=12),ДекВс1+22, "")</f>
        <v>43816</v>
      </c>
      <c r="AC28" s="10">
        <f>IF(AND(YEAR(ДекВс1+23)=$P$2,MONTH(ДекВс1+23)=12),ДекВс1+23, "")</f>
        <v>43817</v>
      </c>
      <c r="AD28" s="10">
        <f>IF(AND(YEAR(ДекВс1+24)=$P$2,MONTH(ДекВс1+24)=12),ДекВс1+24, "")</f>
        <v>43818</v>
      </c>
      <c r="AE28" s="10">
        <f>IF(AND(YEAR(ДекВс1+25)=$P$2,MONTH(ДекВс1+25)=12),ДекВс1+25, "")</f>
        <v>43819</v>
      </c>
      <c r="AF28" s="10">
        <f>IF(AND(YEAR(ДекВс1+26)=$P$2,MONTH(ДекВс1+26)=12),ДекВс1+26, "")</f>
        <v>43820</v>
      </c>
      <c r="AG28" s="10">
        <f>IF(AND(YEAR(ДекВс1+27)=$P$2,MONTH(ДекВс1+27)=12),ДекВс1+27, "")</f>
        <v>43821</v>
      </c>
    </row>
    <row r="29" spans="2:36" ht="15.95" customHeight="1" thickBot="1" x14ac:dyDescent="0.25">
      <c r="C29" s="10">
        <f>IF(AND(YEAR(МарВс1+28)=$P$2,MONTH(МарВс1+28)=3),МарВс1+28, "")</f>
        <v>43549</v>
      </c>
      <c r="D29" s="10">
        <f>IF(AND(YEAR(МарВс1+29)=$P$2,MONTH(МарВс1+29)=3),МарВс1+29, "")</f>
        <v>43550</v>
      </c>
      <c r="E29" s="10">
        <f>IF(AND(YEAR(МарВс1+30)=$P$2,MONTH(МарВс1+30)=3),МарВс1+30, "")</f>
        <v>43551</v>
      </c>
      <c r="F29" s="10">
        <f>IF(AND(YEAR(МарВс1+31)=$P$2,MONTH(МарВс1+31)=3),МарВс1+31, "")</f>
        <v>43552</v>
      </c>
      <c r="G29" s="10">
        <f>IF(AND(YEAR(МарВс1+32)=$P$2,MONTH(МарВс1+32)=3),МарВс1+32, "")</f>
        <v>43553</v>
      </c>
      <c r="H29" s="10">
        <f>IF(AND(YEAR(МарВс1+33)=$P$2,MONTH(МарВс1+33)=3),МарВс1+33, "")</f>
        <v>43554</v>
      </c>
      <c r="I29" s="10">
        <f>IF(AND(YEAR(МарВс1+34)=$P$2,MONTH(МарВс1+34)=3),МарВс1+34, "")</f>
        <v>43555</v>
      </c>
      <c r="K29" s="10">
        <f>IF(AND(YEAR(ИюнВс1+28)=$P$2,MONTH(ИюнВс1+28)=6),ИюнВс1+28, "")</f>
        <v>43640</v>
      </c>
      <c r="L29" s="10">
        <f>IF(AND(YEAR(ИюнВс1+29)=$P$2,MONTH(ИюнВс1+29)=6),ИюнВс1+29, "")</f>
        <v>43641</v>
      </c>
      <c r="M29" s="10">
        <f>IF(AND(YEAR(ИюнВс1+30)=$P$2,MONTH(ИюнВс1+30)=6),ИюнВс1+30, "")</f>
        <v>43642</v>
      </c>
      <c r="N29" s="10">
        <f>IF(AND(YEAR(ИюнВс1+31)=$P$2,MONTH(ИюнВс1+31)=6),ИюнВс1+31, "")</f>
        <v>43643</v>
      </c>
      <c r="O29" s="10">
        <f>IF(AND(YEAR(ИюнВс1+32)=$P$2,MONTH(ИюнВс1+32)=6),ИюнВс1+32, "")</f>
        <v>43644</v>
      </c>
      <c r="P29" s="10">
        <f>IF(AND(YEAR(ИюнВс1+33)=$P$2,MONTH(ИюнВс1+33)=6),ИюнВс1+33, "")</f>
        <v>43645</v>
      </c>
      <c r="Q29" s="10">
        <f>IF(AND(YEAR(ИюнВс1+34)=$P$2,MONTH(ИюнВс1+34)=6),ИюнВс1+34, "")</f>
        <v>43646</v>
      </c>
      <c r="S29" s="10">
        <f>IF(AND(YEAR(СенВс1+28)=$P$2,MONTH(СенВс1+28)=9),СенВс1+28, "")</f>
        <v>43731</v>
      </c>
      <c r="T29" s="10">
        <f>IF(AND(YEAR(СенВс1+29)=$P$2,MONTH(СенВс1+29)=9),СенВс1+29, "")</f>
        <v>43732</v>
      </c>
      <c r="U29" s="10">
        <f>IF(AND(YEAR(СенВс1+30)=$P$2,MONTH(СенВс1+30)=9),СенВс1+30, "")</f>
        <v>43733</v>
      </c>
      <c r="V29" s="10">
        <f>IF(AND(YEAR(СенВс1+31)=$P$2,MONTH(СенВс1+31)=9),СенВс1+31, "")</f>
        <v>43734</v>
      </c>
      <c r="W29" s="10">
        <f>IF(AND(YEAR(СенВс1+32)=$P$2,MONTH(СенВс1+32)=9),СенВс1+32, "")</f>
        <v>43735</v>
      </c>
      <c r="X29" s="10">
        <f>IF(AND(YEAR(СенВс1+33)=$P$2,MONTH(СенВс1+33)=9),СенВс1+33, "")</f>
        <v>43736</v>
      </c>
      <c r="Y29" s="10">
        <f>IF(AND(YEAR(СенВс1+34)=$P$2,MONTH(СенВс1+34)=9),СенВс1+34, "")</f>
        <v>43737</v>
      </c>
      <c r="AA29" s="10">
        <f>IF(AND(YEAR(ДекВс1+28)=$P$2,MONTH(ДекВс1+28)=12),ДекВс1+28, "")</f>
        <v>43822</v>
      </c>
      <c r="AB29" s="10">
        <f>IF(AND(YEAR(ДекВс1+29)=$P$2,MONTH(ДекВс1+29)=12),ДекВс1+29, "")</f>
        <v>43823</v>
      </c>
      <c r="AC29" s="10">
        <f>IF(AND(YEAR(ДекВс1+30)=$P$2,MONTH(ДекВс1+30)=12),ДекВс1+30, "")</f>
        <v>43824</v>
      </c>
      <c r="AD29" s="10">
        <f>IF(AND(YEAR(ДекВс1+31)=$P$2,MONTH(ДекВс1+31)=12),ДекВс1+31, "")</f>
        <v>43825</v>
      </c>
      <c r="AE29" s="10">
        <f>IF(AND(YEAR(ДекВс1+32)=$P$2,MONTH(ДекВс1+32)=12),ДекВс1+32, "")</f>
        <v>43826</v>
      </c>
      <c r="AF29" s="10">
        <f>IF(AND(YEAR(ДекВс1+33)=$P$2,MONTH(ДекВс1+33)=12),ДекВс1+33, "")</f>
        <v>43827</v>
      </c>
      <c r="AG29" s="10">
        <f>IF(AND(YEAR(ДекВс1+34)=$P$2,MONTH(ДекВс1+34)=12),ДекВс1+34, "")</f>
        <v>43828</v>
      </c>
    </row>
    <row r="30" spans="2:36" ht="15.95" customHeight="1" thickBot="1" x14ac:dyDescent="0.25">
      <c r="C30" s="10" t="str">
        <f>IF(AND(YEAR(МарВс1+35)=$P$2,MONTH(МарВс1+35)=3),МарВс1+35, "")</f>
        <v/>
      </c>
      <c r="D30" s="10" t="str">
        <f>IF(AND(YEAR(МарВс1+36)=$P$2,MONTH(МарВс1+36)=3),МарВс1+36, "")</f>
        <v/>
      </c>
      <c r="E30" s="10" t="str">
        <f>IF(AND(YEAR(МарВс1+37)=$P$2,MONTH(МарВс1+37)=3),МарВс1+37, "")</f>
        <v/>
      </c>
      <c r="F30" s="10" t="str">
        <f>IF(AND(YEAR(МарВс1+38)=$P$2,MONTH(МарВс1+38)=3),МарВс1+38, "")</f>
        <v/>
      </c>
      <c r="G30" s="10" t="str">
        <f>IF(AND(YEAR(МарВс1+39)=$P$2,MONTH(МарВс1+39)=3),МарВс1+39, "")</f>
        <v/>
      </c>
      <c r="H30" s="10" t="str">
        <f>IF(AND(YEAR(МарВс1+40)=$P$2,MONTH(МарВс1+40)=3),МарВс1+40, "")</f>
        <v/>
      </c>
      <c r="I30" s="10" t="str">
        <f>IF(AND(YEAR(МарВс1+41)=$P$2,MONTH(МарВс1+41)=3),МарВс1+41, "")</f>
        <v/>
      </c>
      <c r="K30" s="10" t="str">
        <f>IF(AND(YEAR(ИюнВс1+35)=$P$2,MONTH(ИюнВс1+35)=6),ИюнВс1+35, "")</f>
        <v/>
      </c>
      <c r="L30" s="10" t="str">
        <f>IF(AND(YEAR(ИюнВс1+36)=$P$2,MONTH(ИюнВс1+36)=6),ИюнВс1+36, "")</f>
        <v/>
      </c>
      <c r="M30" s="10" t="str">
        <f>IF(AND(YEAR(ИюнВс1+37)=$P$2,MONTH(ИюнВс1+37)=6),ИюнВс1+37, "")</f>
        <v/>
      </c>
      <c r="N30" s="10" t="str">
        <f>IF(AND(YEAR(ИюнВс1+38)=$P$2,MONTH(ИюнВс1+38)=6),ИюнВс1+38, "")</f>
        <v/>
      </c>
      <c r="O30" s="10" t="str">
        <f>IF(AND(YEAR(ИюнВс1+39)=$P$2,MONTH(ИюнВс1+39)=6),ИюнВс1+39, "")</f>
        <v/>
      </c>
      <c r="P30" s="10" t="str">
        <f>IF(AND(YEAR(ИюнВс1+40)=$P$2,MONTH(ИюнВс1+40)=6),ИюнВс1+40, "")</f>
        <v/>
      </c>
      <c r="Q30" s="10" t="str">
        <f>IF(AND(YEAR(ИюнВс1+41)=$P$2,MONTH(ИюнВс1+41)=6),ИюнВс1+41, "")</f>
        <v/>
      </c>
      <c r="S30" s="10">
        <f>IF(AND(YEAR(СенВс1+35)=$P$2,MONTH(СенВс1+35)=9),СенВс1+35, "")</f>
        <v>43738</v>
      </c>
      <c r="T30" s="10" t="str">
        <f>IF(AND(YEAR(СенВс1+36)=$P$2,MONTH(СенВс1+36)=9),СенВс1+36, "")</f>
        <v/>
      </c>
      <c r="U30" s="10" t="str">
        <f>IF(AND(YEAR(СенВс1+37)=$P$2,MONTH(СенВс1+37)=9),СенВс1+37, "")</f>
        <v/>
      </c>
      <c r="V30" s="10" t="str">
        <f>IF(AND(YEAR(СенВс1+38)=$P$2,MONTH(СенВс1+38)=9),СенВс1+38, "")</f>
        <v/>
      </c>
      <c r="W30" s="10" t="str">
        <f>IF(AND(YEAR(СенВс1+39)=$P$2,MONTH(СенВс1+39)=9),СенВс1+39, "")</f>
        <v/>
      </c>
      <c r="X30" s="10" t="str">
        <f>IF(AND(YEAR(СенВс1+40)=$P$2,MONTH(СенВс1+40)=9),СенВс1+40, "")</f>
        <v/>
      </c>
      <c r="Y30" s="10" t="str">
        <f>IF(AND(YEAR(СенВс1+41)=$P$2,MONTH(СенВс1+41)=9),СенВс1+41, "")</f>
        <v/>
      </c>
      <c r="AA30" s="10">
        <f>IF(AND(YEAR(ДекВс1+35)=$P$2,MONTH(ДекВс1+35)=12),ДекВс1+35, "")</f>
        <v>43829</v>
      </c>
      <c r="AB30" s="10">
        <f>IF(AND(YEAR(ДекВс1+36)=$P$2,MONTH(ДекВс1+36)=12),ДекВс1+36, "")</f>
        <v>43830</v>
      </c>
      <c r="AC30" s="10" t="str">
        <f>IF(AND(YEAR(ДекВс1+37)=$P$2,MONTH(ДекВс1+37)=12),ДекВс1+37, "")</f>
        <v/>
      </c>
      <c r="AD30" s="10" t="str">
        <f>IF(AND(YEAR(ДекВс1+38)=$P$2,MONTH(ДекВс1+38)=12),ДекВс1+38, "")</f>
        <v/>
      </c>
      <c r="AE30" s="10" t="str">
        <f>IF(AND(YEAR(ДекВс1+39)=$P$2,MONTH(ДекВс1+39)=12),ДекВс1+39, "")</f>
        <v/>
      </c>
      <c r="AF30" s="10" t="str">
        <f>IF(AND(YEAR(ДекВс1+40)=$P$2,MONTH(ДекВс1+40)=12),ДекВс1+40, "")</f>
        <v/>
      </c>
      <c r="AG30" s="10" t="str">
        <f>IF(AND(YEAR(ДекВс1+41)=$P$2,MONTH(ДекВс1+41)=12),ДекВс1+41, "")</f>
        <v/>
      </c>
    </row>
    <row r="31" spans="2:36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2:36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2:36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2:36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2:36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2:36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2:36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</sheetData>
  <mergeCells count="13">
    <mergeCell ref="P2:T2"/>
    <mergeCell ref="C23:I23"/>
    <mergeCell ref="K23:Q23"/>
    <mergeCell ref="S23:Y23"/>
    <mergeCell ref="AA23:AG23"/>
    <mergeCell ref="C5:I5"/>
    <mergeCell ref="K5:Q5"/>
    <mergeCell ref="S5:Y5"/>
    <mergeCell ref="AA5:AG5"/>
    <mergeCell ref="AA14:AG14"/>
    <mergeCell ref="S14:Y14"/>
    <mergeCell ref="K14:Q14"/>
    <mergeCell ref="C14:I14"/>
  </mergeCells>
  <phoneticPr fontId="1" type="noConversion"/>
  <dataValidations count="1">
    <dataValidation type="whole" allowBlank="1" showInputMessage="1" showErrorMessage="1" sqref="U2 P2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5" footer="0.5"/>
  <pageSetup paperSize="9" scale="9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Счетчик 1">
              <controlPr defaultSize="0" print="0" autoPict="0" altText="Кнопка для выбора года">
                <anchor moveWithCells="1">
                  <from>
                    <xdr:col>20</xdr:col>
                    <xdr:colOff>47625</xdr:colOff>
                    <xdr:row>1</xdr:row>
                    <xdr:rowOff>85725</xdr:rowOff>
                  </from>
                  <to>
                    <xdr:col>21</xdr:col>
                    <xdr:colOff>57150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</vt:lpstr>
      <vt:lpstr>Календарь!Область_печати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2011-12-01T00:19:55Z</dcterms:created>
  <dcterms:modified xsi:type="dcterms:W3CDTF">2019-10-29T03:04:11Z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APTrustLevel">
    <vt:r8>1</vt:r8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InternalTags">
    <vt:lpwstr/>
  </property>
  <property fmtid="{D5CDD505-2E9C-101B-9397-08002B2CF9AE}" pid="11" name="FeatureTags">
    <vt:lpwstr/>
  </property>
  <property fmtid="{D5CDD505-2E9C-101B-9397-08002B2CF9AE}" pid="12" name="LocalizationTags">
    <vt:lpwstr/>
  </property>
  <property fmtid="{D5CDD505-2E9C-101B-9397-08002B2CF9AE}" pid="13" name="CampaignTags">
    <vt:lpwstr/>
  </property>
  <property fmtid="{D5CDD505-2E9C-101B-9397-08002B2CF9AE}" pid="14" name="ScenarioTags">
    <vt:lpwstr/>
  </property>
</Properties>
</file>