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4.xml" ContentType="application/vnd.openxmlformats-officedocument.drawing+xml"/>
  <Override PartName="/xl/tables/table1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0" yWindow="0" windowWidth="21600" windowHeight="8325" tabRatio="756" xr2:uid="{00000000-000D-0000-FFFF-FFFF00000000}"/>
  </bookViews>
  <sheets>
    <sheet name="НАЧАЛО" sheetId="6" r:id="rId1"/>
    <sheet name="ЗАПЛАНИРОВАННЫЕ РАСХОДЫ" sheetId="2" r:id="rId2"/>
    <sheet name="ФАКТИЧЕСКИЕ РАСХОДЫ" sheetId="3" r:id="rId3"/>
    <sheet name="ОТКЛОНЕНИЯ ПО РАСХОДАМ" sheetId="4" r:id="rId4"/>
    <sheet name="АНАЛИЗ РАСХОДОВ" sheetId="5" r:id="rId5"/>
  </sheets>
  <definedNames>
    <definedName name="заголовок_листа">'ЗАПЛАНИРОВАННЫЕ РАСХОДЫ'!$I$2</definedName>
  </definedNames>
  <calcPr calcId="162913"/>
</workbook>
</file>

<file path=xl/calcChain.xml><?xml version="1.0" encoding="utf-8"?>
<calcChain xmlns="http://schemas.openxmlformats.org/spreadsheetml/2006/main">
  <c r="E3" i="5" l="1"/>
  <c r="I2" i="4"/>
  <c r="I2" i="3"/>
  <c r="B2" i="3" l="1"/>
  <c r="B2" i="5" l="1"/>
  <c r="B2" i="4"/>
  <c r="I7" i="3" l="1"/>
  <c r="J7" i="3"/>
  <c r="K7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D31" i="4"/>
  <c r="E31" i="4"/>
  <c r="F31" i="4"/>
  <c r="G31" i="4"/>
  <c r="H31" i="4"/>
  <c r="I31" i="4"/>
  <c r="J31" i="4"/>
  <c r="K31" i="4"/>
  <c r="L31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D22" i="4"/>
  <c r="E22" i="4"/>
  <c r="F22" i="4"/>
  <c r="G22" i="4"/>
  <c r="H22" i="4"/>
  <c r="I22" i="4"/>
  <c r="J22" i="4"/>
  <c r="K22" i="4"/>
  <c r="L22" i="4"/>
  <c r="M22" i="4"/>
  <c r="N22" i="4"/>
  <c r="C22" i="4"/>
  <c r="D6" i="4"/>
  <c r="E6" i="4"/>
  <c r="F6" i="4"/>
  <c r="G6" i="4"/>
  <c r="H6" i="4"/>
  <c r="I6" i="4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D11" i="4"/>
  <c r="E11" i="4"/>
  <c r="F11" i="4"/>
  <c r="G11" i="4"/>
  <c r="H11" i="4"/>
  <c r="I11" i="4"/>
  <c r="J11" i="4"/>
  <c r="K11" i="4"/>
  <c r="L11" i="4"/>
  <c r="M11" i="4"/>
  <c r="N11" i="4"/>
  <c r="C11" i="4"/>
  <c r="D19" i="3"/>
  <c r="E19" i="3"/>
  <c r="F19" i="3"/>
  <c r="G19" i="3"/>
  <c r="H19" i="3"/>
  <c r="I19" i="3"/>
  <c r="J19" i="3"/>
  <c r="K19" i="3"/>
  <c r="L19" i="3"/>
  <c r="M19" i="3"/>
  <c r="N19" i="3"/>
  <c r="D28" i="3"/>
  <c r="E28" i="3"/>
  <c r="F28" i="3"/>
  <c r="G28" i="3"/>
  <c r="H28" i="3"/>
  <c r="I28" i="3"/>
  <c r="J28" i="3"/>
  <c r="K28" i="3"/>
  <c r="L28" i="3"/>
  <c r="M28" i="3"/>
  <c r="N28" i="3"/>
  <c r="D33" i="3"/>
  <c r="E33" i="3"/>
  <c r="F33" i="3"/>
  <c r="G33" i="3"/>
  <c r="H33" i="3"/>
  <c r="I33" i="3"/>
  <c r="J33" i="3"/>
  <c r="K33" i="3"/>
  <c r="L33" i="3"/>
  <c r="M33" i="3"/>
  <c r="N33" i="3"/>
  <c r="C33" i="3"/>
  <c r="C28" i="3"/>
  <c r="C19" i="3"/>
  <c r="D33" i="2"/>
  <c r="E33" i="2"/>
  <c r="F33" i="2"/>
  <c r="G33" i="2"/>
  <c r="H33" i="2"/>
  <c r="I33" i="2"/>
  <c r="J33" i="2"/>
  <c r="K33" i="2"/>
  <c r="L33" i="2"/>
  <c r="M33" i="2"/>
  <c r="N33" i="2"/>
  <c r="C33" i="2"/>
  <c r="D28" i="2"/>
  <c r="E28" i="2"/>
  <c r="F28" i="2"/>
  <c r="G28" i="2"/>
  <c r="H28" i="2"/>
  <c r="I28" i="2"/>
  <c r="J28" i="2"/>
  <c r="K28" i="2"/>
  <c r="L28" i="2"/>
  <c r="M28" i="2"/>
  <c r="N28" i="2"/>
  <c r="C28" i="2"/>
  <c r="D19" i="2"/>
  <c r="E19" i="2"/>
  <c r="F19" i="2"/>
  <c r="G19" i="2"/>
  <c r="H19" i="2"/>
  <c r="I19" i="2"/>
  <c r="J19" i="2"/>
  <c r="K19" i="2"/>
  <c r="L19" i="2"/>
  <c r="M19" i="2"/>
  <c r="N19" i="2"/>
  <c r="C19" i="2"/>
  <c r="O22" i="4" l="1"/>
  <c r="O24" i="4"/>
  <c r="O6" i="4"/>
  <c r="O23" i="4"/>
  <c r="O32" i="4"/>
  <c r="O27" i="4"/>
  <c r="O26" i="4"/>
  <c r="O25" i="4"/>
  <c r="O31" i="4"/>
  <c r="O17" i="4"/>
  <c r="O16" i="4"/>
  <c r="O15" i="4"/>
  <c r="O14" i="4"/>
  <c r="O12" i="4"/>
  <c r="O18" i="4"/>
  <c r="O13" i="4"/>
  <c r="O11" i="4"/>
  <c r="B10" i="5"/>
  <c r="B9" i="5"/>
  <c r="B8" i="5"/>
  <c r="B7" i="5"/>
  <c r="N33" i="4"/>
  <c r="M33" i="4"/>
  <c r="L33" i="4"/>
  <c r="K33" i="4"/>
  <c r="J33" i="4"/>
  <c r="I33" i="4"/>
  <c r="H33" i="4"/>
  <c r="G33" i="4"/>
  <c r="F33" i="4"/>
  <c r="E33" i="4"/>
  <c r="D33" i="4"/>
  <c r="C33" i="4"/>
  <c r="N28" i="4"/>
  <c r="M28" i="4"/>
  <c r="L28" i="4"/>
  <c r="K28" i="4"/>
  <c r="J28" i="4"/>
  <c r="I28" i="4"/>
  <c r="H28" i="4"/>
  <c r="G28" i="4"/>
  <c r="F28" i="4"/>
  <c r="E28" i="4"/>
  <c r="D28" i="4"/>
  <c r="C28" i="4"/>
  <c r="N19" i="4"/>
  <c r="M19" i="4"/>
  <c r="L19" i="4"/>
  <c r="K19" i="4"/>
  <c r="J19" i="4"/>
  <c r="I19" i="4"/>
  <c r="H19" i="4"/>
  <c r="G19" i="4"/>
  <c r="F19" i="4"/>
  <c r="E19" i="4"/>
  <c r="D19" i="4"/>
  <c r="C19" i="4"/>
  <c r="O32" i="3"/>
  <c r="O31" i="3"/>
  <c r="O27" i="3"/>
  <c r="O26" i="3"/>
  <c r="O25" i="3"/>
  <c r="O24" i="3"/>
  <c r="O23" i="3"/>
  <c r="O22" i="3"/>
  <c r="O18" i="3"/>
  <c r="O17" i="3"/>
  <c r="O16" i="3"/>
  <c r="O15" i="3"/>
  <c r="O14" i="3"/>
  <c r="O13" i="3"/>
  <c r="O12" i="3"/>
  <c r="O11" i="3"/>
  <c r="N8" i="3"/>
  <c r="N36" i="3" s="1"/>
  <c r="M8" i="3"/>
  <c r="M36" i="3" s="1"/>
  <c r="L8" i="3"/>
  <c r="L36" i="3" s="1"/>
  <c r="K8" i="3"/>
  <c r="K36" i="3" s="1"/>
  <c r="J8" i="3"/>
  <c r="J36" i="3" s="1"/>
  <c r="I8" i="3"/>
  <c r="I36" i="3" s="1"/>
  <c r="H7" i="3"/>
  <c r="H8" i="3" s="1"/>
  <c r="H36" i="3" s="1"/>
  <c r="G7" i="3"/>
  <c r="G8" i="3" s="1"/>
  <c r="G36" i="3" s="1"/>
  <c r="F7" i="3"/>
  <c r="F8" i="3" s="1"/>
  <c r="F36" i="3" s="1"/>
  <c r="E7" i="3"/>
  <c r="E8" i="3" s="1"/>
  <c r="E36" i="3" s="1"/>
  <c r="D7" i="3"/>
  <c r="D8" i="3" s="1"/>
  <c r="D36" i="3" s="1"/>
  <c r="C7" i="3"/>
  <c r="C8" i="3" s="1"/>
  <c r="C36" i="3" s="1"/>
  <c r="O6" i="3"/>
  <c r="O32" i="2"/>
  <c r="O31" i="2"/>
  <c r="O33" i="2" s="1"/>
  <c r="O27" i="2"/>
  <c r="O26" i="2"/>
  <c r="O25" i="2"/>
  <c r="O24" i="2"/>
  <c r="O23" i="2"/>
  <c r="O22" i="2"/>
  <c r="O18" i="2"/>
  <c r="O17" i="2"/>
  <c r="O16" i="2"/>
  <c r="O15" i="2"/>
  <c r="O14" i="2"/>
  <c r="O13" i="2"/>
  <c r="O12" i="2"/>
  <c r="O11" i="2"/>
  <c r="N7" i="2"/>
  <c r="M7" i="2"/>
  <c r="L7" i="2"/>
  <c r="K7" i="2"/>
  <c r="J7" i="2"/>
  <c r="I7" i="2"/>
  <c r="H7" i="2"/>
  <c r="G7" i="2"/>
  <c r="F7" i="2"/>
  <c r="E7" i="2"/>
  <c r="D7" i="2"/>
  <c r="C7" i="2"/>
  <c r="O6" i="2"/>
  <c r="J8" i="2" l="1"/>
  <c r="J36" i="2" s="1"/>
  <c r="J7" i="4"/>
  <c r="J8" i="4" s="1"/>
  <c r="J36" i="4" s="1"/>
  <c r="L8" i="2"/>
  <c r="L36" i="2" s="1"/>
  <c r="L7" i="4"/>
  <c r="L8" i="4" s="1"/>
  <c r="L36" i="4" s="1"/>
  <c r="G8" i="2"/>
  <c r="G36" i="2" s="1"/>
  <c r="G7" i="4"/>
  <c r="G8" i="4" s="1"/>
  <c r="G36" i="4" s="1"/>
  <c r="H8" i="2"/>
  <c r="H36" i="2" s="1"/>
  <c r="H7" i="4"/>
  <c r="H8" i="4" s="1"/>
  <c r="H36" i="4" s="1"/>
  <c r="N8" i="2"/>
  <c r="N36" i="2" s="1"/>
  <c r="N7" i="4"/>
  <c r="N8" i="4" s="1"/>
  <c r="N36" i="4" s="1"/>
  <c r="D8" i="2"/>
  <c r="D36" i="2" s="1"/>
  <c r="D7" i="4"/>
  <c r="D8" i="4" s="1"/>
  <c r="D36" i="4" s="1"/>
  <c r="E7" i="4"/>
  <c r="E8" i="4" s="1"/>
  <c r="E36" i="4" s="1"/>
  <c r="E8" i="2"/>
  <c r="E36" i="2" s="1"/>
  <c r="K8" i="2"/>
  <c r="K36" i="2" s="1"/>
  <c r="K7" i="4"/>
  <c r="K8" i="4" s="1"/>
  <c r="K36" i="4" s="1"/>
  <c r="F7" i="4"/>
  <c r="F8" i="4" s="1"/>
  <c r="F36" i="4" s="1"/>
  <c r="F8" i="2"/>
  <c r="F36" i="2" s="1"/>
  <c r="M8" i="2"/>
  <c r="M36" i="2" s="1"/>
  <c r="M7" i="4"/>
  <c r="M8" i="4" s="1"/>
  <c r="M36" i="4" s="1"/>
  <c r="C7" i="4"/>
  <c r="C8" i="4" s="1"/>
  <c r="C36" i="4" s="1"/>
  <c r="C8" i="2"/>
  <c r="C36" i="2" s="1"/>
  <c r="I7" i="4"/>
  <c r="I8" i="4" s="1"/>
  <c r="I36" i="4" s="1"/>
  <c r="I8" i="2"/>
  <c r="I36" i="2" s="1"/>
  <c r="O33" i="3"/>
  <c r="O28" i="3"/>
  <c r="D8" i="5" s="1"/>
  <c r="O19" i="3"/>
  <c r="D7" i="5" s="1"/>
  <c r="C9" i="5"/>
  <c r="O28" i="2"/>
  <c r="C8" i="5" s="1"/>
  <c r="O19" i="2"/>
  <c r="C7" i="5" s="1"/>
  <c r="O7" i="3"/>
  <c r="O8" i="3" s="1"/>
  <c r="D6" i="5" s="1"/>
  <c r="O33" i="4"/>
  <c r="O7" i="2"/>
  <c r="O8" i="2" s="1"/>
  <c r="C6" i="5" s="1"/>
  <c r="E37" i="2" l="1"/>
  <c r="D37" i="2"/>
  <c r="J37" i="2"/>
  <c r="O7" i="4"/>
  <c r="O8" i="4" s="1"/>
  <c r="O36" i="2"/>
  <c r="C10" i="5" s="1"/>
  <c r="I37" i="2"/>
  <c r="C37" i="2"/>
  <c r="F37" i="2"/>
  <c r="E8" i="5"/>
  <c r="F8" i="5" s="1"/>
  <c r="D37" i="4"/>
  <c r="J37" i="4"/>
  <c r="M37" i="4"/>
  <c r="H37" i="4"/>
  <c r="N37" i="4"/>
  <c r="C37" i="4"/>
  <c r="E37" i="4"/>
  <c r="K37" i="4"/>
  <c r="F37" i="4"/>
  <c r="L37" i="4"/>
  <c r="G37" i="4"/>
  <c r="I37" i="4"/>
  <c r="O19" i="4"/>
  <c r="O28" i="4"/>
  <c r="D9" i="5"/>
  <c r="E9" i="5" s="1"/>
  <c r="F9" i="5" s="1"/>
  <c r="O36" i="3"/>
  <c r="D10" i="5" s="1"/>
  <c r="K37" i="2"/>
  <c r="G37" i="3"/>
  <c r="M37" i="3"/>
  <c r="J37" i="3"/>
  <c r="F37" i="3"/>
  <c r="H37" i="3"/>
  <c r="N37" i="3"/>
  <c r="I37" i="3"/>
  <c r="C37" i="3"/>
  <c r="D37" i="3"/>
  <c r="E37" i="3"/>
  <c r="K37" i="3"/>
  <c r="L37" i="3"/>
  <c r="E7" i="5"/>
  <c r="F7" i="5" s="1"/>
  <c r="N37" i="2"/>
  <c r="H37" i="2"/>
  <c r="M37" i="2"/>
  <c r="L37" i="2"/>
  <c r="G37" i="2"/>
  <c r="E6" i="5"/>
  <c r="F6" i="5" s="1"/>
  <c r="O36" i="4" l="1"/>
  <c r="E10" i="5"/>
  <c r="F10" i="5" s="1"/>
</calcChain>
</file>

<file path=xl/sharedStrings.xml><?xml version="1.0" encoding="utf-8"?>
<sst xmlns="http://schemas.openxmlformats.org/spreadsheetml/2006/main" count="388" uniqueCount="108">
  <si>
    <t>ОБ ЭТОМ ШАБЛОНЕ</t>
  </si>
  <si>
    <t>Используйте эту книгу бюджета расходов компании для сравнения запланированных и фактических расходов и отслеживания отклонений.</t>
  </si>
  <si>
    <t>Введите название компании и добавьте логотип.</t>
  </si>
  <si>
    <t>Введите сведения в таблицы на листах «Запланированные расходы» и «Фактические расходы».</t>
  </si>
  <si>
    <t>На листе «Отклонения по расходам» автоматически обновятся таблицы, а на листе «Анализ расходов» — диаграммы.</t>
  </si>
  <si>
    <t>Примечание. </t>
  </si>
  <si>
    <t>В столбце A каждого листа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</si>
  <si>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таблице, щелкните в ней ячейку, затем нажмите клавиши SHIFT+F10, выберите пункт «Таблица», а затем — «Замещающий текст».</t>
  </si>
  <si>
    <t>Введите запланированные расходы на сотрудников, содержание офиса, маркетинг, обучение и командировки в соответствующих таблицах на этом листе. Итоговые значения вычисляются автоматически. Полезные инструкции о том, как использовать этот лист, содержатся в ячейках этого столбца. Нажмите СТРЕЛКУ ВНИЗ, чтобы начать.</t>
  </si>
  <si>
    <t>Введите название компании в ячейке справа и добавьте логотип в ячейку N2. Название этого листа указано в ячейке K2.</t>
  </si>
  <si>
    <t>В ячейке K3 содержится совет.</t>
  </si>
  <si>
    <t>Надпись «Запланированные расходы» находится в ячейке справа, названия месяцев указаны в ячейках с C4 по N4, надпись «Год» находится в ячейке O4, а инструкции по использованию этого шаблона — в ячейке R4.</t>
  </si>
  <si>
    <t>Введите расходы на сотрудников в таблице «Сотрудники (план)», начиная с ячейки справа. Следующие инструкции указаны в ячейке A10.</t>
  </si>
  <si>
    <t>Введите расходы на маркетинг в таблице «Маркетинг (план)», начиная с ячейки справа. Следующая инструкция находится в ячейке A30.</t>
  </si>
  <si>
    <t>Введите расходы на обучение и командировки в таблице «Обучения и командировки (план)», начиная с ячейки справа. Следующая инструкция находится в ячейке A35.</t>
  </si>
  <si>
    <t>Название компании</t>
  </si>
  <si>
    <t>ЗАПЛАНИРОВАННЫЕ РАСХОДЫ</t>
  </si>
  <si>
    <t>Расходы на сотрудников</t>
  </si>
  <si>
    <t>Зарплата</t>
  </si>
  <si>
    <t>Премия</t>
  </si>
  <si>
    <t>Промежуточный итог</t>
  </si>
  <si>
    <t>Расходы на содержание офиса</t>
  </si>
  <si>
    <t>Аренда офисных помещений</t>
  </si>
  <si>
    <t>Газ</t>
  </si>
  <si>
    <t>Электричество</t>
  </si>
  <si>
    <t>Вода</t>
  </si>
  <si>
    <t>Телефон</t>
  </si>
  <si>
    <t>Доступ в Интернет</t>
  </si>
  <si>
    <t>Канцтовары</t>
  </si>
  <si>
    <t>Безопасность</t>
  </si>
  <si>
    <t>Расходы на маркетинг</t>
  </si>
  <si>
    <t>Размещение веб-сайта</t>
  </si>
  <si>
    <t>Обновление веб-сайта</t>
  </si>
  <si>
    <t>Подготовка рекламных материалов</t>
  </si>
  <si>
    <t>Печать рекламных материалов</t>
  </si>
  <si>
    <t>Маркетинговые мероприятия</t>
  </si>
  <si>
    <t>Прочие расходы</t>
  </si>
  <si>
    <t>Обучение/командировки</t>
  </si>
  <si>
    <t>Учебные занятия</t>
  </si>
  <si>
    <t>Командировочные расходы, связанные с обучением</t>
  </si>
  <si>
    <t>ИТОГИ</t>
  </si>
  <si>
    <t>Запланированные расходы за месяц</t>
  </si>
  <si>
    <t>ОБЩИЕ запланированные расходы</t>
  </si>
  <si>
    <t>ЯНВ</t>
  </si>
  <si>
    <t>Январь</t>
  </si>
  <si>
    <t>ФЕВ</t>
  </si>
  <si>
    <t>Февраль</t>
  </si>
  <si>
    <t>МАР</t>
  </si>
  <si>
    <t>Март</t>
  </si>
  <si>
    <t>АПР</t>
  </si>
  <si>
    <t>Апрель</t>
  </si>
  <si>
    <t>МАЙ</t>
  </si>
  <si>
    <t>Май</t>
  </si>
  <si>
    <t>ИЮН</t>
  </si>
  <si>
    <t>Июнь</t>
  </si>
  <si>
    <t>ИЮЛ</t>
  </si>
  <si>
    <t>Июль</t>
  </si>
  <si>
    <t>АВГ</t>
  </si>
  <si>
    <t>Август</t>
  </si>
  <si>
    <t>Подробные оценочные показатели расходов</t>
  </si>
  <si>
    <t>Затененные ячейки содержат вычисления.</t>
  </si>
  <si>
    <t>СЕН</t>
  </si>
  <si>
    <t>Сентябрь</t>
  </si>
  <si>
    <t>ОКТ</t>
  </si>
  <si>
    <t>Октябрь</t>
  </si>
  <si>
    <t>НОЯ</t>
  </si>
  <si>
    <t>Ноябрь</t>
  </si>
  <si>
    <t>В этой ячейке содержится заполнитель логотипа.</t>
  </si>
  <si>
    <t>ДЕК</t>
  </si>
  <si>
    <t>Декабрь</t>
  </si>
  <si>
    <t>ГОД</t>
  </si>
  <si>
    <t>Год</t>
  </si>
  <si>
    <t xml:space="preserve"> </t>
  </si>
  <si>
    <t>Совет. КАК ИСПОЛЬЗОВАТЬ ЭТОТ ШАБЛОН
Введите значения в белые ячейки на листах ЗАПЛАНИРОВАННЫЕ РАСХОДЫ и ФАКТИЧЕСКИЕ РАСХОДЫ, и данные на листах ОТКЛОНЕНИЯ ПО РАСХОДАМ и АНАЛИЗ РАСХОДОВ будут рассчитаны автоматически. Если вы добавите строку на одном листе, количество срок на других листах необходимо сделать таким же.</t>
  </si>
  <si>
    <t>Введите фактические расходы на сотрудников, содержание офиса, маркетинг, обучение и командировки в соответствующих таблицах на этом листе. Итоговые значения вычисляются автоматически. Полезные инструкции о том, как использовать этот лист, содержатся в ячейках этого столбца. Нажмите СТРЕЛКУ ВНИЗ, чтобы начать.</t>
  </si>
  <si>
    <t>Название компании автоматически обновляется в ячейке справа. Название этого листа указано в ячейке K2. Добавьте логотип в ячейку N2.</t>
  </si>
  <si>
    <t>Надпись «Фактические расходы» находится в ячейке справа, названия месяцев указаны в ячейках с C4 по N4, надпись «Год» находится в ячейке O4.</t>
  </si>
  <si>
    <t>Введите расходы на сотрудников в таблице «Сотрудники (фактические)», начиная с ячейки справа. Следующие инструкции указаны в ячейке A10.</t>
  </si>
  <si>
    <t>Введите расходы на маркетинг в таблице «Маркетинг (фактические)», начиная с ячейки справа. Следующая инструкция находится в ячейке A30.</t>
  </si>
  <si>
    <t>Введите расходы на обучение и командировки в таблице «Обучения и командировки (фактические)», начиная с ячейки справа. Следующая инструкция находится в ячейке A35.</t>
  </si>
  <si>
    <t>ФАКТИЧЕСКИЕ РАСХОДЫ</t>
  </si>
  <si>
    <t>Фактические расходы за месяц</t>
  </si>
  <si>
    <t>ОБЩИЕ фактические расходы</t>
  </si>
  <si>
    <t>Отклонения по расходам на сотрудников, содержание офиса, маркетинг, обучение и командировки автоматически рассчитываются в соответствующих таблицах на этом листе. Полезные инструкции о том, как использовать этот лист, содержатся в ячейках этого столбца. Нажмите СТРЕЛКУ ВНИЗ, чтобы начать.</t>
  </si>
  <si>
    <t>Надпись «Отклонения по расходам» находится в ячейке справа, названия месяцев указаны в ячейках с C4 по N4, надпись «Год» находится в ячейке O4.</t>
  </si>
  <si>
    <t>ОТКЛОНЕНИЯ ПО РАСХОДАМ</t>
  </si>
  <si>
    <t xml:space="preserve">Сведения о запланированных и фактических расходах, отклонениях по расходам и процентах отклонения за год автоматически обновляются для каждой категории расходов на этом листе. Полезные инструкции о том, как использовать этот лист, содержатся в ячейках этого столбца. Нажмите СТРЕЛКУ ВНИЗ, чтобы начать. </t>
  </si>
  <si>
    <t>Название компании автоматически обновляется в ячейке справа. Добавьте логотип в ячейку F2.</t>
  </si>
  <si>
    <t>Название этого листа указано в ячейке E3. Следующая инструкция находится в ячейке A5.</t>
  </si>
  <si>
    <t>Запланированные расходы, фактические расходы, отклонение по расходам и процент отклонения автоматически рассчитываются в таблице «Анализ», начиная с ячейки справа. Следующие инструкции указаны в ячейке A12.</t>
  </si>
  <si>
    <t>Категория расходов</t>
  </si>
  <si>
    <t>Круговая диаграмма для запланированных расходов с указанием категорий представлена в этой ячейке.</t>
  </si>
  <si>
    <t>Запланированные расходы</t>
  </si>
  <si>
    <t>Фактические расходы</t>
  </si>
  <si>
    <t>Круговая диаграмма для фактических расходов с указанием категорий представлена в этой ячейке.</t>
  </si>
  <si>
    <t>Отклонения по расходам</t>
  </si>
  <si>
    <t>Процент отклонения</t>
  </si>
  <si>
    <t>Введите расходы на содержание офиса в таблице «Офиса (план)», начиная с ячейки справа. Следующая инструкция находится в ячейке A21.</t>
  </si>
  <si>
    <t>Итоги значения автоматически рассчитываются в таблице «Итого Запланированные», начиная с ячейки справа.</t>
  </si>
  <si>
    <t>Введите расходы на содержание офиса в таблице «Офиса (фактические)», начиная с ячейки справа. Следующая инструкция находится в ячейке A21.</t>
  </si>
  <si>
    <t>Итоговые фактические расходы автоматически рассчитываются в таблице «Итого Фактические», начиная с ячейки справа.</t>
  </si>
  <si>
    <t>Отклонения по расходам на сотрудников автоматически рассчитываются в таблице «Сотрудники Отклонение», начиная с ячейки справа. Следующие инструкции указаны в ячейке A10.</t>
  </si>
  <si>
    <t>Отклонения по расходам на содержание офиса автоматически рассчитываются в таблице «Офис Отклонение», начиная с ячейки справа. Следующая инструкция находится в ячейке A21.</t>
  </si>
  <si>
    <t>Отклонения по расходам на маркетинг автоматически рассчитываются в таблице «Маркетинг Отклонение», начиная с ячейки справа. Следующая инструкция находится в ячейке A30.</t>
  </si>
  <si>
    <t>Отклонения по расходам на обучение и командировки автоматически рассчитываются в таблице «Обучение и командировки отклонение», начиная с ячейки справа. Следующая инструкция находится в ячейке A35.</t>
  </si>
  <si>
    <t>Отклонения по расходам автоматически рассчитываются в таблице «Итого отклонение», начиная с ячейки справа.</t>
  </si>
  <si>
    <t>Круговая диаграмма запланированные расходы представлена в ячейке справа, а круговая диаграмма фактические расходы — в ячейке D12. Следующие инструкции указаны в ячейке A14.</t>
  </si>
  <si>
    <t>Диаграмма для Запланированные и Фактические расходов и соответствующего Отклонение на каждый месяц представлена в ячейке справа.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</si>
</sst>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₽&quot;;[Red]\-#,##0.00\ &quot;₽&quot;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.00\ &quot;lei&quot;;[Red]#,##0.00\ &quot;lei&quot;"/>
  </numFmts>
  <fonts count="55" x14ac:knownFonts="1">
    <font>
      <sz val="9"/>
      <color theme="1" tint="0.2499465926084170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14"/>
      <color theme="1"/>
      <name val="Microsoft Sans Serif"/>
      <family val="2"/>
      <scheme val="minor"/>
    </font>
    <font>
      <b/>
      <sz val="14"/>
      <color theme="1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u/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i/>
      <sz val="10"/>
      <color theme="1"/>
      <name val="Microsoft Sans Serif"/>
      <family val="2"/>
      <scheme val="minor"/>
    </font>
    <font>
      <b/>
      <sz val="14"/>
      <color theme="0"/>
      <name val="Franklin Gothic Book"/>
      <family val="2"/>
      <scheme val="major"/>
    </font>
    <font>
      <i/>
      <sz val="11"/>
      <color theme="3" tint="0.79998168889431442"/>
      <name val="Microsoft Sans Serif"/>
      <family val="2"/>
      <scheme val="minor"/>
    </font>
    <font>
      <b/>
      <sz val="36"/>
      <color theme="0"/>
      <name val="Franklin Gothic Book"/>
      <family val="2"/>
      <scheme val="major"/>
    </font>
    <font>
      <sz val="9"/>
      <color theme="1"/>
      <name val="Microsoft Sans Serif"/>
      <family val="2"/>
      <scheme val="minor"/>
    </font>
    <font>
      <b/>
      <sz val="9"/>
      <color theme="1"/>
      <name val="Microsoft Sans Serif"/>
      <family val="2"/>
      <scheme val="minor"/>
    </font>
    <font>
      <b/>
      <sz val="10"/>
      <color theme="0"/>
      <name val="Microsoft Sans Serif"/>
      <family val="2"/>
      <scheme val="minor"/>
    </font>
    <font>
      <b/>
      <sz val="16"/>
      <color theme="0"/>
      <name val="Franklin Gothic Book"/>
      <family val="2"/>
      <scheme val="major"/>
    </font>
    <font>
      <sz val="10"/>
      <color theme="1" tint="0.24994659260841701"/>
      <name val="Microsoft Sans Serif"/>
      <family val="2"/>
      <scheme val="minor"/>
    </font>
    <font>
      <b/>
      <sz val="10"/>
      <color theme="1" tint="0.24994659260841701"/>
      <name val="Microsoft Sans Serif"/>
      <family val="2"/>
      <scheme val="minor"/>
    </font>
    <font>
      <sz val="9"/>
      <color theme="6" tint="0.39997558519241921"/>
      <name val="Microsoft Sans Serif"/>
      <family val="2"/>
      <scheme val="minor"/>
    </font>
    <font>
      <b/>
      <sz val="14"/>
      <color theme="2"/>
      <name val="Franklin Gothic Book"/>
      <family val="2"/>
      <scheme val="major"/>
    </font>
    <font>
      <sz val="14"/>
      <color theme="3"/>
      <name val="Microsoft Sans Serif"/>
      <family val="2"/>
      <scheme val="minor"/>
    </font>
    <font>
      <b/>
      <sz val="13"/>
      <color theme="3"/>
      <name val="Franklin Gothic Book"/>
      <family val="2"/>
      <scheme val="major"/>
    </font>
    <font>
      <b/>
      <sz val="14"/>
      <color theme="0"/>
      <name val="Microsoft Sans Serif"/>
      <family val="2"/>
      <scheme val="minor"/>
    </font>
    <font>
      <sz val="9"/>
      <name val="Microsoft Sans Serif"/>
      <family val="2"/>
      <scheme val="minor"/>
    </font>
    <font>
      <b/>
      <sz val="9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 tint="-0.499984740745262"/>
      <name val="Franklin Gothic Book"/>
      <family val="2"/>
      <scheme val="major"/>
    </font>
    <font>
      <b/>
      <sz val="14"/>
      <color theme="3"/>
      <name val="Microsoft Sans Serif"/>
      <family val="2"/>
      <scheme val="minor"/>
    </font>
    <font>
      <b/>
      <sz val="14"/>
      <color theme="3" tint="-0.499984740745262"/>
      <name val="Franklin Gothic Book"/>
      <family val="2"/>
      <scheme val="major"/>
    </font>
    <font>
      <sz val="10"/>
      <color theme="5" tint="0.79998168889431442"/>
      <name val="Microsoft Sans Serif"/>
      <family val="2"/>
      <scheme val="minor"/>
    </font>
    <font>
      <b/>
      <sz val="16"/>
      <color theme="0"/>
      <name val="Arial"/>
      <family val="2"/>
    </font>
    <font>
      <sz val="14"/>
      <color theme="3" tint="-0.249977111117893"/>
      <name val="Microsoft Sans Serif"/>
      <family val="2"/>
      <scheme val="minor"/>
    </font>
    <font>
      <sz val="14"/>
      <color theme="6" tint="0.39997558519241921"/>
      <name val="Microsoft Sans Serif"/>
      <family val="2"/>
      <scheme val="minor"/>
    </font>
    <font>
      <sz val="11"/>
      <color theme="6" tint="0.39997558519241921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i/>
      <sz val="11"/>
      <color theme="0"/>
      <name val="Microsoft Sans Serif"/>
      <family val="2"/>
      <scheme val="minor"/>
    </font>
    <font>
      <b/>
      <sz val="16"/>
      <color theme="3"/>
      <name val="Franklin Gothic Book"/>
      <family val="2"/>
      <scheme val="major"/>
    </font>
    <font>
      <sz val="14"/>
      <color theme="0"/>
      <name val="Microsoft Sans Serif"/>
      <family val="2"/>
      <scheme val="minor"/>
    </font>
    <font>
      <sz val="9"/>
      <color theme="1" tint="0.24994659260841701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  <font>
      <b/>
      <sz val="22"/>
      <color theme="1" tint="0.24994659260841701"/>
      <name val="Calibri"/>
      <family val="2"/>
    </font>
    <font>
      <b/>
      <sz val="16"/>
      <color theme="0"/>
      <name val="Calibri"/>
      <family val="2"/>
    </font>
    <font>
      <b/>
      <sz val="10"/>
      <color theme="2"/>
      <name val="Calibri"/>
      <family val="2"/>
    </font>
    <font>
      <sz val="11"/>
      <color theme="1" tint="0.24994659260841701"/>
      <name val="Calibri"/>
      <family val="2"/>
    </font>
    <font>
      <sz val="18"/>
      <color theme="3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medium">
        <color theme="6" tint="0.39997558519241921"/>
      </right>
      <top/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 style="medium">
        <color theme="6" tint="0.39997558519241921"/>
      </right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14548173467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88402966399123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85351115451523"/>
      </bottom>
      <diagonal/>
    </border>
    <border>
      <left style="medium">
        <color theme="6" tint="0.39988402966399123"/>
      </left>
      <right style="medium">
        <color theme="6" tint="0.39985351115451523"/>
      </right>
      <top style="medium">
        <color theme="6" tint="0.39994506668294322"/>
      </top>
      <bottom style="medium">
        <color theme="6" tint="0.39985351115451523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4506668294322"/>
      </right>
      <top/>
      <bottom style="medium">
        <color theme="6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0" borderId="0"/>
    <xf numFmtId="0" fontId="50" fillId="0" borderId="0" applyNumberFormat="0" applyFill="0" applyProtection="0">
      <alignment vertical="center"/>
    </xf>
    <xf numFmtId="0" fontId="51" fillId="4" borderId="0" applyNumberFormat="0" applyProtection="0">
      <alignment vertical="center"/>
    </xf>
    <xf numFmtId="0" fontId="52" fillId="2" borderId="0" applyNumberFormat="0" applyProtection="0">
      <alignment vertical="center"/>
    </xf>
    <xf numFmtId="0" fontId="53" fillId="3" borderId="1" applyNumberFormat="0" applyProtection="0">
      <alignment horizontal="left" vertical="center" indent="1"/>
    </xf>
    <xf numFmtId="0" fontId="9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2" fillId="17" borderId="33" applyNumberFormat="0" applyAlignment="0" applyProtection="0"/>
    <xf numFmtId="0" fontId="43" fillId="18" borderId="34" applyNumberFormat="0" applyAlignment="0" applyProtection="0"/>
    <xf numFmtId="0" fontId="44" fillId="18" borderId="33" applyNumberFormat="0" applyAlignment="0" applyProtection="0"/>
    <xf numFmtId="0" fontId="45" fillId="0" borderId="35" applyNumberFormat="0" applyFill="0" applyAlignment="0" applyProtection="0"/>
    <xf numFmtId="0" fontId="46" fillId="19" borderId="36" applyNumberFormat="0" applyAlignment="0" applyProtection="0"/>
    <xf numFmtId="0" fontId="47" fillId="0" borderId="0" applyNumberFormat="0" applyFill="0" applyBorder="0" applyAlignment="0" applyProtection="0"/>
    <xf numFmtId="0" fontId="38" fillId="20" borderId="37" applyNumberFormat="0" applyFont="0" applyAlignment="0" applyProtection="0"/>
    <xf numFmtId="0" fontId="48" fillId="0" borderId="38" applyNumberFormat="0" applyFill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149">
    <xf numFmtId="0" fontId="0" fillId="10" borderId="0" xfId="0"/>
    <xf numFmtId="0" fontId="2" fillId="10" borderId="0" xfId="0" applyFont="1"/>
    <xf numFmtId="0" fontId="4" fillId="10" borderId="0" xfId="0" applyNumberFormat="1" applyFont="1" applyAlignment="1"/>
    <xf numFmtId="0" fontId="2" fillId="10" borderId="0" xfId="0" applyFont="1" applyBorder="1"/>
    <xf numFmtId="0" fontId="4" fillId="10" borderId="0" xfId="0" applyFont="1"/>
    <xf numFmtId="0" fontId="4" fillId="10" borderId="0" xfId="0" applyFont="1" applyBorder="1"/>
    <xf numFmtId="9" fontId="0" fillId="10" borderId="0" xfId="0" applyNumberFormat="1" applyFont="1" applyBorder="1" applyAlignment="1">
      <alignment horizontal="right"/>
    </xf>
    <xf numFmtId="0" fontId="2" fillId="4" borderId="0" xfId="0" applyFont="1" applyFill="1" applyAlignment="1">
      <alignment horizontal="left" vertical="top" indent="1"/>
    </xf>
    <xf numFmtId="0" fontId="3" fillId="4" borderId="0" xfId="0" applyNumberFormat="1" applyFont="1" applyFill="1" applyAlignment="1">
      <alignment horizontal="left" vertical="top" indent="1"/>
    </xf>
    <xf numFmtId="0" fontId="5" fillId="4" borderId="0" xfId="0" applyNumberFormat="1" applyFont="1" applyFill="1" applyAlignment="1">
      <alignment horizontal="left" vertical="top" indent="1"/>
    </xf>
    <xf numFmtId="0" fontId="2" fillId="8" borderId="0" xfId="0" applyFont="1" applyFill="1" applyAlignment="1">
      <alignment horizontal="left" vertical="top" indent="1"/>
    </xf>
    <xf numFmtId="0" fontId="19" fillId="10" borderId="0" xfId="0" applyFont="1"/>
    <xf numFmtId="0" fontId="18" fillId="9" borderId="0" xfId="3" applyNumberFormat="1" applyFont="1" applyFill="1" applyAlignment="1">
      <alignment horizontal="left" vertical="center" indent="1"/>
    </xf>
    <xf numFmtId="0" fontId="13" fillId="4" borderId="5" xfId="0" applyNumberFormat="1" applyFont="1" applyFill="1" applyBorder="1" applyAlignment="1">
      <alignment horizontal="left" vertical="center" indent="1"/>
    </xf>
    <xf numFmtId="0" fontId="4" fillId="10" borderId="4" xfId="0" applyNumberFormat="1" applyFont="1" applyBorder="1" applyAlignment="1"/>
    <xf numFmtId="0" fontId="14" fillId="4" borderId="0" xfId="2" applyNumberFormat="1" applyFont="1" applyFill="1" applyAlignment="1"/>
    <xf numFmtId="0" fontId="52" fillId="6" borderId="0" xfId="3" applyNumberFormat="1" applyFill="1" applyAlignment="1">
      <alignment horizontal="left" vertical="center" indent="2"/>
    </xf>
    <xf numFmtId="0" fontId="52" fillId="5" borderId="0" xfId="3" applyNumberFormat="1" applyFill="1" applyAlignment="1">
      <alignment horizontal="left" vertical="center" indent="2"/>
    </xf>
    <xf numFmtId="0" fontId="52" fillId="7" borderId="0" xfId="3" applyNumberFormat="1" applyFill="1" applyAlignment="1">
      <alignment horizontal="left" vertical="center" indent="2"/>
    </xf>
    <xf numFmtId="0" fontId="52" fillId="4" borderId="0" xfId="3" applyNumberFormat="1" applyFill="1" applyAlignment="1">
      <alignment horizontal="left" vertical="center" indent="2"/>
    </xf>
    <xf numFmtId="0" fontId="0" fillId="11" borderId="2" xfId="0" applyNumberFormat="1" applyFont="1" applyFill="1" applyBorder="1" applyAlignment="1">
      <alignment horizontal="left" vertical="center" indent="2"/>
    </xf>
    <xf numFmtId="9" fontId="0" fillId="11" borderId="2" xfId="0" applyNumberFormat="1" applyFont="1" applyFill="1" applyBorder="1" applyAlignment="1">
      <alignment horizontal="right" vertical="center" indent="2"/>
    </xf>
    <xf numFmtId="0" fontId="20" fillId="12" borderId="0" xfId="3" applyNumberFormat="1" applyFont="1" applyFill="1" applyAlignment="1">
      <alignment horizontal="left"/>
    </xf>
    <xf numFmtId="0" fontId="20" fillId="12" borderId="0" xfId="3" applyNumberFormat="1" applyFont="1" applyFill="1" applyAlignment="1">
      <alignment horizontal="center"/>
    </xf>
    <xf numFmtId="0" fontId="8" fillId="9" borderId="3" xfId="3" applyNumberFormat="1" applyFont="1" applyFill="1" applyBorder="1" applyAlignment="1">
      <alignment horizontal="left" vertical="center" indent="1"/>
    </xf>
    <xf numFmtId="0" fontId="13" fillId="4" borderId="7" xfId="0" applyNumberFormat="1" applyFont="1" applyFill="1" applyBorder="1" applyAlignment="1">
      <alignment horizontal="left" vertical="center" indent="1"/>
    </xf>
    <xf numFmtId="0" fontId="25" fillId="9" borderId="3" xfId="3" applyNumberFormat="1" applyFont="1" applyFill="1" applyBorder="1" applyAlignment="1">
      <alignment vertical="center"/>
    </xf>
    <xf numFmtId="0" fontId="17" fillId="10" borderId="0" xfId="0" applyFont="1" applyAlignment="1">
      <alignment wrapText="1"/>
    </xf>
    <xf numFmtId="0" fontId="18" fillId="9" borderId="3" xfId="3" applyNumberFormat="1" applyFont="1" applyFill="1" applyBorder="1" applyAlignment="1">
      <alignment horizontal="left" vertical="center" indent="1"/>
    </xf>
    <xf numFmtId="0" fontId="27" fillId="9" borderId="0" xfId="3" applyNumberFormat="1" applyFont="1" applyFill="1" applyAlignment="1">
      <alignment vertical="center"/>
    </xf>
    <xf numFmtId="0" fontId="0" fillId="10" borderId="0" xfId="0" applyAlignment="1">
      <alignment vertical="center"/>
    </xf>
    <xf numFmtId="0" fontId="29" fillId="8" borderId="0" xfId="2" applyFont="1" applyFill="1" applyBorder="1" applyAlignment="1">
      <alignment horizontal="center" vertical="center"/>
    </xf>
    <xf numFmtId="0" fontId="31" fillId="10" borderId="0" xfId="0" applyFont="1"/>
    <xf numFmtId="0" fontId="30" fillId="8" borderId="0" xfId="0" applyFont="1" applyFill="1" applyAlignment="1">
      <alignment horizontal="left" vertical="top" wrapText="1"/>
    </xf>
    <xf numFmtId="0" fontId="31" fillId="10" borderId="0" xfId="0" applyFont="1" applyAlignment="1">
      <alignment wrapText="1"/>
    </xf>
    <xf numFmtId="0" fontId="32" fillId="10" borderId="0" xfId="0" applyFont="1" applyAlignment="1">
      <alignment vertical="center" wrapText="1"/>
    </xf>
    <xf numFmtId="0" fontId="2" fillId="10" borderId="0" xfId="0" applyFont="1" applyAlignment="1">
      <alignment wrapText="1"/>
    </xf>
    <xf numFmtId="0" fontId="0" fillId="11" borderId="5" xfId="0" applyNumberFormat="1" applyFont="1" applyFill="1" applyBorder="1" applyAlignment="1">
      <alignment horizontal="left" vertical="center" indent="2"/>
    </xf>
    <xf numFmtId="9" fontId="0" fillId="11" borderId="5" xfId="0" applyNumberFormat="1" applyFont="1" applyFill="1" applyBorder="1" applyAlignment="1">
      <alignment horizontal="right" vertical="center" indent="2"/>
    </xf>
    <xf numFmtId="0" fontId="31" fillId="10" borderId="0" xfId="0" applyFont="1" applyBorder="1"/>
    <xf numFmtId="0" fontId="31" fillId="10" borderId="6" xfId="0" applyFont="1" applyBorder="1"/>
    <xf numFmtId="0" fontId="33" fillId="10" borderId="0" xfId="0" applyFont="1" applyAlignment="1">
      <alignment vertical="center" wrapText="1"/>
    </xf>
    <xf numFmtId="0" fontId="33" fillId="10" borderId="0" xfId="0" applyFont="1" applyAlignment="1">
      <alignment wrapText="1"/>
    </xf>
    <xf numFmtId="0" fontId="34" fillId="10" borderId="0" xfId="0" applyFont="1" applyAlignment="1">
      <alignment vertical="center" wrapText="1"/>
    </xf>
    <xf numFmtId="0" fontId="21" fillId="6" borderId="9" xfId="4" applyNumberFormat="1" applyFont="1" applyFill="1" applyBorder="1" applyAlignment="1">
      <alignment horizontal="left" vertical="center" indent="1"/>
    </xf>
    <xf numFmtId="0" fontId="13" fillId="4" borderId="10" xfId="0" applyNumberFormat="1" applyFont="1" applyFill="1" applyBorder="1" applyAlignment="1">
      <alignment horizontal="left" vertical="center" indent="1"/>
    </xf>
    <xf numFmtId="0" fontId="6" fillId="11" borderId="12" xfId="0" applyFont="1" applyFill="1" applyBorder="1" applyAlignment="1">
      <alignment horizontal="left" vertical="center" indent="1"/>
    </xf>
    <xf numFmtId="0" fontId="6" fillId="11" borderId="12" xfId="0" applyFont="1" applyFill="1" applyBorder="1" applyAlignment="1">
      <alignment horizontal="left" vertical="center" indent="2"/>
    </xf>
    <xf numFmtId="0" fontId="21" fillId="5" borderId="14" xfId="4" applyNumberFormat="1" applyFont="1" applyFill="1" applyBorder="1">
      <alignment horizontal="left" vertical="center" indent="1"/>
    </xf>
    <xf numFmtId="0" fontId="17" fillId="12" borderId="15" xfId="4" applyNumberFormat="1" applyFont="1" applyFill="1" applyBorder="1">
      <alignment horizontal="left" vertical="center" indent="1"/>
    </xf>
    <xf numFmtId="0" fontId="17" fillId="12" borderId="16" xfId="4" applyNumberFormat="1" applyFont="1" applyFill="1" applyBorder="1">
      <alignment horizontal="left" vertical="center" indent="1"/>
    </xf>
    <xf numFmtId="0" fontId="21" fillId="5" borderId="9" xfId="4" applyNumberFormat="1" applyFont="1" applyFill="1" applyBorder="1">
      <alignment horizontal="left" vertical="center" indent="1"/>
    </xf>
    <xf numFmtId="0" fontId="17" fillId="12" borderId="22" xfId="4" applyNumberFormat="1" applyFont="1" applyFill="1" applyBorder="1">
      <alignment horizontal="left" vertical="center" indent="1"/>
    </xf>
    <xf numFmtId="0" fontId="17" fillId="12" borderId="23" xfId="4" applyNumberFormat="1" applyFont="1" applyFill="1" applyBorder="1">
      <alignment horizontal="left" vertical="center" indent="1"/>
    </xf>
    <xf numFmtId="0" fontId="17" fillId="12" borderId="24" xfId="4" applyNumberFormat="1" applyFont="1" applyFill="1" applyBorder="1">
      <alignment horizontal="left" vertical="center" indent="1"/>
    </xf>
    <xf numFmtId="0" fontId="21" fillId="5" borderId="25" xfId="4" applyNumberFormat="1" applyFont="1" applyFill="1" applyBorder="1">
      <alignment horizontal="left" vertical="center" indent="1"/>
    </xf>
    <xf numFmtId="0" fontId="21" fillId="7" borderId="14" xfId="4" applyNumberFormat="1" applyFont="1" applyFill="1" applyBorder="1">
      <alignment horizontal="left" vertical="center" indent="1"/>
    </xf>
    <xf numFmtId="0" fontId="21" fillId="6" borderId="14" xfId="4" applyNumberFormat="1" applyFont="1" applyFill="1" applyBorder="1">
      <alignment horizontal="left" vertical="center" indent="1"/>
    </xf>
    <xf numFmtId="0" fontId="21" fillId="6" borderId="14" xfId="4" applyNumberFormat="1" applyFont="1" applyFill="1" applyBorder="1" applyAlignment="1">
      <alignment horizontal="left" vertical="center" indent="1"/>
    </xf>
    <xf numFmtId="0" fontId="17" fillId="12" borderId="15" xfId="4" applyNumberFormat="1" applyFont="1" applyFill="1" applyBorder="1" applyAlignment="1">
      <alignment horizontal="center" vertical="center"/>
    </xf>
    <xf numFmtId="0" fontId="17" fillId="12" borderId="16" xfId="4" applyNumberFormat="1" applyFont="1" applyFill="1" applyBorder="1" applyAlignment="1">
      <alignment horizontal="center" vertical="center"/>
    </xf>
    <xf numFmtId="0" fontId="17" fillId="12" borderId="14" xfId="4" applyNumberFormat="1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left" vertical="center" indent="2"/>
    </xf>
    <xf numFmtId="0" fontId="37" fillId="4" borderId="0" xfId="0" applyFont="1" applyFill="1" applyAlignment="1">
      <alignment horizontal="left" vertical="top" indent="1"/>
    </xf>
    <xf numFmtId="0" fontId="17" fillId="12" borderId="15" xfId="4" applyNumberFormat="1" applyFont="1" applyFill="1" applyBorder="1" applyAlignment="1">
      <alignment horizontal="left" vertical="center" indent="1"/>
    </xf>
    <xf numFmtId="0" fontId="17" fillId="12" borderId="16" xfId="4" applyNumberFormat="1" applyFont="1" applyFill="1" applyBorder="1" applyAlignment="1">
      <alignment horizontal="left" vertical="center" indent="1"/>
    </xf>
    <xf numFmtId="0" fontId="13" fillId="4" borderId="17" xfId="0" applyNumberFormat="1" applyFont="1" applyFill="1" applyBorder="1" applyAlignment="1">
      <alignment horizontal="left" vertical="center" indent="1"/>
    </xf>
    <xf numFmtId="0" fontId="24" fillId="11" borderId="19" xfId="0" applyFont="1" applyFill="1" applyBorder="1" applyAlignment="1">
      <alignment horizontal="left" vertical="center" indent="1"/>
    </xf>
    <xf numFmtId="0" fontId="17" fillId="12" borderId="14" xfId="4" applyNumberFormat="1" applyFont="1" applyFill="1" applyBorder="1" applyAlignment="1">
      <alignment horizontal="left" vertical="center" indent="1"/>
    </xf>
    <xf numFmtId="0" fontId="24" fillId="11" borderId="11" xfId="0" applyFont="1" applyFill="1" applyBorder="1" applyAlignment="1">
      <alignment horizontal="left" vertical="center" indent="1"/>
    </xf>
    <xf numFmtId="0" fontId="24" fillId="11" borderId="19" xfId="0" applyFont="1" applyFill="1" applyBorder="1" applyAlignment="1">
      <alignment horizontal="left" vertical="center" indent="2"/>
    </xf>
    <xf numFmtId="0" fontId="21" fillId="7" borderId="9" xfId="4" applyNumberFormat="1" applyFont="1" applyFill="1" applyBorder="1">
      <alignment horizontal="left" vertical="center" indent="1"/>
    </xf>
    <xf numFmtId="0" fontId="13" fillId="4" borderId="4" xfId="0" applyNumberFormat="1" applyFont="1" applyFill="1" applyBorder="1" applyAlignment="1">
      <alignment horizontal="left" vertical="center" indent="1"/>
    </xf>
    <xf numFmtId="0" fontId="27" fillId="9" borderId="32" xfId="3" applyNumberFormat="1" applyFont="1" applyFill="1" applyBorder="1" applyAlignment="1">
      <alignment vertical="center"/>
    </xf>
    <xf numFmtId="0" fontId="17" fillId="12" borderId="15" xfId="4" applyNumberFormat="1" applyFont="1" applyFill="1" applyBorder="1" applyAlignment="1">
      <alignment horizontal="left"/>
    </xf>
    <xf numFmtId="0" fontId="17" fillId="12" borderId="16" xfId="4" applyNumberFormat="1" applyFont="1" applyFill="1" applyBorder="1" applyAlignment="1">
      <alignment horizontal="left"/>
    </xf>
    <xf numFmtId="0" fontId="16" fillId="11" borderId="19" xfId="0" applyNumberFormat="1" applyFont="1" applyFill="1" applyBorder="1" applyAlignment="1">
      <alignment horizontal="left" vertical="center" indent="1"/>
    </xf>
    <xf numFmtId="0" fontId="15" fillId="11" borderId="19" xfId="0" applyNumberFormat="1" applyFont="1" applyFill="1" applyBorder="1" applyAlignment="1">
      <alignment horizontal="left" vertical="center" indent="2"/>
    </xf>
    <xf numFmtId="0" fontId="6" fillId="11" borderId="19" xfId="0" applyNumberFormat="1" applyFont="1" applyFill="1" applyBorder="1" applyAlignment="1">
      <alignment horizontal="left" vertical="center" indent="1"/>
    </xf>
    <xf numFmtId="0" fontId="16" fillId="11" borderId="19" xfId="0" applyNumberFormat="1" applyFont="1" applyFill="1" applyBorder="1" applyAlignment="1">
      <alignment horizontal="left" vertical="center" indent="2"/>
    </xf>
    <xf numFmtId="0" fontId="0" fillId="11" borderId="2" xfId="0" applyNumberFormat="1" applyFont="1" applyFill="1" applyBorder="1" applyAlignment="1">
      <alignment horizontal="left" vertical="center" indent="1"/>
    </xf>
    <xf numFmtId="0" fontId="13" fillId="4" borderId="26" xfId="0" applyNumberFormat="1" applyFont="1" applyFill="1" applyBorder="1" applyAlignment="1">
      <alignment horizontal="left" vertical="center" indent="1"/>
    </xf>
    <xf numFmtId="0" fontId="0" fillId="10" borderId="0" xfId="0" applyNumberFormat="1" applyFont="1" applyBorder="1" applyAlignment="1">
      <alignment horizontal="left" indent="1"/>
    </xf>
    <xf numFmtId="0" fontId="4" fillId="10" borderId="0" xfId="0" applyFont="1" applyAlignment="1">
      <alignment horizontal="left"/>
    </xf>
    <xf numFmtId="168" fontId="0" fillId="10" borderId="0" xfId="0" applyNumberFormat="1" applyFont="1" applyBorder="1" applyAlignment="1">
      <alignment horizontal="right"/>
    </xf>
    <xf numFmtId="0" fontId="30" fillId="8" borderId="0" xfId="0" applyNumberFormat="1" applyFont="1" applyFill="1" applyAlignment="1">
      <alignment horizontal="left" vertical="top" wrapText="1" indent="1"/>
    </xf>
    <xf numFmtId="0" fontId="2" fillId="8" borderId="0" xfId="0" applyNumberFormat="1" applyFont="1" applyFill="1" applyAlignment="1">
      <alignment horizontal="left" vertical="top" indent="1"/>
    </xf>
    <xf numFmtId="0" fontId="2" fillId="4" borderId="0" xfId="0" applyNumberFormat="1" applyFont="1" applyFill="1" applyAlignment="1">
      <alignment horizontal="left" vertical="top" indent="1"/>
    </xf>
    <xf numFmtId="0" fontId="37" fillId="4" borderId="0" xfId="0" applyNumberFormat="1" applyFont="1" applyFill="1" applyAlignment="1">
      <alignment horizontal="left" vertical="top" indent="1"/>
    </xf>
    <xf numFmtId="0" fontId="2" fillId="10" borderId="0" xfId="0" applyNumberFormat="1" applyFont="1"/>
    <xf numFmtId="0" fontId="30" fillId="8" borderId="0" xfId="0" applyNumberFormat="1" applyFont="1" applyFill="1" applyAlignment="1">
      <alignment horizontal="left" vertical="top" indent="1"/>
    </xf>
    <xf numFmtId="0" fontId="3" fillId="8" borderId="0" xfId="0" applyNumberFormat="1" applyFont="1" applyFill="1" applyAlignment="1">
      <alignment horizontal="left" vertical="top" indent="1"/>
    </xf>
    <xf numFmtId="0" fontId="5" fillId="8" borderId="0" xfId="0" applyNumberFormat="1" applyFont="1" applyFill="1" applyAlignment="1">
      <alignment horizontal="left" vertical="top" indent="1"/>
    </xf>
    <xf numFmtId="0" fontId="31" fillId="10" borderId="0" xfId="0" applyNumberFormat="1" applyFont="1" applyAlignment="1"/>
    <xf numFmtId="0" fontId="19" fillId="10" borderId="0" xfId="0" applyNumberFormat="1" applyFont="1" applyAlignment="1"/>
    <xf numFmtId="0" fontId="31" fillId="10" borderId="0" xfId="0" applyNumberFormat="1" applyFont="1" applyBorder="1"/>
    <xf numFmtId="0" fontId="2" fillId="10" borderId="0" xfId="0" applyNumberFormat="1" applyFont="1" applyBorder="1"/>
    <xf numFmtId="8" fontId="11" fillId="13" borderId="17" xfId="0" applyNumberFormat="1" applyFont="1" applyFill="1" applyBorder="1" applyAlignment="1">
      <alignment horizontal="right" vertical="center"/>
    </xf>
    <xf numFmtId="8" fontId="11" fillId="13" borderId="13" xfId="0" applyNumberFormat="1" applyFont="1" applyFill="1" applyBorder="1" applyAlignment="1">
      <alignment horizontal="right" vertical="center"/>
    </xf>
    <xf numFmtId="8" fontId="11" fillId="11" borderId="18" xfId="0" applyNumberFormat="1" applyFont="1" applyFill="1" applyBorder="1" applyAlignment="1">
      <alignment horizontal="right" vertical="center"/>
    </xf>
    <xf numFmtId="8" fontId="11" fillId="11" borderId="19" xfId="0" applyNumberFormat="1" applyFont="1" applyFill="1" applyBorder="1" applyAlignment="1">
      <alignment horizontal="right" vertical="center"/>
    </xf>
    <xf numFmtId="8" fontId="11" fillId="11" borderId="20" xfId="0" applyNumberFormat="1" applyFont="1" applyFill="1" applyBorder="1" applyAlignment="1">
      <alignment horizontal="right" vertical="center"/>
    </xf>
    <xf numFmtId="8" fontId="11" fillId="11" borderId="21" xfId="0" applyNumberFormat="1" applyFont="1" applyFill="1" applyBorder="1" applyAlignment="1">
      <alignment horizontal="right" vertical="center"/>
    </xf>
    <xf numFmtId="8" fontId="11" fillId="11" borderId="27" xfId="0" applyNumberFormat="1" applyFont="1" applyFill="1" applyBorder="1" applyAlignment="1">
      <alignment horizontal="right" vertical="center"/>
    </xf>
    <xf numFmtId="8" fontId="11" fillId="11" borderId="28" xfId="0" applyNumberFormat="1" applyFont="1" applyFill="1" applyBorder="1" applyAlignment="1">
      <alignment horizontal="right" vertical="center"/>
    </xf>
    <xf numFmtId="8" fontId="11" fillId="11" borderId="29" xfId="0" applyNumberFormat="1" applyFont="1" applyFill="1" applyBorder="1" applyAlignment="1">
      <alignment horizontal="right" vertical="center"/>
    </xf>
    <xf numFmtId="8" fontId="0" fillId="13" borderId="17" xfId="0" applyNumberFormat="1" applyFont="1" applyFill="1" applyBorder="1" applyAlignment="1">
      <alignment horizontal="right" vertical="center"/>
    </xf>
    <xf numFmtId="8" fontId="0" fillId="13" borderId="13" xfId="0" applyNumberFormat="1" applyFont="1" applyFill="1" applyBorder="1" applyAlignment="1">
      <alignment horizontal="right" vertical="center"/>
    </xf>
    <xf numFmtId="8" fontId="0" fillId="11" borderId="18" xfId="0" applyNumberFormat="1" applyFont="1" applyFill="1" applyBorder="1" applyAlignment="1">
      <alignment horizontal="right" vertical="center"/>
    </xf>
    <xf numFmtId="8" fontId="0" fillId="11" borderId="19" xfId="0" applyNumberFormat="1" applyFont="1" applyFill="1" applyBorder="1" applyAlignment="1">
      <alignment horizontal="right" vertical="center"/>
    </xf>
    <xf numFmtId="8" fontId="0" fillId="11" borderId="20" xfId="0" applyNumberFormat="1" applyFont="1" applyFill="1" applyBorder="1" applyAlignment="1">
      <alignment horizontal="right" vertical="center"/>
    </xf>
    <xf numFmtId="8" fontId="0" fillId="11" borderId="21" xfId="0" applyNumberFormat="1" applyFont="1" applyFill="1" applyBorder="1" applyAlignment="1">
      <alignment horizontal="right" vertical="center"/>
    </xf>
    <xf numFmtId="8" fontId="12" fillId="11" borderId="5" xfId="0" applyNumberFormat="1" applyFont="1" applyFill="1" applyBorder="1" applyAlignment="1">
      <alignment horizontal="right" vertical="center"/>
    </xf>
    <xf numFmtId="8" fontId="12" fillId="11" borderId="2" xfId="0" applyNumberFormat="1" applyFont="1" applyFill="1" applyBorder="1" applyAlignment="1">
      <alignment horizontal="right" vertical="center"/>
    </xf>
    <xf numFmtId="0" fontId="4" fillId="10" borderId="0" xfId="0" applyNumberFormat="1" applyFont="1" applyAlignment="1">
      <alignment horizontal="right"/>
    </xf>
    <xf numFmtId="0" fontId="6" fillId="10" borderId="0" xfId="0" applyNumberFormat="1" applyFont="1" applyAlignment="1">
      <alignment horizontal="right"/>
    </xf>
    <xf numFmtId="0" fontId="7" fillId="10" borderId="0" xfId="0" applyNumberFormat="1" applyFont="1" applyAlignment="1">
      <alignment horizontal="right"/>
    </xf>
    <xf numFmtId="8" fontId="0" fillId="11" borderId="19" xfId="0" applyNumberFormat="1" applyFont="1" applyFill="1" applyBorder="1" applyAlignment="1">
      <alignment vertical="center"/>
    </xf>
    <xf numFmtId="8" fontId="0" fillId="11" borderId="20" xfId="0" applyNumberFormat="1" applyFont="1" applyFill="1" applyBorder="1" applyAlignment="1">
      <alignment vertical="center"/>
    </xf>
    <xf numFmtId="8" fontId="0" fillId="11" borderId="21" xfId="0" applyNumberFormat="1" applyFont="1" applyFill="1" applyBorder="1" applyAlignment="1">
      <alignment vertical="center"/>
    </xf>
    <xf numFmtId="8" fontId="22" fillId="11" borderId="20" xfId="0" applyNumberFormat="1" applyFont="1" applyFill="1" applyBorder="1" applyAlignment="1">
      <alignment horizontal="right" vertical="center"/>
    </xf>
    <xf numFmtId="8" fontId="12" fillId="11" borderId="31" xfId="0" applyNumberFormat="1" applyFont="1" applyFill="1" applyBorder="1" applyAlignment="1">
      <alignment horizontal="right"/>
    </xf>
    <xf numFmtId="8" fontId="12" fillId="11" borderId="2" xfId="0" applyNumberFormat="1" applyFont="1" applyFill="1" applyBorder="1" applyAlignment="1">
      <alignment horizontal="right"/>
    </xf>
    <xf numFmtId="8" fontId="12" fillId="11" borderId="6" xfId="0" applyNumberFormat="1" applyFont="1" applyFill="1" applyBorder="1" applyAlignment="1">
      <alignment horizontal="right"/>
    </xf>
    <xf numFmtId="8" fontId="12" fillId="11" borderId="8" xfId="0" applyNumberFormat="1" applyFont="1" applyFill="1" applyBorder="1" applyAlignment="1">
      <alignment horizontal="right"/>
    </xf>
    <xf numFmtId="8" fontId="12" fillId="11" borderId="5" xfId="0" applyNumberFormat="1" applyFont="1" applyFill="1" applyBorder="1" applyAlignment="1">
      <alignment horizontal="right"/>
    </xf>
    <xf numFmtId="8" fontId="11" fillId="11" borderId="20" xfId="0" applyNumberFormat="1" applyFont="1" applyFill="1" applyBorder="1" applyAlignment="1">
      <alignment vertical="center"/>
    </xf>
    <xf numFmtId="8" fontId="23" fillId="11" borderId="2" xfId="0" applyNumberFormat="1" applyFont="1" applyFill="1" applyBorder="1" applyAlignment="1">
      <alignment horizontal="right"/>
    </xf>
    <xf numFmtId="8" fontId="23" fillId="11" borderId="8" xfId="0" applyNumberFormat="1" applyFont="1" applyFill="1" applyBorder="1" applyAlignment="1">
      <alignment horizontal="right"/>
    </xf>
    <xf numFmtId="8" fontId="0" fillId="11" borderId="2" xfId="0" applyNumberFormat="1" applyFont="1" applyFill="1" applyBorder="1" applyAlignment="1">
      <alignment horizontal="right" vertical="center" indent="2"/>
    </xf>
    <xf numFmtId="8" fontId="0" fillId="11" borderId="5" xfId="0" applyNumberFormat="1" applyFont="1" applyFill="1" applyBorder="1" applyAlignment="1">
      <alignment horizontal="right" vertical="center" indent="2"/>
    </xf>
    <xf numFmtId="0" fontId="17" fillId="10" borderId="0" xfId="0" applyFont="1" applyAlignment="1">
      <alignment wrapText="1"/>
    </xf>
    <xf numFmtId="0" fontId="17" fillId="10" borderId="0" xfId="0" applyFont="1"/>
    <xf numFmtId="0" fontId="26" fillId="4" borderId="0" xfId="0" applyNumberFormat="1" applyFont="1" applyFill="1" applyAlignment="1">
      <alignment horizontal="center" vertical="top"/>
    </xf>
    <xf numFmtId="0" fontId="6" fillId="10" borderId="0" xfId="0" applyNumberFormat="1" applyFont="1" applyBorder="1" applyAlignment="1">
      <alignment horizontal="center"/>
    </xf>
    <xf numFmtId="0" fontId="4" fillId="10" borderId="0" xfId="0" applyNumberFormat="1" applyFont="1" applyBorder="1" applyAlignment="1">
      <alignment horizontal="center"/>
    </xf>
    <xf numFmtId="0" fontId="10" fillId="8" borderId="0" xfId="1" applyNumberFormat="1" applyFont="1" applyFill="1" applyAlignment="1">
      <alignment horizontal="left" vertical="top" indent="1"/>
    </xf>
    <xf numFmtId="0" fontId="14" fillId="4" borderId="0" xfId="2" applyNumberFormat="1" applyFont="1" applyFill="1" applyAlignment="1">
      <alignment horizontal="left"/>
    </xf>
    <xf numFmtId="0" fontId="9" fillId="4" borderId="0" xfId="5" applyNumberFormat="1" applyFill="1" applyAlignment="1">
      <alignment horizontal="left" vertical="top"/>
    </xf>
    <xf numFmtId="0" fontId="35" fillId="4" borderId="0" xfId="5" applyNumberFormat="1" applyFont="1" applyFill="1" applyAlignment="1">
      <alignment horizontal="left" vertical="top"/>
    </xf>
    <xf numFmtId="0" fontId="6" fillId="10" borderId="0" xfId="0" applyNumberFormat="1" applyFont="1" applyAlignment="1">
      <alignment horizontal="center"/>
    </xf>
    <xf numFmtId="0" fontId="4" fillId="10" borderId="0" xfId="0" applyNumberFormat="1" applyFont="1" applyAlignment="1">
      <alignment horizontal="center"/>
    </xf>
    <xf numFmtId="0" fontId="28" fillId="11" borderId="0" xfId="0" applyFont="1" applyFill="1" applyAlignment="1">
      <alignment horizontal="center"/>
    </xf>
    <xf numFmtId="0" fontId="28" fillId="11" borderId="0" xfId="0" applyFont="1" applyFill="1" applyAlignment="1">
      <alignment horizontal="left"/>
    </xf>
    <xf numFmtId="0" fontId="4" fillId="10" borderId="0" xfId="0" applyFont="1" applyAlignment="1">
      <alignment horizontal="left"/>
    </xf>
    <xf numFmtId="0" fontId="4" fillId="10" borderId="0" xfId="0" applyFont="1" applyAlignment="1">
      <alignment horizontal="center"/>
    </xf>
    <xf numFmtId="0" fontId="4" fillId="10" borderId="0" xfId="0" applyFont="1" applyAlignment="1">
      <alignment horizontal="left" indent="1"/>
    </xf>
    <xf numFmtId="0" fontId="14" fillId="4" borderId="0" xfId="2" applyNumberFormat="1" applyFont="1" applyFill="1" applyAlignment="1">
      <alignment horizontal="right" vertical="center" indent="3"/>
    </xf>
    <xf numFmtId="0" fontId="36" fillId="4" borderId="0" xfId="2" applyNumberFormat="1" applyFont="1" applyFill="1" applyAlignment="1">
      <alignment horizontal="center" wrapTex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8" builtinId="4" customBuiltin="1"/>
    <cellStyle name="Денежный [0]" xfId="9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2" builtinId="25" customBuiltin="1"/>
    <cellStyle name="Контрольная ячейка" xfId="19" builtinId="23" customBuiltin="1"/>
    <cellStyle name="Название" xfId="11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5" builtinId="53" customBuiltin="1"/>
    <cellStyle name="Примечание" xfId="21" builtinId="10" customBuiltin="1"/>
    <cellStyle name="Процентный" xfId="10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6" builtinId="3" customBuiltin="1"/>
    <cellStyle name="Финансовый [0]" xfId="7" builtinId="6" customBuiltin="1"/>
    <cellStyle name="Хороший" xfId="12" builtinId="26" customBuiltin="1"/>
  </cellStyles>
  <dxfs count="4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3" formatCode="0%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border outline="0">
        <bottom style="medium">
          <color theme="6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</dxf>
    <dxf>
      <font>
        <b val="0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numFmt numFmtId="168" formatCode="#,##0.00\ &quot;lei&quot;;[Red]#,##0.00\ &quot;lei&quot;"/>
    </dxf>
    <dxf>
      <numFmt numFmtId="12" formatCode="#,##0.00\ &quot;₽&quot;;[Red]\-#,##0.00\ &quot;₽&quot;"/>
    </dxf>
    <dxf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7558519241921"/>
        </top>
        <bottom/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/>
        <horizontal style="medium">
          <color theme="6" tint="0.39994506668294322"/>
        </horizontal>
      </border>
    </dxf>
    <dxf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color auto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top style="medium">
          <color theme="6" tint="0.39997558519241921"/>
        </top>
      </border>
    </dxf>
    <dxf>
      <border outline="0">
        <left style="medium">
          <color theme="6" tint="0.39997558519241921"/>
        </left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border outline="0"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family val="2"/>
        <scheme val="maj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numFmt numFmtId="0" formatCode="General"/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numFmt numFmtId="12" formatCode="#,##0.00\ &quot;₽&quot;;[Red]\-#,##0.00\ &quot;₽&quot;"/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medium">
          <color theme="6" tint="0.39991454817346722"/>
        </right>
        <top style="medium">
          <color theme="6" tint="0.39994506668294322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39994506668294322"/>
        </left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6" tint="0.39994506668294322"/>
        </right>
        <top style="medium">
          <color theme="6" tint="0.39994506668294322"/>
        </top>
        <bottom style="medium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>
        <left style="medium">
          <color theme="6" tint="0.39988402966399123"/>
        </left>
        <right style="medium">
          <color theme="6" tint="0.39985351115451523"/>
        </right>
        <top style="medium">
          <color theme="6" tint="0.39994506668294322"/>
        </top>
        <bottom style="medium">
          <color theme="6" tint="0.39985351115451523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-1" justifyLastLine="0" shrinkToFit="0" readingOrder="0"/>
      <border diagonalUp="0" diagonalDown="0" outline="0">
        <left style="medium">
          <color theme="6" tint="0.39988402966399123"/>
        </left>
        <right/>
        <top style="medium">
          <color theme="6" tint="0.39994506668294322"/>
        </top>
        <bottom style="medium">
          <color theme="6" tint="0.39994506668294322"/>
        </bottom>
      </border>
    </dxf>
    <dxf>
      <border>
        <top style="medium">
          <color theme="6" tint="0.39994506668294322"/>
        </top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border diagonalUp="0" diagonalDown="0">
        <left/>
        <right style="medium">
          <color theme="6" tint="0.39994506668294322"/>
        </right>
        <top/>
        <bottom/>
      </border>
    </dxf>
    <dxf>
      <border>
        <bottom style="medium">
          <color theme="6" tint="0.39994506668294322"/>
        </bottom>
      </border>
    </dxf>
    <dxf>
      <border diagonalUp="0" diagonalDown="0">
        <left style="medium">
          <color theme="6" tint="0.39994506668294322"/>
        </left>
        <right style="medium">
          <color theme="6" tint="0.39994506668294322"/>
        </right>
        <top/>
        <bottom/>
        <vertical style="medium">
          <color theme="6" tint="0.39994506668294322"/>
        </vertical>
        <horizontal style="medium">
          <color theme="6" tint="0.39994506668294322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TableStyle="Detailed expense estimates Table 2" defaultPivotStyle="PivotStyleLight16">
    <tableStyle name="Detailed expense estimates Table 2" pivot="0" count="7" xr9:uid="{00000000-0011-0000-FFFF-FFFF00000000}">
      <tableStyleElement type="wholeTable" dxfId="462"/>
      <tableStyleElement type="headerRow" dxfId="461"/>
      <tableStyleElement type="totalRow" dxfId="460"/>
      <tableStyleElement type="firstColumn" dxfId="459"/>
      <tableStyleElement type="lastColumn" dxfId="458"/>
      <tableStyleElement type="firstRowStripe" size="9" dxfId="457"/>
      <tableStyleElement type="firstColumnStripe" dxfId="456"/>
    </tableStyle>
  </tableStyles>
  <colors>
    <mruColors>
      <color rgb="FF3B893D"/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Фактические расходы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icrosoft Sans Serif"/>
              <a:ea typeface="Microsoft Sans Serif"/>
              <a:cs typeface="Microsoft Sans Serif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15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F3-409A-87D3-91392B248616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F3-409A-87D3-91392B248616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3-409A-87D3-91392B248616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F3-409A-87D3-91392B248616}"/>
              </c:ext>
            </c:extLst>
          </c:dPt>
          <c:dLbls>
            <c:dLbl>
              <c:idx val="0"/>
              <c:layout>
                <c:manualLayout>
                  <c:x val="0.19437700284661699"/>
                  <c:y val="-4.01782479827624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F3-409A-87D3-91392B248616}"/>
                </c:ext>
              </c:extLst>
            </c:dLbl>
            <c:dLbl>
              <c:idx val="1"/>
              <c:layout>
                <c:manualLayout>
                  <c:x val="9.0726906999872875E-2"/>
                  <c:y val="-1.105249817717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3-409A-87D3-91392B248616}"/>
                </c:ext>
              </c:extLst>
            </c:dLbl>
            <c:dLbl>
              <c:idx val="2"/>
              <c:layout>
                <c:manualLayout>
                  <c:x val="6.6360388648343496E-2"/>
                  <c:y val="-2.154417608700347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F3-409A-87D3-91392B248616}"/>
                </c:ext>
              </c:extLst>
            </c:dLbl>
            <c:dLbl>
              <c:idx val="3"/>
              <c:layout>
                <c:manualLayout>
                  <c:x val="3.9133483346486281E-2"/>
                  <c:y val="0.101248331898421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E3DEF9-68F0-4F10-B5FD-EBB5B66B6EB2}" type="CATEGORYNAME">
                      <a:rPr lang="ru-RU"/>
                      <a:pPr algn="l">
                        <a:defRPr sz="800" b="1">
                          <a:solidFill>
                            <a:schemeClr val="tx1"/>
                          </a:solidFill>
                        </a:defRPr>
                      </a:pPr>
                      <a:t>[ИМЯ КАТЕГОРИИ]</a:t>
                    </a:fld>
                    <a:r>
                      <a:rPr lang="ru-RU" baseline="0"/>
                      <a:t>
                    </a:t>
                    </a:r>
                    <a:fld id="{1270A380-0BDF-4265-B6F6-B47F16A73C8B}" type="PERCENTAGE">
                      <a:rPr lang="ru-RU" baseline="0"/>
                      <a:pPr algn="l">
                        <a:defRPr sz="800" b="1">
                          <a:solidFill>
                            <a:schemeClr val="tx1"/>
                          </a:solidFill>
                        </a:defRPr>
                      </a:pPr>
                      <a:t>[ПРОЦЕНТ]</a:t>
                    </a:fld>
                    <a:endParaRPr lang="ru-RU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             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F3-409A-87D3-91392B248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'АНАЛИЗ РАСХОДОВ'!$B$6:$B$9</c:f>
              <c:strCache>
                <c:ptCount val="4"/>
                <c:pt idx="0">
                  <c:v>Расходы на сотрудников</c:v>
                </c:pt>
                <c:pt idx="1">
                  <c:v>Расходы на содержание офиса</c:v>
                </c:pt>
                <c:pt idx="2">
                  <c:v>Расходы на маркетинг</c:v>
                </c:pt>
                <c:pt idx="3">
                  <c:v>Обучение/командировки</c:v>
                </c:pt>
              </c:strCache>
            </c:strRef>
          </c:cat>
          <c:val>
            <c:numRef>
              <c:f>'АНАЛИЗ РАСХОДОВ'!$D$6:$D$9</c:f>
              <c:numCache>
                <c:formatCode>"₽"#,##0.00_);[Red]\("₽"#,##0.00\)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3-409A-87D3-91392B24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76424191056405"/>
          <c:y val="0.85735021397905353"/>
          <c:w val="0.57813799384875331"/>
          <c:h val="0.11487201583770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Расходы за месяц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Запланированные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'ЗАПЛАНИРОВАННЫЕ РАСХОДЫ'!$C$36:$N$36</c:f>
              <c:numCache>
                <c:formatCode>"₽"#,##0.00_);[Red]\("₽"#,##0.00\)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Фактические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'ФАКТИЧЕСКИЕ РАСХОДЫ'!$C$36:$N$36</c:f>
              <c:numCache>
                <c:formatCode>"₽"#,##0.00_);[Red]\("₽"#,##0.00\)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146616"/>
        <c:axId val="362147008"/>
      </c:barChart>
      <c:lineChart>
        <c:grouping val="standard"/>
        <c:varyColors val="0"/>
        <c:ser>
          <c:idx val="0"/>
          <c:order val="0"/>
          <c:tx>
            <c:v>Отклонение</c:v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'ОТКЛОНЕНИЯ ПО РАСХОДАМ'!$C$36:$N$36</c:f>
              <c:numCache>
                <c:formatCode>"₽"#,##0.00_);[Red]\("₽"#,##0.00\)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6616"/>
        <c:axId val="362147008"/>
      </c:lineChart>
      <c:catAx>
        <c:axId val="36214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Месяц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147008"/>
        <c:crosses val="autoZero"/>
        <c:auto val="1"/>
        <c:lblAlgn val="ctr"/>
        <c:lblOffset val="100"/>
        <c:noMultiLvlLbl val="0"/>
      </c:catAx>
      <c:valAx>
        <c:axId val="3621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Расходы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&quot;₽&quot;#,##0.00_);[Red]\(&quot;₽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1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Запланированные расходы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14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5C-4225-ACC7-D51DAEA0E7C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5C-4225-ACC7-D51DAEA0E7C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5C-4225-ACC7-D51DAEA0E7C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5C-4225-ACC7-D51DAEA0E7C6}"/>
              </c:ext>
            </c:extLst>
          </c:dPt>
          <c:dLbls>
            <c:dLbl>
              <c:idx val="0"/>
              <c:layout>
                <c:manualLayout>
                  <c:x val="0.17825167647126638"/>
                  <c:y val="-6.969460848643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67833832122986"/>
                      <c:h val="9.88541666666666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75C-4225-ACC7-D51DAEA0E7C6}"/>
                </c:ext>
              </c:extLst>
            </c:dLbl>
            <c:dLbl>
              <c:idx val="1"/>
              <c:layout>
                <c:manualLayout>
                  <c:x val="6.6352404397343898E-2"/>
                  <c:y val="-7.29494750656168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5C-4225-ACC7-D51DAEA0E7C6}"/>
                </c:ext>
              </c:extLst>
            </c:dLbl>
            <c:dLbl>
              <c:idx val="2"/>
              <c:layout>
                <c:manualLayout>
                  <c:x val="3.6636462570781757E-2"/>
                  <c:y val="-6.7317366579177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5C-4225-ACC7-D51DAEA0E7C6}"/>
                </c:ext>
              </c:extLst>
            </c:dLbl>
            <c:dLbl>
              <c:idx val="3"/>
              <c:layout>
                <c:manualLayout>
                  <c:x val="2.0779418652112927E-2"/>
                  <c:y val="9.1745680227471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08221190093705"/>
                      <c:h val="9.88541666666666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75C-4225-ACC7-D51DAEA0E7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'АНАЛИЗ РАСХОДОВ'!$B$6:$B$9</c:f>
              <c:strCache>
                <c:ptCount val="4"/>
                <c:pt idx="0">
                  <c:v>Расходы на сотрудников</c:v>
                </c:pt>
                <c:pt idx="1">
                  <c:v>Расходы на содержание офиса</c:v>
                </c:pt>
                <c:pt idx="2">
                  <c:v>Расходы на маркетинг</c:v>
                </c:pt>
                <c:pt idx="3">
                  <c:v>Обучение/командировки</c:v>
                </c:pt>
              </c:strCache>
            </c:strRef>
          </c:cat>
          <c:val>
            <c:numRef>
              <c:f>'АНАЛИЗ РАСХОДОВ'!$C$6:$C$9</c:f>
              <c:numCache>
                <c:formatCode>"₽"#,##0.00_);[Red]\("₽"#,##0.00\)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5C-4225-ACC7-D51DAEA0E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55807741327232"/>
          <c:y val="0.86776684164479445"/>
          <c:w val="0.64374802166957457"/>
          <c:h val="0.10792760279965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icrosoft Sans Serif"/>
              <a:ea typeface="Microsoft Sans Serif"/>
              <a:cs typeface="Microsoft Sans Serif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27504</xdr:colOff>
      <xdr:row>3</xdr:row>
      <xdr:rowOff>0</xdr:rowOff>
    </xdr:from>
    <xdr:to>
      <xdr:col>20</xdr:col>
      <xdr:colOff>962</xdr:colOff>
      <xdr:row>12</xdr:row>
      <xdr:rowOff>192640</xdr:rowOff>
    </xdr:to>
    <xdr:sp macro="" textlink="">
      <xdr:nvSpPr>
        <xdr:cNvPr id="3" name="Пузырек с репликой: прямоугольник 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id="{26EBCE28-31AF-4664-B39F-77F2857D060F}"/>
            </a:ext>
          </a:extLst>
        </xdr:cNvPr>
        <xdr:cNvSpPr/>
      </xdr:nvSpPr>
      <xdr:spPr>
        <a:xfrm>
          <a:off x="15629454" y="1257300"/>
          <a:ext cx="1935608" cy="3288265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accent3">
            <a:lumMod val="20000"/>
            <a:lumOff val="80000"/>
            <a:alpha val="6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pPr rtl="0"/>
          <a:r>
            <a:rPr lang="ru" sz="1100" b="1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КАК ИСПОЛЬЗОВАТЬ ЭТОТ ШАБЛОН</a:t>
          </a:r>
        </a:p>
        <a:p>
          <a:pPr rtl="0"/>
          <a:endParaRPr lang="en-US">
            <a:solidFill>
              <a:schemeClr val="tx2"/>
            </a:solidFill>
            <a:effectLst/>
            <a:latin typeface="Microsoft Sans Serif" panose="020B0604020202020204" pitchFamily="34" charset="0"/>
          </a:endParaRPr>
        </a:p>
        <a:p>
          <a:pPr rtl="0"/>
          <a:r>
            <a:rPr lang="ru" sz="110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Введите значения в белые ячейки на листах ЗАПЛАНИРОВАННЫЕ РАСХОДЫ и ФАКТИЧЕСКИЕ РАСХОДЫ, и данные на листах ОТКЛОНЕНИЯ ПО РАСХОДАМ и АНАЛИЗ РАСХОДОВ будут рассчитаны автоматически. Если вы добавите строку на одном листе, </a:t>
          </a:r>
          <a:r>
            <a:rPr lang="ru" sz="1100" baseline="0">
              <a:solidFill>
                <a:schemeClr val="tx2"/>
              </a:solidFill>
              <a:effectLst/>
              <a:latin typeface="Microsoft Sans Serif" panose="020B0604020202020204" pitchFamily="34" charset="0"/>
              <a:ea typeface="+mn-ea"/>
              <a:cs typeface="+mn-cs"/>
            </a:rPr>
            <a:t>количество срок на других листах необходимо сделать таким же.</a:t>
          </a:r>
          <a:endParaRPr lang="en-US" sz="1100">
            <a:solidFill>
              <a:schemeClr val="tx2"/>
            </a:solidFill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12</xdr:col>
      <xdr:colOff>962881</xdr:colOff>
      <xdr:row>0</xdr:row>
      <xdr:rowOff>301887</xdr:rowOff>
    </xdr:from>
    <xdr:to>
      <xdr:col>15</xdr:col>
      <xdr:colOff>116395</xdr:colOff>
      <xdr:row>2</xdr:row>
      <xdr:rowOff>138387</xdr:rowOff>
    </xdr:to>
    <xdr:pic>
      <xdr:nvPicPr>
        <xdr:cNvPr id="9" name="Рисунок 18">
          <a:extLst>
            <a:ext uri="{FF2B5EF4-FFF2-40B4-BE49-F238E27FC236}">
              <a16:creationId xmlns:a16="http://schemas.microsoft.com/office/drawing/2014/main" id="{65A40888-9F83-43E7-A699-5266304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50356" y="301887"/>
          <a:ext cx="2201514" cy="7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962881</xdr:colOff>
      <xdr:row>0</xdr:row>
      <xdr:rowOff>301887</xdr:rowOff>
    </xdr:from>
    <xdr:to>
      <xdr:col>15</xdr:col>
      <xdr:colOff>116395</xdr:colOff>
      <xdr:row>2</xdr:row>
      <xdr:rowOff>138387</xdr:rowOff>
    </xdr:to>
    <xdr:pic>
      <xdr:nvPicPr>
        <xdr:cNvPr id="6" name="Рисунок 18">
          <a:extLst>
            <a:ext uri="{FF2B5EF4-FFF2-40B4-BE49-F238E27FC236}">
              <a16:creationId xmlns:a16="http://schemas.microsoft.com/office/drawing/2014/main" id="{83DAF7B9-4C56-44AA-B3C3-38F1A49B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50356" y="301887"/>
          <a:ext cx="2201514" cy="7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962025</xdr:colOff>
      <xdr:row>0</xdr:row>
      <xdr:rowOff>304153</xdr:rowOff>
    </xdr:from>
    <xdr:to>
      <xdr:col>15</xdr:col>
      <xdr:colOff>115538</xdr:colOff>
      <xdr:row>2</xdr:row>
      <xdr:rowOff>140653</xdr:rowOff>
    </xdr:to>
    <xdr:pic>
      <xdr:nvPicPr>
        <xdr:cNvPr id="6" name="Рисунок 18">
          <a:extLst>
            <a:ext uri="{FF2B5EF4-FFF2-40B4-BE49-F238E27FC236}">
              <a16:creationId xmlns:a16="http://schemas.microsoft.com/office/drawing/2014/main" id="{A2E6D019-45AC-4D89-848F-C976B436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49500" y="304153"/>
          <a:ext cx="2201513" cy="7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1314448</xdr:colOff>
      <xdr:row>11</xdr:row>
      <xdr:rowOff>57150</xdr:rowOff>
    </xdr:from>
    <xdr:to>
      <xdr:col>5</xdr:col>
      <xdr:colOff>2133600</xdr:colOff>
      <xdr:row>11</xdr:row>
      <xdr:rowOff>3714751</xdr:rowOff>
    </xdr:to>
    <xdr:graphicFrame macro="">
      <xdr:nvGraphicFramePr>
        <xdr:cNvPr id="13" name="ДиаграммаФактическихРасходов" descr="Pie chart showing actual expenses incurred on various categorie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28574</xdr:colOff>
      <xdr:row>12</xdr:row>
      <xdr:rowOff>200025</xdr:rowOff>
    </xdr:from>
    <xdr:to>
      <xdr:col>6</xdr:col>
      <xdr:colOff>9524</xdr:colOff>
      <xdr:row>16</xdr:row>
      <xdr:rowOff>5778</xdr:rowOff>
    </xdr:to>
    <xdr:graphicFrame macro="">
      <xdr:nvGraphicFramePr>
        <xdr:cNvPr id="8" name="ДиаграммаЕжемесячныхРасходов" descr="Chart showing Planned, Actual, and Variance in Monthly Expenses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11</xdr:row>
      <xdr:rowOff>76201</xdr:rowOff>
    </xdr:from>
    <xdr:to>
      <xdr:col>3</xdr:col>
      <xdr:colOff>1724024</xdr:colOff>
      <xdr:row>11</xdr:row>
      <xdr:rowOff>3733801</xdr:rowOff>
    </xdr:to>
    <xdr:graphicFrame macro="">
      <xdr:nvGraphicFramePr>
        <xdr:cNvPr id="12" name="ДиаграммаЗапланированныхРасходов" descr="Pie chart showing planned expenses on various categories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628650</xdr:colOff>
      <xdr:row>1</xdr:row>
      <xdr:rowOff>14161</xdr:rowOff>
    </xdr:from>
    <xdr:to>
      <xdr:col>6</xdr:col>
      <xdr:colOff>91447</xdr:colOff>
      <xdr:row>1</xdr:row>
      <xdr:rowOff>564961</xdr:rowOff>
    </xdr:to>
    <xdr:pic>
      <xdr:nvPicPr>
        <xdr:cNvPr id="9" name="Рисунок 18">
          <a:extLst>
            <a:ext uri="{FF2B5EF4-FFF2-40B4-BE49-F238E27FC236}">
              <a16:creationId xmlns:a16="http://schemas.microsoft.com/office/drawing/2014/main" id="{7C6D1F32-6273-47BA-873D-2E5A846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62975" y="318961"/>
          <a:ext cx="1701172" cy="5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ОфисПлан" displayName="ОфисПлан" ref="B10:O19" totalsRowCount="1" headerRowDxfId="455" totalsRowDxfId="452" headerRowBorderDxfId="454" tableBorderDxfId="453" totalsRowBorderDxfId="451">
  <autoFilter ref="B10:O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Расходы на содержание офиса" totalsRowLabel="Промежуточный итог" dataDxfId="450" totalsRowDxfId="449"/>
    <tableColumn id="2" xr3:uid="{00000000-0010-0000-0000-000002000000}" name="Январь" totalsRowFunction="sum" dataDxfId="448" totalsRowDxfId="447"/>
    <tableColumn id="3" xr3:uid="{00000000-0010-0000-0000-000003000000}" name="Февраль" totalsRowFunction="sum" dataDxfId="446" totalsRowDxfId="445"/>
    <tableColumn id="4" xr3:uid="{00000000-0010-0000-0000-000004000000}" name="Март" totalsRowFunction="sum" dataDxfId="444" totalsRowDxfId="443"/>
    <tableColumn id="5" xr3:uid="{00000000-0010-0000-0000-000005000000}" name="Апрель" totalsRowFunction="sum" dataDxfId="442" totalsRowDxfId="441"/>
    <tableColumn id="6" xr3:uid="{00000000-0010-0000-0000-000006000000}" name="Май" totalsRowFunction="sum" dataDxfId="440" totalsRowDxfId="439"/>
    <tableColumn id="7" xr3:uid="{00000000-0010-0000-0000-000007000000}" name="Июнь" totalsRowFunction="sum" dataDxfId="438" totalsRowDxfId="437"/>
    <tableColumn id="8" xr3:uid="{00000000-0010-0000-0000-000008000000}" name="Июль" totalsRowFunction="sum" dataDxfId="436" totalsRowDxfId="435"/>
    <tableColumn id="9" xr3:uid="{00000000-0010-0000-0000-000009000000}" name="Август" totalsRowFunction="sum" dataDxfId="434" totalsRowDxfId="433"/>
    <tableColumn id="10" xr3:uid="{00000000-0010-0000-0000-00000A000000}" name="Сентябрь" totalsRowFunction="sum" dataDxfId="432" totalsRowDxfId="431"/>
    <tableColumn id="11" xr3:uid="{00000000-0010-0000-0000-00000B000000}" name="Октябрь" totalsRowFunction="sum" dataDxfId="430" totalsRowDxfId="429"/>
    <tableColumn id="12" xr3:uid="{00000000-0010-0000-0000-00000C000000}" name="Ноябрь" totalsRowFunction="sum" dataDxfId="428" totalsRowDxfId="427"/>
    <tableColumn id="13" xr3:uid="{00000000-0010-0000-0000-00000D000000}" name="Декабрь" totalsRowFunction="sum" dataDxfId="426" totalsRowDxfId="425"/>
    <tableColumn id="14" xr3:uid="{00000000-0010-0000-0000-00000E000000}" name="ГОД" totalsRowFunction="sum" dataDxfId="424" totalsRowDxfId="423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Введите в этой таблице запланированные ежемесячные расходы на содержание офиса. Итоговые значения автоматически рассчитываются в конце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099C32-C8DE-492A-BEED-550CF2841A11}" name="ИтогоФактические" displayName="ИтогоФактические" ref="B35:O37" totalsRowShown="0" headerRowDxfId="172" dataDxfId="171" tableBorderDxfId="170">
  <autoFilter ref="B35:O37" xr:uid="{527B5B30-B216-4604-BE5A-D760DE033F9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59818E9-FD74-4273-8957-D80FFA77ADE8}" name="ОБЩИЕ запланированные расходы" dataDxfId="169"/>
    <tableColumn id="2" xr3:uid="{ED08B701-BD0B-43EA-B6B5-8B23D583D505}" name="Январь" dataDxfId="168">
      <calculatedColumnFormula>SUM($C35:C$36)</calculatedColumnFormula>
    </tableColumn>
    <tableColumn id="3" xr3:uid="{953C450B-5235-4234-924F-53796609C439}" name="Февраль" dataDxfId="167">
      <calculatedColumnFormula>SUM($C35:D$36)</calculatedColumnFormula>
    </tableColumn>
    <tableColumn id="4" xr3:uid="{A434CE91-3696-411F-8418-02228D13F12E}" name="Март" dataDxfId="166">
      <calculatedColumnFormula>SUM($C35:E$36)</calculatedColumnFormula>
    </tableColumn>
    <tableColumn id="5" xr3:uid="{1E74C645-B91F-4CDB-9F55-6FEC8EAB0A64}" name="Апрель" dataDxfId="165">
      <calculatedColumnFormula>SUM($C35:F$36)</calculatedColumnFormula>
    </tableColumn>
    <tableColumn id="6" xr3:uid="{A3B698F1-9EF3-489A-A70E-8E760D6B713B}" name="Май" dataDxfId="164">
      <calculatedColumnFormula>SUM($C35:G$36)</calculatedColumnFormula>
    </tableColumn>
    <tableColumn id="7" xr3:uid="{6CEDC80B-5635-47E7-AA54-EBD827095F7C}" name="Июнь" dataDxfId="163">
      <calculatedColumnFormula>SUM($C35:H$36)</calculatedColumnFormula>
    </tableColumn>
    <tableColumn id="8" xr3:uid="{A73C88FE-0ABF-4134-B6B0-043ECC9295D4}" name="Июль" dataDxfId="162">
      <calculatedColumnFormula>SUM($C35:I$36)</calculatedColumnFormula>
    </tableColumn>
    <tableColumn id="9" xr3:uid="{62119987-B16F-44A1-B80E-29460A9513CD}" name="Август" dataDxfId="161">
      <calculatedColumnFormula>SUM($C35:J$36)</calculatedColumnFormula>
    </tableColumn>
    <tableColumn id="10" xr3:uid="{C84A40CE-DC4A-442E-883F-891CA5A9A166}" name="Сентябрь" dataDxfId="160">
      <calculatedColumnFormula>SUM($C35:K$36)</calculatedColumnFormula>
    </tableColumn>
    <tableColumn id="11" xr3:uid="{4DB975F1-C294-416D-81FB-A8070CC2C3BC}" name="Октябрь" dataDxfId="159">
      <calculatedColumnFormula>SUM($C35:L$36)</calculatedColumnFormula>
    </tableColumn>
    <tableColumn id="12" xr3:uid="{BC57DA11-9B5C-452D-8026-EF863D07E32E}" name="Ноябрь" dataDxfId="158">
      <calculatedColumnFormula>SUM($C35:M$36)</calculatedColumnFormula>
    </tableColumn>
    <tableColumn id="13" xr3:uid="{904E02FB-FEA8-49B0-ABA0-9B659A7720D8}" name="Декабрь" dataDxfId="157">
      <calculatedColumnFormula>SUM($C35:N$36)</calculatedColumnFormula>
    </tableColumn>
    <tableColumn id="14" xr3:uid="{8C10E0BB-4735-4718-9538-C4AFB616D92A}" name="Год" dataDxfId="156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В этой таблице автоматически рассчитываются ежемесячные и общие фактические расходы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СотрудникиОтклонение" displayName="СотрудникиОтклонение" ref="B5:O8" totalsRowCount="1" headerRowDxfId="155" totalsRowDxfId="152" headerRowBorderDxfId="154" tableBorderDxfId="153" totalsRowBorderDxfId="151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Расходы на сотрудников" totalsRowLabel="Промежуточный итог" dataDxfId="150" totalsRowDxfId="149"/>
    <tableColumn id="2" xr3:uid="{00000000-0010-0000-0800-000002000000}" name="Январь" totalsRowFunction="sum" dataDxfId="148" totalsRowDxfId="147">
      <calculatedColumnFormula>INDEX(СотрудникиПлан[],MATCH(INDEX(СотрудникиОтклонение[],ROW()-ROW(СотрудникиОтклонение[[#Headers],[Январь]]),1),INDEX(СотрудникиПлан[],,1),0),MATCH(СотрудникиОтклонение[[#Headers],[Январь]],СотрудникиПлан[#Headers],0))-INDEX(СотрудникиФактические[],MATCH(INDEX(СотрудникиОтклонение[],ROW()-ROW(СотрудникиОтклонение[[#Headers],[Январь]]),1),INDEX(СотрудникиПлан[],,1),0),MATCH(СотрудникиОтклонение[[#Headers],[Январь]],СотрудникиФактические[#Headers],0))</calculatedColumnFormula>
    </tableColumn>
    <tableColumn id="3" xr3:uid="{00000000-0010-0000-0800-000003000000}" name="Февраль" totalsRowFunction="sum" dataDxfId="146" totalsRowDxfId="145">
      <calculatedColumnFormula>INDEX(СотрудникиПлан[],MATCH(INDEX(СотрудникиОтклонение[],ROW()-ROW(СотрудникиОтклонение[[#Headers],[Февраль]]),1),INDEX(СотрудникиПлан[],,1),0),MATCH(СотрудникиОтклонение[[#Headers],[Февраль]],СотрудникиПлан[#Headers],0))-INDEX(СотрудникиФактические[],MATCH(INDEX(СотрудникиОтклонение[],ROW()-ROW(СотрудникиОтклонение[[#Headers],[Февраль]]),1),INDEX(СотрудникиПлан[],,1),0),MATCH(СотрудникиОтклонение[[#Headers],[Февраль]],СотрудникиФактические[#Headers],0))</calculatedColumnFormula>
    </tableColumn>
    <tableColumn id="4" xr3:uid="{00000000-0010-0000-0800-000004000000}" name="Март" totalsRowFunction="sum" dataDxfId="144" totalsRowDxfId="143">
      <calculatedColumnFormula>INDEX(СотрудникиПлан[],MATCH(INDEX(СотрудникиОтклонение[],ROW()-ROW(СотрудникиОтклонение[[#Headers],[Март]]),1),INDEX(СотрудникиПлан[],,1),0),MATCH(СотрудникиОтклонение[[#Headers],[Март]],СотрудникиПлан[#Headers],0))-INDEX(СотрудникиФактические[],MATCH(INDEX(СотрудникиОтклонение[],ROW()-ROW(СотрудникиОтклонение[[#Headers],[Март]]),1),INDEX(СотрудникиПлан[],,1),0),MATCH(СотрудникиОтклонение[[#Headers],[Март]],СотрудникиФактические[#Headers],0))</calculatedColumnFormula>
    </tableColumn>
    <tableColumn id="5" xr3:uid="{00000000-0010-0000-0800-000005000000}" name="Апрель" totalsRowFunction="sum" dataDxfId="142" totalsRowDxfId="141">
      <calculatedColumnFormula>INDEX(СотрудникиПлан[],MATCH(INDEX(СотрудникиОтклонение[],ROW()-ROW(СотрудникиОтклонение[[#Headers],[Апрель]]),1),INDEX(СотрудникиПлан[],,1),0),MATCH(СотрудникиОтклонение[[#Headers],[Апрель]],СотрудникиПлан[#Headers],0))-INDEX(СотрудникиФактические[],MATCH(INDEX(СотрудникиОтклонение[],ROW()-ROW(СотрудникиОтклонение[[#Headers],[Апрель]]),1),INDEX(СотрудникиПлан[],,1),0),MATCH(СотрудникиОтклонение[[#Headers],[Апрель]],СотрудникиФактические[#Headers],0))</calculatedColumnFormula>
    </tableColumn>
    <tableColumn id="6" xr3:uid="{00000000-0010-0000-0800-000006000000}" name="Май" totalsRowFunction="sum" dataDxfId="140" totalsRowDxfId="139">
      <calculatedColumnFormula>INDEX(СотрудникиПлан[],MATCH(INDEX(СотрудникиОтклонение[],ROW()-ROW(СотрудникиОтклонение[[#Headers],[Май]]),1),INDEX(СотрудникиПлан[],,1),0),MATCH(СотрудникиОтклонение[[#Headers],[Май]],СотрудникиПлан[#Headers],0))-INDEX(СотрудникиФактические[],MATCH(INDEX(СотрудникиОтклонение[],ROW()-ROW(СотрудникиОтклонение[[#Headers],[Май]]),1),INDEX(СотрудникиПлан[],,1),0),MATCH(СотрудникиОтклонение[[#Headers],[Май]],СотрудникиФактические[#Headers],0))</calculatedColumnFormula>
    </tableColumn>
    <tableColumn id="7" xr3:uid="{00000000-0010-0000-0800-000007000000}" name="Июнь" totalsRowFunction="sum" dataDxfId="138" totalsRowDxfId="137">
      <calculatedColumnFormula>INDEX(СотрудникиПлан[],MATCH(INDEX(СотрудникиОтклонение[],ROW()-ROW(СотрудникиОтклонение[[#Headers],[Июнь]]),1),INDEX(СотрудникиПлан[],,1),0),MATCH(СотрудникиОтклонение[[#Headers],[Июнь]],СотрудникиПлан[#Headers],0))-INDEX(СотрудникиФактические[],MATCH(INDEX(СотрудникиОтклонение[],ROW()-ROW(СотрудникиОтклонение[[#Headers],[Июнь]]),1),INDEX(СотрудникиПлан[],,1),0),MATCH(СотрудникиОтклонение[[#Headers],[Июнь]],СотрудникиФактические[#Headers],0))</calculatedColumnFormula>
    </tableColumn>
    <tableColumn id="8" xr3:uid="{00000000-0010-0000-0800-000008000000}" name="Июль" totalsRowFunction="sum" dataDxfId="136" totalsRowDxfId="135">
      <calculatedColumnFormula>INDEX(СотрудникиПлан[],MATCH(INDEX(СотрудникиОтклонение[],ROW()-ROW(СотрудникиОтклонение[[#Headers],[Июль]]),1),INDEX(СотрудникиПлан[],,1),0),MATCH(СотрудникиОтклонение[[#Headers],[Июль]],СотрудникиПлан[#Headers],0))-INDEX(СотрудникиФактические[],MATCH(INDEX(СотрудникиОтклонение[],ROW()-ROW(СотрудникиОтклонение[[#Headers],[Июль]]),1),INDEX(СотрудникиПлан[],,1),0),MATCH(СотрудникиОтклонение[[#Headers],[Июль]],СотрудникиФактические[#Headers],0))</calculatedColumnFormula>
    </tableColumn>
    <tableColumn id="9" xr3:uid="{00000000-0010-0000-0800-000009000000}" name="Август" totalsRowFunction="sum" dataDxfId="134" totalsRowDxfId="133">
      <calculatedColumnFormula>INDEX(СотрудникиПлан[],MATCH(INDEX(СотрудникиОтклонение[],ROW()-ROW(СотрудникиОтклонение[[#Headers],[Август]]),1),INDEX(СотрудникиПлан[],,1),0),MATCH(СотрудникиОтклонение[[#Headers],[Август]],СотрудникиПлан[#Headers],0))-INDEX(СотрудникиФактические[],MATCH(INDEX(СотрудникиОтклонение[],ROW()-ROW(СотрудникиОтклонение[[#Headers],[Август]]),1),INDEX(СотрудникиПлан[],,1),0),MATCH(СотрудникиОтклонение[[#Headers],[Август]],СотрудникиФактические[#Headers],0))</calculatedColumnFormula>
    </tableColumn>
    <tableColumn id="10" xr3:uid="{00000000-0010-0000-0800-00000A000000}" name="Сентябрь" totalsRowFunction="sum" dataDxfId="132" totalsRowDxfId="131">
      <calculatedColumnFormula>INDEX(СотрудникиПлан[],MATCH(INDEX(СотрудникиОтклонение[],ROW()-ROW(СотрудникиОтклонение[[#Headers],[Сентябрь]]),1),INDEX(СотрудникиПлан[],,1),0),MATCH(СотрудникиОтклонение[[#Headers],[Сентябрь]],СотрудникиПлан[#Headers],0))-INDEX(СотрудникиФактические[],MATCH(INDEX(СотрудникиОтклонение[],ROW()-ROW(СотрудникиОтклонение[[#Headers],[Сентябрь]]),1),INDEX(СотрудникиПлан[],,1),0),MATCH(СотрудникиОтклонение[[#Headers],[Сентябрь]],СотрудникиФактические[#Headers],0))</calculatedColumnFormula>
    </tableColumn>
    <tableColumn id="11" xr3:uid="{00000000-0010-0000-0800-00000B000000}" name="Октябрь" totalsRowFunction="sum" dataDxfId="130" totalsRowDxfId="129">
      <calculatedColumnFormula>INDEX(СотрудникиПлан[],MATCH(INDEX(СотрудникиОтклонение[],ROW()-ROW(СотрудникиОтклонение[[#Headers],[Октябрь]]),1),INDEX(СотрудникиПлан[],,1),0),MATCH(СотрудникиОтклонение[[#Headers],[Октябрь]],СотрудникиПлан[#Headers],0))-INDEX(СотрудникиФактические[],MATCH(INDEX(СотрудникиОтклонение[],ROW()-ROW(СотрудникиОтклонение[[#Headers],[Октябрь]]),1),INDEX(СотрудникиПлан[],,1),0),MATCH(СотрудникиОтклонение[[#Headers],[Октябрь]],СотрудникиФактические[#Headers],0))</calculatedColumnFormula>
    </tableColumn>
    <tableColumn id="12" xr3:uid="{00000000-0010-0000-0800-00000C000000}" name="Ноябрь" totalsRowFunction="sum" dataDxfId="128" totalsRowDxfId="127">
      <calculatedColumnFormula>INDEX(СотрудникиПлан[],MATCH(INDEX(СотрудникиОтклонение[],ROW()-ROW(СотрудникиОтклонение[[#Headers],[Ноябрь]]),1),INDEX(СотрудникиПлан[],,1),0),MATCH(СотрудникиОтклонение[[#Headers],[Ноябрь]],СотрудникиПлан[#Headers],0))-INDEX(СотрудникиФактические[],MATCH(INDEX(СотрудникиОтклонение[],ROW()-ROW(СотрудникиОтклонение[[#Headers],[Ноябрь]]),1),INDEX(СотрудникиПлан[],,1),0),MATCH(СотрудникиОтклонение[[#Headers],[Ноябрь]],СотрудникиФактические[#Headers],0))</calculatedColumnFormula>
    </tableColumn>
    <tableColumn id="13" xr3:uid="{00000000-0010-0000-0800-00000D000000}" name="Декабрь" totalsRowFunction="sum" dataDxfId="126" totalsRowDxfId="125">
      <calculatedColumnFormula>INDEX(СотрудникиПлан[],MATCH(INDEX(СотрудникиОтклонение[],ROW()-ROW(СотрудникиОтклонение[[#Headers],[Декабрь]]),1),INDEX(СотрудникиПлан[],,1),0),MATCH(СотрудникиОтклонение[[#Headers],[Декабрь]],СотрудникиПлан[#Headers],0))-INDEX(СотрудникиФактические[],MATCH(INDEX(СотрудникиОтклонение[],ROW()-ROW(СотрудникиОтклонение[[#Headers],[Декабрь]]),1),INDEX(СотрудникиПлан[],,1),0),MATCH(СотрудникиОтклонение[[#Headers],[Декабрь]],СотрудникиФактические[#Headers],0))</calculatedColumnFormula>
    </tableColumn>
    <tableColumn id="14" xr3:uid="{00000000-0010-0000-0800-00000E000000}" name="ГОД" totalsRowFunction="sum" dataDxfId="124" totalsRowDxfId="123">
      <calculatedColumnFormula>SUM(СотрудникиОтклонение[[#This Row],[Январь]:[Декабрь]])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В этой таблице автоматически рассчитывается отклонение по расходам на сотрудников в месяц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ОфисОтклонение" displayName="ОфисОтклонение" ref="B10:O19" totalsRowCount="1" headerRowDxfId="122" totalsRowDxfId="119" headerRowBorderDxfId="121" tableBorderDxfId="120" totalsRowBorderDxfId="118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Расходы на содержание офиса" totalsRowLabel="Промежуточный итог" dataDxfId="117" totalsRowDxfId="116"/>
    <tableColumn id="2" xr3:uid="{00000000-0010-0000-0900-000002000000}" name="Январь" totalsRowFunction="sum" dataDxfId="115" totalsRowDxfId="114">
      <calculatedColumnFormula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calculatedColumnFormula>
    </tableColumn>
    <tableColumn id="3" xr3:uid="{00000000-0010-0000-0900-000003000000}" name="Февраль" totalsRowFunction="sum" dataDxfId="113" totalsRowDxfId="112">
      <calculatedColumnFormula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calculatedColumnFormula>
    </tableColumn>
    <tableColumn id="4" xr3:uid="{00000000-0010-0000-0900-000004000000}" name="Март" totalsRowFunction="sum" dataDxfId="111" totalsRowDxfId="110">
      <calculatedColumnFormula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calculatedColumnFormula>
    </tableColumn>
    <tableColumn id="5" xr3:uid="{00000000-0010-0000-0900-000005000000}" name="Апрель" totalsRowFunction="sum" dataDxfId="109" totalsRowDxfId="108">
      <calculatedColumnFormula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calculatedColumnFormula>
    </tableColumn>
    <tableColumn id="6" xr3:uid="{00000000-0010-0000-0900-000006000000}" name="Май" totalsRowFunction="sum" dataDxfId="107" totalsRowDxfId="106">
      <calculatedColumnFormula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calculatedColumnFormula>
    </tableColumn>
    <tableColumn id="7" xr3:uid="{00000000-0010-0000-0900-000007000000}" name="Июнь" totalsRowFunction="sum" dataDxfId="105" totalsRowDxfId="104">
      <calculatedColumnFormula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calculatedColumnFormula>
    </tableColumn>
    <tableColumn id="8" xr3:uid="{00000000-0010-0000-0900-000008000000}" name="Июль" totalsRowFunction="sum" dataDxfId="103" totalsRowDxfId="102">
      <calculatedColumnFormula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calculatedColumnFormula>
    </tableColumn>
    <tableColumn id="9" xr3:uid="{00000000-0010-0000-0900-000009000000}" name="Август" totalsRowFunction="sum" dataDxfId="101" totalsRowDxfId="100">
      <calculatedColumnFormula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calculatedColumnFormula>
    </tableColumn>
    <tableColumn id="10" xr3:uid="{00000000-0010-0000-0900-00000A000000}" name="Сентябрь" totalsRowFunction="sum" dataDxfId="99" totalsRowDxfId="98">
      <calculatedColumnFormula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calculatedColumnFormula>
    </tableColumn>
    <tableColumn id="11" xr3:uid="{00000000-0010-0000-0900-00000B000000}" name="Октябрь" totalsRowFunction="sum" dataDxfId="97" totalsRowDxfId="96">
      <calculatedColumnFormula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calculatedColumnFormula>
    </tableColumn>
    <tableColumn id="12" xr3:uid="{00000000-0010-0000-0900-00000C000000}" name="Ноябрь" totalsRowFunction="sum" dataDxfId="95" totalsRowDxfId="94">
      <calculatedColumnFormula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calculatedColumnFormula>
    </tableColumn>
    <tableColumn id="13" xr3:uid="{00000000-0010-0000-0900-00000D000000}" name="Декабрь" totalsRowFunction="sum" dataDxfId="93" totalsRowDxfId="92">
      <calculatedColumnFormula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calculatedColumnFormula>
    </tableColumn>
    <tableColumn id="14" xr3:uid="{00000000-0010-0000-0900-00000E000000}" name="ГОД" totalsRowFunction="sum" dataDxfId="91" totalsRowDxfId="90">
      <calculatedColumnFormula>SUM(ОфисОтклонение[[#This Row],[Январь]:[Декабрь]])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В этой таблице автоматически рассчитывается отклонение по расходам на содержание офиса в месяц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МаркетингОтклонение" displayName="МаркетингОтклонение" ref="B21:O28" totalsRowCount="1" headerRowDxfId="89" totalsRowDxfId="86" headerRowBorderDxfId="88" tableBorderDxfId="87" totalsRowBorderDxfId="85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Расходы на маркетинг" totalsRowLabel="Промежуточный итог" dataDxfId="84" totalsRowDxfId="83"/>
    <tableColumn id="2" xr3:uid="{00000000-0010-0000-0A00-000002000000}" name="Январь" totalsRowFunction="sum" dataDxfId="82" totalsRowDxfId="81">
      <calculatedColumnFormula>INDEX(МаркетингПлан[],MATCH(INDEX(МаркетингОтклонение[],ROW()-ROW(МаркетингОтклонение[[#Headers],[Январь]]),1),INDEX(МаркетингПлан[],,1),0),MATCH(МаркетингОтклонение[[#Headers],[Январь]],МаркетингПлан[#Headers],0))-INDEX(МаркетингФактические[],MATCH(INDEX(МаркетингОтклонение[],ROW()-ROW(МаркетингОтклонение[[#Headers],[Январь]]),1),INDEX(МаркетингПлан[],,1),0),MATCH(МаркетингОтклонение[[#Headers],[Январь]],МаркетингФактические[#Headers],0))</calculatedColumnFormula>
    </tableColumn>
    <tableColumn id="3" xr3:uid="{00000000-0010-0000-0A00-000003000000}" name="Февраль" totalsRowFunction="sum" dataDxfId="80" totalsRowDxfId="79">
      <calculatedColumnFormula>INDEX(МаркетингПлан[],MATCH(INDEX(МаркетингОтклонение[],ROW()-ROW(МаркетингОтклонение[[#Headers],[Февраль]]),1),INDEX(МаркетингПлан[],,1),0),MATCH(МаркетингОтклонение[[#Headers],[Февраль]],МаркетингПлан[#Headers],0))-INDEX(МаркетингФактические[],MATCH(INDEX(МаркетингОтклонение[],ROW()-ROW(МаркетингОтклонение[[#Headers],[Февраль]]),1),INDEX(МаркетингПлан[],,1),0),MATCH(МаркетингОтклонение[[#Headers],[Февраль]],МаркетингФактические[#Headers],0))</calculatedColumnFormula>
    </tableColumn>
    <tableColumn id="4" xr3:uid="{00000000-0010-0000-0A00-000004000000}" name="Март" totalsRowFunction="sum" dataDxfId="78" totalsRowDxfId="77">
      <calculatedColumnFormula>INDEX(МаркетингПлан[],MATCH(INDEX(МаркетингОтклонение[],ROW()-ROW(МаркетингОтклонение[[#Headers],[Март]]),1),INDEX(МаркетингПлан[],,1),0),MATCH(МаркетингОтклонение[[#Headers],[Март]],МаркетингПлан[#Headers],0))-INDEX(МаркетингФактические[],MATCH(INDEX(МаркетингОтклонение[],ROW()-ROW(МаркетингОтклонение[[#Headers],[Март]]),1),INDEX(МаркетингПлан[],,1),0),MATCH(МаркетингОтклонение[[#Headers],[Март]],МаркетингФактические[#Headers],0))</calculatedColumnFormula>
    </tableColumn>
    <tableColumn id="5" xr3:uid="{00000000-0010-0000-0A00-000005000000}" name="Апрель" totalsRowFunction="sum" dataDxfId="76" totalsRowDxfId="75">
      <calculatedColumnFormula>INDEX(МаркетингПлан[],MATCH(INDEX(МаркетингОтклонение[],ROW()-ROW(МаркетингОтклонение[[#Headers],[Апрель]]),1),INDEX(МаркетингПлан[],,1),0),MATCH(МаркетингОтклонение[[#Headers],[Апрель]],МаркетингПлан[#Headers],0))-INDEX(МаркетингФактические[],MATCH(INDEX(МаркетингОтклонение[],ROW()-ROW(МаркетингОтклонение[[#Headers],[Апрель]]),1),INDEX(МаркетингПлан[],,1),0),MATCH(МаркетингОтклонение[[#Headers],[Апрель]],МаркетингФактические[#Headers],0))</calculatedColumnFormula>
    </tableColumn>
    <tableColumn id="6" xr3:uid="{00000000-0010-0000-0A00-000006000000}" name="Май" totalsRowFunction="sum" dataDxfId="74" totalsRowDxfId="73">
      <calculatedColumnFormula>INDEX(МаркетингПлан[],MATCH(INDEX(МаркетингОтклонение[],ROW()-ROW(МаркетингОтклонение[[#Headers],[Май]]),1),INDEX(МаркетингПлан[],,1),0),MATCH(МаркетингОтклонение[[#Headers],[Май]],МаркетингПлан[#Headers],0))-INDEX(МаркетингФактические[],MATCH(INDEX(МаркетингОтклонение[],ROW()-ROW(МаркетингОтклонение[[#Headers],[Май]]),1),INDEX(МаркетингПлан[],,1),0),MATCH(МаркетингОтклонение[[#Headers],[Май]],МаркетингФактические[#Headers],0))</calculatedColumnFormula>
    </tableColumn>
    <tableColumn id="7" xr3:uid="{00000000-0010-0000-0A00-000007000000}" name="Июнь" totalsRowFunction="sum" dataDxfId="72" totalsRowDxfId="71">
      <calculatedColumnFormula>INDEX(МаркетингПлан[],MATCH(INDEX(МаркетингОтклонение[],ROW()-ROW(МаркетингОтклонение[[#Headers],[Июнь]]),1),INDEX(МаркетингПлан[],,1),0),MATCH(МаркетингОтклонение[[#Headers],[Июнь]],МаркетингПлан[#Headers],0))-INDEX(МаркетингФактические[],MATCH(INDEX(МаркетингОтклонение[],ROW()-ROW(МаркетингОтклонение[[#Headers],[Июнь]]),1),INDEX(МаркетингПлан[],,1),0),MATCH(МаркетингОтклонение[[#Headers],[Июнь]],МаркетингФактические[#Headers],0))</calculatedColumnFormula>
    </tableColumn>
    <tableColumn id="8" xr3:uid="{00000000-0010-0000-0A00-000008000000}" name="Июль" totalsRowFunction="sum" dataDxfId="70" totalsRowDxfId="69">
      <calculatedColumnFormula>INDEX(МаркетингПлан[],MATCH(INDEX(МаркетингОтклонение[],ROW()-ROW(МаркетингОтклонение[[#Headers],[Июль]]),1),INDEX(МаркетингПлан[],,1),0),MATCH(МаркетингОтклонение[[#Headers],[Июль]],МаркетингПлан[#Headers],0))-INDEX(МаркетингФактические[],MATCH(INDEX(МаркетингОтклонение[],ROW()-ROW(МаркетингОтклонение[[#Headers],[Июль]]),1),INDEX(МаркетингПлан[],,1),0),MATCH(МаркетингОтклонение[[#Headers],[Июль]],МаркетингФактические[#Headers],0))</calculatedColumnFormula>
    </tableColumn>
    <tableColumn id="9" xr3:uid="{00000000-0010-0000-0A00-000009000000}" name="Август" totalsRowFunction="sum" dataDxfId="68" totalsRowDxfId="67">
      <calculatedColumnFormula>INDEX(МаркетингПлан[],MATCH(INDEX(МаркетингОтклонение[],ROW()-ROW(МаркетингОтклонение[[#Headers],[Август]]),1),INDEX(МаркетингПлан[],,1),0),MATCH(МаркетингОтклонение[[#Headers],[Август]],МаркетингПлан[#Headers],0))-INDEX(МаркетингФактические[],MATCH(INDEX(МаркетингОтклонение[],ROW()-ROW(МаркетингОтклонение[[#Headers],[Август]]),1),INDEX(МаркетингПлан[],,1),0),MATCH(МаркетингОтклонение[[#Headers],[Август]],МаркетингФактические[#Headers],0))</calculatedColumnFormula>
    </tableColumn>
    <tableColumn id="10" xr3:uid="{00000000-0010-0000-0A00-00000A000000}" name="Сентябрь" totalsRowFunction="sum" dataDxfId="66" totalsRowDxfId="65">
      <calculatedColumnFormula>INDEX(МаркетингПлан[],MATCH(INDEX(МаркетингОтклонение[],ROW()-ROW(МаркетингОтклонение[[#Headers],[Сентябрь]]),1),INDEX(МаркетингПлан[],,1),0),MATCH(МаркетингОтклонение[[#Headers],[Сентябрь]],МаркетингПлан[#Headers],0))-INDEX(МаркетингФактические[],MATCH(INDEX(МаркетингОтклонение[],ROW()-ROW(МаркетингОтклонение[[#Headers],[Сентябрь]]),1),INDEX(МаркетингПлан[],,1),0),MATCH(МаркетингОтклонение[[#Headers],[Сентябрь]],МаркетингФактические[#Headers],0))</calculatedColumnFormula>
    </tableColumn>
    <tableColumn id="11" xr3:uid="{00000000-0010-0000-0A00-00000B000000}" name="Октябрь" totalsRowFunction="sum" dataDxfId="64" totalsRowDxfId="63">
      <calculatedColumnFormula>INDEX(МаркетингПлан[],MATCH(INDEX(МаркетингОтклонение[],ROW()-ROW(МаркетингОтклонение[[#Headers],[Октябрь]]),1),INDEX(МаркетингПлан[],,1),0),MATCH(МаркетингОтклонение[[#Headers],[Октябрь]],МаркетингПлан[#Headers],0))-INDEX(МаркетингФактические[],MATCH(INDEX(МаркетингОтклонение[],ROW()-ROW(МаркетингОтклонение[[#Headers],[Октябрь]]),1),INDEX(МаркетингПлан[],,1),0),MATCH(МаркетингОтклонение[[#Headers],[Октябрь]],МаркетингФактические[#Headers],0))</calculatedColumnFormula>
    </tableColumn>
    <tableColumn id="12" xr3:uid="{00000000-0010-0000-0A00-00000C000000}" name="Ноябрь" totalsRowFunction="sum" dataDxfId="62" totalsRowDxfId="61">
      <calculatedColumnFormula>INDEX(МаркетингПлан[],MATCH(INDEX(МаркетингОтклонение[],ROW()-ROW(МаркетингОтклонение[[#Headers],[Ноябрь]]),1),INDEX(МаркетингПлан[],,1),0),MATCH(МаркетингОтклонение[[#Headers],[Ноябрь]],МаркетингПлан[#Headers],0))-INDEX(МаркетингФактические[],MATCH(INDEX(МаркетингОтклонение[],ROW()-ROW(МаркетингОтклонение[[#Headers],[Ноябрь]]),1),INDEX(МаркетингПлан[],,1),0),MATCH(МаркетингОтклонение[[#Headers],[Ноябрь]],МаркетингФактические[#Headers],0))</calculatedColumnFormula>
    </tableColumn>
    <tableColumn id="13" xr3:uid="{00000000-0010-0000-0A00-00000D000000}" name="Декабрь" totalsRowFunction="sum" dataDxfId="60" totalsRowDxfId="59">
      <calculatedColumnFormula>INDEX(МаркетингПлан[],MATCH(INDEX(МаркетингОтклонение[],ROW()-ROW(МаркетингОтклонение[[#Headers],[Декабрь]]),1),INDEX(МаркетингПлан[],,1),0),MATCH(МаркетингОтклонение[[#Headers],[Декабрь]],МаркетингПлан[#Headers],0))-INDEX(МаркетингФактические[],MATCH(INDEX(МаркетингОтклонение[],ROW()-ROW(МаркетингОтклонение[[#Headers],[Декабрь]]),1),INDEX(МаркетингПлан[],,1),0),MATCH(МаркетингОтклонение[[#Headers],[Декабрь]],МаркетингФактические[#Headers],0))</calculatedColumnFormula>
    </tableColumn>
    <tableColumn id="14" xr3:uid="{00000000-0010-0000-0A00-00000E000000}" name="ГОД" totalsRowFunction="sum" dataDxfId="58" totalsRowDxfId="57">
      <calculatedColumnFormula>SUM(МаркетингОтклонение[[#This Row],[Январь]:[Декабрь]])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В этой таблице автоматически рассчитывается отклонение по расходам на маркетинг в месяц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ОбучениеИКомандировкиОтклонение" displayName="ОбучениеИКомандировкиОтклонение" ref="B30:O33" totalsRowCount="1" headerRowDxfId="56" totalsRowDxfId="53" headerRowBorderDxfId="55" tableBorderDxfId="54" totalsRowBorderDxfId="52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Обучение/командировки" totalsRowLabel="Промежуточный итог" dataDxfId="51" totalsRowDxfId="50"/>
    <tableColumn id="2" xr3:uid="{00000000-0010-0000-0B00-000002000000}" name="Январь" totalsRowFunction="sum" dataDxfId="49" totalsRowDxfId="48">
      <calculatedColumnFormula>INDEX(ОбучениеИКомандировкиПлан[],MATCH(INDEX(ОбучениеИКомандировкиОтклонение[],ROW()-ROW(ОбучениеИКомандировкиОтклонение[[#Headers],[Январь]]),1),INDEX(ОбучениеИКомандировкиПлан[],,1),0),MATCH(ОбучениеИКомандировкиОтклонение[[#Headers],[Янва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Январь]]),1),INDEX(ОбучениеИКомандировкиПлан[],,1),0),MATCH(ОбучениеИКомандировкиОтклонение[[#Headers],[Январь]],ОбучениеИКомандировкиФактические[#Headers],0))</calculatedColumnFormula>
    </tableColumn>
    <tableColumn id="3" xr3:uid="{00000000-0010-0000-0B00-000003000000}" name="Февраль" totalsRowFunction="sum" dataDxfId="47" totalsRowDxfId="46">
      <calculatedColumnFormula>INDEX(ОбучениеИКомандировкиПлан[],MATCH(INDEX(ОбучениеИКомандировкиОтклонение[],ROW()-ROW(ОбучениеИКомандировкиОтклонение[[#Headers],[Февраль]]),1),INDEX(ОбучениеИКомандировкиПлан[],,1),0),MATCH(ОбучениеИКомандировкиОтклонение[[#Headers],[Февра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Февраль]]),1),INDEX(ОбучениеИКомандировкиПлан[],,1),0),MATCH(ОбучениеИКомандировкиОтклонение[[#Headers],[Февраль]],ОбучениеИКомандировкиФактические[#Headers],0))</calculatedColumnFormula>
    </tableColumn>
    <tableColumn id="4" xr3:uid="{00000000-0010-0000-0B00-000004000000}" name="Март" totalsRowFunction="sum" dataDxfId="45" totalsRowDxfId="44">
      <calculatedColumnFormula>INDEX(ОбучениеИКомандировкиПлан[],MATCH(INDEX(ОбучениеИКомандировкиОтклонение[],ROW()-ROW(ОбучениеИКомандировкиОтклонение[[#Headers],[Март]]),1),INDEX(ОбучениеИКомандировкиПлан[],,1),0),MATCH(ОбучениеИКомандировкиОтклонение[[#Headers],[Март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Март]]),1),INDEX(ОбучениеИКомандировкиПлан[],,1),0),MATCH(ОбучениеИКомандировкиОтклонение[[#Headers],[Март]],ОбучениеИКомандировкиФактические[#Headers],0))</calculatedColumnFormula>
    </tableColumn>
    <tableColumn id="5" xr3:uid="{00000000-0010-0000-0B00-000005000000}" name="Апрель" totalsRowFunction="sum" dataDxfId="43" totalsRowDxfId="42">
      <calculatedColumnFormula>INDEX(ОбучениеИКомандировкиПлан[],MATCH(INDEX(ОбучениеИКомандировкиОтклонение[],ROW()-ROW(ОбучениеИКомандировкиОтклонение[[#Headers],[Апрель]]),1),INDEX(ОбучениеИКомандировкиПлан[],,1),0),MATCH(ОбучениеИКомандировкиОтклонение[[#Headers],[Апре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Апрель]]),1),INDEX(ОбучениеИКомандировкиПлан[],,1),0),MATCH(ОбучениеИКомандировкиОтклонение[[#Headers],[Апрель]],ОбучениеИКомандировкиФактические[#Headers],0))</calculatedColumnFormula>
    </tableColumn>
    <tableColumn id="6" xr3:uid="{00000000-0010-0000-0B00-000006000000}" name="Май" totalsRowFunction="sum" dataDxfId="41" totalsRowDxfId="40">
      <calculatedColumnFormula>INDEX(ОбучениеИКомандировкиПлан[],MATCH(INDEX(ОбучениеИКомандировкиОтклонение[],ROW()-ROW(ОбучениеИКомандировкиОтклонение[[#Headers],[Май]]),1),INDEX(ОбучениеИКомандировкиПлан[],,1),0),MATCH(ОбучениеИКомандировкиОтклонение[[#Headers],[Май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Май]]),1),INDEX(ОбучениеИКомандировкиПлан[],,1),0),MATCH(ОбучениеИКомандировкиОтклонение[[#Headers],[Май]],ОбучениеИКомандировкиФактические[#Headers],0))</calculatedColumnFormula>
    </tableColumn>
    <tableColumn id="7" xr3:uid="{00000000-0010-0000-0B00-000007000000}" name="Июнь" totalsRowFunction="sum" dataDxfId="39" totalsRowDxfId="38">
      <calculatedColumnFormula>INDEX(ОбучениеИКомандировкиПлан[],MATCH(INDEX(ОбучениеИКомандировкиОтклонение[],ROW()-ROW(ОбучениеИКомандировкиОтклонение[[#Headers],[Июнь]]),1),INDEX(ОбучениеИКомандировкиПлан[],,1),0),MATCH(ОбучениеИКомандировкиОтклонение[[#Headers],[Июн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Июнь]]),1),INDEX(ОбучениеИКомандировкиПлан[],,1),0),MATCH(ОбучениеИКомандировкиОтклонение[[#Headers],[Июнь]],ОбучениеИКомандировкиФактические[#Headers],0))</calculatedColumnFormula>
    </tableColumn>
    <tableColumn id="8" xr3:uid="{00000000-0010-0000-0B00-000008000000}" name="Июль" totalsRowFunction="sum" dataDxfId="37" totalsRowDxfId="36">
      <calculatedColumnFormula>INDEX(ОбучениеИКомандировкиПлан[],MATCH(INDEX(ОбучениеИКомандировкиОтклонение[],ROW()-ROW(ОбучениеИКомандировкиОтклонение[[#Headers],[Июль]]),1),INDEX(ОбучениеИКомандировкиПлан[],,1),0),MATCH(ОбучениеИКомандировкиОтклонение[[#Headers],[Ию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Июль]]),1),INDEX(ОбучениеИКомандировкиПлан[],,1),0),MATCH(ОбучениеИКомандировкиОтклонение[[#Headers],[Июль]],ОбучениеИКомандировкиФактические[#Headers],0))</calculatedColumnFormula>
    </tableColumn>
    <tableColumn id="9" xr3:uid="{00000000-0010-0000-0B00-000009000000}" name="Август" totalsRowFunction="sum" dataDxfId="35" totalsRowDxfId="34">
      <calculatedColumnFormula>INDEX(ОбучениеИКомандировкиПлан[],MATCH(INDEX(ОбучениеИКомандировкиОтклонение[],ROW()-ROW(ОбучениеИКомандировкиОтклонение[[#Headers],[Август]]),1),INDEX(ОбучениеИКомандировкиПлан[],,1),0),MATCH(ОбучениеИКомандировкиОтклонение[[#Headers],[Август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Август]]),1),INDEX(ОбучениеИКомандировкиПлан[],,1),0),MATCH(ОбучениеИКомандировкиОтклонение[[#Headers],[Август]],ОбучениеИКомандировкиФактические[#Headers],0))</calculatedColumnFormula>
    </tableColumn>
    <tableColumn id="10" xr3:uid="{00000000-0010-0000-0B00-00000A000000}" name="Сентябрь" totalsRowFunction="sum" dataDxfId="33" totalsRowDxfId="32">
      <calculatedColumnFormula>INDEX(ОбучениеИКомандировкиПлан[],MATCH(INDEX(ОбучениеИКомандировкиОтклонение[],ROW()-ROW(ОбучениеИКомандировкиОтклонение[[#Headers],[Сентябрь]]),1),INDEX(ОбучениеИКомандировкиПлан[],,1),0),MATCH(ОбучениеИКомандировкиОтклонение[[#Headers],[Сент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Сентябрь]]),1),INDEX(ОбучениеИКомандировкиПлан[],,1),0),MATCH(ОбучениеИКомандировкиОтклонение[[#Headers],[Сентябрь]],ОбучениеИКомандировкиФактические[#Headers],0))</calculatedColumnFormula>
    </tableColumn>
    <tableColumn id="11" xr3:uid="{00000000-0010-0000-0B00-00000B000000}" name="Октябрь" totalsRowFunction="sum" dataDxfId="31" totalsRowDxfId="30">
      <calculatedColumnFormula>INDEX(ОбучениеИКомандировкиПлан[],MATCH(INDEX(ОбучениеИКомандировкиОтклонение[],ROW()-ROW(ОбучениеИКомандировкиОтклонение[[#Headers],[Октябрь]]),1),INDEX(ОбучениеИКомандировкиПлан[],,1),0),MATCH(ОбучениеИКомандировкиОтклонение[[#Headers],[Окт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Октябрь]]),1),INDEX(ОбучениеИКомандировкиПлан[],,1),0),MATCH(ОбучениеИКомандировкиОтклонение[[#Headers],[Октябрь]],ОбучениеИКомандировкиФактические[#Headers],0))</calculatedColumnFormula>
    </tableColumn>
    <tableColumn id="12" xr3:uid="{00000000-0010-0000-0B00-00000C000000}" name="Ноябрь" totalsRowFunction="sum" dataDxfId="29" totalsRowDxfId="28">
      <calculatedColumnFormula>INDEX(ОбучениеИКомандировкиПлан[],MATCH(INDEX(ОбучениеИКомандировкиОтклонение[],ROW()-ROW(ОбучениеИКомандировкиОтклонение[[#Headers],[Ноябрь]]),1),INDEX(ОбучениеИКомандировкиПлан[],,1),0),MATCH(ОбучениеИКомандировкиОтклонение[[#Headers],[Но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Ноябрь]]),1),INDEX(ОбучениеИКомандировкиПлан[],,1),0),MATCH(ОбучениеИКомандировкиОтклонение[[#Headers],[Ноябрь]],ОбучениеИКомандировкиФактические[#Headers],0))</calculatedColumnFormula>
    </tableColumn>
    <tableColumn id="13" xr3:uid="{00000000-0010-0000-0B00-00000D000000}" name="Декабрь" totalsRowFunction="sum" dataDxfId="27" totalsRowDxfId="26">
      <calculatedColumnFormula>INDEX(ОбучениеИКомандировкиПлан[],MATCH(INDEX(ОбучениеИКомандировкиОтклонение[],ROW()-ROW(ОбучениеИКомандировкиОтклонение[[#Headers],[Декабрь]]),1),INDEX(ОбучениеИКомандировкиПлан[],,1),0),MATCH(ОбучениеИКомандировкиОтклонение[[#Headers],[Дека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Декабрь]]),1),INDEX(ОбучениеИКомандировкиПлан[],,1),0),MATCH(ОбучениеИКомандировкиОтклонение[[#Headers],[Декабрь]],ОбучениеИКомандировкиФактические[#Headers],0))</calculatedColumnFormula>
    </tableColumn>
    <tableColumn id="14" xr3:uid="{00000000-0010-0000-0B00-00000E000000}" name="ГОД" totalsRowFunction="sum" dataDxfId="25" totalsRowDxfId="24">
      <calculatedColumnFormula>SUM(ОбучениеИКомандировкиОтклонение[[#This Row],[Январь]:[Декабрь]])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В этой таблице автоматически рассчитывается отклонение по расходам на обучение и командировки в месяц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D450248-DB77-46F5-B207-E715DE10D029}" name="ИтогоОтклонение" displayName="ИтогоОтклонение" ref="B35:O37" totalsRowShown="0" headerRowDxfId="23" dataDxfId="22" tableBorderDxfId="21">
  <autoFilter ref="B35:O37" xr:uid="{B407F9FC-1AB0-4A37-B2B1-EDE36CD997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A1B301-8171-4BDA-9269-D51F18A1CE72}" name="ИТОГИ" dataDxfId="20"/>
    <tableColumn id="2" xr3:uid="{AE0C21A5-398B-42DE-950D-8AE4AD1A8551}" name="Январь" dataDxfId="19">
      <calculatedColumnFormula>SUM($C35:C$36)</calculatedColumnFormula>
    </tableColumn>
    <tableColumn id="3" xr3:uid="{A43B0B0E-F35F-4E04-8A0D-11BB7356D5F1}" name="Февраль" dataDxfId="18">
      <calculatedColumnFormula>SUM($C35:D$36)</calculatedColumnFormula>
    </tableColumn>
    <tableColumn id="4" xr3:uid="{F14459A4-8E61-4E04-9A53-A7DA16CE366A}" name="Март" dataDxfId="17">
      <calculatedColumnFormula>SUM($C35:E$36)</calculatedColumnFormula>
    </tableColumn>
    <tableColumn id="5" xr3:uid="{1C90C974-8801-4A11-B3AF-1DC144BB0C14}" name="Апрель" dataDxfId="16">
      <calculatedColumnFormula>SUM($C35:F$36)</calculatedColumnFormula>
    </tableColumn>
    <tableColumn id="6" xr3:uid="{C8E3F4F6-5F27-4CC7-9916-6D86833782C1}" name="Май" dataDxfId="15">
      <calculatedColumnFormula>SUM($C35:G$36)</calculatedColumnFormula>
    </tableColumn>
    <tableColumn id="7" xr3:uid="{AF75D92B-7578-4087-BB78-DD5AD8165117}" name="Июнь" dataDxfId="14">
      <calculatedColumnFormula>SUM($C35:H$36)</calculatedColumnFormula>
    </tableColumn>
    <tableColumn id="8" xr3:uid="{35F61ABA-09FB-4695-B0F5-A2C6B6580A2E}" name="Июль" dataDxfId="13">
      <calculatedColumnFormula>SUM($C35:I$36)</calculatedColumnFormula>
    </tableColumn>
    <tableColumn id="9" xr3:uid="{59F62437-45DC-439F-945A-D0E79C444E8E}" name="Август" dataDxfId="12">
      <calculatedColumnFormula>SUM($C35:J$36)</calculatedColumnFormula>
    </tableColumn>
    <tableColumn id="10" xr3:uid="{2BF9DCC5-B211-44A6-BD40-E91602CDA85C}" name="Сентябрь" dataDxfId="11">
      <calculatedColumnFormula>SUM($C35:K$36)</calculatedColumnFormula>
    </tableColumn>
    <tableColumn id="11" xr3:uid="{4280684A-CD23-4103-8664-029757D0A2A2}" name="Октябрь" dataDxfId="10">
      <calculatedColumnFormula>SUM($C35:L$36)</calculatedColumnFormula>
    </tableColumn>
    <tableColumn id="12" xr3:uid="{07DED434-EC8F-4DAF-83E3-E350A33F2EAE}" name="Ноябрь" dataDxfId="9">
      <calculatedColumnFormula>SUM($C35:M$36)</calculatedColumnFormula>
    </tableColumn>
    <tableColumn id="13" xr3:uid="{32BA0102-0F05-43CF-91BA-724F1FE01DAA}" name="Декабрь" dataDxfId="8">
      <calculatedColumnFormula>SUM($C35:N$36)</calculatedColumnFormula>
    </tableColumn>
    <tableColumn id="14" xr3:uid="{57A0D710-AEB8-4057-928D-010058E02081}" name="Год" dataDxfId="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 этой таблице автоматически рассчитываются ежемесячные и общие отклонения по расходам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029F34C-CC7A-4C9E-8687-3CBA6E03BB7D}" name="Анализ" displayName="Анализ" ref="B5:F10" totalsRowShown="0" dataDxfId="6" tableBorderDxfId="5">
  <autoFilter ref="B5:F10" xr:uid="{FF30FBEE-D7F5-45FA-A994-455B735EFD1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D5DD3A-2DA8-4CC6-8C75-2348A5B1DCE5}" name="Категория расходов" dataDxfId="4"/>
    <tableColumn id="2" xr3:uid="{71038352-BC76-49DD-9F6C-B394E5F033ED}" name="Запланированные расходы" dataDxfId="3"/>
    <tableColumn id="3" xr3:uid="{19ED3EBC-BC10-47F6-9800-62129A32BC8E}" name="Фактические расходы" dataDxfId="2"/>
    <tableColumn id="4" xr3:uid="{E8D5E1DD-7CB1-4A1A-8F42-EFBF70790FE7}" name="Отклонения по расходам" dataDxfId="1">
      <calculatedColumnFormula>C6-D6</calculatedColumnFormula>
    </tableColumn>
    <tableColumn id="5" xr3:uid="{47E1881E-12A2-4F0E-8364-B79F2DC5D0B1}" name="Процент отклонения" dataDxfId="0">
      <calculatedColumnFormula>E6/C6</calculatedColumnFormula>
    </tableColumn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МаркетингПлан" displayName="МаркетингПлан" ref="B21:O28" totalsRowCount="1" headerRowDxfId="422" totalsRowDxfId="419" headerRowBorderDxfId="421" tableBorderDxfId="420" totalsRowBorderDxfId="418">
  <autoFilter ref="B21:O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Расходы на маркетинг" totalsRowLabel="Промежуточный итог" dataDxfId="417" totalsRowDxfId="416"/>
    <tableColumn id="2" xr3:uid="{00000000-0010-0000-0100-000002000000}" name="Январь" totalsRowFunction="sum" dataDxfId="415" totalsRowDxfId="414"/>
    <tableColumn id="3" xr3:uid="{00000000-0010-0000-0100-000003000000}" name="Февраль" totalsRowFunction="sum" dataDxfId="413" totalsRowDxfId="412"/>
    <tableColumn id="4" xr3:uid="{00000000-0010-0000-0100-000004000000}" name="Март" totalsRowFunction="sum" dataDxfId="411" totalsRowDxfId="410"/>
    <tableColumn id="5" xr3:uid="{00000000-0010-0000-0100-000005000000}" name="Апрель" totalsRowFunction="sum" dataDxfId="409" totalsRowDxfId="408"/>
    <tableColumn id="6" xr3:uid="{00000000-0010-0000-0100-000006000000}" name="Май" totalsRowFunction="sum" dataDxfId="407" totalsRowDxfId="406"/>
    <tableColumn id="7" xr3:uid="{00000000-0010-0000-0100-000007000000}" name="Июнь" totalsRowFunction="sum" dataDxfId="405" totalsRowDxfId="404"/>
    <tableColumn id="8" xr3:uid="{00000000-0010-0000-0100-000008000000}" name="Июль" totalsRowFunction="sum" dataDxfId="403" totalsRowDxfId="402"/>
    <tableColumn id="9" xr3:uid="{00000000-0010-0000-0100-000009000000}" name="Август" totalsRowFunction="sum" dataDxfId="401" totalsRowDxfId="400"/>
    <tableColumn id="10" xr3:uid="{00000000-0010-0000-0100-00000A000000}" name="Сентябрь" totalsRowFunction="sum" dataDxfId="399" totalsRowDxfId="398"/>
    <tableColumn id="11" xr3:uid="{00000000-0010-0000-0100-00000B000000}" name="Октябрь" totalsRowFunction="sum" dataDxfId="397" totalsRowDxfId="396"/>
    <tableColumn id="12" xr3:uid="{00000000-0010-0000-0100-00000C000000}" name="Ноябрь" totalsRowFunction="sum" dataDxfId="395" totalsRowDxfId="394"/>
    <tableColumn id="13" xr3:uid="{00000000-0010-0000-0100-00000D000000}" name="Декабрь" totalsRowFunction="sum" dataDxfId="393" totalsRowDxfId="392"/>
    <tableColumn id="14" xr3:uid="{00000000-0010-0000-0100-00000E000000}" name="ГОД" totalsRowFunction="sum" dataDxfId="391" totalsRowDxfId="390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ведите в этой таблице запланированные ежемесячные расходы на маркетинг. Итоговые значения автоматически рассчитываются в конце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ОбучениеИКомандировкиПлан" displayName="ОбучениеИКомандировкиПлан" ref="B30:O33" totalsRowCount="1" headerRowDxfId="389" totalsRowDxfId="386" headerRowBorderDxfId="388" tableBorderDxfId="387" totalsRowBorderDxfId="385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Обучение/командировки" totalsRowLabel="Промежуточный итог" dataDxfId="384" totalsRowDxfId="383"/>
    <tableColumn id="2" xr3:uid="{00000000-0010-0000-0200-000002000000}" name="Январь" totalsRowFunction="sum" dataDxfId="382" totalsRowDxfId="381"/>
    <tableColumn id="3" xr3:uid="{00000000-0010-0000-0200-000003000000}" name="Февраль" totalsRowFunction="sum" dataDxfId="380" totalsRowDxfId="379"/>
    <tableColumn id="4" xr3:uid="{00000000-0010-0000-0200-000004000000}" name="Март" totalsRowFunction="sum" dataDxfId="378" totalsRowDxfId="377"/>
    <tableColumn id="5" xr3:uid="{00000000-0010-0000-0200-000005000000}" name="Апрель" totalsRowFunction="sum" dataDxfId="376" totalsRowDxfId="375"/>
    <tableColumn id="6" xr3:uid="{00000000-0010-0000-0200-000006000000}" name="Май" totalsRowFunction="sum" dataDxfId="374" totalsRowDxfId="373"/>
    <tableColumn id="7" xr3:uid="{00000000-0010-0000-0200-000007000000}" name="Июнь" totalsRowFunction="sum" dataDxfId="372" totalsRowDxfId="371"/>
    <tableColumn id="8" xr3:uid="{00000000-0010-0000-0200-000008000000}" name="Июль" totalsRowFunction="sum" dataDxfId="370" totalsRowDxfId="369"/>
    <tableColumn id="9" xr3:uid="{00000000-0010-0000-0200-000009000000}" name="Август" totalsRowFunction="sum" dataDxfId="368" totalsRowDxfId="367"/>
    <tableColumn id="10" xr3:uid="{00000000-0010-0000-0200-00000A000000}" name="Сентябрь" totalsRowFunction="sum" dataDxfId="366" totalsRowDxfId="365"/>
    <tableColumn id="11" xr3:uid="{00000000-0010-0000-0200-00000B000000}" name="Октябрь" totalsRowFunction="sum" dataDxfId="364" totalsRowDxfId="363"/>
    <tableColumn id="12" xr3:uid="{00000000-0010-0000-0200-00000C000000}" name="Ноябрь" totalsRowFunction="sum" dataDxfId="362" totalsRowDxfId="361"/>
    <tableColumn id="13" xr3:uid="{00000000-0010-0000-0200-00000D000000}" name="Декабрь" totalsRowFunction="sum" dataDxfId="360" totalsRowDxfId="359"/>
    <tableColumn id="14" xr3:uid="{00000000-0010-0000-0200-00000E000000}" name="ГОД" totalsRowFunction="sum" dataDxfId="358" totalsRowDxfId="357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ведите в этой таблице запланированные ежемесячные расходы на обучение и командировки. Итоговые значения автоматически рассчитываются в конце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СотрудникиПлан" displayName="СотрудникиПлан" ref="B5:O8" totalsRowCount="1" headerRowDxfId="356" totalsRowDxfId="353" headerRowBorderDxfId="355" tableBorderDxfId="354" totalsRowBorderDxfId="352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Расходы на сотрудников" totalsRowLabel="Промежуточный итог" dataDxfId="351" totalsRowDxfId="350"/>
    <tableColumn id="2" xr3:uid="{00000000-0010-0000-0300-000002000000}" name="Январь" totalsRowFunction="sum" dataDxfId="349" totalsRowDxfId="348">
      <calculatedColumnFormula>C5*0.27</calculatedColumnFormula>
    </tableColumn>
    <tableColumn id="3" xr3:uid="{00000000-0010-0000-0300-000003000000}" name="Февраль" totalsRowFunction="sum" dataDxfId="347" totalsRowDxfId="346">
      <calculatedColumnFormula>D5*0.27</calculatedColumnFormula>
    </tableColumn>
    <tableColumn id="4" xr3:uid="{00000000-0010-0000-0300-000004000000}" name="Март" totalsRowFunction="sum" dataDxfId="345" totalsRowDxfId="344">
      <calculatedColumnFormula>E5*0.27</calculatedColumnFormula>
    </tableColumn>
    <tableColumn id="5" xr3:uid="{00000000-0010-0000-0300-000005000000}" name="Апрель" totalsRowFunction="sum" dataDxfId="343" totalsRowDxfId="342">
      <calculatedColumnFormula>F5*0.27</calculatedColumnFormula>
    </tableColumn>
    <tableColumn id="6" xr3:uid="{00000000-0010-0000-0300-000006000000}" name="Май" totalsRowFunction="sum" dataDxfId="341" totalsRowDxfId="340">
      <calculatedColumnFormula>G5*0.27</calculatedColumnFormula>
    </tableColumn>
    <tableColumn id="7" xr3:uid="{00000000-0010-0000-0300-000007000000}" name="Июнь" totalsRowFunction="sum" dataDxfId="339" totalsRowDxfId="338">
      <calculatedColumnFormula>H5*0.27</calculatedColumnFormula>
    </tableColumn>
    <tableColumn id="8" xr3:uid="{00000000-0010-0000-0300-000008000000}" name="Июль" totalsRowFunction="sum" dataDxfId="337" totalsRowDxfId="336">
      <calculatedColumnFormula>I5*0.27</calculatedColumnFormula>
    </tableColumn>
    <tableColumn id="9" xr3:uid="{00000000-0010-0000-0300-000009000000}" name="Август" totalsRowFunction="sum" dataDxfId="335" totalsRowDxfId="334">
      <calculatedColumnFormula>J5*0.27</calculatedColumnFormula>
    </tableColumn>
    <tableColumn id="10" xr3:uid="{00000000-0010-0000-0300-00000A000000}" name="Сентябрь" totalsRowFunction="sum" dataDxfId="333" totalsRowDxfId="332">
      <calculatedColumnFormula>K5*0.27</calculatedColumnFormula>
    </tableColumn>
    <tableColumn id="11" xr3:uid="{00000000-0010-0000-0300-00000B000000}" name="Октябрь" totalsRowFunction="sum" dataDxfId="331" totalsRowDxfId="330">
      <calculatedColumnFormula>L5*0.27</calculatedColumnFormula>
    </tableColumn>
    <tableColumn id="12" xr3:uid="{00000000-0010-0000-0300-00000C000000}" name="Ноябрь" totalsRowFunction="sum" dataDxfId="329" totalsRowDxfId="328">
      <calculatedColumnFormula>M5*0.27</calculatedColumnFormula>
    </tableColumn>
    <tableColumn id="13" xr3:uid="{00000000-0010-0000-0300-00000D000000}" name="Декабрь" totalsRowFunction="sum" dataDxfId="327" totalsRowDxfId="326">
      <calculatedColumnFormula>N5*0.27</calculatedColumnFormula>
    </tableColumn>
    <tableColumn id="14" xr3:uid="{00000000-0010-0000-0300-00000E000000}" name="ГОД" totalsRowFunction="sum" dataDxfId="325" totalsRowDxfId="324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Введите в этой таблице запланированные ежемесячные расходы на сотрудников. Итоговые значения автоматически рассчитываются в конце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1654C0-A6E2-4402-ADF4-C02B29E915BD}" name="ИтогоЗапланированные" displayName="ИтогоЗапланированные" ref="B35:O37" totalsRowShown="0" headerRowDxfId="323" dataDxfId="321" headerRowBorderDxfId="322" tableBorderDxfId="320" totalsRowBorderDxfId="319">
  <autoFilter ref="B35:O37" xr:uid="{630CA614-6744-438B-8D74-F7C59585F1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DAEAEE0-3B16-417F-B274-1F203D9CFCF2}" name="ИТОГИ" dataDxfId="318"/>
    <tableColumn id="2" xr3:uid="{3CBCAAC6-5850-43CE-8A4B-7299FADFEA94}" name="Январь" dataDxfId="317">
      <calculatedColumnFormula>SUM($C35:C$36)</calculatedColumnFormula>
    </tableColumn>
    <tableColumn id="3" xr3:uid="{E78EAAAB-F732-4079-94F1-D17531764B41}" name="Февраль" dataDxfId="316">
      <calculatedColumnFormula>SUM($C35:D$36)</calculatedColumnFormula>
    </tableColumn>
    <tableColumn id="4" xr3:uid="{7E178853-B334-4E02-A0B5-9E8AC39D6929}" name="Март" dataDxfId="315">
      <calculatedColumnFormula>SUM($C35:E$36)</calculatedColumnFormula>
    </tableColumn>
    <tableColumn id="5" xr3:uid="{901BCAA1-7C45-46E6-9DAA-C055B5CC4D9E}" name="Апрель" dataDxfId="314">
      <calculatedColumnFormula>SUM($C35:F$36)</calculatedColumnFormula>
    </tableColumn>
    <tableColumn id="6" xr3:uid="{FDC62F5A-FCA8-49DA-AFE4-FBDA22CB588C}" name="Май" dataDxfId="313">
      <calculatedColumnFormula>SUM($C35:G$36)</calculatedColumnFormula>
    </tableColumn>
    <tableColumn id="7" xr3:uid="{6B7E4F62-6387-4545-9593-FCFE8EB0E87B}" name="Июнь" dataDxfId="312">
      <calculatedColumnFormula>SUM($C35:H$36)</calculatedColumnFormula>
    </tableColumn>
    <tableColumn id="8" xr3:uid="{29C96D76-82C3-4C86-A866-135D2B5F6766}" name="Июль" dataDxfId="311">
      <calculatedColumnFormula>SUM($C35:I$36)</calculatedColumnFormula>
    </tableColumn>
    <tableColumn id="9" xr3:uid="{8EAF7A8A-BCFD-4A07-ADFE-7B3A8A367BB3}" name="Август" dataDxfId="310">
      <calculatedColumnFormula>SUM($C35:J$36)</calculatedColumnFormula>
    </tableColumn>
    <tableColumn id="10" xr3:uid="{F40CD844-EFB4-4B82-8FEA-F130D1DDE9B6}" name="Сентябрь" dataDxfId="309">
      <calculatedColumnFormula>SUM($C35:K$36)</calculatedColumnFormula>
    </tableColumn>
    <tableColumn id="11" xr3:uid="{42E3BDAF-1274-4A42-93E1-A70D8EFF4D76}" name="Октябрь" dataDxfId="308">
      <calculatedColumnFormula>SUM($C35:L$36)</calculatedColumnFormula>
    </tableColumn>
    <tableColumn id="12" xr3:uid="{4F7ADDB3-3705-4D5F-B56D-EBBC8E7DFAFB}" name="Ноябрь" dataDxfId="307">
      <calculatedColumnFormula>SUM($C35:M$36)</calculatedColumnFormula>
    </tableColumn>
    <tableColumn id="13" xr3:uid="{56789314-1137-4ED4-BA2B-969187ADECB2}" name="Декабрь" dataDxfId="306">
      <calculatedColumnFormula>SUM($C35:N$36)</calculatedColumnFormula>
    </tableColumn>
    <tableColumn id="14" xr3:uid="{284F34B8-8D32-4E44-96FD-25CE69A931D2}" name="Год" dataDxfId="30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 этой таблице автоматически рассчитываются ежемесячные и общие запланированные расходы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ОфисФактические" displayName="ОфисФактические" ref="B10:O19" totalsRowCount="1" headerRowDxfId="304" totalsRowDxfId="301" headerRowBorderDxfId="303" tableBorderDxfId="302" totalsRowBorderDxfId="300">
  <autoFilter ref="B10:O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Расходы на содержание офиса" totalsRowLabel="Промежуточный итог" dataDxfId="299" totalsRowDxfId="298"/>
    <tableColumn id="2" xr3:uid="{00000000-0010-0000-0400-000002000000}" name="Январь" totalsRowFunction="sum" dataDxfId="297" totalsRowDxfId="296"/>
    <tableColumn id="3" xr3:uid="{00000000-0010-0000-0400-000003000000}" name="Февраль" totalsRowFunction="sum" dataDxfId="295" totalsRowDxfId="294"/>
    <tableColumn id="4" xr3:uid="{00000000-0010-0000-0400-000004000000}" name="Март" totalsRowFunction="sum" dataDxfId="293" totalsRowDxfId="292"/>
    <tableColumn id="5" xr3:uid="{00000000-0010-0000-0400-000005000000}" name="Апрель" totalsRowFunction="sum" dataDxfId="291" totalsRowDxfId="290"/>
    <tableColumn id="6" xr3:uid="{00000000-0010-0000-0400-000006000000}" name="Май" totalsRowFunction="sum" dataDxfId="289" totalsRowDxfId="288"/>
    <tableColumn id="7" xr3:uid="{00000000-0010-0000-0400-000007000000}" name="Июнь" totalsRowFunction="sum" dataDxfId="287" totalsRowDxfId="286"/>
    <tableColumn id="8" xr3:uid="{00000000-0010-0000-0400-000008000000}" name="Июль" totalsRowFunction="sum" dataDxfId="285" totalsRowDxfId="284"/>
    <tableColumn id="9" xr3:uid="{00000000-0010-0000-0400-000009000000}" name="Август" totalsRowFunction="sum" dataDxfId="283" totalsRowDxfId="282"/>
    <tableColumn id="10" xr3:uid="{00000000-0010-0000-0400-00000A000000}" name="Сентябрь" totalsRowFunction="sum" dataDxfId="281" totalsRowDxfId="280"/>
    <tableColumn id="11" xr3:uid="{00000000-0010-0000-0400-00000B000000}" name="Октябрь" totalsRowFunction="sum" dataDxfId="279" totalsRowDxfId="278"/>
    <tableColumn id="12" xr3:uid="{00000000-0010-0000-0400-00000C000000}" name="Ноябрь" totalsRowFunction="sum" dataDxfId="277" totalsRowDxfId="276"/>
    <tableColumn id="13" xr3:uid="{00000000-0010-0000-0400-00000D000000}" name="Декабрь" totalsRowFunction="sum" dataDxfId="275" totalsRowDxfId="274"/>
    <tableColumn id="14" xr3:uid="{00000000-0010-0000-0400-00000E000000}" name="ГОД" totalsRowFunction="sum" dataDxfId="273" totalsRowDxfId="272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ведите в этой таблице фактические ежемесячные расходы на содержание офиса. Итоговые значения автоматически рассчитываются в конце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МаркетингФактические" displayName="МаркетингФактические" ref="B21:O28" totalsRowCount="1" headerRowDxfId="271" totalsRowDxfId="268" headerRowBorderDxfId="270" tableBorderDxfId="269" totalsRowBorderDxfId="267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Расходы на маркетинг" totalsRowLabel="Промежуточный итог" dataDxfId="266" totalsRowDxfId="265"/>
    <tableColumn id="2" xr3:uid="{00000000-0010-0000-0500-000002000000}" name="Январь" totalsRowFunction="sum" dataDxfId="264" totalsRowDxfId="263"/>
    <tableColumn id="3" xr3:uid="{00000000-0010-0000-0500-000003000000}" name="Февраль" totalsRowFunction="sum" dataDxfId="262" totalsRowDxfId="261"/>
    <tableColumn id="4" xr3:uid="{00000000-0010-0000-0500-000004000000}" name="Март" totalsRowFunction="sum" dataDxfId="260" totalsRowDxfId="259"/>
    <tableColumn id="5" xr3:uid="{00000000-0010-0000-0500-000005000000}" name="Апрель" totalsRowFunction="sum" dataDxfId="258" totalsRowDxfId="257"/>
    <tableColumn id="6" xr3:uid="{00000000-0010-0000-0500-000006000000}" name="Май" totalsRowFunction="sum" dataDxfId="256" totalsRowDxfId="255"/>
    <tableColumn id="7" xr3:uid="{00000000-0010-0000-0500-000007000000}" name="Июнь" totalsRowFunction="sum" dataDxfId="254" totalsRowDxfId="253"/>
    <tableColumn id="8" xr3:uid="{00000000-0010-0000-0500-000008000000}" name="Июль" totalsRowFunction="sum" dataDxfId="252" totalsRowDxfId="251"/>
    <tableColumn id="9" xr3:uid="{00000000-0010-0000-0500-000009000000}" name="Август" totalsRowFunction="sum" dataDxfId="250" totalsRowDxfId="249"/>
    <tableColumn id="10" xr3:uid="{00000000-0010-0000-0500-00000A000000}" name="Сентябрь" totalsRowFunction="sum" dataDxfId="248" totalsRowDxfId="247"/>
    <tableColumn id="11" xr3:uid="{00000000-0010-0000-0500-00000B000000}" name="Октябрь" totalsRowFunction="sum" dataDxfId="246" totalsRowDxfId="245"/>
    <tableColumn id="12" xr3:uid="{00000000-0010-0000-0500-00000C000000}" name="Ноябрь" totalsRowFunction="sum" dataDxfId="244" totalsRowDxfId="243"/>
    <tableColumn id="13" xr3:uid="{00000000-0010-0000-0500-00000D000000}" name="Декабрь" totalsRowFunction="sum" dataDxfId="242" totalsRowDxfId="241"/>
    <tableColumn id="14" xr3:uid="{00000000-0010-0000-0500-00000E000000}" name="ГОД" totalsRowFunction="sum" dataDxfId="240" totalsRowDxfId="239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ведите в этой таблице фактические ежемесячные расходы на маркетинг. Итоговые значения автоматически рассчитываются в конце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ОбучениеИКомандировкиФактические" displayName="ОбучениеИКомандировкиФактические" ref="B30:O33" totalsRowCount="1" headerRowDxfId="238" totalsRowDxfId="235" headerRowBorderDxfId="237" tableBorderDxfId="236" totalsRowBorderDxfId="234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Обучение/командировки" totalsRowLabel="Промежуточный итог" dataDxfId="233" totalsRowDxfId="232"/>
    <tableColumn id="2" xr3:uid="{00000000-0010-0000-0600-000002000000}" name="Январь" totalsRowFunction="sum" dataDxfId="231" totalsRowDxfId="230"/>
    <tableColumn id="3" xr3:uid="{00000000-0010-0000-0600-000003000000}" name="Февраль" totalsRowFunction="sum" dataDxfId="229" totalsRowDxfId="228"/>
    <tableColumn id="4" xr3:uid="{00000000-0010-0000-0600-000004000000}" name="Март" totalsRowFunction="sum" dataDxfId="227" totalsRowDxfId="226"/>
    <tableColumn id="5" xr3:uid="{00000000-0010-0000-0600-000005000000}" name="Апрель" totalsRowFunction="sum" dataDxfId="225" totalsRowDxfId="224"/>
    <tableColumn id="6" xr3:uid="{00000000-0010-0000-0600-000006000000}" name="Май" totalsRowFunction="sum" dataDxfId="223" totalsRowDxfId="222"/>
    <tableColumn id="7" xr3:uid="{00000000-0010-0000-0600-000007000000}" name="Июнь" totalsRowFunction="sum" dataDxfId="221" totalsRowDxfId="220"/>
    <tableColumn id="8" xr3:uid="{00000000-0010-0000-0600-000008000000}" name="Июль" totalsRowFunction="sum" dataDxfId="219" totalsRowDxfId="218"/>
    <tableColumn id="9" xr3:uid="{00000000-0010-0000-0600-000009000000}" name="Август" totalsRowFunction="sum" dataDxfId="217" totalsRowDxfId="216"/>
    <tableColumn id="10" xr3:uid="{00000000-0010-0000-0600-00000A000000}" name="Сентябрь" totalsRowFunction="sum" dataDxfId="215" totalsRowDxfId="214"/>
    <tableColumn id="11" xr3:uid="{00000000-0010-0000-0600-00000B000000}" name="Октябрь" totalsRowFunction="sum" dataDxfId="213" totalsRowDxfId="212"/>
    <tableColumn id="12" xr3:uid="{00000000-0010-0000-0600-00000C000000}" name="Ноябрь" totalsRowFunction="sum" dataDxfId="211" totalsRowDxfId="210"/>
    <tableColumn id="13" xr3:uid="{00000000-0010-0000-0600-00000D000000}" name="Декабрь" totalsRowFunction="sum" dataDxfId="209" totalsRowDxfId="208"/>
    <tableColumn id="14" xr3:uid="{00000000-0010-0000-0600-00000E000000}" name="ГОД" totalsRowFunction="sum" dataDxfId="207" totalsRowDxfId="206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ведите в этой таблице фактические ежемесячные расходы на обучение и командировки. Итоговые значения автоматически рассчитываются в конце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СотрудникиФактические" displayName="СотрудникиФактические" ref="B5:O8" totalsRowCount="1" headerRowDxfId="205" totalsRowDxfId="202" headerRowBorderDxfId="204" tableBorderDxfId="203" totalsRowBorderDxfId="201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Расходы на сотрудников" totalsRowLabel="Промежуточный итог" dataDxfId="200" totalsRowDxfId="199"/>
    <tableColumn id="2" xr3:uid="{00000000-0010-0000-0700-000002000000}" name="Январь" totalsRowFunction="sum" dataDxfId="198" totalsRowDxfId="197">
      <calculatedColumnFormula>C5*0.27</calculatedColumnFormula>
    </tableColumn>
    <tableColumn id="3" xr3:uid="{00000000-0010-0000-0700-000003000000}" name="Февраль" totalsRowFunction="sum" dataDxfId="196" totalsRowDxfId="195">
      <calculatedColumnFormula>D5*0.27</calculatedColumnFormula>
    </tableColumn>
    <tableColumn id="4" xr3:uid="{00000000-0010-0000-0700-000004000000}" name="Март" totalsRowFunction="sum" dataDxfId="194" totalsRowDxfId="193">
      <calculatedColumnFormula>E5*0.27</calculatedColumnFormula>
    </tableColumn>
    <tableColumn id="5" xr3:uid="{00000000-0010-0000-0700-000005000000}" name="Апрель" totalsRowFunction="sum" dataDxfId="192" totalsRowDxfId="191">
      <calculatedColumnFormula>F5*0.27</calculatedColumnFormula>
    </tableColumn>
    <tableColumn id="6" xr3:uid="{00000000-0010-0000-0700-000006000000}" name="Май" totalsRowFunction="sum" dataDxfId="190" totalsRowDxfId="189">
      <calculatedColumnFormula>G5*0.27</calculatedColumnFormula>
    </tableColumn>
    <tableColumn id="7" xr3:uid="{00000000-0010-0000-0700-000007000000}" name="Июнь" totalsRowFunction="sum" dataDxfId="188" totalsRowDxfId="187">
      <calculatedColumnFormula>H5*0.27</calculatedColumnFormula>
    </tableColumn>
    <tableColumn id="8" xr3:uid="{00000000-0010-0000-0700-000008000000}" name="Июль" totalsRowFunction="sum" dataDxfId="186" totalsRowDxfId="185"/>
    <tableColumn id="9" xr3:uid="{00000000-0010-0000-0700-000009000000}" name="Август" totalsRowFunction="sum" dataDxfId="184" totalsRowDxfId="183"/>
    <tableColumn id="10" xr3:uid="{00000000-0010-0000-0700-00000A000000}" name="Сентябрь" totalsRowFunction="sum" dataDxfId="182" totalsRowDxfId="181"/>
    <tableColumn id="11" xr3:uid="{00000000-0010-0000-0700-00000B000000}" name="Октябрь" totalsRowFunction="sum" dataDxfId="180" totalsRowDxfId="179"/>
    <tableColumn id="12" xr3:uid="{00000000-0010-0000-0700-00000C000000}" name="Ноябрь" totalsRowFunction="sum" dataDxfId="178" totalsRowDxfId="177"/>
    <tableColumn id="13" xr3:uid="{00000000-0010-0000-0700-00000D000000}" name="Декабрь" totalsRowFunction="sum" dataDxfId="176" totalsRowDxfId="175"/>
    <tableColumn id="14" xr3:uid="{00000000-0010-0000-0700-00000E000000}" name="ГОД" totalsRowFunction="sum" dataDxfId="174" totalsRowDxfId="173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Введите в этой таблице фактические ежемесячные расходы на сотрудников. Итоговые значения автоматически рассчитываются в конце."/>
    </ext>
  </extLst>
</table>
</file>

<file path=xl/theme/theme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18">
      <a:majorFont>
        <a:latin typeface="Franklin Gothic Book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652D-94A4-43B5-AFA7-1A6439101CE6}">
  <sheetPr>
    <tabColor theme="3" tint="-0.249977111117893"/>
  </sheetPr>
  <dimension ref="B1:B8"/>
  <sheetViews>
    <sheetView tabSelected="1" workbookViewId="0"/>
  </sheetViews>
  <sheetFormatPr defaultRowHeight="12.75" x14ac:dyDescent="0.2"/>
  <cols>
    <col min="1" max="1" width="2.7109375" customWidth="1"/>
    <col min="2" max="2" width="75.42578125" customWidth="1"/>
    <col min="3" max="3" width="2.7109375" customWidth="1"/>
  </cols>
  <sheetData>
    <row r="1" spans="2:2" s="30" customFormat="1" ht="30" customHeight="1" x14ac:dyDescent="0.2">
      <c r="B1" s="31" t="s">
        <v>0</v>
      </c>
    </row>
    <row r="2" spans="2:2" ht="36.75" customHeight="1" x14ac:dyDescent="0.2">
      <c r="B2" s="41" t="s">
        <v>1</v>
      </c>
    </row>
    <row r="3" spans="2:2" ht="30" customHeight="1" x14ac:dyDescent="0.2">
      <c r="B3" s="41" t="s">
        <v>2</v>
      </c>
    </row>
    <row r="4" spans="2:2" ht="40.5" customHeight="1" x14ac:dyDescent="0.2">
      <c r="B4" s="41" t="s">
        <v>3</v>
      </c>
    </row>
    <row r="5" spans="2:2" ht="36" customHeight="1" x14ac:dyDescent="0.2">
      <c r="B5" s="41" t="s">
        <v>4</v>
      </c>
    </row>
    <row r="6" spans="2:2" ht="36" customHeight="1" x14ac:dyDescent="0.2">
      <c r="B6" s="43" t="s">
        <v>5</v>
      </c>
    </row>
    <row r="7" spans="2:2" ht="68.25" customHeight="1" x14ac:dyDescent="0.2">
      <c r="B7" s="41" t="s">
        <v>6</v>
      </c>
    </row>
    <row r="8" spans="2:2" ht="51" customHeight="1" x14ac:dyDescent="0.25">
      <c r="B8" s="4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T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59.42578125" style="1" bestFit="1" customWidth="1"/>
    <col min="3" max="14" width="14.7109375" style="1" customWidth="1"/>
    <col min="15" max="15" width="16.28515625" style="1" customWidth="1"/>
    <col min="16" max="16" width="4.7109375" style="1" customWidth="1"/>
    <col min="17" max="17" width="1.7109375" style="1" customWidth="1"/>
    <col min="18" max="19" width="9.140625" style="1"/>
    <col min="20" max="20" width="11.140625" style="1" customWidth="1"/>
    <col min="21" max="16384" width="9.140625" style="1"/>
  </cols>
  <sheetData>
    <row r="1" spans="1:20" s="89" customFormat="1" ht="24" customHeight="1" x14ac:dyDescent="0.3">
      <c r="A1" s="85" t="s">
        <v>8</v>
      </c>
      <c r="B1" s="86"/>
      <c r="C1" s="86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8" t="s">
        <v>72</v>
      </c>
    </row>
    <row r="2" spans="1:20" s="89" customFormat="1" ht="45" customHeight="1" x14ac:dyDescent="0.35">
      <c r="A2" s="90" t="s">
        <v>9</v>
      </c>
      <c r="B2" s="136" t="s">
        <v>15</v>
      </c>
      <c r="C2" s="136"/>
      <c r="D2" s="136"/>
      <c r="E2" s="91"/>
      <c r="F2" s="8"/>
      <c r="G2" s="8"/>
      <c r="H2" s="8"/>
      <c r="I2" s="137" t="s">
        <v>59</v>
      </c>
      <c r="J2" s="137"/>
      <c r="K2" s="137"/>
      <c r="L2" s="137"/>
      <c r="M2" s="137"/>
      <c r="N2" s="133" t="s">
        <v>67</v>
      </c>
      <c r="O2" s="133"/>
      <c r="P2" s="87"/>
    </row>
    <row r="3" spans="1:20" s="89" customFormat="1" ht="30" customHeight="1" x14ac:dyDescent="0.3">
      <c r="A3" s="90" t="s">
        <v>10</v>
      </c>
      <c r="B3" s="136"/>
      <c r="C3" s="136"/>
      <c r="D3" s="136"/>
      <c r="E3" s="92"/>
      <c r="F3" s="9"/>
      <c r="G3" s="9"/>
      <c r="H3" s="9"/>
      <c r="I3" s="138" t="s">
        <v>60</v>
      </c>
      <c r="J3" s="138"/>
      <c r="K3" s="138"/>
      <c r="L3" s="138"/>
      <c r="M3" s="138"/>
      <c r="N3" s="133"/>
      <c r="O3" s="133"/>
      <c r="P3" s="87"/>
    </row>
    <row r="4" spans="1:20" s="94" customFormat="1" ht="49.5" customHeight="1" x14ac:dyDescent="0.3">
      <c r="A4" s="93" t="s">
        <v>11</v>
      </c>
      <c r="B4" s="22" t="s">
        <v>16</v>
      </c>
      <c r="C4" s="23" t="s">
        <v>43</v>
      </c>
      <c r="D4" s="23" t="s">
        <v>45</v>
      </c>
      <c r="E4" s="23" t="s">
        <v>47</v>
      </c>
      <c r="F4" s="23" t="s">
        <v>49</v>
      </c>
      <c r="G4" s="23" t="s">
        <v>51</v>
      </c>
      <c r="H4" s="23" t="s">
        <v>53</v>
      </c>
      <c r="I4" s="23" t="s">
        <v>55</v>
      </c>
      <c r="J4" s="23" t="s">
        <v>57</v>
      </c>
      <c r="K4" s="23" t="s">
        <v>61</v>
      </c>
      <c r="L4" s="23" t="s">
        <v>63</v>
      </c>
      <c r="M4" s="23" t="s">
        <v>65</v>
      </c>
      <c r="N4" s="23" t="s">
        <v>68</v>
      </c>
      <c r="O4" s="23" t="s">
        <v>70</v>
      </c>
      <c r="R4" s="131" t="s">
        <v>73</v>
      </c>
      <c r="S4" s="132"/>
      <c r="T4" s="132"/>
    </row>
    <row r="5" spans="1:20" s="96" customFormat="1" ht="24.95" customHeight="1" thickBot="1" x14ac:dyDescent="0.35">
      <c r="A5" s="95" t="s">
        <v>12</v>
      </c>
      <c r="B5" s="44" t="s">
        <v>17</v>
      </c>
      <c r="C5" s="61" t="s">
        <v>44</v>
      </c>
      <c r="D5" s="59" t="s">
        <v>46</v>
      </c>
      <c r="E5" s="59" t="s">
        <v>48</v>
      </c>
      <c r="F5" s="59" t="s">
        <v>50</v>
      </c>
      <c r="G5" s="59" t="s">
        <v>52</v>
      </c>
      <c r="H5" s="59" t="s">
        <v>54</v>
      </c>
      <c r="I5" s="59" t="s">
        <v>56</v>
      </c>
      <c r="J5" s="59" t="s">
        <v>58</v>
      </c>
      <c r="K5" s="59" t="s">
        <v>62</v>
      </c>
      <c r="L5" s="59" t="s">
        <v>64</v>
      </c>
      <c r="M5" s="59" t="s">
        <v>66</v>
      </c>
      <c r="N5" s="59" t="s">
        <v>69</v>
      </c>
      <c r="O5" s="60" t="s">
        <v>70</v>
      </c>
      <c r="R5" s="132"/>
      <c r="S5" s="132"/>
      <c r="T5" s="132"/>
    </row>
    <row r="6" spans="1:20" ht="24.95" customHeight="1" thickBot="1" x14ac:dyDescent="0.35">
      <c r="A6" s="32"/>
      <c r="B6" s="45" t="s">
        <v>18</v>
      </c>
      <c r="C6" s="97">
        <v>85000</v>
      </c>
      <c r="D6" s="98">
        <v>85000</v>
      </c>
      <c r="E6" s="98">
        <v>85000</v>
      </c>
      <c r="F6" s="98">
        <v>87500</v>
      </c>
      <c r="G6" s="98">
        <v>87500</v>
      </c>
      <c r="H6" s="98">
        <v>87500</v>
      </c>
      <c r="I6" s="98">
        <v>87500</v>
      </c>
      <c r="J6" s="98">
        <v>92400</v>
      </c>
      <c r="K6" s="98">
        <v>92400</v>
      </c>
      <c r="L6" s="98">
        <v>92400</v>
      </c>
      <c r="M6" s="98">
        <v>92400</v>
      </c>
      <c r="N6" s="98">
        <v>92400</v>
      </c>
      <c r="O6" s="99">
        <f>SUM(C6:N6)</f>
        <v>1067000</v>
      </c>
      <c r="R6" s="132"/>
      <c r="S6" s="132"/>
      <c r="T6" s="132"/>
    </row>
    <row r="7" spans="1:20" ht="24.95" customHeight="1" thickBot="1" x14ac:dyDescent="0.35">
      <c r="A7" s="32"/>
      <c r="B7" s="45" t="s">
        <v>19</v>
      </c>
      <c r="C7" s="97">
        <f t="shared" ref="C7:N7" si="0">C6*0.27</f>
        <v>22950</v>
      </c>
      <c r="D7" s="98">
        <f t="shared" si="0"/>
        <v>22950</v>
      </c>
      <c r="E7" s="98">
        <f t="shared" si="0"/>
        <v>22950</v>
      </c>
      <c r="F7" s="98">
        <f t="shared" si="0"/>
        <v>23625</v>
      </c>
      <c r="G7" s="98">
        <f t="shared" si="0"/>
        <v>23625</v>
      </c>
      <c r="H7" s="98">
        <f t="shared" si="0"/>
        <v>23625</v>
      </c>
      <c r="I7" s="98">
        <f t="shared" si="0"/>
        <v>23625</v>
      </c>
      <c r="J7" s="98">
        <f t="shared" si="0"/>
        <v>24948</v>
      </c>
      <c r="K7" s="98">
        <f t="shared" si="0"/>
        <v>24948</v>
      </c>
      <c r="L7" s="98">
        <f t="shared" si="0"/>
        <v>24948</v>
      </c>
      <c r="M7" s="98">
        <f t="shared" si="0"/>
        <v>24948</v>
      </c>
      <c r="N7" s="98">
        <f t="shared" si="0"/>
        <v>24948</v>
      </c>
      <c r="O7" s="99">
        <f>SUM(C7:N7)</f>
        <v>288090</v>
      </c>
      <c r="R7" s="132"/>
      <c r="S7" s="132"/>
      <c r="T7" s="132"/>
    </row>
    <row r="8" spans="1:20" ht="24.95" customHeight="1" x14ac:dyDescent="0.3">
      <c r="A8" s="32"/>
      <c r="B8" s="46" t="s">
        <v>20</v>
      </c>
      <c r="C8" s="100">
        <f>SUBTOTAL(109,СотрудникиПлан[Январь])</f>
        <v>107950</v>
      </c>
      <c r="D8" s="101">
        <f>SUBTOTAL(109,СотрудникиПлан[Февраль])</f>
        <v>107950</v>
      </c>
      <c r="E8" s="101">
        <f>SUBTOTAL(109,СотрудникиПлан[Март])</f>
        <v>107950</v>
      </c>
      <c r="F8" s="101">
        <f>SUBTOTAL(109,СотрудникиПлан[Апрель])</f>
        <v>111125</v>
      </c>
      <c r="G8" s="101">
        <f>SUBTOTAL(109,СотрудникиПлан[Май])</f>
        <v>111125</v>
      </c>
      <c r="H8" s="101">
        <f>SUBTOTAL(109,СотрудникиПлан[Июнь])</f>
        <v>111125</v>
      </c>
      <c r="I8" s="101">
        <f>SUBTOTAL(109,СотрудникиПлан[Июль])</f>
        <v>111125</v>
      </c>
      <c r="J8" s="101">
        <f>SUBTOTAL(109,СотрудникиПлан[Август])</f>
        <v>117348</v>
      </c>
      <c r="K8" s="101">
        <f>SUBTOTAL(109,СотрудникиПлан[Сентябрь])</f>
        <v>117348</v>
      </c>
      <c r="L8" s="101">
        <f>SUBTOTAL(109,СотрудникиПлан[Октябрь])</f>
        <v>117348</v>
      </c>
      <c r="M8" s="101">
        <f>SUBTOTAL(109,СотрудникиПлан[Ноябрь])</f>
        <v>117348</v>
      </c>
      <c r="N8" s="101">
        <f>SUBTOTAL(109,СотрудникиПлан[Декабрь])</f>
        <v>117348</v>
      </c>
      <c r="O8" s="102">
        <f>SUBTOTAL(109,СотрудникиПлан[ГОД])</f>
        <v>1355090</v>
      </c>
      <c r="R8" s="132"/>
      <c r="S8" s="132"/>
      <c r="T8" s="132"/>
    </row>
    <row r="9" spans="1:20" ht="21" customHeight="1" thickBot="1" x14ac:dyDescent="0.35">
      <c r="A9" s="32"/>
      <c r="B9" s="134"/>
      <c r="C9" s="13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R9" s="132"/>
      <c r="S9" s="132"/>
      <c r="T9" s="132"/>
    </row>
    <row r="10" spans="1:20" ht="24.95" customHeight="1" thickBot="1" x14ac:dyDescent="0.35">
      <c r="A10" s="32" t="s">
        <v>97</v>
      </c>
      <c r="B10" s="55" t="s">
        <v>21</v>
      </c>
      <c r="C10" s="52" t="s">
        <v>44</v>
      </c>
      <c r="D10" s="53" t="s">
        <v>46</v>
      </c>
      <c r="E10" s="53" t="s">
        <v>48</v>
      </c>
      <c r="F10" s="53" t="s">
        <v>50</v>
      </c>
      <c r="G10" s="53" t="s">
        <v>52</v>
      </c>
      <c r="H10" s="53" t="s">
        <v>54</v>
      </c>
      <c r="I10" s="53" t="s">
        <v>56</v>
      </c>
      <c r="J10" s="53" t="s">
        <v>58</v>
      </c>
      <c r="K10" s="53" t="s">
        <v>62</v>
      </c>
      <c r="L10" s="53" t="s">
        <v>64</v>
      </c>
      <c r="M10" s="53" t="s">
        <v>66</v>
      </c>
      <c r="N10" s="53" t="s">
        <v>69</v>
      </c>
      <c r="O10" s="54" t="s">
        <v>70</v>
      </c>
      <c r="R10" s="132"/>
      <c r="S10" s="132"/>
      <c r="T10" s="132"/>
    </row>
    <row r="11" spans="1:20" ht="24.95" customHeight="1" thickBot="1" x14ac:dyDescent="0.35">
      <c r="A11" s="32"/>
      <c r="B11" s="81" t="s">
        <v>22</v>
      </c>
      <c r="C11" s="97">
        <v>9800</v>
      </c>
      <c r="D11" s="98">
        <v>9800</v>
      </c>
      <c r="E11" s="98">
        <v>9800</v>
      </c>
      <c r="F11" s="98">
        <v>9800</v>
      </c>
      <c r="G11" s="98">
        <v>9800</v>
      </c>
      <c r="H11" s="98">
        <v>9800</v>
      </c>
      <c r="I11" s="98">
        <v>9800</v>
      </c>
      <c r="J11" s="98">
        <v>9800</v>
      </c>
      <c r="K11" s="98">
        <v>9800</v>
      </c>
      <c r="L11" s="98">
        <v>9800</v>
      </c>
      <c r="M11" s="98">
        <v>9800</v>
      </c>
      <c r="N11" s="98">
        <v>9800</v>
      </c>
      <c r="O11" s="99">
        <f t="shared" ref="O11:O18" si="1">SUM(C11:N11)</f>
        <v>117600</v>
      </c>
      <c r="R11" s="132"/>
      <c r="S11" s="132"/>
      <c r="T11" s="132"/>
    </row>
    <row r="12" spans="1:20" ht="24.95" customHeight="1" thickBot="1" x14ac:dyDescent="0.35">
      <c r="A12" s="32"/>
      <c r="B12" s="81" t="s">
        <v>23</v>
      </c>
      <c r="C12" s="97"/>
      <c r="D12" s="98">
        <v>400</v>
      </c>
      <c r="E12" s="98">
        <v>400</v>
      </c>
      <c r="F12" s="98">
        <v>100</v>
      </c>
      <c r="G12" s="98">
        <v>100</v>
      </c>
      <c r="H12" s="98">
        <v>100</v>
      </c>
      <c r="I12" s="98">
        <v>100</v>
      </c>
      <c r="J12" s="98">
        <v>100</v>
      </c>
      <c r="K12" s="98">
        <v>100</v>
      </c>
      <c r="L12" s="98">
        <v>100</v>
      </c>
      <c r="M12" s="98">
        <v>400</v>
      </c>
      <c r="N12" s="98">
        <v>400</v>
      </c>
      <c r="O12" s="99">
        <f t="shared" si="1"/>
        <v>2300</v>
      </c>
      <c r="R12" s="132"/>
      <c r="S12" s="132"/>
      <c r="T12" s="132"/>
    </row>
    <row r="13" spans="1:20" ht="24.95" customHeight="1" thickBot="1" x14ac:dyDescent="0.35">
      <c r="A13" s="32"/>
      <c r="B13" s="81" t="s">
        <v>24</v>
      </c>
      <c r="C13" s="97">
        <v>300</v>
      </c>
      <c r="D13" s="98">
        <v>300</v>
      </c>
      <c r="E13" s="98">
        <v>300</v>
      </c>
      <c r="F13" s="98">
        <v>300</v>
      </c>
      <c r="G13" s="98">
        <v>300</v>
      </c>
      <c r="H13" s="98">
        <v>300</v>
      </c>
      <c r="I13" s="98">
        <v>300</v>
      </c>
      <c r="J13" s="98">
        <v>300</v>
      </c>
      <c r="K13" s="98">
        <v>300</v>
      </c>
      <c r="L13" s="98">
        <v>300</v>
      </c>
      <c r="M13" s="98">
        <v>300</v>
      </c>
      <c r="N13" s="98">
        <v>300</v>
      </c>
      <c r="O13" s="99">
        <f t="shared" si="1"/>
        <v>3600</v>
      </c>
      <c r="R13" s="132"/>
      <c r="S13" s="132"/>
      <c r="T13" s="132"/>
    </row>
    <row r="14" spans="1:20" ht="24.95" customHeight="1" thickBot="1" x14ac:dyDescent="0.35">
      <c r="A14" s="32"/>
      <c r="B14" s="81" t="s">
        <v>25</v>
      </c>
      <c r="C14" s="97">
        <v>40</v>
      </c>
      <c r="D14" s="98">
        <v>40</v>
      </c>
      <c r="E14" s="98">
        <v>40</v>
      </c>
      <c r="F14" s="98">
        <v>40</v>
      </c>
      <c r="G14" s="98">
        <v>40</v>
      </c>
      <c r="H14" s="98">
        <v>40</v>
      </c>
      <c r="I14" s="98">
        <v>40</v>
      </c>
      <c r="J14" s="98">
        <v>40</v>
      </c>
      <c r="K14" s="98">
        <v>40</v>
      </c>
      <c r="L14" s="98">
        <v>40</v>
      </c>
      <c r="M14" s="98">
        <v>40</v>
      </c>
      <c r="N14" s="98">
        <v>40</v>
      </c>
      <c r="O14" s="99">
        <f t="shared" si="1"/>
        <v>480</v>
      </c>
    </row>
    <row r="15" spans="1:20" ht="24.95" customHeight="1" thickBot="1" x14ac:dyDescent="0.35">
      <c r="A15" s="32"/>
      <c r="B15" s="81" t="s">
        <v>26</v>
      </c>
      <c r="C15" s="97">
        <v>250</v>
      </c>
      <c r="D15" s="98">
        <v>250</v>
      </c>
      <c r="E15" s="98">
        <v>250</v>
      </c>
      <c r="F15" s="98">
        <v>250</v>
      </c>
      <c r="G15" s="98">
        <v>250</v>
      </c>
      <c r="H15" s="98">
        <v>250</v>
      </c>
      <c r="I15" s="98">
        <v>250</v>
      </c>
      <c r="J15" s="98">
        <v>250</v>
      </c>
      <c r="K15" s="98">
        <v>250</v>
      </c>
      <c r="L15" s="98">
        <v>250</v>
      </c>
      <c r="M15" s="98">
        <v>250</v>
      </c>
      <c r="N15" s="98">
        <v>250</v>
      </c>
      <c r="O15" s="99">
        <f t="shared" si="1"/>
        <v>3000</v>
      </c>
    </row>
    <row r="16" spans="1:20" ht="24.95" customHeight="1" thickBot="1" x14ac:dyDescent="0.35">
      <c r="A16" s="32"/>
      <c r="B16" s="81" t="s">
        <v>27</v>
      </c>
      <c r="C16" s="97">
        <v>180</v>
      </c>
      <c r="D16" s="98">
        <v>180</v>
      </c>
      <c r="E16" s="98">
        <v>180</v>
      </c>
      <c r="F16" s="98">
        <v>180</v>
      </c>
      <c r="G16" s="98">
        <v>180</v>
      </c>
      <c r="H16" s="98">
        <v>180</v>
      </c>
      <c r="I16" s="98">
        <v>180</v>
      </c>
      <c r="J16" s="98">
        <v>180</v>
      </c>
      <c r="K16" s="98">
        <v>180</v>
      </c>
      <c r="L16" s="98">
        <v>180</v>
      </c>
      <c r="M16" s="98">
        <v>180</v>
      </c>
      <c r="N16" s="98">
        <v>180</v>
      </c>
      <c r="O16" s="99">
        <f t="shared" si="1"/>
        <v>2160</v>
      </c>
    </row>
    <row r="17" spans="1:15" ht="24.95" customHeight="1" thickBot="1" x14ac:dyDescent="0.35">
      <c r="A17" s="32"/>
      <c r="B17" s="81" t="s">
        <v>28</v>
      </c>
      <c r="C17" s="97">
        <v>200</v>
      </c>
      <c r="D17" s="98">
        <v>200</v>
      </c>
      <c r="E17" s="98">
        <v>200</v>
      </c>
      <c r="F17" s="98">
        <v>200</v>
      </c>
      <c r="G17" s="98">
        <v>200</v>
      </c>
      <c r="H17" s="98">
        <v>200</v>
      </c>
      <c r="I17" s="98">
        <v>200</v>
      </c>
      <c r="J17" s="98">
        <v>200</v>
      </c>
      <c r="K17" s="98">
        <v>200</v>
      </c>
      <c r="L17" s="98">
        <v>200</v>
      </c>
      <c r="M17" s="98">
        <v>200</v>
      </c>
      <c r="N17" s="98">
        <v>200</v>
      </c>
      <c r="O17" s="99">
        <f t="shared" si="1"/>
        <v>2400</v>
      </c>
    </row>
    <row r="18" spans="1:15" ht="24.95" customHeight="1" thickBot="1" x14ac:dyDescent="0.35">
      <c r="A18" s="32"/>
      <c r="B18" s="81" t="s">
        <v>29</v>
      </c>
      <c r="C18" s="97">
        <v>600</v>
      </c>
      <c r="D18" s="98">
        <v>600</v>
      </c>
      <c r="E18" s="98">
        <v>600</v>
      </c>
      <c r="F18" s="98">
        <v>600</v>
      </c>
      <c r="G18" s="98">
        <v>600</v>
      </c>
      <c r="H18" s="98">
        <v>600</v>
      </c>
      <c r="I18" s="98">
        <v>600</v>
      </c>
      <c r="J18" s="98">
        <v>600</v>
      </c>
      <c r="K18" s="98">
        <v>600</v>
      </c>
      <c r="L18" s="98">
        <v>600</v>
      </c>
      <c r="M18" s="98">
        <v>600</v>
      </c>
      <c r="N18" s="98">
        <v>600</v>
      </c>
      <c r="O18" s="99">
        <f t="shared" si="1"/>
        <v>7200</v>
      </c>
    </row>
    <row r="19" spans="1:15" ht="24.95" customHeight="1" thickBot="1" x14ac:dyDescent="0.35">
      <c r="A19" s="32"/>
      <c r="B19" s="62" t="s">
        <v>20</v>
      </c>
      <c r="C19" s="103">
        <f>SUBTOTAL(109,ОфисПлан[Январь])</f>
        <v>11370</v>
      </c>
      <c r="D19" s="104">
        <f>SUBTOTAL(109,ОфисПлан[Февраль])</f>
        <v>11770</v>
      </c>
      <c r="E19" s="104">
        <f>SUBTOTAL(109,ОфисПлан[Март])</f>
        <v>11770</v>
      </c>
      <c r="F19" s="104">
        <f>SUBTOTAL(109,ОфисПлан[Апрель])</f>
        <v>11470</v>
      </c>
      <c r="G19" s="104">
        <f>SUBTOTAL(109,ОфисПлан[Май])</f>
        <v>11470</v>
      </c>
      <c r="H19" s="104">
        <f>SUBTOTAL(109,ОфисПлан[Июнь])</f>
        <v>11470</v>
      </c>
      <c r="I19" s="104">
        <f>SUBTOTAL(109,ОфисПлан[Июль])</f>
        <v>11470</v>
      </c>
      <c r="J19" s="104">
        <f>SUBTOTAL(109,ОфисПлан[Август])</f>
        <v>11470</v>
      </c>
      <c r="K19" s="104">
        <f>SUBTOTAL(109,ОфисПлан[Сентябрь])</f>
        <v>11470</v>
      </c>
      <c r="L19" s="104">
        <f>SUBTOTAL(109,ОфисПлан[Октябрь])</f>
        <v>11470</v>
      </c>
      <c r="M19" s="104">
        <f>SUBTOTAL(109,ОфисПлан[Ноябрь])</f>
        <v>11770</v>
      </c>
      <c r="N19" s="104">
        <f>SUBTOTAL(109,ОфисПлан[Декабрь])</f>
        <v>11770</v>
      </c>
      <c r="O19" s="105">
        <f>SUBTOTAL(109,ОфисПлан[ГОД])</f>
        <v>138740</v>
      </c>
    </row>
    <row r="20" spans="1:15" ht="21" customHeight="1" x14ac:dyDescent="0.3">
      <c r="A20" s="32"/>
      <c r="B20" s="135"/>
      <c r="C20" s="135"/>
      <c r="D20" s="114"/>
      <c r="E20" s="114"/>
      <c r="F20" s="116"/>
      <c r="G20" s="116"/>
      <c r="H20" s="116"/>
      <c r="I20" s="116"/>
      <c r="J20" s="116"/>
      <c r="K20" s="116"/>
      <c r="L20" s="116"/>
      <c r="M20" s="116"/>
      <c r="N20" s="116"/>
      <c r="O20" s="115"/>
    </row>
    <row r="21" spans="1:15" ht="24.95" customHeight="1" thickBot="1" x14ac:dyDescent="0.35">
      <c r="A21" s="32" t="s">
        <v>13</v>
      </c>
      <c r="B21" s="56" t="s">
        <v>30</v>
      </c>
      <c r="C21" s="49" t="s">
        <v>44</v>
      </c>
      <c r="D21" s="49" t="s">
        <v>46</v>
      </c>
      <c r="E21" s="49" t="s">
        <v>48</v>
      </c>
      <c r="F21" s="49" t="s">
        <v>50</v>
      </c>
      <c r="G21" s="49" t="s">
        <v>52</v>
      </c>
      <c r="H21" s="49" t="s">
        <v>54</v>
      </c>
      <c r="I21" s="49" t="s">
        <v>56</v>
      </c>
      <c r="J21" s="49" t="s">
        <v>58</v>
      </c>
      <c r="K21" s="49" t="s">
        <v>62</v>
      </c>
      <c r="L21" s="49" t="s">
        <v>64</v>
      </c>
      <c r="M21" s="49" t="s">
        <v>66</v>
      </c>
      <c r="N21" s="49" t="s">
        <v>69</v>
      </c>
      <c r="O21" s="50" t="s">
        <v>70</v>
      </c>
    </row>
    <row r="22" spans="1:15" ht="24.95" customHeight="1" thickBot="1" x14ac:dyDescent="0.35">
      <c r="A22" s="32"/>
      <c r="B22" s="45" t="s">
        <v>31</v>
      </c>
      <c r="C22" s="106">
        <v>500</v>
      </c>
      <c r="D22" s="107">
        <v>500</v>
      </c>
      <c r="E22" s="107">
        <v>500</v>
      </c>
      <c r="F22" s="107">
        <v>500</v>
      </c>
      <c r="G22" s="107">
        <v>500</v>
      </c>
      <c r="H22" s="107">
        <v>500</v>
      </c>
      <c r="I22" s="107">
        <v>500</v>
      </c>
      <c r="J22" s="107">
        <v>500</v>
      </c>
      <c r="K22" s="107">
        <v>500</v>
      </c>
      <c r="L22" s="107">
        <v>500</v>
      </c>
      <c r="M22" s="107">
        <v>500</v>
      </c>
      <c r="N22" s="107">
        <v>500</v>
      </c>
      <c r="O22" s="99">
        <f t="shared" ref="O22:O27" si="2">SUM(C22:N22)</f>
        <v>6000</v>
      </c>
    </row>
    <row r="23" spans="1:15" ht="24.95" customHeight="1" thickBot="1" x14ac:dyDescent="0.35">
      <c r="A23" s="32"/>
      <c r="B23" s="45" t="s">
        <v>32</v>
      </c>
      <c r="C23" s="106">
        <v>200</v>
      </c>
      <c r="D23" s="107">
        <v>200</v>
      </c>
      <c r="E23" s="107">
        <v>200</v>
      </c>
      <c r="F23" s="107">
        <v>200</v>
      </c>
      <c r="G23" s="107">
        <v>200</v>
      </c>
      <c r="H23" s="107">
        <v>1000</v>
      </c>
      <c r="I23" s="107">
        <v>200</v>
      </c>
      <c r="J23" s="107">
        <v>200</v>
      </c>
      <c r="K23" s="107">
        <v>200</v>
      </c>
      <c r="L23" s="107">
        <v>200</v>
      </c>
      <c r="M23" s="107">
        <v>200</v>
      </c>
      <c r="N23" s="107">
        <v>1000</v>
      </c>
      <c r="O23" s="99">
        <f t="shared" si="2"/>
        <v>4000</v>
      </c>
    </row>
    <row r="24" spans="1:15" ht="24.95" customHeight="1" thickBot="1" x14ac:dyDescent="0.35">
      <c r="A24" s="32"/>
      <c r="B24" s="45" t="s">
        <v>33</v>
      </c>
      <c r="C24" s="106">
        <v>5000</v>
      </c>
      <c r="D24" s="107">
        <v>0</v>
      </c>
      <c r="E24" s="107">
        <v>0</v>
      </c>
      <c r="F24" s="107">
        <v>5000</v>
      </c>
      <c r="G24" s="107">
        <v>0</v>
      </c>
      <c r="H24" s="107">
        <v>0</v>
      </c>
      <c r="I24" s="107">
        <v>5000</v>
      </c>
      <c r="J24" s="107">
        <v>0</v>
      </c>
      <c r="K24" s="107">
        <v>0</v>
      </c>
      <c r="L24" s="107">
        <v>5000</v>
      </c>
      <c r="M24" s="107">
        <v>0</v>
      </c>
      <c r="N24" s="107">
        <v>0</v>
      </c>
      <c r="O24" s="99">
        <f t="shared" si="2"/>
        <v>20000</v>
      </c>
    </row>
    <row r="25" spans="1:15" ht="24.95" customHeight="1" thickBot="1" x14ac:dyDescent="0.35">
      <c r="A25" s="32"/>
      <c r="B25" s="45" t="s">
        <v>34</v>
      </c>
      <c r="C25" s="106">
        <v>200</v>
      </c>
      <c r="D25" s="107">
        <v>200</v>
      </c>
      <c r="E25" s="107">
        <v>200</v>
      </c>
      <c r="F25" s="107">
        <v>200</v>
      </c>
      <c r="G25" s="107">
        <v>200</v>
      </c>
      <c r="H25" s="107">
        <v>200</v>
      </c>
      <c r="I25" s="107">
        <v>200</v>
      </c>
      <c r="J25" s="107">
        <v>200</v>
      </c>
      <c r="K25" s="107">
        <v>200</v>
      </c>
      <c r="L25" s="107">
        <v>200</v>
      </c>
      <c r="M25" s="107">
        <v>200</v>
      </c>
      <c r="N25" s="107">
        <v>200</v>
      </c>
      <c r="O25" s="99">
        <f t="shared" si="2"/>
        <v>2400</v>
      </c>
    </row>
    <row r="26" spans="1:15" ht="24.95" customHeight="1" thickBot="1" x14ac:dyDescent="0.35">
      <c r="A26" s="32"/>
      <c r="B26" s="45" t="s">
        <v>35</v>
      </c>
      <c r="C26" s="106">
        <v>2000</v>
      </c>
      <c r="D26" s="107">
        <v>2000</v>
      </c>
      <c r="E26" s="107">
        <v>2000</v>
      </c>
      <c r="F26" s="107">
        <v>5000</v>
      </c>
      <c r="G26" s="107">
        <v>2000</v>
      </c>
      <c r="H26" s="107">
        <v>2000</v>
      </c>
      <c r="I26" s="107">
        <v>2000</v>
      </c>
      <c r="J26" s="107">
        <v>5000</v>
      </c>
      <c r="K26" s="107">
        <v>2000</v>
      </c>
      <c r="L26" s="107">
        <v>2000</v>
      </c>
      <c r="M26" s="107">
        <v>2000</v>
      </c>
      <c r="N26" s="107">
        <v>5000</v>
      </c>
      <c r="O26" s="99">
        <f t="shared" si="2"/>
        <v>33000</v>
      </c>
    </row>
    <row r="27" spans="1:15" ht="24.95" customHeight="1" thickBot="1" x14ac:dyDescent="0.35">
      <c r="A27" s="32"/>
      <c r="B27" s="45" t="s">
        <v>36</v>
      </c>
      <c r="C27" s="106">
        <v>200</v>
      </c>
      <c r="D27" s="107">
        <v>200</v>
      </c>
      <c r="E27" s="107">
        <v>200</v>
      </c>
      <c r="F27" s="107">
        <v>200</v>
      </c>
      <c r="G27" s="107">
        <v>200</v>
      </c>
      <c r="H27" s="107">
        <v>200</v>
      </c>
      <c r="I27" s="107">
        <v>200</v>
      </c>
      <c r="J27" s="107">
        <v>200</v>
      </c>
      <c r="K27" s="107">
        <v>200</v>
      </c>
      <c r="L27" s="107">
        <v>200</v>
      </c>
      <c r="M27" s="107">
        <v>200</v>
      </c>
      <c r="N27" s="107">
        <v>200</v>
      </c>
      <c r="O27" s="99">
        <f t="shared" si="2"/>
        <v>2400</v>
      </c>
    </row>
    <row r="28" spans="1:15" ht="24.95" customHeight="1" x14ac:dyDescent="0.3">
      <c r="A28" s="32"/>
      <c r="B28" s="47" t="s">
        <v>20</v>
      </c>
      <c r="C28" s="100">
        <f>SUBTOTAL(109,МаркетингПлан[Январь])</f>
        <v>8100</v>
      </c>
      <c r="D28" s="101">
        <f>SUBTOTAL(109,МаркетингПлан[Февраль])</f>
        <v>3100</v>
      </c>
      <c r="E28" s="101">
        <f>SUBTOTAL(109,МаркетингПлан[Март])</f>
        <v>3100</v>
      </c>
      <c r="F28" s="101">
        <f>SUBTOTAL(109,МаркетингПлан[Апрель])</f>
        <v>11100</v>
      </c>
      <c r="G28" s="101">
        <f>SUBTOTAL(109,МаркетингПлан[Май])</f>
        <v>3100</v>
      </c>
      <c r="H28" s="101">
        <f>SUBTOTAL(109,МаркетингПлан[Июнь])</f>
        <v>3900</v>
      </c>
      <c r="I28" s="101">
        <f>SUBTOTAL(109,МаркетингПлан[Июль])</f>
        <v>8100</v>
      </c>
      <c r="J28" s="101">
        <f>SUBTOTAL(109,МаркетингПлан[Август])</f>
        <v>6100</v>
      </c>
      <c r="K28" s="101">
        <f>SUBTOTAL(109,МаркетингПлан[Сентябрь])</f>
        <v>3100</v>
      </c>
      <c r="L28" s="101">
        <f>SUBTOTAL(109,МаркетингПлан[Октябрь])</f>
        <v>8100</v>
      </c>
      <c r="M28" s="101">
        <f>SUBTOTAL(109,МаркетингПлан[Ноябрь])</f>
        <v>3100</v>
      </c>
      <c r="N28" s="101">
        <f>SUBTOTAL(109,МаркетингПлан[Декабрь])</f>
        <v>6900</v>
      </c>
      <c r="O28" s="102">
        <f>SUBTOTAL(109,МаркетингПлан[ГОД])</f>
        <v>67800</v>
      </c>
    </row>
    <row r="29" spans="1:15" ht="21" customHeight="1" x14ac:dyDescent="0.3">
      <c r="A29" s="32"/>
      <c r="B29" s="134"/>
      <c r="C29" s="13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5"/>
    </row>
    <row r="30" spans="1:15" ht="21" customHeight="1" thickBot="1" x14ac:dyDescent="0.35">
      <c r="A30" s="32" t="s">
        <v>14</v>
      </c>
      <c r="B30" s="57" t="s">
        <v>37</v>
      </c>
      <c r="C30" s="49" t="s">
        <v>44</v>
      </c>
      <c r="D30" s="49" t="s">
        <v>46</v>
      </c>
      <c r="E30" s="49" t="s">
        <v>48</v>
      </c>
      <c r="F30" s="49" t="s">
        <v>50</v>
      </c>
      <c r="G30" s="49" t="s">
        <v>52</v>
      </c>
      <c r="H30" s="49" t="s">
        <v>54</v>
      </c>
      <c r="I30" s="49" t="s">
        <v>56</v>
      </c>
      <c r="J30" s="49" t="s">
        <v>58</v>
      </c>
      <c r="K30" s="49" t="s">
        <v>62</v>
      </c>
      <c r="L30" s="49" t="s">
        <v>64</v>
      </c>
      <c r="M30" s="49" t="s">
        <v>66</v>
      </c>
      <c r="N30" s="49" t="s">
        <v>69</v>
      </c>
      <c r="O30" s="50" t="s">
        <v>70</v>
      </c>
    </row>
    <row r="31" spans="1:15" ht="21" customHeight="1" thickBot="1" x14ac:dyDescent="0.35">
      <c r="A31" s="32"/>
      <c r="B31" s="45" t="s">
        <v>38</v>
      </c>
      <c r="C31" s="106">
        <v>2000</v>
      </c>
      <c r="D31" s="107">
        <v>2000</v>
      </c>
      <c r="E31" s="107">
        <v>2000</v>
      </c>
      <c r="F31" s="107">
        <v>2000</v>
      </c>
      <c r="G31" s="107">
        <v>2000</v>
      </c>
      <c r="H31" s="107">
        <v>2000</v>
      </c>
      <c r="I31" s="107">
        <v>2000</v>
      </c>
      <c r="J31" s="107">
        <v>2000</v>
      </c>
      <c r="K31" s="107">
        <v>2000</v>
      </c>
      <c r="L31" s="107">
        <v>2000</v>
      </c>
      <c r="M31" s="107">
        <v>2000</v>
      </c>
      <c r="N31" s="107">
        <v>2000</v>
      </c>
      <c r="O31" s="108">
        <f>SUM(C31:N31)</f>
        <v>24000</v>
      </c>
    </row>
    <row r="32" spans="1:15" ht="21" customHeight="1" thickBot="1" x14ac:dyDescent="0.35">
      <c r="A32" s="32"/>
      <c r="B32" s="45" t="s">
        <v>39</v>
      </c>
      <c r="C32" s="106">
        <v>2000</v>
      </c>
      <c r="D32" s="107">
        <v>2000</v>
      </c>
      <c r="E32" s="107">
        <v>2000</v>
      </c>
      <c r="F32" s="107">
        <v>2000</v>
      </c>
      <c r="G32" s="107">
        <v>2000</v>
      </c>
      <c r="H32" s="107">
        <v>2000</v>
      </c>
      <c r="I32" s="107">
        <v>2000</v>
      </c>
      <c r="J32" s="107">
        <v>2000</v>
      </c>
      <c r="K32" s="107">
        <v>2000</v>
      </c>
      <c r="L32" s="107">
        <v>2000</v>
      </c>
      <c r="M32" s="107">
        <v>2000</v>
      </c>
      <c r="N32" s="107">
        <v>2000</v>
      </c>
      <c r="O32" s="108">
        <f>SUM(C32:N32)</f>
        <v>24000</v>
      </c>
    </row>
    <row r="33" spans="1:15" ht="21" customHeight="1" x14ac:dyDescent="0.3">
      <c r="A33" s="32"/>
      <c r="B33" s="47" t="s">
        <v>20</v>
      </c>
      <c r="C33" s="109">
        <f>SUBTOTAL(109,ОбучениеИКомандировкиПлан[Январь])</f>
        <v>4000</v>
      </c>
      <c r="D33" s="110">
        <f>SUBTOTAL(109,ОбучениеИКомандировкиПлан[Февраль])</f>
        <v>4000</v>
      </c>
      <c r="E33" s="110">
        <f>SUBTOTAL(109,ОбучениеИКомандировкиПлан[Март])</f>
        <v>4000</v>
      </c>
      <c r="F33" s="110">
        <f>SUBTOTAL(109,ОбучениеИКомандировкиПлан[Апрель])</f>
        <v>4000</v>
      </c>
      <c r="G33" s="110">
        <f>SUBTOTAL(109,ОбучениеИКомандировкиПлан[Май])</f>
        <v>4000</v>
      </c>
      <c r="H33" s="110">
        <f>SUBTOTAL(109,ОбучениеИКомандировкиПлан[Июнь])</f>
        <v>4000</v>
      </c>
      <c r="I33" s="110">
        <f>SUBTOTAL(109,ОбучениеИКомандировкиПлан[Июль])</f>
        <v>4000</v>
      </c>
      <c r="J33" s="110">
        <f>SUBTOTAL(109,ОбучениеИКомандировкиПлан[Август])</f>
        <v>4000</v>
      </c>
      <c r="K33" s="110">
        <f>SUBTOTAL(109,ОбучениеИКомандировкиПлан[Сентябрь])</f>
        <v>4000</v>
      </c>
      <c r="L33" s="110">
        <f>SUBTOTAL(109,ОбучениеИКомандировкиПлан[Октябрь])</f>
        <v>4000</v>
      </c>
      <c r="M33" s="110">
        <f>SUBTOTAL(109,ОбучениеИКомандировкиПлан[Ноябрь])</f>
        <v>4000</v>
      </c>
      <c r="N33" s="110">
        <f>SUBTOTAL(109,ОбучениеИКомандировкиПлан[Декабрь])</f>
        <v>4000</v>
      </c>
      <c r="O33" s="111">
        <f>SUBTOTAL(109,ОбучениеИКомандировкиПлан[ГОД])</f>
        <v>48000</v>
      </c>
    </row>
    <row r="34" spans="1:15" ht="21" customHeight="1" x14ac:dyDescent="0.3">
      <c r="A34" s="32"/>
      <c r="B34" s="134"/>
      <c r="C34" s="134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1:15" ht="24.95" customHeight="1" thickBot="1" x14ac:dyDescent="0.35">
      <c r="A35" s="32" t="s">
        <v>98</v>
      </c>
      <c r="B35" s="24" t="s">
        <v>40</v>
      </c>
      <c r="C35" s="26" t="s">
        <v>44</v>
      </c>
      <c r="D35" s="26" t="s">
        <v>46</v>
      </c>
      <c r="E35" s="26" t="s">
        <v>48</v>
      </c>
      <c r="F35" s="26" t="s">
        <v>50</v>
      </c>
      <c r="G35" s="26" t="s">
        <v>52</v>
      </c>
      <c r="H35" s="26" t="s">
        <v>54</v>
      </c>
      <c r="I35" s="26" t="s">
        <v>56</v>
      </c>
      <c r="J35" s="26" t="s">
        <v>58</v>
      </c>
      <c r="K35" s="26" t="s">
        <v>62</v>
      </c>
      <c r="L35" s="26" t="s">
        <v>64</v>
      </c>
      <c r="M35" s="26" t="s">
        <v>66</v>
      </c>
      <c r="N35" s="26" t="s">
        <v>69</v>
      </c>
      <c r="O35" s="26" t="s">
        <v>71</v>
      </c>
    </row>
    <row r="36" spans="1:15" ht="24.95" customHeight="1" thickBot="1" x14ac:dyDescent="0.35">
      <c r="A36" s="32"/>
      <c r="B36" s="25" t="s">
        <v>41</v>
      </c>
      <c r="C36" s="112">
        <f>ОбучениеИКомандировкиПлан[[#Totals],[Январь]]+МаркетингПлан[[#Totals],[Январь]]+ОфисПлан[[#Totals],[Январь]]+СотрудникиПлан[[#Totals],[Январь]]</f>
        <v>131420</v>
      </c>
      <c r="D36" s="112">
        <f>ОбучениеИКомандировкиПлан[[#Totals],[Февраль]]+МаркетингПлан[[#Totals],[Февраль]]+ОфисПлан[[#Totals],[Февраль]]+СотрудникиПлан[[#Totals],[Февраль]]</f>
        <v>126820</v>
      </c>
      <c r="E36" s="112">
        <f>ОбучениеИКомандировкиПлан[[#Totals],[Март]]+МаркетингПлан[[#Totals],[Март]]+ОфисПлан[[#Totals],[Март]]+СотрудникиПлан[[#Totals],[Март]]</f>
        <v>126820</v>
      </c>
      <c r="F36" s="112">
        <f>ОбучениеИКомандировкиПлан[[#Totals],[Апрель]]+МаркетингПлан[[#Totals],[Апрель]]+ОфисПлан[[#Totals],[Апрель]]+СотрудникиПлан[[#Totals],[Апрель]]</f>
        <v>137695</v>
      </c>
      <c r="G36" s="112">
        <f>ОбучениеИКомандировкиПлан[[#Totals],[Май]]+МаркетингПлан[[#Totals],[Май]]+ОфисПлан[[#Totals],[Май]]+СотрудникиПлан[[#Totals],[Май]]</f>
        <v>129695</v>
      </c>
      <c r="H36" s="112">
        <f>ОбучениеИКомандировкиПлан[[#Totals],[Июнь]]+МаркетингПлан[[#Totals],[Июнь]]+ОфисПлан[[#Totals],[Июнь]]+СотрудникиПлан[[#Totals],[Июнь]]</f>
        <v>130495</v>
      </c>
      <c r="I36" s="113">
        <f>ОбучениеИКомандировкиПлан[[#Totals],[Июль]]+МаркетингПлан[[#Totals],[Июль]]+ОфисПлан[[#Totals],[Июль]]+СотрудникиПлан[[#Totals],[Июль]]</f>
        <v>134695</v>
      </c>
      <c r="J36" s="112">
        <f>ОбучениеИКомандировкиПлан[[#Totals],[Август]]+МаркетингПлан[[#Totals],[Август]]+ОфисПлан[[#Totals],[Август]]+СотрудникиПлан[[#Totals],[Август]]</f>
        <v>138918</v>
      </c>
      <c r="K36" s="112">
        <f>ОбучениеИКомандировкиПлан[[#Totals],[Сентябрь]]+МаркетингПлан[[#Totals],[Сентябрь]]+ОфисПлан[[#Totals],[Сентябрь]]+СотрудникиПлан[[#Totals],[Сентябрь]]</f>
        <v>135918</v>
      </c>
      <c r="L36" s="112">
        <f>ОбучениеИКомандировкиПлан[[#Totals],[Октябрь]]+МаркетингПлан[[#Totals],[Октябрь]]+ОфисПлан[[#Totals],[Октябрь]]+СотрудникиПлан[[#Totals],[Октябрь]]</f>
        <v>140918</v>
      </c>
      <c r="M36" s="112">
        <f>ОбучениеИКомандировкиПлан[[#Totals],[Ноябрь]]+МаркетингПлан[[#Totals],[Ноябрь]]+ОфисПлан[[#Totals],[Ноябрь]]+СотрудникиПлан[[#Totals],[Ноябрь]]</f>
        <v>136218</v>
      </c>
      <c r="N36" s="112">
        <f>ОбучениеИКомандировкиПлан[[#Totals],[Декабрь]]+МаркетингПлан[[#Totals],[Декабрь]]+ОфисПлан[[#Totals],[Декабрь]]+СотрудникиПлан[[#Totals],[Декабрь]]</f>
        <v>140018</v>
      </c>
      <c r="O36" s="112">
        <f>ОбучениеИКомандировкиПлан[[#Totals],[ГОД]]+МаркетингПлан[[#Totals],[ГОД]]+ОфисПлан[[#Totals],[ГОД]]+СотрудникиПлан[[#Totals],[ГОД]]</f>
        <v>1609630</v>
      </c>
    </row>
    <row r="37" spans="1:15" ht="24.95" customHeight="1" x14ac:dyDescent="0.3">
      <c r="A37" s="32"/>
      <c r="B37" s="25" t="s">
        <v>42</v>
      </c>
      <c r="C37" s="112">
        <f>SUM($C$36:C36)</f>
        <v>131420</v>
      </c>
      <c r="D37" s="112">
        <f>SUM($C$36:D36)</f>
        <v>258240</v>
      </c>
      <c r="E37" s="112">
        <f>SUM($C$36:E36)</f>
        <v>385060</v>
      </c>
      <c r="F37" s="112">
        <f>SUM($C$36:F36)</f>
        <v>522755</v>
      </c>
      <c r="G37" s="112">
        <f>SUM($C$36:G36)</f>
        <v>652450</v>
      </c>
      <c r="H37" s="112">
        <f>SUM($C$36:H36)</f>
        <v>782945</v>
      </c>
      <c r="I37" s="112">
        <f>SUM($C$36:I36)</f>
        <v>917640</v>
      </c>
      <c r="J37" s="112">
        <f>SUM($C$36:J36)</f>
        <v>1056558</v>
      </c>
      <c r="K37" s="112">
        <f>SUM($C$36:K36)</f>
        <v>1192476</v>
      </c>
      <c r="L37" s="112">
        <f>SUM($C$36:L36)</f>
        <v>1333394</v>
      </c>
      <c r="M37" s="112">
        <f>SUM($C$36:M36)</f>
        <v>1469612</v>
      </c>
      <c r="N37" s="112">
        <f>SUM($C$36:N36)</f>
        <v>1609630</v>
      </c>
      <c r="O37" s="112"/>
    </row>
    <row r="38" spans="1:15" ht="21" customHeight="1" x14ac:dyDescent="0.3">
      <c r="A38" s="32"/>
      <c r="N38" s="3"/>
      <c r="O38" s="3"/>
    </row>
  </sheetData>
  <mergeCells count="9">
    <mergeCell ref="R4:T13"/>
    <mergeCell ref="N2:O3"/>
    <mergeCell ref="B34:C34"/>
    <mergeCell ref="B29:C29"/>
    <mergeCell ref="B20:C20"/>
    <mergeCell ref="B9:C9"/>
    <mergeCell ref="B2:D3"/>
    <mergeCell ref="I2:M2"/>
    <mergeCell ref="I3:M3"/>
  </mergeCell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C6:N6 C36:O37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3B893D"/>
    <pageSetUpPr autoPageBreaks="0" fitToPage="1"/>
  </sheetPr>
  <dimension ref="A1:P41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59.42578125" style="4" bestFit="1" customWidth="1"/>
    <col min="3" max="14" width="14.7109375" style="4" customWidth="1"/>
    <col min="15" max="15" width="16.28515625" style="4" customWidth="1"/>
    <col min="16" max="16" width="4.7109375" style="1" customWidth="1"/>
    <col min="17" max="16384" width="9.140625" style="4"/>
  </cols>
  <sheetData>
    <row r="1" spans="1:16" s="89" customFormat="1" ht="24" customHeight="1" x14ac:dyDescent="0.3">
      <c r="A1" s="85" t="s">
        <v>74</v>
      </c>
      <c r="B1" s="86"/>
      <c r="C1" s="86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8" t="s">
        <v>72</v>
      </c>
    </row>
    <row r="2" spans="1:16" s="89" customFormat="1" ht="45" customHeight="1" x14ac:dyDescent="0.35">
      <c r="A2" s="90" t="s">
        <v>75</v>
      </c>
      <c r="B2" s="136" t="str">
        <f>'ЗАПЛАНИРОВАННЫЕ РАСХОДЫ'!B2:D3</f>
        <v>Название компании</v>
      </c>
      <c r="C2" s="136"/>
      <c r="D2" s="136"/>
      <c r="E2" s="91"/>
      <c r="F2" s="8"/>
      <c r="G2" s="8"/>
      <c r="H2" s="8"/>
      <c r="I2" s="137" t="str">
        <f>заголовок_листа</f>
        <v>Подробные оценочные показатели расходов</v>
      </c>
      <c r="J2" s="137"/>
      <c r="K2" s="137"/>
      <c r="L2" s="137"/>
      <c r="M2" s="137"/>
      <c r="N2" s="133" t="s">
        <v>67</v>
      </c>
      <c r="O2" s="133"/>
      <c r="P2" s="87"/>
    </row>
    <row r="3" spans="1:16" s="89" customFormat="1" ht="30" customHeight="1" x14ac:dyDescent="0.3">
      <c r="A3" s="90" t="s">
        <v>10</v>
      </c>
      <c r="B3" s="136"/>
      <c r="C3" s="136"/>
      <c r="D3" s="136"/>
      <c r="E3" s="92"/>
      <c r="F3" s="9"/>
      <c r="G3" s="9"/>
      <c r="H3" s="9"/>
      <c r="I3" s="139" t="s">
        <v>60</v>
      </c>
      <c r="J3" s="139"/>
      <c r="K3" s="139"/>
      <c r="L3" s="139"/>
      <c r="M3" s="139"/>
      <c r="N3" s="133"/>
      <c r="O3" s="133"/>
      <c r="P3" s="87"/>
    </row>
    <row r="4" spans="1:16" s="94" customFormat="1" ht="49.5" customHeight="1" x14ac:dyDescent="0.3">
      <c r="A4" s="93" t="s">
        <v>76</v>
      </c>
      <c r="B4" s="22" t="s">
        <v>80</v>
      </c>
      <c r="C4" s="23" t="s">
        <v>43</v>
      </c>
      <c r="D4" s="23" t="s">
        <v>45</v>
      </c>
      <c r="E4" s="23" t="s">
        <v>47</v>
      </c>
      <c r="F4" s="23" t="s">
        <v>49</v>
      </c>
      <c r="G4" s="23" t="s">
        <v>51</v>
      </c>
      <c r="H4" s="23" t="s">
        <v>53</v>
      </c>
      <c r="I4" s="23" t="s">
        <v>55</v>
      </c>
      <c r="J4" s="23" t="s">
        <v>57</v>
      </c>
      <c r="K4" s="23" t="s">
        <v>61</v>
      </c>
      <c r="L4" s="23" t="s">
        <v>63</v>
      </c>
      <c r="M4" s="23" t="s">
        <v>65</v>
      </c>
      <c r="N4" s="23" t="s">
        <v>68</v>
      </c>
      <c r="O4" s="23" t="s">
        <v>70</v>
      </c>
    </row>
    <row r="5" spans="1:16" s="5" customFormat="1" ht="24.95" customHeight="1" thickBot="1" x14ac:dyDescent="0.35">
      <c r="A5" s="39" t="s">
        <v>77</v>
      </c>
      <c r="B5" s="44" t="s">
        <v>17</v>
      </c>
      <c r="C5" s="68" t="s">
        <v>44</v>
      </c>
      <c r="D5" s="64" t="s">
        <v>46</v>
      </c>
      <c r="E5" s="64" t="s">
        <v>48</v>
      </c>
      <c r="F5" s="64" t="s">
        <v>50</v>
      </c>
      <c r="G5" s="64" t="s">
        <v>52</v>
      </c>
      <c r="H5" s="64" t="s">
        <v>54</v>
      </c>
      <c r="I5" s="64" t="s">
        <v>56</v>
      </c>
      <c r="J5" s="64" t="s">
        <v>58</v>
      </c>
      <c r="K5" s="64" t="s">
        <v>62</v>
      </c>
      <c r="L5" s="64" t="s">
        <v>64</v>
      </c>
      <c r="M5" s="64" t="s">
        <v>66</v>
      </c>
      <c r="N5" s="64" t="s">
        <v>69</v>
      </c>
      <c r="O5" s="65" t="s">
        <v>70</v>
      </c>
      <c r="P5" s="3"/>
    </row>
    <row r="6" spans="1:16" s="5" customFormat="1" ht="24.95" customHeight="1" thickBot="1" x14ac:dyDescent="0.35">
      <c r="A6" s="32"/>
      <c r="B6" s="45" t="s">
        <v>18</v>
      </c>
      <c r="C6" s="106">
        <v>85000</v>
      </c>
      <c r="D6" s="107">
        <v>85000</v>
      </c>
      <c r="E6" s="107">
        <v>85000</v>
      </c>
      <c r="F6" s="107">
        <v>88000</v>
      </c>
      <c r="G6" s="107">
        <v>88000</v>
      </c>
      <c r="H6" s="107">
        <v>88000</v>
      </c>
      <c r="I6" s="107"/>
      <c r="J6" s="107"/>
      <c r="K6" s="107"/>
      <c r="L6" s="107"/>
      <c r="M6" s="107"/>
      <c r="N6" s="107"/>
      <c r="O6" s="108">
        <f>SUM(C6:N6)</f>
        <v>519000</v>
      </c>
      <c r="P6" s="1"/>
    </row>
    <row r="7" spans="1:16" s="5" customFormat="1" ht="24.95" customHeight="1" thickBot="1" x14ac:dyDescent="0.35">
      <c r="A7" s="32"/>
      <c r="B7" s="45" t="s">
        <v>19</v>
      </c>
      <c r="C7" s="106">
        <f t="shared" ref="C7:N7" si="0">C6*0.27</f>
        <v>22950</v>
      </c>
      <c r="D7" s="107">
        <f t="shared" si="0"/>
        <v>22950</v>
      </c>
      <c r="E7" s="107">
        <f t="shared" si="0"/>
        <v>22950</v>
      </c>
      <c r="F7" s="107">
        <f t="shared" si="0"/>
        <v>23760</v>
      </c>
      <c r="G7" s="107">
        <f t="shared" si="0"/>
        <v>23760</v>
      </c>
      <c r="H7" s="107">
        <f t="shared" si="0"/>
        <v>23760</v>
      </c>
      <c r="I7" s="107">
        <f t="shared" si="0"/>
        <v>0</v>
      </c>
      <c r="J7" s="107">
        <f t="shared" si="0"/>
        <v>0</v>
      </c>
      <c r="K7" s="107">
        <f t="shared" si="0"/>
        <v>0</v>
      </c>
      <c r="L7" s="107">
        <f t="shared" si="0"/>
        <v>0</v>
      </c>
      <c r="M7" s="107">
        <f t="shared" si="0"/>
        <v>0</v>
      </c>
      <c r="N7" s="107">
        <f t="shared" si="0"/>
        <v>0</v>
      </c>
      <c r="O7" s="108">
        <f>SUM(C7:N7)</f>
        <v>140130</v>
      </c>
      <c r="P7" s="1"/>
    </row>
    <row r="8" spans="1:16" ht="24.95" customHeight="1" x14ac:dyDescent="0.3">
      <c r="A8" s="32"/>
      <c r="B8" s="69" t="s">
        <v>20</v>
      </c>
      <c r="C8" s="117">
        <f>SUBTOTAL(109,СотрудникиФактические[Январь])</f>
        <v>107950</v>
      </c>
      <c r="D8" s="118">
        <f>SUBTOTAL(109,СотрудникиФактические[Февраль])</f>
        <v>107950</v>
      </c>
      <c r="E8" s="118">
        <f>SUBTOTAL(109,СотрудникиФактические[Март])</f>
        <v>107950</v>
      </c>
      <c r="F8" s="118">
        <f>SUBTOTAL(109,СотрудникиФактические[Апрель])</f>
        <v>111760</v>
      </c>
      <c r="G8" s="118">
        <f>SUBTOTAL(109,СотрудникиФактические[Май])</f>
        <v>111760</v>
      </c>
      <c r="H8" s="118">
        <f>SUBTOTAL(109,СотрудникиФактические[Июнь])</f>
        <v>111760</v>
      </c>
      <c r="I8" s="118">
        <f>SUBTOTAL(109,СотрудникиФактические[Июль])</f>
        <v>0</v>
      </c>
      <c r="J8" s="118">
        <f>SUBTOTAL(109,СотрудникиФактические[Август])</f>
        <v>0</v>
      </c>
      <c r="K8" s="118">
        <f>SUBTOTAL(109,СотрудникиФактические[Сентябрь])</f>
        <v>0</v>
      </c>
      <c r="L8" s="118">
        <f>SUBTOTAL(109,СотрудникиФактические[Октябрь])</f>
        <v>0</v>
      </c>
      <c r="M8" s="118">
        <f>SUBTOTAL(109,СотрудникиФактические[Ноябрь])</f>
        <v>0</v>
      </c>
      <c r="N8" s="118">
        <f>SUBTOTAL(109,СотрудникиФактические[Декабрь])</f>
        <v>0</v>
      </c>
      <c r="O8" s="119">
        <f>SUBTOTAL(109,СотрудникиФактические[ГОД])</f>
        <v>659130</v>
      </c>
    </row>
    <row r="9" spans="1:16" s="1" customFormat="1" ht="21" customHeight="1" x14ac:dyDescent="0.3">
      <c r="A9" s="32"/>
      <c r="B9" s="134"/>
      <c r="C9" s="13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</row>
    <row r="10" spans="1:16" ht="24.95" customHeight="1" thickBot="1" x14ac:dyDescent="0.35">
      <c r="A10" s="32" t="s">
        <v>99</v>
      </c>
      <c r="B10" s="51" t="s">
        <v>21</v>
      </c>
      <c r="C10" s="68" t="s">
        <v>44</v>
      </c>
      <c r="D10" s="64" t="s">
        <v>46</v>
      </c>
      <c r="E10" s="64" t="s">
        <v>48</v>
      </c>
      <c r="F10" s="64" t="s">
        <v>50</v>
      </c>
      <c r="G10" s="64" t="s">
        <v>52</v>
      </c>
      <c r="H10" s="64" t="s">
        <v>54</v>
      </c>
      <c r="I10" s="64" t="s">
        <v>56</v>
      </c>
      <c r="J10" s="64" t="s">
        <v>58</v>
      </c>
      <c r="K10" s="64" t="s">
        <v>62</v>
      </c>
      <c r="L10" s="64" t="s">
        <v>64</v>
      </c>
      <c r="M10" s="64" t="s">
        <v>66</v>
      </c>
      <c r="N10" s="64" t="s">
        <v>69</v>
      </c>
      <c r="O10" s="65" t="s">
        <v>70</v>
      </c>
    </row>
    <row r="11" spans="1:16" ht="24.95" customHeight="1" thickBot="1" x14ac:dyDescent="0.35">
      <c r="A11" s="32"/>
      <c r="B11" s="45" t="s">
        <v>22</v>
      </c>
      <c r="C11" s="106">
        <v>9800</v>
      </c>
      <c r="D11" s="107">
        <v>9800</v>
      </c>
      <c r="E11" s="107">
        <v>9800</v>
      </c>
      <c r="F11" s="107">
        <v>9800</v>
      </c>
      <c r="G11" s="107">
        <v>9800</v>
      </c>
      <c r="H11" s="107">
        <v>9800</v>
      </c>
      <c r="I11" s="107"/>
      <c r="J11" s="107"/>
      <c r="K11" s="107"/>
      <c r="L11" s="107"/>
      <c r="M11" s="107"/>
      <c r="N11" s="107"/>
      <c r="O11" s="108">
        <f t="shared" ref="O11:O18" si="1">SUM(C11:N11)</f>
        <v>58800</v>
      </c>
    </row>
    <row r="12" spans="1:16" ht="24.95" customHeight="1" thickBot="1" x14ac:dyDescent="0.35">
      <c r="A12" s="32"/>
      <c r="B12" s="45" t="s">
        <v>23</v>
      </c>
      <c r="C12" s="106">
        <v>4</v>
      </c>
      <c r="D12" s="107">
        <v>430</v>
      </c>
      <c r="E12" s="107">
        <v>385</v>
      </c>
      <c r="F12" s="107">
        <v>230</v>
      </c>
      <c r="G12" s="107">
        <v>87</v>
      </c>
      <c r="H12" s="107">
        <v>88</v>
      </c>
      <c r="I12" s="107"/>
      <c r="J12" s="107"/>
      <c r="K12" s="107"/>
      <c r="L12" s="107"/>
      <c r="M12" s="107"/>
      <c r="N12" s="107"/>
      <c r="O12" s="108">
        <f t="shared" si="1"/>
        <v>1224</v>
      </c>
    </row>
    <row r="13" spans="1:16" ht="24.95" customHeight="1" thickBot="1" x14ac:dyDescent="0.35">
      <c r="A13" s="32"/>
      <c r="B13" s="45" t="s">
        <v>24</v>
      </c>
      <c r="C13" s="106">
        <v>288</v>
      </c>
      <c r="D13" s="107">
        <v>278</v>
      </c>
      <c r="E13" s="107">
        <v>268</v>
      </c>
      <c r="F13" s="107">
        <v>299</v>
      </c>
      <c r="G13" s="107">
        <v>306</v>
      </c>
      <c r="H13" s="107">
        <v>290</v>
      </c>
      <c r="I13" s="107"/>
      <c r="J13" s="107"/>
      <c r="K13" s="107"/>
      <c r="L13" s="107"/>
      <c r="M13" s="107"/>
      <c r="N13" s="107"/>
      <c r="O13" s="108">
        <f t="shared" si="1"/>
        <v>1729</v>
      </c>
    </row>
    <row r="14" spans="1:16" ht="24.95" customHeight="1" thickBot="1" x14ac:dyDescent="0.35">
      <c r="A14" s="32"/>
      <c r="B14" s="45" t="s">
        <v>25</v>
      </c>
      <c r="C14" s="106">
        <v>35</v>
      </c>
      <c r="D14" s="107">
        <v>33</v>
      </c>
      <c r="E14" s="107">
        <v>34</v>
      </c>
      <c r="F14" s="107">
        <v>36</v>
      </c>
      <c r="G14" s="107">
        <v>34</v>
      </c>
      <c r="H14" s="107">
        <v>36</v>
      </c>
      <c r="I14" s="107"/>
      <c r="J14" s="107"/>
      <c r="K14" s="107"/>
      <c r="L14" s="107"/>
      <c r="M14" s="107"/>
      <c r="N14" s="107"/>
      <c r="O14" s="108">
        <f t="shared" si="1"/>
        <v>208</v>
      </c>
    </row>
    <row r="15" spans="1:16" ht="24.95" customHeight="1" thickBot="1" x14ac:dyDescent="0.35">
      <c r="A15" s="32"/>
      <c r="B15" s="45" t="s">
        <v>26</v>
      </c>
      <c r="C15" s="106">
        <v>224</v>
      </c>
      <c r="D15" s="107">
        <v>235</v>
      </c>
      <c r="E15" s="107">
        <v>265</v>
      </c>
      <c r="F15" s="107">
        <v>245</v>
      </c>
      <c r="G15" s="107">
        <v>245</v>
      </c>
      <c r="H15" s="107">
        <v>220</v>
      </c>
      <c r="I15" s="107"/>
      <c r="J15" s="107"/>
      <c r="K15" s="107"/>
      <c r="L15" s="107"/>
      <c r="M15" s="107"/>
      <c r="N15" s="107"/>
      <c r="O15" s="108">
        <f t="shared" si="1"/>
        <v>1434</v>
      </c>
    </row>
    <row r="16" spans="1:16" ht="24.95" customHeight="1" thickBot="1" x14ac:dyDescent="0.35">
      <c r="A16" s="32"/>
      <c r="B16" s="45" t="s">
        <v>27</v>
      </c>
      <c r="C16" s="106">
        <v>180</v>
      </c>
      <c r="D16" s="107">
        <v>180</v>
      </c>
      <c r="E16" s="107">
        <v>180</v>
      </c>
      <c r="F16" s="107">
        <v>180</v>
      </c>
      <c r="G16" s="107">
        <v>180</v>
      </c>
      <c r="H16" s="107">
        <v>180</v>
      </c>
      <c r="I16" s="107"/>
      <c r="J16" s="107"/>
      <c r="K16" s="107"/>
      <c r="L16" s="107"/>
      <c r="M16" s="107"/>
      <c r="N16" s="107"/>
      <c r="O16" s="108">
        <f t="shared" si="1"/>
        <v>1080</v>
      </c>
    </row>
    <row r="17" spans="1:15" ht="24.95" customHeight="1" thickBot="1" x14ac:dyDescent="0.35">
      <c r="A17" s="32"/>
      <c r="B17" s="45" t="s">
        <v>28</v>
      </c>
      <c r="C17" s="106">
        <v>256</v>
      </c>
      <c r="D17" s="107">
        <v>142</v>
      </c>
      <c r="E17" s="107">
        <v>160</v>
      </c>
      <c r="F17" s="107">
        <v>221</v>
      </c>
      <c r="G17" s="107">
        <v>256</v>
      </c>
      <c r="H17" s="107">
        <v>240</v>
      </c>
      <c r="I17" s="107"/>
      <c r="J17" s="107"/>
      <c r="K17" s="107"/>
      <c r="L17" s="107"/>
      <c r="M17" s="107"/>
      <c r="N17" s="107"/>
      <c r="O17" s="108">
        <f t="shared" si="1"/>
        <v>1275</v>
      </c>
    </row>
    <row r="18" spans="1:15" ht="24.95" customHeight="1" thickBot="1" x14ac:dyDescent="0.35">
      <c r="A18" s="32"/>
      <c r="B18" s="45" t="s">
        <v>29</v>
      </c>
      <c r="C18" s="106">
        <v>600</v>
      </c>
      <c r="D18" s="107">
        <v>600</v>
      </c>
      <c r="E18" s="107">
        <v>600</v>
      </c>
      <c r="F18" s="107">
        <v>600</v>
      </c>
      <c r="G18" s="107">
        <v>600</v>
      </c>
      <c r="H18" s="107">
        <v>600</v>
      </c>
      <c r="I18" s="107"/>
      <c r="J18" s="107"/>
      <c r="K18" s="107"/>
      <c r="L18" s="107"/>
      <c r="M18" s="107"/>
      <c r="N18" s="107"/>
      <c r="O18" s="108">
        <f t="shared" si="1"/>
        <v>3600</v>
      </c>
    </row>
    <row r="19" spans="1:15" ht="24.95" customHeight="1" x14ac:dyDescent="0.3">
      <c r="A19" s="32"/>
      <c r="B19" s="70" t="s">
        <v>20</v>
      </c>
      <c r="C19" s="110">
        <f>SUBTOTAL(109,ОфисФактические[Январь])</f>
        <v>11387</v>
      </c>
      <c r="D19" s="110">
        <f>SUBTOTAL(109,ОфисФактические[Февраль])</f>
        <v>11698</v>
      </c>
      <c r="E19" s="110">
        <f>SUBTOTAL(109,ОфисФактические[Март])</f>
        <v>11692</v>
      </c>
      <c r="F19" s="110">
        <f>SUBTOTAL(109,ОфисФактические[Апрель])</f>
        <v>11611</v>
      </c>
      <c r="G19" s="110">
        <f>SUBTOTAL(109,ОфисФактические[Май])</f>
        <v>11508</v>
      </c>
      <c r="H19" s="110">
        <f>SUBTOTAL(109,ОфисФактические[Июнь])</f>
        <v>11454</v>
      </c>
      <c r="I19" s="110">
        <f>SUBTOTAL(109,ОфисФактические[Июль])</f>
        <v>0</v>
      </c>
      <c r="J19" s="110">
        <f>SUBTOTAL(109,ОфисФактические[Август])</f>
        <v>0</v>
      </c>
      <c r="K19" s="110">
        <f>SUBTOTAL(109,ОфисФактические[Сентябрь])</f>
        <v>0</v>
      </c>
      <c r="L19" s="110">
        <f>SUBTOTAL(109,ОфисФактические[Октябрь])</f>
        <v>0</v>
      </c>
      <c r="M19" s="110">
        <f>SUBTOTAL(109,ОфисФактические[Ноябрь])</f>
        <v>0</v>
      </c>
      <c r="N19" s="110">
        <f>SUBTOTAL(109,ОфисФактические[Декабрь])</f>
        <v>0</v>
      </c>
      <c r="O19" s="111">
        <f>SUBTOTAL(109,ОфисФактические[ГОД])</f>
        <v>69350</v>
      </c>
    </row>
    <row r="20" spans="1:15" ht="21" customHeight="1" x14ac:dyDescent="0.3">
      <c r="A20" s="32"/>
      <c r="B20" s="135"/>
      <c r="C20" s="135"/>
      <c r="D20" s="114"/>
      <c r="E20" s="114"/>
      <c r="F20" s="116"/>
      <c r="G20" s="116"/>
      <c r="H20" s="116"/>
      <c r="I20" s="116"/>
      <c r="J20" s="116"/>
      <c r="K20" s="116"/>
      <c r="L20" s="116"/>
      <c r="M20" s="116"/>
      <c r="N20" s="116"/>
      <c r="O20" s="115"/>
    </row>
    <row r="21" spans="1:15" ht="24.95" customHeight="1" thickBot="1" x14ac:dyDescent="0.35">
      <c r="A21" s="32" t="s">
        <v>78</v>
      </c>
      <c r="B21" s="71" t="s">
        <v>30</v>
      </c>
      <c r="C21" s="68" t="s">
        <v>44</v>
      </c>
      <c r="D21" s="64" t="s">
        <v>46</v>
      </c>
      <c r="E21" s="64" t="s">
        <v>48</v>
      </c>
      <c r="F21" s="64" t="s">
        <v>50</v>
      </c>
      <c r="G21" s="64" t="s">
        <v>52</v>
      </c>
      <c r="H21" s="64" t="s">
        <v>54</v>
      </c>
      <c r="I21" s="64" t="s">
        <v>56</v>
      </c>
      <c r="J21" s="64" t="s">
        <v>58</v>
      </c>
      <c r="K21" s="64" t="s">
        <v>62</v>
      </c>
      <c r="L21" s="64" t="s">
        <v>64</v>
      </c>
      <c r="M21" s="64" t="s">
        <v>66</v>
      </c>
      <c r="N21" s="64" t="s">
        <v>69</v>
      </c>
      <c r="O21" s="65" t="s">
        <v>70</v>
      </c>
    </row>
    <row r="22" spans="1:15" ht="24.95" customHeight="1" thickBot="1" x14ac:dyDescent="0.35">
      <c r="A22" s="32"/>
      <c r="B22" s="45" t="s">
        <v>31</v>
      </c>
      <c r="C22" s="106">
        <v>500</v>
      </c>
      <c r="D22" s="107">
        <v>500</v>
      </c>
      <c r="E22" s="107">
        <v>500</v>
      </c>
      <c r="F22" s="107">
        <v>500</v>
      </c>
      <c r="G22" s="107">
        <v>500</v>
      </c>
      <c r="H22" s="107">
        <v>500</v>
      </c>
      <c r="I22" s="107"/>
      <c r="J22" s="107"/>
      <c r="K22" s="107"/>
      <c r="L22" s="107"/>
      <c r="M22" s="107"/>
      <c r="N22" s="107"/>
      <c r="O22" s="108">
        <f t="shared" ref="O22:O27" si="2">SUM(C22:N22)</f>
        <v>3000</v>
      </c>
    </row>
    <row r="23" spans="1:15" ht="24.95" customHeight="1" thickBot="1" x14ac:dyDescent="0.35">
      <c r="A23" s="32"/>
      <c r="B23" s="45" t="s">
        <v>32</v>
      </c>
      <c r="C23" s="106">
        <v>200</v>
      </c>
      <c r="D23" s="107">
        <v>200</v>
      </c>
      <c r="E23" s="107">
        <v>200</v>
      </c>
      <c r="F23" s="107">
        <v>200</v>
      </c>
      <c r="G23" s="107">
        <v>200</v>
      </c>
      <c r="H23" s="107">
        <v>1500</v>
      </c>
      <c r="I23" s="107"/>
      <c r="J23" s="107"/>
      <c r="K23" s="107"/>
      <c r="L23" s="107"/>
      <c r="M23" s="107"/>
      <c r="N23" s="107"/>
      <c r="O23" s="108">
        <f t="shared" si="2"/>
        <v>2500</v>
      </c>
    </row>
    <row r="24" spans="1:15" ht="24.95" customHeight="1" thickBot="1" x14ac:dyDescent="0.35">
      <c r="A24" s="32"/>
      <c r="B24" s="45" t="s">
        <v>33</v>
      </c>
      <c r="C24" s="106">
        <v>4800</v>
      </c>
      <c r="D24" s="107">
        <v>0</v>
      </c>
      <c r="E24" s="107">
        <v>0</v>
      </c>
      <c r="F24" s="107">
        <v>5500</v>
      </c>
      <c r="G24" s="107">
        <v>0</v>
      </c>
      <c r="H24" s="107">
        <v>0</v>
      </c>
      <c r="I24" s="107"/>
      <c r="J24" s="107"/>
      <c r="K24" s="107"/>
      <c r="L24" s="107"/>
      <c r="M24" s="107"/>
      <c r="N24" s="107"/>
      <c r="O24" s="108">
        <f t="shared" si="2"/>
        <v>10300</v>
      </c>
    </row>
    <row r="25" spans="1:15" ht="24.95" customHeight="1" thickBot="1" x14ac:dyDescent="0.35">
      <c r="A25" s="32"/>
      <c r="B25" s="45" t="s">
        <v>34</v>
      </c>
      <c r="C25" s="106">
        <v>100</v>
      </c>
      <c r="D25" s="107">
        <v>500</v>
      </c>
      <c r="E25" s="107">
        <v>100</v>
      </c>
      <c r="F25" s="107">
        <v>100</v>
      </c>
      <c r="G25" s="107">
        <v>600</v>
      </c>
      <c r="H25" s="107">
        <v>180</v>
      </c>
      <c r="I25" s="107"/>
      <c r="J25" s="107"/>
      <c r="K25" s="107"/>
      <c r="L25" s="107"/>
      <c r="M25" s="107"/>
      <c r="N25" s="107"/>
      <c r="O25" s="108">
        <f t="shared" si="2"/>
        <v>1580</v>
      </c>
    </row>
    <row r="26" spans="1:15" ht="24.95" customHeight="1" thickBot="1" x14ac:dyDescent="0.35">
      <c r="A26" s="32"/>
      <c r="B26" s="45" t="s">
        <v>35</v>
      </c>
      <c r="C26" s="106">
        <v>1800</v>
      </c>
      <c r="D26" s="107">
        <v>2200</v>
      </c>
      <c r="E26" s="107">
        <v>2200</v>
      </c>
      <c r="F26" s="107">
        <v>4700</v>
      </c>
      <c r="G26" s="107">
        <v>1500</v>
      </c>
      <c r="H26" s="107">
        <v>2300</v>
      </c>
      <c r="I26" s="107"/>
      <c r="J26" s="107"/>
      <c r="K26" s="107"/>
      <c r="L26" s="107"/>
      <c r="M26" s="107"/>
      <c r="N26" s="107"/>
      <c r="O26" s="108">
        <f t="shared" si="2"/>
        <v>14700</v>
      </c>
    </row>
    <row r="27" spans="1:15" ht="24.95" customHeight="1" thickBot="1" x14ac:dyDescent="0.35">
      <c r="A27" s="32"/>
      <c r="B27" s="45" t="s">
        <v>36</v>
      </c>
      <c r="C27" s="106">
        <v>145</v>
      </c>
      <c r="D27" s="107">
        <v>156</v>
      </c>
      <c r="E27" s="107">
        <v>123</v>
      </c>
      <c r="F27" s="107">
        <v>223</v>
      </c>
      <c r="G27" s="107">
        <v>187</v>
      </c>
      <c r="H27" s="107">
        <v>245</v>
      </c>
      <c r="I27" s="107"/>
      <c r="J27" s="107"/>
      <c r="K27" s="107"/>
      <c r="L27" s="107"/>
      <c r="M27" s="107"/>
      <c r="N27" s="107"/>
      <c r="O27" s="108">
        <f t="shared" si="2"/>
        <v>1079</v>
      </c>
    </row>
    <row r="28" spans="1:15" ht="24.95" customHeight="1" x14ac:dyDescent="0.3">
      <c r="A28" s="32"/>
      <c r="B28" s="67" t="s">
        <v>20</v>
      </c>
      <c r="C28" s="120">
        <f>SUBTOTAL(109,МаркетингФактические[Январь])</f>
        <v>7545</v>
      </c>
      <c r="D28" s="110">
        <f>SUBTOTAL(109,МаркетингФактические[Февраль])</f>
        <v>3556</v>
      </c>
      <c r="E28" s="110">
        <f>SUBTOTAL(109,МаркетингФактические[Март])</f>
        <v>3123</v>
      </c>
      <c r="F28" s="110">
        <f>SUBTOTAL(109,МаркетингФактические[Апрель])</f>
        <v>11223</v>
      </c>
      <c r="G28" s="110">
        <f>SUBTOTAL(109,МаркетингФактические[Май])</f>
        <v>2987</v>
      </c>
      <c r="H28" s="110">
        <f>SUBTOTAL(109,МаркетингФактические[Июнь])</f>
        <v>4725</v>
      </c>
      <c r="I28" s="110">
        <f>SUBTOTAL(109,МаркетингФактические[Июль])</f>
        <v>0</v>
      </c>
      <c r="J28" s="110">
        <f>SUBTOTAL(109,МаркетингФактические[Август])</f>
        <v>0</v>
      </c>
      <c r="K28" s="110">
        <f>SUBTOTAL(109,МаркетингФактические[Сентябрь])</f>
        <v>0</v>
      </c>
      <c r="L28" s="110">
        <f>SUBTOTAL(109,МаркетингФактические[Октябрь])</f>
        <v>0</v>
      </c>
      <c r="M28" s="110">
        <f>SUBTOTAL(109,МаркетингФактические[Ноябрь])</f>
        <v>0</v>
      </c>
      <c r="N28" s="110">
        <f>SUBTOTAL(109,МаркетингФактические[Декабрь])</f>
        <v>0</v>
      </c>
      <c r="O28" s="111">
        <f>SUBTOTAL(109,МаркетингФактические[ГОД])</f>
        <v>33159</v>
      </c>
    </row>
    <row r="29" spans="1:15" ht="21" customHeight="1" x14ac:dyDescent="0.3">
      <c r="A29" s="32"/>
      <c r="B29" s="134"/>
      <c r="C29" s="13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5"/>
    </row>
    <row r="30" spans="1:15" ht="24.95" customHeight="1" thickBot="1" x14ac:dyDescent="0.35">
      <c r="A30" s="32" t="s">
        <v>79</v>
      </c>
      <c r="B30" s="58" t="s">
        <v>37</v>
      </c>
      <c r="C30" s="64" t="s">
        <v>44</v>
      </c>
      <c r="D30" s="64" t="s">
        <v>46</v>
      </c>
      <c r="E30" s="64" t="s">
        <v>48</v>
      </c>
      <c r="F30" s="64" t="s">
        <v>50</v>
      </c>
      <c r="G30" s="64" t="s">
        <v>52</v>
      </c>
      <c r="H30" s="64" t="s">
        <v>54</v>
      </c>
      <c r="I30" s="64" t="s">
        <v>56</v>
      </c>
      <c r="J30" s="64" t="s">
        <v>58</v>
      </c>
      <c r="K30" s="64" t="s">
        <v>62</v>
      </c>
      <c r="L30" s="64" t="s">
        <v>64</v>
      </c>
      <c r="M30" s="64" t="s">
        <v>66</v>
      </c>
      <c r="N30" s="64" t="s">
        <v>69</v>
      </c>
      <c r="O30" s="65" t="s">
        <v>70</v>
      </c>
    </row>
    <row r="31" spans="1:15" ht="24.95" customHeight="1" thickBot="1" x14ac:dyDescent="0.35">
      <c r="A31" s="32"/>
      <c r="B31" s="66" t="s">
        <v>38</v>
      </c>
      <c r="C31" s="107">
        <v>1600</v>
      </c>
      <c r="D31" s="107">
        <v>2400</v>
      </c>
      <c r="E31" s="107">
        <v>1400</v>
      </c>
      <c r="F31" s="107">
        <v>1600</v>
      </c>
      <c r="G31" s="107">
        <v>1200</v>
      </c>
      <c r="H31" s="107">
        <v>2800</v>
      </c>
      <c r="I31" s="107"/>
      <c r="J31" s="107"/>
      <c r="K31" s="107"/>
      <c r="L31" s="107"/>
      <c r="M31" s="107"/>
      <c r="N31" s="107"/>
      <c r="O31" s="108">
        <f>SUM(C31:N31)</f>
        <v>11000</v>
      </c>
    </row>
    <row r="32" spans="1:15" ht="24.95" customHeight="1" thickBot="1" x14ac:dyDescent="0.35">
      <c r="A32" s="32"/>
      <c r="B32" s="66" t="s">
        <v>39</v>
      </c>
      <c r="C32" s="107">
        <v>1200</v>
      </c>
      <c r="D32" s="107">
        <v>2200</v>
      </c>
      <c r="E32" s="107">
        <v>1400</v>
      </c>
      <c r="F32" s="107">
        <v>1200</v>
      </c>
      <c r="G32" s="107">
        <v>800</v>
      </c>
      <c r="H32" s="107">
        <v>3500</v>
      </c>
      <c r="I32" s="107"/>
      <c r="J32" s="107"/>
      <c r="K32" s="107"/>
      <c r="L32" s="107"/>
      <c r="M32" s="107"/>
      <c r="N32" s="107"/>
      <c r="O32" s="108">
        <f>SUM(C32:N32)</f>
        <v>10300</v>
      </c>
    </row>
    <row r="33" spans="1:16" ht="24.95" customHeight="1" x14ac:dyDescent="0.3">
      <c r="A33" s="32"/>
      <c r="B33" s="70" t="s">
        <v>20</v>
      </c>
      <c r="C33" s="110">
        <f>SUBTOTAL(109,ОбучениеИКомандировкиФактические[Январь])</f>
        <v>2800</v>
      </c>
      <c r="D33" s="110">
        <f>SUBTOTAL(109,ОбучениеИКомандировкиФактические[Февраль])</f>
        <v>4600</v>
      </c>
      <c r="E33" s="110">
        <f>SUBTOTAL(109,ОбучениеИКомандировкиФактические[Март])</f>
        <v>2800</v>
      </c>
      <c r="F33" s="110">
        <f>SUBTOTAL(109,ОбучениеИКомандировкиФактические[Апрель])</f>
        <v>2800</v>
      </c>
      <c r="G33" s="110">
        <f>SUBTOTAL(109,ОбучениеИКомандировкиФактические[Май])</f>
        <v>2000</v>
      </c>
      <c r="H33" s="110">
        <f>SUBTOTAL(109,ОбучениеИКомандировкиФактические[Июнь])</f>
        <v>6300</v>
      </c>
      <c r="I33" s="110">
        <f>SUBTOTAL(109,ОбучениеИКомандировкиФактические[Июль])</f>
        <v>0</v>
      </c>
      <c r="J33" s="110">
        <f>SUBTOTAL(109,ОбучениеИКомандировкиФактические[Август])</f>
        <v>0</v>
      </c>
      <c r="K33" s="110">
        <f>SUBTOTAL(109,ОбучениеИКомандировкиФактические[Сентябрь])</f>
        <v>0</v>
      </c>
      <c r="L33" s="110">
        <f>SUBTOTAL(109,ОбучениеИКомандировкиФактические[Октябрь])</f>
        <v>0</v>
      </c>
      <c r="M33" s="110">
        <f>SUBTOTAL(109,ОбучениеИКомандировкиФактические[Ноябрь])</f>
        <v>0</v>
      </c>
      <c r="N33" s="110">
        <f>SUBTOTAL(109,ОбучениеИКомандировкиФактические[Декабрь])</f>
        <v>0</v>
      </c>
      <c r="O33" s="111">
        <f>SUBTOTAL(109,ОбучениеИКомандировкиФактические[ГОД])</f>
        <v>21300</v>
      </c>
    </row>
    <row r="34" spans="1:16" ht="21" customHeight="1" x14ac:dyDescent="0.3">
      <c r="A34" s="32"/>
      <c r="B34" s="134"/>
      <c r="C34" s="134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1:16" ht="24.95" customHeight="1" thickBot="1" x14ac:dyDescent="0.35">
      <c r="A35" s="32" t="s">
        <v>100</v>
      </c>
      <c r="B35" s="28" t="s">
        <v>42</v>
      </c>
      <c r="C35" s="29" t="s">
        <v>44</v>
      </c>
      <c r="D35" s="29" t="s">
        <v>46</v>
      </c>
      <c r="E35" s="29" t="s">
        <v>48</v>
      </c>
      <c r="F35" s="29" t="s">
        <v>50</v>
      </c>
      <c r="G35" s="29" t="s">
        <v>52</v>
      </c>
      <c r="H35" s="29" t="s">
        <v>54</v>
      </c>
      <c r="I35" s="29" t="s">
        <v>56</v>
      </c>
      <c r="J35" s="29" t="s">
        <v>58</v>
      </c>
      <c r="K35" s="29" t="s">
        <v>62</v>
      </c>
      <c r="L35" s="29" t="s">
        <v>64</v>
      </c>
      <c r="M35" s="29" t="s">
        <v>66</v>
      </c>
      <c r="N35" s="29" t="s">
        <v>69</v>
      </c>
      <c r="O35" s="73" t="s">
        <v>71</v>
      </c>
    </row>
    <row r="36" spans="1:16" ht="24.95" customHeight="1" thickBot="1" x14ac:dyDescent="0.35">
      <c r="A36" s="32"/>
      <c r="B36" s="72" t="s">
        <v>81</v>
      </c>
      <c r="C36" s="121">
        <f>ОбучениеИКомандировкиФактические[[#Totals],[Январь]]+МаркетингФактические[[#Totals],[Январь]]+ОфисФактические[[#Totals],[Январь]]+СотрудникиФактические[[#Totals],[Январь]]</f>
        <v>129682</v>
      </c>
      <c r="D36" s="122">
        <f>ОбучениеИКомандировкиФактические[[#Totals],[Февраль]]+МаркетингФактические[[#Totals],[Февраль]]+ОфисФактические[[#Totals],[Февраль]]+СотрудникиФактические[[#Totals],[Февраль]]</f>
        <v>127804</v>
      </c>
      <c r="E36" s="122">
        <f>ОбучениеИКомандировкиФактические[[#Totals],[Март]]+МаркетингФактические[[#Totals],[Март]]+ОфисФактические[[#Totals],[Март]]+СотрудникиФактические[[#Totals],[Март]]</f>
        <v>125565</v>
      </c>
      <c r="F36" s="122">
        <f>ОбучениеИКомандировкиФактические[[#Totals],[Апрель]]+МаркетингФактические[[#Totals],[Апрель]]+ОфисФактические[[#Totals],[Апрель]]+СотрудникиФактические[[#Totals],[Апрель]]</f>
        <v>137394</v>
      </c>
      <c r="G36" s="122">
        <f>ОбучениеИКомандировкиФактические[[#Totals],[Май]]+МаркетингФактические[[#Totals],[Май]]+ОфисФактические[[#Totals],[Май]]+СотрудникиФактические[[#Totals],[Май]]</f>
        <v>128255</v>
      </c>
      <c r="H36" s="122">
        <f>ОбучениеИКомандировкиФактические[[#Totals],[Июнь]]+МаркетингФактические[[#Totals],[Июнь]]+ОфисФактические[[#Totals],[Июнь]]+СотрудникиФактические[[#Totals],[Июнь]]</f>
        <v>134239</v>
      </c>
      <c r="I36" s="122">
        <f>ОбучениеИКомандировкиФактические[[#Totals],[Июль]]+МаркетингФактические[[#Totals],[Июль]]+ОфисФактические[[#Totals],[Июль]]+СотрудникиФактические[[#Totals],[Июль]]</f>
        <v>0</v>
      </c>
      <c r="J36" s="122">
        <f>ОбучениеИКомандировкиФактические[[#Totals],[Август]]+МаркетингФактические[[#Totals],[Август]]+ОфисФактические[[#Totals],[Август]]+СотрудникиФактические[[#Totals],[Август]]</f>
        <v>0</v>
      </c>
      <c r="K36" s="122">
        <f>ОбучениеИКомандировкиФактические[[#Totals],[Сентябрь]]+МаркетингФактические[[#Totals],[Сентябрь]]+ОфисФактические[[#Totals],[Сентябрь]]+СотрудникиФактические[[#Totals],[Сентябрь]]</f>
        <v>0</v>
      </c>
      <c r="L36" s="122">
        <f>ОбучениеИКомандировкиФактические[[#Totals],[Октябрь]]+МаркетингФактические[[#Totals],[Октябрь]]+ОфисФактические[[#Totals],[Октябрь]]+СотрудникиФактические[[#Totals],[Октябрь]]</f>
        <v>0</v>
      </c>
      <c r="M36" s="122">
        <f>ОбучениеИКомандировкиФактические[[#Totals],[Ноябрь]]+МаркетингФактические[[#Totals],[Ноябрь]]+ОфисФактические[[#Totals],[Ноябрь]]+СотрудникиФактические[[#Totals],[Ноябрь]]</f>
        <v>0</v>
      </c>
      <c r="N36" s="122">
        <f>ОбучениеИКомандировкиФактические[[#Totals],[Декабрь]]+МаркетингФактические[[#Totals],[Декабрь]]+ОфисФактические[[#Totals],[Декабрь]]+СотрудникиФактические[[#Totals],[Декабрь]]</f>
        <v>0</v>
      </c>
      <c r="O36" s="122">
        <f>ОбучениеИКомандировкиФактические[[#Totals],[ГОД]]+МаркетингФактические[[#Totals],[ГОД]]+ОфисФактические[[#Totals],[ГОД]]+СотрудникиФактические[[#Totals],[ГОД]]</f>
        <v>782939</v>
      </c>
      <c r="P36"/>
    </row>
    <row r="37" spans="1:16" ht="24.95" customHeight="1" thickBot="1" x14ac:dyDescent="0.35">
      <c r="A37" s="32"/>
      <c r="B37" s="72" t="s">
        <v>82</v>
      </c>
      <c r="C37" s="123">
        <f>SUM($C$36:C36)</f>
        <v>129682</v>
      </c>
      <c r="D37" s="124">
        <f>SUM($C$36:D36)</f>
        <v>257486</v>
      </c>
      <c r="E37" s="124">
        <f>SUM($C$36:E36)</f>
        <v>383051</v>
      </c>
      <c r="F37" s="124">
        <f>SUM($C$36:F36)</f>
        <v>520445</v>
      </c>
      <c r="G37" s="124">
        <f>SUM($C$36:G36)</f>
        <v>648700</v>
      </c>
      <c r="H37" s="125">
        <f>SUM($C$36:H36)</f>
        <v>782939</v>
      </c>
      <c r="I37" s="124">
        <f>SUM($C$36:I36)</f>
        <v>782939</v>
      </c>
      <c r="J37" s="124">
        <f>SUM($C$36:J36)</f>
        <v>782939</v>
      </c>
      <c r="K37" s="124">
        <f>SUM($C$36:K36)</f>
        <v>782939</v>
      </c>
      <c r="L37" s="124">
        <f>SUM($C$36:L36)</f>
        <v>782939</v>
      </c>
      <c r="M37" s="125">
        <f>SUM($C$36:M36)</f>
        <v>782939</v>
      </c>
      <c r="N37" s="124">
        <f>SUM($C$36:N36)</f>
        <v>782939</v>
      </c>
      <c r="O37" s="125"/>
      <c r="P37"/>
    </row>
    <row r="38" spans="1:16" ht="21" customHeight="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14"/>
      <c r="M38" s="14"/>
      <c r="N38" s="14"/>
      <c r="O38" s="14"/>
    </row>
    <row r="39" spans="1:16" ht="21" customHeight="1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ht="21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21" customHeight="1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8">
    <mergeCell ref="N2:O3"/>
    <mergeCell ref="B34:C34"/>
    <mergeCell ref="B29:C29"/>
    <mergeCell ref="B20:C20"/>
    <mergeCell ref="B9:C9"/>
    <mergeCell ref="B2:D3"/>
    <mergeCell ref="I2:M2"/>
    <mergeCell ref="I3:M3"/>
  </mergeCell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2 O31:O33 O22:O28 O11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autoPageBreaks="0" fitToPage="1"/>
  </sheetPr>
  <dimension ref="A1:P38"/>
  <sheetViews>
    <sheetView showGridLines="0" zoomScaleNormal="100" workbookViewId="0"/>
  </sheetViews>
  <sheetFormatPr defaultColWidth="9.140625" defaultRowHeight="21" customHeight="1" x14ac:dyDescent="0.3"/>
  <cols>
    <col min="1" max="1" width="4.7109375" style="1" customWidth="1"/>
    <col min="2" max="2" width="59.42578125" style="4" bestFit="1" customWidth="1"/>
    <col min="3" max="14" width="14.7109375" style="4" customWidth="1"/>
    <col min="15" max="15" width="16.28515625" style="4" customWidth="1"/>
    <col min="16" max="16" width="4.7109375" style="1" customWidth="1"/>
    <col min="17" max="16384" width="9.140625" style="4"/>
  </cols>
  <sheetData>
    <row r="1" spans="1:16" s="89" customFormat="1" ht="24" customHeight="1" x14ac:dyDescent="0.3">
      <c r="A1" s="85" t="s">
        <v>83</v>
      </c>
      <c r="B1" s="86"/>
      <c r="C1" s="86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8" t="s">
        <v>72</v>
      </c>
    </row>
    <row r="2" spans="1:16" s="89" customFormat="1" ht="45" customHeight="1" x14ac:dyDescent="0.35">
      <c r="A2" s="90" t="s">
        <v>75</v>
      </c>
      <c r="B2" s="136" t="str">
        <f>'ЗАПЛАНИРОВАННЫЕ РАСХОДЫ'!B2:D3</f>
        <v>Название компании</v>
      </c>
      <c r="C2" s="136"/>
      <c r="D2" s="136"/>
      <c r="E2" s="91"/>
      <c r="F2" s="8"/>
      <c r="G2" s="8"/>
      <c r="H2" s="8"/>
      <c r="I2" s="137" t="str">
        <f>заголовок_листа</f>
        <v>Подробные оценочные показатели расходов</v>
      </c>
      <c r="J2" s="137"/>
      <c r="K2" s="137"/>
      <c r="L2" s="137"/>
      <c r="M2" s="137"/>
      <c r="N2" s="133" t="s">
        <v>67</v>
      </c>
      <c r="O2" s="133"/>
      <c r="P2" s="87"/>
    </row>
    <row r="3" spans="1:16" s="89" customFormat="1" ht="30" customHeight="1" x14ac:dyDescent="0.3">
      <c r="A3" s="90" t="s">
        <v>10</v>
      </c>
      <c r="B3" s="136"/>
      <c r="C3" s="136"/>
      <c r="D3" s="136"/>
      <c r="E3" s="92"/>
      <c r="F3" s="9"/>
      <c r="G3" s="9"/>
      <c r="H3" s="9"/>
      <c r="I3" s="139" t="s">
        <v>60</v>
      </c>
      <c r="J3" s="139"/>
      <c r="K3" s="139"/>
      <c r="L3" s="139"/>
      <c r="M3" s="139"/>
      <c r="N3" s="133"/>
      <c r="O3" s="133"/>
      <c r="P3" s="87"/>
    </row>
    <row r="4" spans="1:16" s="94" customFormat="1" ht="49.5" customHeight="1" x14ac:dyDescent="0.3">
      <c r="A4" s="93" t="s">
        <v>84</v>
      </c>
      <c r="B4" s="22" t="s">
        <v>85</v>
      </c>
      <c r="C4" s="23" t="s">
        <v>43</v>
      </c>
      <c r="D4" s="23" t="s">
        <v>45</v>
      </c>
      <c r="E4" s="23" t="s">
        <v>47</v>
      </c>
      <c r="F4" s="23" t="s">
        <v>49</v>
      </c>
      <c r="G4" s="23" t="s">
        <v>51</v>
      </c>
      <c r="H4" s="23" t="s">
        <v>53</v>
      </c>
      <c r="I4" s="23" t="s">
        <v>55</v>
      </c>
      <c r="J4" s="23" t="s">
        <v>57</v>
      </c>
      <c r="K4" s="23" t="s">
        <v>61</v>
      </c>
      <c r="L4" s="23" t="s">
        <v>63</v>
      </c>
      <c r="M4" s="23" t="s">
        <v>65</v>
      </c>
      <c r="N4" s="23" t="s">
        <v>68</v>
      </c>
      <c r="O4" s="23" t="s">
        <v>70</v>
      </c>
    </row>
    <row r="5" spans="1:16" s="5" customFormat="1" ht="24.95" customHeight="1" thickBot="1" x14ac:dyDescent="0.35">
      <c r="A5" s="39" t="s">
        <v>101</v>
      </c>
      <c r="B5" s="58" t="s">
        <v>17</v>
      </c>
      <c r="C5" s="74" t="s">
        <v>44</v>
      </c>
      <c r="D5" s="74" t="s">
        <v>46</v>
      </c>
      <c r="E5" s="74" t="s">
        <v>48</v>
      </c>
      <c r="F5" s="74" t="s">
        <v>50</v>
      </c>
      <c r="G5" s="74" t="s">
        <v>52</v>
      </c>
      <c r="H5" s="74" t="s">
        <v>54</v>
      </c>
      <c r="I5" s="74" t="s">
        <v>56</v>
      </c>
      <c r="J5" s="74" t="s">
        <v>58</v>
      </c>
      <c r="K5" s="74" t="s">
        <v>62</v>
      </c>
      <c r="L5" s="74" t="s">
        <v>64</v>
      </c>
      <c r="M5" s="74" t="s">
        <v>66</v>
      </c>
      <c r="N5" s="74" t="s">
        <v>69</v>
      </c>
      <c r="O5" s="75" t="s">
        <v>70</v>
      </c>
      <c r="P5" s="3"/>
    </row>
    <row r="6" spans="1:16" ht="24.95" customHeight="1" thickBot="1" x14ac:dyDescent="0.35">
      <c r="A6" s="32"/>
      <c r="B6" s="45" t="s">
        <v>18</v>
      </c>
      <c r="C6" s="106">
        <f>INDEX(СотрудникиПлан[],MATCH(INDEX(СотрудникиОтклонение[],ROW()-ROW(СотрудникиОтклонение[[#Headers],[Январь]]),1),INDEX(СотрудникиПлан[],,1),0),MATCH(СотрудникиОтклонение[[#Headers],[Январь]],СотрудникиПлан[#Headers],0))-INDEX(СотрудникиФактические[],MATCH(INDEX(СотрудникиОтклонение[],ROW()-ROW(СотрудникиОтклонение[[#Headers],[Январь]]),1),INDEX(СотрудникиПлан[],,1),0),MATCH(СотрудникиОтклонение[[#Headers],[Январь]],СотрудникиФактические[#Headers],0))</f>
        <v>0</v>
      </c>
      <c r="D6" s="107">
        <f>INDEX(СотрудникиПлан[],MATCH(INDEX(СотрудникиОтклонение[],ROW()-ROW(СотрудникиОтклонение[[#Headers],[Февраль]]),1),INDEX(СотрудникиПлан[],,1),0),MATCH(СотрудникиОтклонение[[#Headers],[Февраль]],СотрудникиПлан[#Headers],0))-INDEX(СотрудникиФактические[],MATCH(INDEX(СотрудникиОтклонение[],ROW()-ROW(СотрудникиОтклонение[[#Headers],[Февраль]]),1),INDEX(СотрудникиПлан[],,1),0),MATCH(СотрудникиОтклонение[[#Headers],[Февраль]],СотрудникиФактические[#Headers],0))</f>
        <v>0</v>
      </c>
      <c r="E6" s="107">
        <f>INDEX(СотрудникиПлан[],MATCH(INDEX(СотрудникиОтклонение[],ROW()-ROW(СотрудникиОтклонение[[#Headers],[Март]]),1),INDEX(СотрудникиПлан[],,1),0),MATCH(СотрудникиОтклонение[[#Headers],[Март]],СотрудникиПлан[#Headers],0))-INDEX(СотрудникиФактические[],MATCH(INDEX(СотрудникиОтклонение[],ROW()-ROW(СотрудникиОтклонение[[#Headers],[Март]]),1),INDEX(СотрудникиПлан[],,1),0),MATCH(СотрудникиОтклонение[[#Headers],[Март]],СотрудникиФактические[#Headers],0))</f>
        <v>0</v>
      </c>
      <c r="F6" s="107">
        <f>INDEX(СотрудникиПлан[],MATCH(INDEX(СотрудникиОтклонение[],ROW()-ROW(СотрудникиОтклонение[[#Headers],[Апрель]]),1),INDEX(СотрудникиПлан[],,1),0),MATCH(СотрудникиОтклонение[[#Headers],[Апрель]],СотрудникиПлан[#Headers],0))-INDEX(СотрудникиФактические[],MATCH(INDEX(СотрудникиОтклонение[],ROW()-ROW(СотрудникиОтклонение[[#Headers],[Апрель]]),1),INDEX(СотрудникиПлан[],,1),0),MATCH(СотрудникиОтклонение[[#Headers],[Апрель]],СотрудникиФактические[#Headers],0))</f>
        <v>-500</v>
      </c>
      <c r="G6" s="107">
        <f>INDEX(СотрудникиПлан[],MATCH(INDEX(СотрудникиОтклонение[],ROW()-ROW(СотрудникиОтклонение[[#Headers],[Май]]),1),INDEX(СотрудникиПлан[],,1),0),MATCH(СотрудникиОтклонение[[#Headers],[Май]],СотрудникиПлан[#Headers],0))-INDEX(СотрудникиФактические[],MATCH(INDEX(СотрудникиОтклонение[],ROW()-ROW(СотрудникиОтклонение[[#Headers],[Май]]),1),INDEX(СотрудникиПлан[],,1),0),MATCH(СотрудникиОтклонение[[#Headers],[Май]],СотрудникиФактические[#Headers],0))</f>
        <v>-500</v>
      </c>
      <c r="H6" s="107">
        <f>INDEX(СотрудникиПлан[],MATCH(INDEX(СотрудникиОтклонение[],ROW()-ROW(СотрудникиОтклонение[[#Headers],[Июнь]]),1),INDEX(СотрудникиПлан[],,1),0),MATCH(СотрудникиОтклонение[[#Headers],[Июнь]],СотрудникиПлан[#Headers],0))-INDEX(СотрудникиФактические[],MATCH(INDEX(СотрудникиОтклонение[],ROW()-ROW(СотрудникиОтклонение[[#Headers],[Июнь]]),1),INDEX(СотрудникиПлан[],,1),0),MATCH(СотрудникиОтклонение[[#Headers],[Июнь]],СотрудникиФактические[#Headers],0))</f>
        <v>-500</v>
      </c>
      <c r="I6" s="107">
        <f>INDEX(СотрудникиПлан[],MATCH(INDEX(СотрудникиОтклонение[],ROW()-ROW(СотрудникиОтклонение[[#Headers],[Июль]]),1),INDEX(СотрудникиПлан[],,1),0),MATCH(СотрудникиОтклонение[[#Headers],[Июль]],СотрудникиПлан[#Headers],0))-INDEX(СотрудникиФактические[],MATCH(INDEX(СотрудникиОтклонение[],ROW()-ROW(СотрудникиОтклонение[[#Headers],[Июль]]),1),INDEX(СотрудникиПлан[],,1),0),MATCH(СотрудникиОтклонение[[#Headers],[Июль]],СотрудникиФактические[#Headers],0))</f>
        <v>87500</v>
      </c>
      <c r="J6" s="107">
        <f>INDEX(СотрудникиПлан[],MATCH(INDEX(СотрудникиОтклонение[],ROW()-ROW(СотрудникиОтклонение[[#Headers],[Август]]),1),INDEX(СотрудникиПлан[],,1),0),MATCH(СотрудникиОтклонение[[#Headers],[Август]],СотрудникиПлан[#Headers],0))-INDEX(СотрудникиФактические[],MATCH(INDEX(СотрудникиОтклонение[],ROW()-ROW(СотрудникиОтклонение[[#Headers],[Август]]),1),INDEX(СотрудникиПлан[],,1),0),MATCH(СотрудникиОтклонение[[#Headers],[Август]],СотрудникиФактические[#Headers],0))</f>
        <v>92400</v>
      </c>
      <c r="K6" s="107">
        <f>INDEX(СотрудникиПлан[],MATCH(INDEX(СотрудникиОтклонение[],ROW()-ROW(СотрудникиОтклонение[[#Headers],[Сентябрь]]),1),INDEX(СотрудникиПлан[],,1),0),MATCH(СотрудникиОтклонение[[#Headers],[Сентябрь]],СотрудникиПлан[#Headers],0))-INDEX(СотрудникиФактические[],MATCH(INDEX(СотрудникиОтклонение[],ROW()-ROW(СотрудникиОтклонение[[#Headers],[Сентябрь]]),1),INDEX(СотрудникиПлан[],,1),0),MATCH(СотрудникиОтклонение[[#Headers],[Сентябрь]],СотрудникиФактические[#Headers],0))</f>
        <v>92400</v>
      </c>
      <c r="L6" s="107">
        <f>INDEX(СотрудникиПлан[],MATCH(INDEX(СотрудникиОтклонение[],ROW()-ROW(СотрудникиОтклонение[[#Headers],[Октябрь]]),1),INDEX(СотрудникиПлан[],,1),0),MATCH(СотрудникиОтклонение[[#Headers],[Октябрь]],СотрудникиПлан[#Headers],0))-INDEX(СотрудникиФактические[],MATCH(INDEX(СотрудникиОтклонение[],ROW()-ROW(СотрудникиОтклонение[[#Headers],[Октябрь]]),1),INDEX(СотрудникиПлан[],,1),0),MATCH(СотрудникиОтклонение[[#Headers],[Октябрь]],СотрудникиФактические[#Headers],0))</f>
        <v>92400</v>
      </c>
      <c r="M6" s="107">
        <f>INDEX(СотрудникиПлан[],MATCH(INDEX(СотрудникиОтклонение[],ROW()-ROW(СотрудникиОтклонение[[#Headers],[Ноябрь]]),1),INDEX(СотрудникиПлан[],,1),0),MATCH(СотрудникиОтклонение[[#Headers],[Ноябрь]],СотрудникиПлан[#Headers],0))-INDEX(СотрудникиФактические[],MATCH(INDEX(СотрудникиОтклонение[],ROW()-ROW(СотрудникиОтклонение[[#Headers],[Ноябрь]]),1),INDEX(СотрудникиПлан[],,1),0),MATCH(СотрудникиОтклонение[[#Headers],[Ноябрь]],СотрудникиФактические[#Headers],0))</f>
        <v>92400</v>
      </c>
      <c r="N6" s="107">
        <f>INDEX(СотрудникиПлан[],MATCH(INDEX(СотрудникиОтклонение[],ROW()-ROW(СотрудникиОтклонение[[#Headers],[Декабрь]]),1),INDEX(СотрудникиПлан[],,1),0),MATCH(СотрудникиОтклонение[[#Headers],[Декабрь]],СотрудникиПлан[#Headers],0))-INDEX(СотрудникиФактические[],MATCH(INDEX(СотрудникиОтклонение[],ROW()-ROW(СотрудникиОтклонение[[#Headers],[Декабрь]]),1),INDEX(СотрудникиПлан[],,1),0),MATCH(СотрудникиОтклонение[[#Headers],[Декабрь]],СотрудникиФактические[#Headers],0))</f>
        <v>92400</v>
      </c>
      <c r="O6" s="108">
        <f>SUM(СотрудникиОтклонение[[#This Row],[Январь]:[Декабрь]])</f>
        <v>548000</v>
      </c>
    </row>
    <row r="7" spans="1:16" ht="24.95" customHeight="1" thickBot="1" x14ac:dyDescent="0.35">
      <c r="A7" s="32"/>
      <c r="B7" s="45" t="s">
        <v>19</v>
      </c>
      <c r="C7" s="106">
        <f>INDEX(СотрудникиПлан[],MATCH(INDEX(СотрудникиОтклонение[],ROW()-ROW(СотрудникиОтклонение[[#Headers],[Январь]]),1),INDEX(СотрудникиПлан[],,1),0),MATCH(СотрудникиОтклонение[[#Headers],[Январь]],СотрудникиПлан[#Headers],0))-INDEX(СотрудникиФактические[],MATCH(INDEX(СотрудникиОтклонение[],ROW()-ROW(СотрудникиОтклонение[[#Headers],[Январь]]),1),INDEX(СотрудникиПлан[],,1),0),MATCH(СотрудникиОтклонение[[#Headers],[Январь]],СотрудникиФактические[#Headers],0))</f>
        <v>0</v>
      </c>
      <c r="D7" s="107">
        <f>INDEX(СотрудникиПлан[],MATCH(INDEX(СотрудникиОтклонение[],ROW()-ROW(СотрудникиОтклонение[[#Headers],[Февраль]]),1),INDEX(СотрудникиПлан[],,1),0),MATCH(СотрудникиОтклонение[[#Headers],[Февраль]],СотрудникиПлан[#Headers],0))-INDEX(СотрудникиФактические[],MATCH(INDEX(СотрудникиОтклонение[],ROW()-ROW(СотрудникиОтклонение[[#Headers],[Февраль]]),1),INDEX(СотрудникиПлан[],,1),0),MATCH(СотрудникиОтклонение[[#Headers],[Февраль]],СотрудникиФактические[#Headers],0))</f>
        <v>0</v>
      </c>
      <c r="E7" s="107">
        <f>INDEX(СотрудникиПлан[],MATCH(INDEX(СотрудникиОтклонение[],ROW()-ROW(СотрудникиОтклонение[[#Headers],[Март]]),1),INDEX(СотрудникиПлан[],,1),0),MATCH(СотрудникиОтклонение[[#Headers],[Март]],СотрудникиПлан[#Headers],0))-INDEX(СотрудникиФактические[],MATCH(INDEX(СотрудникиОтклонение[],ROW()-ROW(СотрудникиОтклонение[[#Headers],[Март]]),1),INDEX(СотрудникиПлан[],,1),0),MATCH(СотрудникиОтклонение[[#Headers],[Март]],СотрудникиФактические[#Headers],0))</f>
        <v>0</v>
      </c>
      <c r="F7" s="107">
        <f>INDEX(СотрудникиПлан[],MATCH(INDEX(СотрудникиОтклонение[],ROW()-ROW(СотрудникиОтклонение[[#Headers],[Апрель]]),1),INDEX(СотрудникиПлан[],,1),0),MATCH(СотрудникиОтклонение[[#Headers],[Апрель]],СотрудникиПлан[#Headers],0))-INDEX(СотрудникиФактические[],MATCH(INDEX(СотрудникиОтклонение[],ROW()-ROW(СотрудникиОтклонение[[#Headers],[Апрель]]),1),INDEX(СотрудникиПлан[],,1),0),MATCH(СотрудникиОтклонение[[#Headers],[Апрель]],СотрудникиФактические[#Headers],0))</f>
        <v>-135</v>
      </c>
      <c r="G7" s="107">
        <f>INDEX(СотрудникиПлан[],MATCH(INDEX(СотрудникиОтклонение[],ROW()-ROW(СотрудникиОтклонение[[#Headers],[Май]]),1),INDEX(СотрудникиПлан[],,1),0),MATCH(СотрудникиОтклонение[[#Headers],[Май]],СотрудникиПлан[#Headers],0))-INDEX(СотрудникиФактические[],MATCH(INDEX(СотрудникиОтклонение[],ROW()-ROW(СотрудникиОтклонение[[#Headers],[Май]]),1),INDEX(СотрудникиПлан[],,1),0),MATCH(СотрудникиОтклонение[[#Headers],[Май]],СотрудникиФактические[#Headers],0))</f>
        <v>-135</v>
      </c>
      <c r="H7" s="107">
        <f>INDEX(СотрудникиПлан[],MATCH(INDEX(СотрудникиОтклонение[],ROW()-ROW(СотрудникиОтклонение[[#Headers],[Июнь]]),1),INDEX(СотрудникиПлан[],,1),0),MATCH(СотрудникиОтклонение[[#Headers],[Июнь]],СотрудникиПлан[#Headers],0))-INDEX(СотрудникиФактические[],MATCH(INDEX(СотрудникиОтклонение[],ROW()-ROW(СотрудникиОтклонение[[#Headers],[Июнь]]),1),INDEX(СотрудникиПлан[],,1),0),MATCH(СотрудникиОтклонение[[#Headers],[Июнь]],СотрудникиФактические[#Headers],0))</f>
        <v>-135</v>
      </c>
      <c r="I7" s="107">
        <f>INDEX(СотрудникиПлан[],MATCH(INDEX(СотрудникиОтклонение[],ROW()-ROW(СотрудникиОтклонение[[#Headers],[Июль]]),1),INDEX(СотрудникиПлан[],,1),0),MATCH(СотрудникиОтклонение[[#Headers],[Июль]],СотрудникиПлан[#Headers],0))-INDEX(СотрудникиФактические[],MATCH(INDEX(СотрудникиОтклонение[],ROW()-ROW(СотрудникиОтклонение[[#Headers],[Июль]]),1),INDEX(СотрудникиПлан[],,1),0),MATCH(СотрудникиОтклонение[[#Headers],[Июль]],СотрудникиФактические[#Headers],0))</f>
        <v>23625</v>
      </c>
      <c r="J7" s="107">
        <f>INDEX(СотрудникиПлан[],MATCH(INDEX(СотрудникиОтклонение[],ROW()-ROW(СотрудникиОтклонение[[#Headers],[Август]]),1),INDEX(СотрудникиПлан[],,1),0),MATCH(СотрудникиОтклонение[[#Headers],[Август]],СотрудникиПлан[#Headers],0))-INDEX(СотрудникиФактические[],MATCH(INDEX(СотрудникиОтклонение[],ROW()-ROW(СотрудникиОтклонение[[#Headers],[Август]]),1),INDEX(СотрудникиПлан[],,1),0),MATCH(СотрудникиОтклонение[[#Headers],[Август]],СотрудникиФактические[#Headers],0))</f>
        <v>24948</v>
      </c>
      <c r="K7" s="107">
        <f>INDEX(СотрудникиПлан[],MATCH(INDEX(СотрудникиОтклонение[],ROW()-ROW(СотрудникиОтклонение[[#Headers],[Сентябрь]]),1),INDEX(СотрудникиПлан[],,1),0),MATCH(СотрудникиОтклонение[[#Headers],[Сентябрь]],СотрудникиПлан[#Headers],0))-INDEX(СотрудникиФактические[],MATCH(INDEX(СотрудникиОтклонение[],ROW()-ROW(СотрудникиОтклонение[[#Headers],[Сентябрь]]),1),INDEX(СотрудникиПлан[],,1),0),MATCH(СотрудникиОтклонение[[#Headers],[Сентябрь]],СотрудникиФактические[#Headers],0))</f>
        <v>24948</v>
      </c>
      <c r="L7" s="107">
        <f>INDEX(СотрудникиПлан[],MATCH(INDEX(СотрудникиОтклонение[],ROW()-ROW(СотрудникиОтклонение[[#Headers],[Октябрь]]),1),INDEX(СотрудникиПлан[],,1),0),MATCH(СотрудникиОтклонение[[#Headers],[Октябрь]],СотрудникиПлан[#Headers],0))-INDEX(СотрудникиФактические[],MATCH(INDEX(СотрудникиОтклонение[],ROW()-ROW(СотрудникиОтклонение[[#Headers],[Октябрь]]),1),INDEX(СотрудникиПлан[],,1),0),MATCH(СотрудникиОтклонение[[#Headers],[Октябрь]],СотрудникиФактические[#Headers],0))</f>
        <v>24948</v>
      </c>
      <c r="M7" s="107">
        <f>INDEX(СотрудникиПлан[],MATCH(INDEX(СотрудникиОтклонение[],ROW()-ROW(СотрудникиОтклонение[[#Headers],[Ноябрь]]),1),INDEX(СотрудникиПлан[],,1),0),MATCH(СотрудникиОтклонение[[#Headers],[Ноябрь]],СотрудникиПлан[#Headers],0))-INDEX(СотрудникиФактические[],MATCH(INDEX(СотрудникиОтклонение[],ROW()-ROW(СотрудникиОтклонение[[#Headers],[Ноябрь]]),1),INDEX(СотрудникиПлан[],,1),0),MATCH(СотрудникиОтклонение[[#Headers],[Ноябрь]],СотрудникиФактические[#Headers],0))</f>
        <v>24948</v>
      </c>
      <c r="N7" s="107">
        <f>INDEX(СотрудникиПлан[],MATCH(INDEX(СотрудникиОтклонение[],ROW()-ROW(СотрудникиОтклонение[[#Headers],[Декабрь]]),1),INDEX(СотрудникиПлан[],,1),0),MATCH(СотрудникиОтклонение[[#Headers],[Декабрь]],СотрудникиПлан[#Headers],0))-INDEX(СотрудникиФактические[],MATCH(INDEX(СотрудникиОтклонение[],ROW()-ROW(СотрудникиОтклонение[[#Headers],[Декабрь]]),1),INDEX(СотрудникиПлан[],,1),0),MATCH(СотрудникиОтклонение[[#Headers],[Декабрь]],СотрудникиФактические[#Headers],0))</f>
        <v>24948</v>
      </c>
      <c r="O7" s="108">
        <f>SUM(СотрудникиОтклонение[[#This Row],[Январь]:[Декабрь]])</f>
        <v>147960</v>
      </c>
    </row>
    <row r="8" spans="1:16" ht="24.95" customHeight="1" x14ac:dyDescent="0.3">
      <c r="A8" s="32"/>
      <c r="B8" s="76" t="s">
        <v>20</v>
      </c>
      <c r="C8" s="118">
        <f>SUBTOTAL(109,СотрудникиОтклонение[Январь])</f>
        <v>0</v>
      </c>
      <c r="D8" s="118">
        <f>SUBTOTAL(109,СотрудникиОтклонение[Февраль])</f>
        <v>0</v>
      </c>
      <c r="E8" s="118">
        <f>SUBTOTAL(109,СотрудникиОтклонение[Март])</f>
        <v>0</v>
      </c>
      <c r="F8" s="118">
        <f>SUBTOTAL(109,СотрудникиОтклонение[Апрель])</f>
        <v>-635</v>
      </c>
      <c r="G8" s="118">
        <f>SUBTOTAL(109,СотрудникиОтклонение[Май])</f>
        <v>-635</v>
      </c>
      <c r="H8" s="118">
        <f>SUBTOTAL(109,СотрудникиОтклонение[Июнь])</f>
        <v>-635</v>
      </c>
      <c r="I8" s="118">
        <f>SUBTOTAL(109,СотрудникиОтклонение[Июль])</f>
        <v>111125</v>
      </c>
      <c r="J8" s="118">
        <f>SUBTOTAL(109,СотрудникиОтклонение[Август])</f>
        <v>117348</v>
      </c>
      <c r="K8" s="118">
        <f>SUBTOTAL(109,СотрудникиОтклонение[Сентябрь])</f>
        <v>117348</v>
      </c>
      <c r="L8" s="118">
        <f>SUBTOTAL(109,СотрудникиОтклонение[Октябрь])</f>
        <v>117348</v>
      </c>
      <c r="M8" s="118">
        <f>SUBTOTAL(109,СотрудникиОтклонение[Ноябрь])</f>
        <v>117348</v>
      </c>
      <c r="N8" s="118">
        <f>SUBTOTAL(109,СотрудникиОтклонение[Декабрь])</f>
        <v>117348</v>
      </c>
      <c r="O8" s="119">
        <f>SUBTOTAL(109,СотрудникиОтклонение[ГОД])</f>
        <v>695960</v>
      </c>
    </row>
    <row r="9" spans="1:16" ht="21" customHeight="1" x14ac:dyDescent="0.3">
      <c r="A9" s="32"/>
      <c r="B9" s="140"/>
      <c r="C9" s="140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</row>
    <row r="10" spans="1:16" ht="24.95" customHeight="1" thickBot="1" x14ac:dyDescent="0.35">
      <c r="A10" s="32" t="s">
        <v>102</v>
      </c>
      <c r="B10" s="48" t="s">
        <v>21</v>
      </c>
      <c r="C10" s="64" t="s">
        <v>44</v>
      </c>
      <c r="D10" s="64" t="s">
        <v>46</v>
      </c>
      <c r="E10" s="64" t="s">
        <v>48</v>
      </c>
      <c r="F10" s="64" t="s">
        <v>50</v>
      </c>
      <c r="G10" s="64" t="s">
        <v>52</v>
      </c>
      <c r="H10" s="64" t="s">
        <v>54</v>
      </c>
      <c r="I10" s="64" t="s">
        <v>56</v>
      </c>
      <c r="J10" s="64" t="s">
        <v>58</v>
      </c>
      <c r="K10" s="64" t="s">
        <v>62</v>
      </c>
      <c r="L10" s="64" t="s">
        <v>64</v>
      </c>
      <c r="M10" s="64" t="s">
        <v>66</v>
      </c>
      <c r="N10" s="64" t="s">
        <v>69</v>
      </c>
      <c r="O10" s="65" t="s">
        <v>70</v>
      </c>
    </row>
    <row r="11" spans="1:16" ht="24.95" customHeight="1" thickBot="1" x14ac:dyDescent="0.35">
      <c r="A11" s="32"/>
      <c r="B11" s="66" t="s">
        <v>22</v>
      </c>
      <c r="C11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0</v>
      </c>
      <c r="D11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0</v>
      </c>
      <c r="E11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0</v>
      </c>
      <c r="F11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0</v>
      </c>
      <c r="G11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0</v>
      </c>
      <c r="H11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0</v>
      </c>
      <c r="I11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9800</v>
      </c>
      <c r="J11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9800</v>
      </c>
      <c r="K11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9800</v>
      </c>
      <c r="L11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9800</v>
      </c>
      <c r="M11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9800</v>
      </c>
      <c r="N11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9800</v>
      </c>
      <c r="O11" s="108">
        <f>SUM(ОфисОтклонение[[#This Row],[Январь]:[Декабрь]])</f>
        <v>58800</v>
      </c>
    </row>
    <row r="12" spans="1:16" ht="24.95" customHeight="1" thickBot="1" x14ac:dyDescent="0.35">
      <c r="A12" s="32"/>
      <c r="B12" s="66" t="s">
        <v>23</v>
      </c>
      <c r="C12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-4</v>
      </c>
      <c r="D12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-30</v>
      </c>
      <c r="E12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15</v>
      </c>
      <c r="F12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-130</v>
      </c>
      <c r="G12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13</v>
      </c>
      <c r="H12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12</v>
      </c>
      <c r="I12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100</v>
      </c>
      <c r="J12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100</v>
      </c>
      <c r="K12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100</v>
      </c>
      <c r="L12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100</v>
      </c>
      <c r="M12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400</v>
      </c>
      <c r="N12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400</v>
      </c>
      <c r="O12" s="108">
        <f>SUM(ОфисОтклонение[[#This Row],[Январь]:[Декабрь]])</f>
        <v>1076</v>
      </c>
    </row>
    <row r="13" spans="1:16" ht="24.95" customHeight="1" thickBot="1" x14ac:dyDescent="0.35">
      <c r="A13" s="32"/>
      <c r="B13" s="66" t="s">
        <v>24</v>
      </c>
      <c r="C13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12</v>
      </c>
      <c r="D13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22</v>
      </c>
      <c r="E13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32</v>
      </c>
      <c r="F13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1</v>
      </c>
      <c r="G13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-6</v>
      </c>
      <c r="H13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10</v>
      </c>
      <c r="I13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300</v>
      </c>
      <c r="J13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300</v>
      </c>
      <c r="K13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300</v>
      </c>
      <c r="L13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300</v>
      </c>
      <c r="M13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300</v>
      </c>
      <c r="N13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300</v>
      </c>
      <c r="O13" s="108">
        <f>SUM(ОфисОтклонение[[#This Row],[Январь]:[Декабрь]])</f>
        <v>1871</v>
      </c>
    </row>
    <row r="14" spans="1:16" ht="24.95" customHeight="1" thickBot="1" x14ac:dyDescent="0.35">
      <c r="A14" s="32"/>
      <c r="B14" s="66" t="s">
        <v>25</v>
      </c>
      <c r="C14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5</v>
      </c>
      <c r="D14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7</v>
      </c>
      <c r="E14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6</v>
      </c>
      <c r="F14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4</v>
      </c>
      <c r="G14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6</v>
      </c>
      <c r="H14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4</v>
      </c>
      <c r="I14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40</v>
      </c>
      <c r="J14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40</v>
      </c>
      <c r="K14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40</v>
      </c>
      <c r="L14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40</v>
      </c>
      <c r="M14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40</v>
      </c>
      <c r="N14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40</v>
      </c>
      <c r="O14" s="108">
        <f>SUM(ОфисОтклонение[[#This Row],[Январь]:[Декабрь]])</f>
        <v>272</v>
      </c>
    </row>
    <row r="15" spans="1:16" ht="24.95" customHeight="1" thickBot="1" x14ac:dyDescent="0.35">
      <c r="A15" s="32"/>
      <c r="B15" s="66" t="s">
        <v>26</v>
      </c>
      <c r="C15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26</v>
      </c>
      <c r="D15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15</v>
      </c>
      <c r="E15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-15</v>
      </c>
      <c r="F15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5</v>
      </c>
      <c r="G15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5</v>
      </c>
      <c r="H15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30</v>
      </c>
      <c r="I15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250</v>
      </c>
      <c r="J15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250</v>
      </c>
      <c r="K15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250</v>
      </c>
      <c r="L15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250</v>
      </c>
      <c r="M15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250</v>
      </c>
      <c r="N15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250</v>
      </c>
      <c r="O15" s="108">
        <f>SUM(ОфисОтклонение[[#This Row],[Январь]:[Декабрь]])</f>
        <v>1566</v>
      </c>
    </row>
    <row r="16" spans="1:16" ht="24.95" customHeight="1" thickBot="1" x14ac:dyDescent="0.35">
      <c r="A16" s="32"/>
      <c r="B16" s="66" t="s">
        <v>27</v>
      </c>
      <c r="C16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0</v>
      </c>
      <c r="D16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0</v>
      </c>
      <c r="E16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0</v>
      </c>
      <c r="F16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0</v>
      </c>
      <c r="G16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0</v>
      </c>
      <c r="H16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0</v>
      </c>
      <c r="I16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180</v>
      </c>
      <c r="J16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180</v>
      </c>
      <c r="K16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180</v>
      </c>
      <c r="L16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180</v>
      </c>
      <c r="M16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180</v>
      </c>
      <c r="N16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180</v>
      </c>
      <c r="O16" s="108">
        <f>SUM(ОфисОтклонение[[#This Row],[Январь]:[Декабрь]])</f>
        <v>1080</v>
      </c>
    </row>
    <row r="17" spans="1:15" ht="24.95" customHeight="1" thickBot="1" x14ac:dyDescent="0.35">
      <c r="A17" s="32"/>
      <c r="B17" s="66" t="s">
        <v>28</v>
      </c>
      <c r="C17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-56</v>
      </c>
      <c r="D17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58</v>
      </c>
      <c r="E17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40</v>
      </c>
      <c r="F17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-21</v>
      </c>
      <c r="G17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-56</v>
      </c>
      <c r="H17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-40</v>
      </c>
      <c r="I17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200</v>
      </c>
      <c r="J17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200</v>
      </c>
      <c r="K17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200</v>
      </c>
      <c r="L17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200</v>
      </c>
      <c r="M17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200</v>
      </c>
      <c r="N17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200</v>
      </c>
      <c r="O17" s="108">
        <f>SUM(ОфисОтклонение[[#This Row],[Январь]:[Декабрь]])</f>
        <v>1125</v>
      </c>
    </row>
    <row r="18" spans="1:15" ht="24.95" customHeight="1" thickBot="1" x14ac:dyDescent="0.35">
      <c r="A18" s="32"/>
      <c r="B18" s="66" t="s">
        <v>29</v>
      </c>
      <c r="C18" s="107">
        <f>INDEX(ОфисПлан[],MATCH(INDEX(ОфисОтклонение[],ROW()-ROW(ОфисОтклонение[[#Headers],[Январь]]),1),INDEX(ОфисПлан[],,1),0),MATCH(ОфисОтклонение[[#Headers],[Январь]],ОфисПлан[#Headers],0))-INDEX(ОфисФактические[],MATCH(INDEX(ОфисОтклонение[],ROW()-ROW(ОфисОтклонение[[#Headers],[Январь]]),1),INDEX(ОфисПлан[],,1),0),MATCH(ОфисОтклонение[[#Headers],[Январь]],ОфисФактические[#Headers],0))</f>
        <v>0</v>
      </c>
      <c r="D18" s="107">
        <f>INDEX(ОфисПлан[],MATCH(INDEX(ОфисОтклонение[],ROW()-ROW(ОфисОтклонение[[#Headers],[Февраль]]),1),INDEX(ОфисПлан[],,1),0),MATCH(ОфисОтклонение[[#Headers],[Февраль]],ОфисПлан[#Headers],0))-INDEX(ОфисФактические[],MATCH(INDEX(ОфисОтклонение[],ROW()-ROW(ОфисОтклонение[[#Headers],[Февраль]]),1),INDEX(ОфисПлан[],,1),0),MATCH(ОфисОтклонение[[#Headers],[Февраль]],ОфисФактические[#Headers],0))</f>
        <v>0</v>
      </c>
      <c r="E18" s="107">
        <f>INDEX(ОфисПлан[],MATCH(INDEX(ОфисОтклонение[],ROW()-ROW(ОфисОтклонение[[#Headers],[Март]]),1),INDEX(ОфисПлан[],,1),0),MATCH(ОфисОтклонение[[#Headers],[Март]],ОфисПлан[#Headers],0))-INDEX(ОфисФактические[],MATCH(INDEX(ОфисОтклонение[],ROW()-ROW(ОфисОтклонение[[#Headers],[Март]]),1),INDEX(ОфисПлан[],,1),0),MATCH(ОфисОтклонение[[#Headers],[Март]],ОфисФактические[#Headers],0))</f>
        <v>0</v>
      </c>
      <c r="F18" s="107">
        <f>INDEX(ОфисПлан[],MATCH(INDEX(ОфисОтклонение[],ROW()-ROW(ОфисОтклонение[[#Headers],[Апрель]]),1),INDEX(ОфисПлан[],,1),0),MATCH(ОфисОтклонение[[#Headers],[Апрель]],ОфисПлан[#Headers],0))-INDEX(ОфисФактические[],MATCH(INDEX(ОфисОтклонение[],ROW()-ROW(ОфисОтклонение[[#Headers],[Апрель]]),1),INDEX(ОфисПлан[],,1),0),MATCH(ОфисОтклонение[[#Headers],[Апрель]],ОфисФактические[#Headers],0))</f>
        <v>0</v>
      </c>
      <c r="G18" s="107">
        <f>INDEX(ОфисПлан[],MATCH(INDEX(ОфисОтклонение[],ROW()-ROW(ОфисОтклонение[[#Headers],[Май]]),1),INDEX(ОфисПлан[],,1),0),MATCH(ОфисОтклонение[[#Headers],[Май]],ОфисПлан[#Headers],0))-INDEX(ОфисФактические[],MATCH(INDEX(ОфисОтклонение[],ROW()-ROW(ОфисОтклонение[[#Headers],[Май]]),1),INDEX(ОфисПлан[],,1),0),MATCH(ОфисОтклонение[[#Headers],[Май]],ОфисФактические[#Headers],0))</f>
        <v>0</v>
      </c>
      <c r="H18" s="107">
        <f>INDEX(ОфисПлан[],MATCH(INDEX(ОфисОтклонение[],ROW()-ROW(ОфисОтклонение[[#Headers],[Июнь]]),1),INDEX(ОфисПлан[],,1),0),MATCH(ОфисОтклонение[[#Headers],[Июнь]],ОфисПлан[#Headers],0))-INDEX(ОфисФактические[],MATCH(INDEX(ОфисОтклонение[],ROW()-ROW(ОфисОтклонение[[#Headers],[Июнь]]),1),INDEX(ОфисПлан[],,1),0),MATCH(ОфисОтклонение[[#Headers],[Июнь]],ОфисФактические[#Headers],0))</f>
        <v>0</v>
      </c>
      <c r="I18" s="107">
        <f>INDEX(ОфисПлан[],MATCH(INDEX(ОфисОтклонение[],ROW()-ROW(ОфисОтклонение[[#Headers],[Июль]]),1),INDEX(ОфисПлан[],,1),0),MATCH(ОфисОтклонение[[#Headers],[Июль]],ОфисПлан[#Headers],0))-INDEX(ОфисФактические[],MATCH(INDEX(ОфисОтклонение[],ROW()-ROW(ОфисОтклонение[[#Headers],[Июль]]),1),INDEX(ОфисПлан[],,1),0),MATCH(ОфисОтклонение[[#Headers],[Июль]],ОфисФактические[#Headers],0))</f>
        <v>600</v>
      </c>
      <c r="J18" s="107">
        <f>INDEX(ОфисПлан[],MATCH(INDEX(ОфисОтклонение[],ROW()-ROW(ОфисОтклонение[[#Headers],[Август]]),1),INDEX(ОфисПлан[],,1),0),MATCH(ОфисОтклонение[[#Headers],[Август]],ОфисПлан[#Headers],0))-INDEX(ОфисФактические[],MATCH(INDEX(ОфисОтклонение[],ROW()-ROW(ОфисОтклонение[[#Headers],[Август]]),1),INDEX(ОфисПлан[],,1),0),MATCH(ОфисОтклонение[[#Headers],[Август]],ОфисФактические[#Headers],0))</f>
        <v>600</v>
      </c>
      <c r="K18" s="107">
        <f>INDEX(ОфисПлан[],MATCH(INDEX(ОфисОтклонение[],ROW()-ROW(ОфисОтклонение[[#Headers],[Сентябрь]]),1),INDEX(ОфисПлан[],,1),0),MATCH(ОфисОтклонение[[#Headers],[Сентябрь]],ОфисПлан[#Headers],0))-INDEX(ОфисФактические[],MATCH(INDEX(ОфисОтклонение[],ROW()-ROW(ОфисОтклонение[[#Headers],[Сентябрь]]),1),INDEX(ОфисПлан[],,1),0),MATCH(ОфисОтклонение[[#Headers],[Сентябрь]],ОфисФактические[#Headers],0))</f>
        <v>600</v>
      </c>
      <c r="L18" s="107">
        <f>INDEX(ОфисПлан[],MATCH(INDEX(ОфисОтклонение[],ROW()-ROW(ОфисОтклонение[[#Headers],[Октябрь]]),1),INDEX(ОфисПлан[],,1),0),MATCH(ОфисОтклонение[[#Headers],[Октябрь]],ОфисПлан[#Headers],0))-INDEX(ОфисФактические[],MATCH(INDEX(ОфисОтклонение[],ROW()-ROW(ОфисОтклонение[[#Headers],[Октябрь]]),1),INDEX(ОфисПлан[],,1),0),MATCH(ОфисОтклонение[[#Headers],[Октябрь]],ОфисФактические[#Headers],0))</f>
        <v>600</v>
      </c>
      <c r="M18" s="107">
        <f>INDEX(ОфисПлан[],MATCH(INDEX(ОфисОтклонение[],ROW()-ROW(ОфисОтклонение[[#Headers],[Ноябрь]]),1),INDEX(ОфисПлан[],,1),0),MATCH(ОфисОтклонение[[#Headers],[Ноябрь]],ОфисПлан[#Headers],0))-INDEX(ОфисФактические[],MATCH(INDEX(ОфисОтклонение[],ROW()-ROW(ОфисОтклонение[[#Headers],[Ноябрь]]),1),INDEX(ОфисПлан[],,1),0),MATCH(ОфисОтклонение[[#Headers],[Ноябрь]],ОфисФактические[#Headers],0))</f>
        <v>600</v>
      </c>
      <c r="N18" s="107">
        <f>INDEX(ОфисПлан[],MATCH(INDEX(ОфисОтклонение[],ROW()-ROW(ОфисОтклонение[[#Headers],[Декабрь]]),1),INDEX(ОфисПлан[],,1),0),MATCH(ОфисОтклонение[[#Headers],[Декабрь]],ОфисПлан[#Headers],0))-INDEX(ОфисФактические[],MATCH(INDEX(ОфисОтклонение[],ROW()-ROW(ОфисОтклонение[[#Headers],[Декабрь]]),1),INDEX(ОфисПлан[],,1),0),MATCH(ОфисОтклонение[[#Headers],[Декабрь]],ОфисФактические[#Headers],0))</f>
        <v>600</v>
      </c>
      <c r="O18" s="108">
        <f>SUM(ОфисОтклонение[[#This Row],[Январь]:[Декабрь]])</f>
        <v>3600</v>
      </c>
    </row>
    <row r="19" spans="1:15" ht="24.95" customHeight="1" x14ac:dyDescent="0.3">
      <c r="A19" s="32"/>
      <c r="B19" s="78" t="s">
        <v>20</v>
      </c>
      <c r="C19" s="126">
        <f>SUBTOTAL(109,ОфисОтклонение[Январь])</f>
        <v>-17</v>
      </c>
      <c r="D19" s="118">
        <f>SUBTOTAL(109,ОфисОтклонение[Февраль])</f>
        <v>72</v>
      </c>
      <c r="E19" s="118">
        <f>SUBTOTAL(109,ОфисОтклонение[Март])</f>
        <v>78</v>
      </c>
      <c r="F19" s="118">
        <f>SUBTOTAL(109,ОфисОтклонение[Апрель])</f>
        <v>-141</v>
      </c>
      <c r="G19" s="118">
        <f>SUBTOTAL(109,ОфисОтклонение[Май])</f>
        <v>-38</v>
      </c>
      <c r="H19" s="118">
        <f>SUBTOTAL(109,ОфисОтклонение[Июнь])</f>
        <v>16</v>
      </c>
      <c r="I19" s="118">
        <f>SUBTOTAL(109,ОфисОтклонение[Июль])</f>
        <v>11470</v>
      </c>
      <c r="J19" s="118">
        <f>SUBTOTAL(109,ОфисОтклонение[Август])</f>
        <v>11470</v>
      </c>
      <c r="K19" s="118">
        <f>SUBTOTAL(109,ОфисОтклонение[Сентябрь])</f>
        <v>11470</v>
      </c>
      <c r="L19" s="118">
        <f>SUBTOTAL(109,ОфисОтклонение[Октябрь])</f>
        <v>11470</v>
      </c>
      <c r="M19" s="118">
        <f>SUBTOTAL(109,ОфисОтклонение[Ноябрь])</f>
        <v>11770</v>
      </c>
      <c r="N19" s="118">
        <f>SUBTOTAL(109,ОфисОтклонение[Декабрь])</f>
        <v>11770</v>
      </c>
      <c r="O19" s="119">
        <f>SUBTOTAL(109,ОфисОтклонение[ГОД])</f>
        <v>69390</v>
      </c>
    </row>
    <row r="20" spans="1:15" ht="21" customHeight="1" x14ac:dyDescent="0.3">
      <c r="A20" s="32"/>
      <c r="B20" s="141"/>
      <c r="C20" s="141"/>
      <c r="D20" s="114"/>
      <c r="E20" s="114"/>
      <c r="F20" s="116"/>
      <c r="G20" s="116"/>
      <c r="H20" s="116"/>
      <c r="I20" s="116"/>
      <c r="J20" s="116"/>
      <c r="K20" s="116"/>
      <c r="L20" s="116"/>
      <c r="M20" s="116"/>
      <c r="N20" s="116"/>
      <c r="O20" s="115"/>
    </row>
    <row r="21" spans="1:15" ht="24.95" customHeight="1" thickBot="1" x14ac:dyDescent="0.35">
      <c r="A21" s="32" t="s">
        <v>103</v>
      </c>
      <c r="B21" s="56" t="s">
        <v>30</v>
      </c>
      <c r="C21" s="64" t="s">
        <v>44</v>
      </c>
      <c r="D21" s="64" t="s">
        <v>46</v>
      </c>
      <c r="E21" s="64" t="s">
        <v>48</v>
      </c>
      <c r="F21" s="64" t="s">
        <v>50</v>
      </c>
      <c r="G21" s="64" t="s">
        <v>52</v>
      </c>
      <c r="H21" s="64" t="s">
        <v>54</v>
      </c>
      <c r="I21" s="64" t="s">
        <v>56</v>
      </c>
      <c r="J21" s="64" t="s">
        <v>58</v>
      </c>
      <c r="K21" s="64" t="s">
        <v>62</v>
      </c>
      <c r="L21" s="64" t="s">
        <v>64</v>
      </c>
      <c r="M21" s="64" t="s">
        <v>66</v>
      </c>
      <c r="N21" s="64" t="s">
        <v>69</v>
      </c>
      <c r="O21" s="65" t="s">
        <v>70</v>
      </c>
    </row>
    <row r="22" spans="1:15" ht="24.95" customHeight="1" thickBot="1" x14ac:dyDescent="0.35">
      <c r="A22" s="32"/>
      <c r="B22" s="66" t="s">
        <v>31</v>
      </c>
      <c r="C22" s="107">
        <f>INDEX(МаркетингПлан[],MATCH(INDEX(МаркетингОтклонение[],ROW()-ROW(МаркетингОтклонение[[#Headers],[Январь]]),1),INDEX(МаркетингПлан[],,1),0),MATCH(МаркетингОтклонение[[#Headers],[Январь]],МаркетингПлан[#Headers],0))-INDEX(МаркетингФактические[],MATCH(INDEX(МаркетингОтклонение[],ROW()-ROW(МаркетингОтклонение[[#Headers],[Январь]]),1),INDEX(МаркетингПлан[],,1),0),MATCH(МаркетингОтклонение[[#Headers],[Январь]],МаркетингФактические[#Headers],0))</f>
        <v>0</v>
      </c>
      <c r="D22" s="107">
        <f>INDEX(МаркетингПлан[],MATCH(INDEX(МаркетингОтклонение[],ROW()-ROW(МаркетингОтклонение[[#Headers],[Февраль]]),1),INDEX(МаркетингПлан[],,1),0),MATCH(МаркетингОтклонение[[#Headers],[Февраль]],МаркетингПлан[#Headers],0))-INDEX(МаркетингФактические[],MATCH(INDEX(МаркетингОтклонение[],ROW()-ROW(МаркетингОтклонение[[#Headers],[Февраль]]),1),INDEX(МаркетингПлан[],,1),0),MATCH(МаркетингОтклонение[[#Headers],[Февраль]],МаркетингФактические[#Headers],0))</f>
        <v>0</v>
      </c>
      <c r="E22" s="107">
        <f>INDEX(МаркетингПлан[],MATCH(INDEX(МаркетингОтклонение[],ROW()-ROW(МаркетингОтклонение[[#Headers],[Март]]),1),INDEX(МаркетингПлан[],,1),0),MATCH(МаркетингОтклонение[[#Headers],[Март]],МаркетингПлан[#Headers],0))-INDEX(МаркетингФактические[],MATCH(INDEX(МаркетингОтклонение[],ROW()-ROW(МаркетингОтклонение[[#Headers],[Март]]),1),INDEX(МаркетингПлан[],,1),0),MATCH(МаркетингОтклонение[[#Headers],[Март]],МаркетингФактические[#Headers],0))</f>
        <v>0</v>
      </c>
      <c r="F22" s="107">
        <f>INDEX(МаркетингПлан[],MATCH(INDEX(МаркетингОтклонение[],ROW()-ROW(МаркетингОтклонение[[#Headers],[Апрель]]),1),INDEX(МаркетингПлан[],,1),0),MATCH(МаркетингОтклонение[[#Headers],[Апрель]],МаркетингПлан[#Headers],0))-INDEX(МаркетингФактические[],MATCH(INDEX(МаркетингОтклонение[],ROW()-ROW(МаркетингОтклонение[[#Headers],[Апрель]]),1),INDEX(МаркетингПлан[],,1),0),MATCH(МаркетингОтклонение[[#Headers],[Апрель]],МаркетингФактические[#Headers],0))</f>
        <v>0</v>
      </c>
      <c r="G22" s="107">
        <f>INDEX(МаркетингПлан[],MATCH(INDEX(МаркетингОтклонение[],ROW()-ROW(МаркетингОтклонение[[#Headers],[Май]]),1),INDEX(МаркетингПлан[],,1),0),MATCH(МаркетингОтклонение[[#Headers],[Май]],МаркетингПлан[#Headers],0))-INDEX(МаркетингФактические[],MATCH(INDEX(МаркетингОтклонение[],ROW()-ROW(МаркетингОтклонение[[#Headers],[Май]]),1),INDEX(МаркетингПлан[],,1),0),MATCH(МаркетингОтклонение[[#Headers],[Май]],МаркетингФактические[#Headers],0))</f>
        <v>0</v>
      </c>
      <c r="H22" s="107">
        <f>INDEX(МаркетингПлан[],MATCH(INDEX(МаркетингОтклонение[],ROW()-ROW(МаркетингОтклонение[[#Headers],[Июнь]]),1),INDEX(МаркетингПлан[],,1),0),MATCH(МаркетингОтклонение[[#Headers],[Июнь]],МаркетингПлан[#Headers],0))-INDEX(МаркетингФактические[],MATCH(INDEX(МаркетингОтклонение[],ROW()-ROW(МаркетингОтклонение[[#Headers],[Июнь]]),1),INDEX(МаркетингПлан[],,1),0),MATCH(МаркетингОтклонение[[#Headers],[Июнь]],МаркетингФактические[#Headers],0))</f>
        <v>0</v>
      </c>
      <c r="I22" s="107">
        <f>INDEX(МаркетингПлан[],MATCH(INDEX(МаркетингОтклонение[],ROW()-ROW(МаркетингОтклонение[[#Headers],[Июль]]),1),INDEX(МаркетингПлан[],,1),0),MATCH(МаркетингОтклонение[[#Headers],[Июль]],МаркетингПлан[#Headers],0))-INDEX(МаркетингФактические[],MATCH(INDEX(МаркетингОтклонение[],ROW()-ROW(МаркетингОтклонение[[#Headers],[Июль]]),1),INDEX(МаркетингПлан[],,1),0),MATCH(МаркетингОтклонение[[#Headers],[Июль]],МаркетингФактические[#Headers],0))</f>
        <v>500</v>
      </c>
      <c r="J22" s="107">
        <f>INDEX(МаркетингПлан[],MATCH(INDEX(МаркетингОтклонение[],ROW()-ROW(МаркетингОтклонение[[#Headers],[Август]]),1),INDEX(МаркетингПлан[],,1),0),MATCH(МаркетингОтклонение[[#Headers],[Август]],МаркетингПлан[#Headers],0))-INDEX(МаркетингФактические[],MATCH(INDEX(МаркетингОтклонение[],ROW()-ROW(МаркетингОтклонение[[#Headers],[Август]]),1),INDEX(МаркетингПлан[],,1),0),MATCH(МаркетингОтклонение[[#Headers],[Август]],МаркетингФактические[#Headers],0))</f>
        <v>500</v>
      </c>
      <c r="K22" s="107">
        <f>INDEX(МаркетингПлан[],MATCH(INDEX(МаркетингОтклонение[],ROW()-ROW(МаркетингОтклонение[[#Headers],[Сентябрь]]),1),INDEX(МаркетингПлан[],,1),0),MATCH(МаркетингОтклонение[[#Headers],[Сентябрь]],МаркетингПлан[#Headers],0))-INDEX(МаркетингФактические[],MATCH(INDEX(МаркетингОтклонение[],ROW()-ROW(МаркетингОтклонение[[#Headers],[Сентябрь]]),1),INDEX(МаркетингПлан[],,1),0),MATCH(МаркетингОтклонение[[#Headers],[Сентябрь]],МаркетингФактические[#Headers],0))</f>
        <v>500</v>
      </c>
      <c r="L22" s="107">
        <f>INDEX(МаркетингПлан[],MATCH(INDEX(МаркетингОтклонение[],ROW()-ROW(МаркетингОтклонение[[#Headers],[Октябрь]]),1),INDEX(МаркетингПлан[],,1),0),MATCH(МаркетингОтклонение[[#Headers],[Октябрь]],МаркетингПлан[#Headers],0))-INDEX(МаркетингФактические[],MATCH(INDEX(МаркетингОтклонение[],ROW()-ROW(МаркетингОтклонение[[#Headers],[Октябрь]]),1),INDEX(МаркетингПлан[],,1),0),MATCH(МаркетингОтклонение[[#Headers],[Октябрь]],МаркетингФактические[#Headers],0))</f>
        <v>500</v>
      </c>
      <c r="M22" s="107">
        <f>INDEX(МаркетингПлан[],MATCH(INDEX(МаркетингОтклонение[],ROW()-ROW(МаркетингОтклонение[[#Headers],[Ноябрь]]),1),INDEX(МаркетингПлан[],,1),0),MATCH(МаркетингОтклонение[[#Headers],[Ноябрь]],МаркетингПлан[#Headers],0))-INDEX(МаркетингФактические[],MATCH(INDEX(МаркетингОтклонение[],ROW()-ROW(МаркетингОтклонение[[#Headers],[Ноябрь]]),1),INDEX(МаркетингПлан[],,1),0),MATCH(МаркетингОтклонение[[#Headers],[Ноябрь]],МаркетингФактические[#Headers],0))</f>
        <v>500</v>
      </c>
      <c r="N22" s="107">
        <f>INDEX(МаркетингПлан[],MATCH(INDEX(МаркетингОтклонение[],ROW()-ROW(МаркетингОтклонение[[#Headers],[Декабрь]]),1),INDEX(МаркетингПлан[],,1),0),MATCH(МаркетингОтклонение[[#Headers],[Декабрь]],МаркетингПлан[#Headers],0))-INDEX(МаркетингФактические[],MATCH(INDEX(МаркетингОтклонение[],ROW()-ROW(МаркетингОтклонение[[#Headers],[Декабрь]]),1),INDEX(МаркетингПлан[],,1),0),MATCH(МаркетингОтклонение[[#Headers],[Декабрь]],МаркетингФактические[#Headers],0))</f>
        <v>500</v>
      </c>
      <c r="O22" s="108">
        <f>SUM(МаркетингОтклонение[[#This Row],[Январь]:[Декабрь]])</f>
        <v>3000</v>
      </c>
    </row>
    <row r="23" spans="1:15" ht="24.95" customHeight="1" thickBot="1" x14ac:dyDescent="0.35">
      <c r="A23" s="32"/>
      <c r="B23" s="66" t="s">
        <v>32</v>
      </c>
      <c r="C23" s="107">
        <f>INDEX(МаркетингПлан[],MATCH(INDEX(МаркетингОтклонение[],ROW()-ROW(МаркетингОтклонение[[#Headers],[Январь]]),1),INDEX(МаркетингПлан[],,1),0),MATCH(МаркетингОтклонение[[#Headers],[Январь]],МаркетингПлан[#Headers],0))-INDEX(МаркетингФактические[],MATCH(INDEX(МаркетингОтклонение[],ROW()-ROW(МаркетингОтклонение[[#Headers],[Январь]]),1),INDEX(МаркетингПлан[],,1),0),MATCH(МаркетингОтклонение[[#Headers],[Январь]],МаркетингФактические[#Headers],0))</f>
        <v>0</v>
      </c>
      <c r="D23" s="107">
        <f>INDEX(МаркетингПлан[],MATCH(INDEX(МаркетингОтклонение[],ROW()-ROW(МаркетингОтклонение[[#Headers],[Февраль]]),1),INDEX(МаркетингПлан[],,1),0),MATCH(МаркетингОтклонение[[#Headers],[Февраль]],МаркетингПлан[#Headers],0))-INDEX(МаркетингФактические[],MATCH(INDEX(МаркетингОтклонение[],ROW()-ROW(МаркетингОтклонение[[#Headers],[Февраль]]),1),INDEX(МаркетингПлан[],,1),0),MATCH(МаркетингОтклонение[[#Headers],[Февраль]],МаркетингФактические[#Headers],0))</f>
        <v>0</v>
      </c>
      <c r="E23" s="107">
        <f>INDEX(МаркетингПлан[],MATCH(INDEX(МаркетингОтклонение[],ROW()-ROW(МаркетингОтклонение[[#Headers],[Март]]),1),INDEX(МаркетингПлан[],,1),0),MATCH(МаркетингОтклонение[[#Headers],[Март]],МаркетингПлан[#Headers],0))-INDEX(МаркетингФактические[],MATCH(INDEX(МаркетингОтклонение[],ROW()-ROW(МаркетингОтклонение[[#Headers],[Март]]),1),INDEX(МаркетингПлан[],,1),0),MATCH(МаркетингОтклонение[[#Headers],[Март]],МаркетингФактические[#Headers],0))</f>
        <v>0</v>
      </c>
      <c r="F23" s="107">
        <f>INDEX(МаркетингПлан[],MATCH(INDEX(МаркетингОтклонение[],ROW()-ROW(МаркетингОтклонение[[#Headers],[Апрель]]),1),INDEX(МаркетингПлан[],,1),0),MATCH(МаркетингОтклонение[[#Headers],[Апрель]],МаркетингПлан[#Headers],0))-INDEX(МаркетингФактические[],MATCH(INDEX(МаркетингОтклонение[],ROW()-ROW(МаркетингОтклонение[[#Headers],[Апрель]]),1),INDEX(МаркетингПлан[],,1),0),MATCH(МаркетингОтклонение[[#Headers],[Апрель]],МаркетингФактические[#Headers],0))</f>
        <v>0</v>
      </c>
      <c r="G23" s="107">
        <f>INDEX(МаркетингПлан[],MATCH(INDEX(МаркетингОтклонение[],ROW()-ROW(МаркетингОтклонение[[#Headers],[Май]]),1),INDEX(МаркетингПлан[],,1),0),MATCH(МаркетингОтклонение[[#Headers],[Май]],МаркетингПлан[#Headers],0))-INDEX(МаркетингФактические[],MATCH(INDEX(МаркетингОтклонение[],ROW()-ROW(МаркетингОтклонение[[#Headers],[Май]]),1),INDEX(МаркетингПлан[],,1),0),MATCH(МаркетингОтклонение[[#Headers],[Май]],МаркетингФактические[#Headers],0))</f>
        <v>0</v>
      </c>
      <c r="H23" s="107">
        <f>INDEX(МаркетингПлан[],MATCH(INDEX(МаркетингОтклонение[],ROW()-ROW(МаркетингОтклонение[[#Headers],[Июнь]]),1),INDEX(МаркетингПлан[],,1),0),MATCH(МаркетингОтклонение[[#Headers],[Июнь]],МаркетингПлан[#Headers],0))-INDEX(МаркетингФактические[],MATCH(INDEX(МаркетингОтклонение[],ROW()-ROW(МаркетингОтклонение[[#Headers],[Июнь]]),1),INDEX(МаркетингПлан[],,1),0),MATCH(МаркетингОтклонение[[#Headers],[Июнь]],МаркетингФактические[#Headers],0))</f>
        <v>-500</v>
      </c>
      <c r="I23" s="107">
        <f>INDEX(МаркетингПлан[],MATCH(INDEX(МаркетингОтклонение[],ROW()-ROW(МаркетингОтклонение[[#Headers],[Июль]]),1),INDEX(МаркетингПлан[],,1),0),MATCH(МаркетингОтклонение[[#Headers],[Июль]],МаркетингПлан[#Headers],0))-INDEX(МаркетингФактические[],MATCH(INDEX(МаркетингОтклонение[],ROW()-ROW(МаркетингОтклонение[[#Headers],[Июль]]),1),INDEX(МаркетингПлан[],,1),0),MATCH(МаркетингОтклонение[[#Headers],[Июль]],МаркетингФактические[#Headers],0))</f>
        <v>200</v>
      </c>
      <c r="J23" s="107">
        <f>INDEX(МаркетингПлан[],MATCH(INDEX(МаркетингОтклонение[],ROW()-ROW(МаркетингОтклонение[[#Headers],[Август]]),1),INDEX(МаркетингПлан[],,1),0),MATCH(МаркетингОтклонение[[#Headers],[Август]],МаркетингПлан[#Headers],0))-INDEX(МаркетингФактические[],MATCH(INDEX(МаркетингОтклонение[],ROW()-ROW(МаркетингОтклонение[[#Headers],[Август]]),1),INDEX(МаркетингПлан[],,1),0),MATCH(МаркетингОтклонение[[#Headers],[Август]],МаркетингФактические[#Headers],0))</f>
        <v>200</v>
      </c>
      <c r="K23" s="107">
        <f>INDEX(МаркетингПлан[],MATCH(INDEX(МаркетингОтклонение[],ROW()-ROW(МаркетингОтклонение[[#Headers],[Сентябрь]]),1),INDEX(МаркетингПлан[],,1),0),MATCH(МаркетингОтклонение[[#Headers],[Сентябрь]],МаркетингПлан[#Headers],0))-INDEX(МаркетингФактические[],MATCH(INDEX(МаркетингОтклонение[],ROW()-ROW(МаркетингОтклонение[[#Headers],[Сентябрь]]),1),INDEX(МаркетингПлан[],,1),0),MATCH(МаркетингОтклонение[[#Headers],[Сентябрь]],МаркетингФактические[#Headers],0))</f>
        <v>200</v>
      </c>
      <c r="L23" s="107">
        <f>INDEX(МаркетингПлан[],MATCH(INDEX(МаркетингОтклонение[],ROW()-ROW(МаркетингОтклонение[[#Headers],[Октябрь]]),1),INDEX(МаркетингПлан[],,1),0),MATCH(МаркетингОтклонение[[#Headers],[Октябрь]],МаркетингПлан[#Headers],0))-INDEX(МаркетингФактические[],MATCH(INDEX(МаркетингОтклонение[],ROW()-ROW(МаркетингОтклонение[[#Headers],[Октябрь]]),1),INDEX(МаркетингПлан[],,1),0),MATCH(МаркетингОтклонение[[#Headers],[Октябрь]],МаркетингФактические[#Headers],0))</f>
        <v>200</v>
      </c>
      <c r="M23" s="107">
        <f>INDEX(МаркетингПлан[],MATCH(INDEX(МаркетингОтклонение[],ROW()-ROW(МаркетингОтклонение[[#Headers],[Ноябрь]]),1),INDEX(МаркетингПлан[],,1),0),MATCH(МаркетингОтклонение[[#Headers],[Ноябрь]],МаркетингПлан[#Headers],0))-INDEX(МаркетингФактические[],MATCH(INDEX(МаркетингОтклонение[],ROW()-ROW(МаркетингОтклонение[[#Headers],[Ноябрь]]),1),INDEX(МаркетингПлан[],,1),0),MATCH(МаркетингОтклонение[[#Headers],[Ноябрь]],МаркетингФактические[#Headers],0))</f>
        <v>200</v>
      </c>
      <c r="N23" s="107">
        <f>INDEX(МаркетингПлан[],MATCH(INDEX(МаркетингОтклонение[],ROW()-ROW(МаркетингОтклонение[[#Headers],[Декабрь]]),1),INDEX(МаркетингПлан[],,1),0),MATCH(МаркетингОтклонение[[#Headers],[Декабрь]],МаркетингПлан[#Headers],0))-INDEX(МаркетингФактические[],MATCH(INDEX(МаркетингОтклонение[],ROW()-ROW(МаркетингОтклонение[[#Headers],[Декабрь]]),1),INDEX(МаркетингПлан[],,1),0),MATCH(МаркетингОтклонение[[#Headers],[Декабрь]],МаркетингФактические[#Headers],0))</f>
        <v>1000</v>
      </c>
      <c r="O23" s="108">
        <f>SUM(МаркетингОтклонение[[#This Row],[Январь]:[Декабрь]])</f>
        <v>1500</v>
      </c>
    </row>
    <row r="24" spans="1:15" ht="24.95" customHeight="1" thickBot="1" x14ac:dyDescent="0.35">
      <c r="A24" s="32"/>
      <c r="B24" s="66" t="s">
        <v>33</v>
      </c>
      <c r="C24" s="107">
        <f>INDEX(МаркетингПлан[],MATCH(INDEX(МаркетингОтклонение[],ROW()-ROW(МаркетингОтклонение[[#Headers],[Январь]]),1),INDEX(МаркетингПлан[],,1),0),MATCH(МаркетингОтклонение[[#Headers],[Январь]],МаркетингПлан[#Headers],0))-INDEX(МаркетингФактические[],MATCH(INDEX(МаркетингОтклонение[],ROW()-ROW(МаркетингОтклонение[[#Headers],[Январь]]),1),INDEX(МаркетингПлан[],,1),0),MATCH(МаркетингОтклонение[[#Headers],[Январь]],МаркетингФактические[#Headers],0))</f>
        <v>200</v>
      </c>
      <c r="D24" s="107">
        <f>INDEX(МаркетингПлан[],MATCH(INDEX(МаркетингОтклонение[],ROW()-ROW(МаркетингОтклонение[[#Headers],[Февраль]]),1),INDEX(МаркетингПлан[],,1),0),MATCH(МаркетингОтклонение[[#Headers],[Февраль]],МаркетингПлан[#Headers],0))-INDEX(МаркетингФактические[],MATCH(INDEX(МаркетингОтклонение[],ROW()-ROW(МаркетингОтклонение[[#Headers],[Февраль]]),1),INDEX(МаркетингПлан[],,1),0),MATCH(МаркетингОтклонение[[#Headers],[Февраль]],МаркетингФактические[#Headers],0))</f>
        <v>0</v>
      </c>
      <c r="E24" s="107">
        <f>INDEX(МаркетингПлан[],MATCH(INDEX(МаркетингОтклонение[],ROW()-ROW(МаркетингОтклонение[[#Headers],[Март]]),1),INDEX(МаркетингПлан[],,1),0),MATCH(МаркетингОтклонение[[#Headers],[Март]],МаркетингПлан[#Headers],0))-INDEX(МаркетингФактические[],MATCH(INDEX(МаркетингОтклонение[],ROW()-ROW(МаркетингОтклонение[[#Headers],[Март]]),1),INDEX(МаркетингПлан[],,1),0),MATCH(МаркетингОтклонение[[#Headers],[Март]],МаркетингФактические[#Headers],0))</f>
        <v>0</v>
      </c>
      <c r="F24" s="107">
        <f>INDEX(МаркетингПлан[],MATCH(INDEX(МаркетингОтклонение[],ROW()-ROW(МаркетингОтклонение[[#Headers],[Апрель]]),1),INDEX(МаркетингПлан[],,1),0),MATCH(МаркетингОтклонение[[#Headers],[Апрель]],МаркетингПлан[#Headers],0))-INDEX(МаркетингФактические[],MATCH(INDEX(МаркетингОтклонение[],ROW()-ROW(МаркетингОтклонение[[#Headers],[Апрель]]),1),INDEX(МаркетингПлан[],,1),0),MATCH(МаркетингОтклонение[[#Headers],[Апрель]],МаркетингФактические[#Headers],0))</f>
        <v>-500</v>
      </c>
      <c r="G24" s="107">
        <f>INDEX(МаркетингПлан[],MATCH(INDEX(МаркетингОтклонение[],ROW()-ROW(МаркетингОтклонение[[#Headers],[Май]]),1),INDEX(МаркетингПлан[],,1),0),MATCH(МаркетингОтклонение[[#Headers],[Май]],МаркетингПлан[#Headers],0))-INDEX(МаркетингФактические[],MATCH(INDEX(МаркетингОтклонение[],ROW()-ROW(МаркетингОтклонение[[#Headers],[Май]]),1),INDEX(МаркетингПлан[],,1),0),MATCH(МаркетингОтклонение[[#Headers],[Май]],МаркетингФактические[#Headers],0))</f>
        <v>0</v>
      </c>
      <c r="H24" s="107">
        <f>INDEX(МаркетингПлан[],MATCH(INDEX(МаркетингОтклонение[],ROW()-ROW(МаркетингОтклонение[[#Headers],[Июнь]]),1),INDEX(МаркетингПлан[],,1),0),MATCH(МаркетингОтклонение[[#Headers],[Июнь]],МаркетингПлан[#Headers],0))-INDEX(МаркетингФактические[],MATCH(INDEX(МаркетингОтклонение[],ROW()-ROW(МаркетингОтклонение[[#Headers],[Июнь]]),1),INDEX(МаркетингПлан[],,1),0),MATCH(МаркетингОтклонение[[#Headers],[Июнь]],МаркетингФактические[#Headers],0))</f>
        <v>0</v>
      </c>
      <c r="I24" s="107">
        <f>INDEX(МаркетингПлан[],MATCH(INDEX(МаркетингОтклонение[],ROW()-ROW(МаркетингОтклонение[[#Headers],[Июль]]),1),INDEX(МаркетингПлан[],,1),0),MATCH(МаркетингОтклонение[[#Headers],[Июль]],МаркетингПлан[#Headers],0))-INDEX(МаркетингФактические[],MATCH(INDEX(МаркетингОтклонение[],ROW()-ROW(МаркетингОтклонение[[#Headers],[Июль]]),1),INDEX(МаркетингПлан[],,1),0),MATCH(МаркетингОтклонение[[#Headers],[Июль]],МаркетингФактические[#Headers],0))</f>
        <v>5000</v>
      </c>
      <c r="J24" s="107">
        <f>INDEX(МаркетингПлан[],MATCH(INDEX(МаркетингОтклонение[],ROW()-ROW(МаркетингОтклонение[[#Headers],[Август]]),1),INDEX(МаркетингПлан[],,1),0),MATCH(МаркетингОтклонение[[#Headers],[Август]],МаркетингПлан[#Headers],0))-INDEX(МаркетингФактические[],MATCH(INDEX(МаркетингОтклонение[],ROW()-ROW(МаркетингОтклонение[[#Headers],[Август]]),1),INDEX(МаркетингПлан[],,1),0),MATCH(МаркетингОтклонение[[#Headers],[Август]],МаркетингФактические[#Headers],0))</f>
        <v>0</v>
      </c>
      <c r="K24" s="107">
        <f>INDEX(МаркетингПлан[],MATCH(INDEX(МаркетингОтклонение[],ROW()-ROW(МаркетингОтклонение[[#Headers],[Сентябрь]]),1),INDEX(МаркетингПлан[],,1),0),MATCH(МаркетингОтклонение[[#Headers],[Сентябрь]],МаркетингПлан[#Headers],0))-INDEX(МаркетингФактические[],MATCH(INDEX(МаркетингОтклонение[],ROW()-ROW(МаркетингОтклонение[[#Headers],[Сентябрь]]),1),INDEX(МаркетингПлан[],,1),0),MATCH(МаркетингОтклонение[[#Headers],[Сентябрь]],МаркетингФактические[#Headers],0))</f>
        <v>0</v>
      </c>
      <c r="L24" s="107">
        <f>INDEX(МаркетингПлан[],MATCH(INDEX(МаркетингОтклонение[],ROW()-ROW(МаркетингОтклонение[[#Headers],[Октябрь]]),1),INDEX(МаркетингПлан[],,1),0),MATCH(МаркетингОтклонение[[#Headers],[Октябрь]],МаркетингПлан[#Headers],0))-INDEX(МаркетингФактические[],MATCH(INDEX(МаркетингОтклонение[],ROW()-ROW(МаркетингОтклонение[[#Headers],[Октябрь]]),1),INDEX(МаркетингПлан[],,1),0),MATCH(МаркетингОтклонение[[#Headers],[Октябрь]],МаркетингФактические[#Headers],0))</f>
        <v>5000</v>
      </c>
      <c r="M24" s="107">
        <f>INDEX(МаркетингПлан[],MATCH(INDEX(МаркетингОтклонение[],ROW()-ROW(МаркетингОтклонение[[#Headers],[Ноябрь]]),1),INDEX(МаркетингПлан[],,1),0),MATCH(МаркетингОтклонение[[#Headers],[Ноябрь]],МаркетингПлан[#Headers],0))-INDEX(МаркетингФактические[],MATCH(INDEX(МаркетингОтклонение[],ROW()-ROW(МаркетингОтклонение[[#Headers],[Ноябрь]]),1),INDEX(МаркетингПлан[],,1),0),MATCH(МаркетингОтклонение[[#Headers],[Ноябрь]],МаркетингФактические[#Headers],0))</f>
        <v>0</v>
      </c>
      <c r="N24" s="107">
        <f>INDEX(МаркетингПлан[],MATCH(INDEX(МаркетингОтклонение[],ROW()-ROW(МаркетингОтклонение[[#Headers],[Декабрь]]),1),INDEX(МаркетингПлан[],,1),0),MATCH(МаркетингОтклонение[[#Headers],[Декабрь]],МаркетингПлан[#Headers],0))-INDEX(МаркетингФактические[],MATCH(INDEX(МаркетингОтклонение[],ROW()-ROW(МаркетингОтклонение[[#Headers],[Декабрь]]),1),INDEX(МаркетингПлан[],,1),0),MATCH(МаркетингОтклонение[[#Headers],[Декабрь]],МаркетингФактические[#Headers],0))</f>
        <v>0</v>
      </c>
      <c r="O24" s="108">
        <f>SUM(МаркетингОтклонение[[#This Row],[Январь]:[Декабрь]])</f>
        <v>9700</v>
      </c>
    </row>
    <row r="25" spans="1:15" ht="24.95" customHeight="1" thickBot="1" x14ac:dyDescent="0.35">
      <c r="A25" s="32"/>
      <c r="B25" s="66" t="s">
        <v>34</v>
      </c>
      <c r="C25" s="107">
        <f>INDEX(МаркетингПлан[],MATCH(INDEX(МаркетингОтклонение[],ROW()-ROW(МаркетингОтклонение[[#Headers],[Январь]]),1),INDEX(МаркетингПлан[],,1),0),MATCH(МаркетингОтклонение[[#Headers],[Январь]],МаркетингПлан[#Headers],0))-INDEX(МаркетингФактические[],MATCH(INDEX(МаркетингОтклонение[],ROW()-ROW(МаркетингОтклонение[[#Headers],[Январь]]),1),INDEX(МаркетингПлан[],,1),0),MATCH(МаркетингОтклонение[[#Headers],[Январь]],МаркетингФактические[#Headers],0))</f>
        <v>100</v>
      </c>
      <c r="D25" s="107">
        <f>INDEX(МаркетингПлан[],MATCH(INDEX(МаркетингОтклонение[],ROW()-ROW(МаркетингОтклонение[[#Headers],[Февраль]]),1),INDEX(МаркетингПлан[],,1),0),MATCH(МаркетингОтклонение[[#Headers],[Февраль]],МаркетингПлан[#Headers],0))-INDEX(МаркетингФактические[],MATCH(INDEX(МаркетингОтклонение[],ROW()-ROW(МаркетингОтклонение[[#Headers],[Февраль]]),1),INDEX(МаркетингПлан[],,1),0),MATCH(МаркетингОтклонение[[#Headers],[Февраль]],МаркетингФактические[#Headers],0))</f>
        <v>-300</v>
      </c>
      <c r="E25" s="107">
        <f>INDEX(МаркетингПлан[],MATCH(INDEX(МаркетингОтклонение[],ROW()-ROW(МаркетингОтклонение[[#Headers],[Март]]),1),INDEX(МаркетингПлан[],,1),0),MATCH(МаркетингОтклонение[[#Headers],[Март]],МаркетингПлан[#Headers],0))-INDEX(МаркетингФактические[],MATCH(INDEX(МаркетингОтклонение[],ROW()-ROW(МаркетингОтклонение[[#Headers],[Март]]),1),INDEX(МаркетингПлан[],,1),0),MATCH(МаркетингОтклонение[[#Headers],[Март]],МаркетингФактические[#Headers],0))</f>
        <v>100</v>
      </c>
      <c r="F25" s="107">
        <f>INDEX(МаркетингПлан[],MATCH(INDEX(МаркетингОтклонение[],ROW()-ROW(МаркетингОтклонение[[#Headers],[Апрель]]),1),INDEX(МаркетингПлан[],,1),0),MATCH(МаркетингОтклонение[[#Headers],[Апрель]],МаркетингПлан[#Headers],0))-INDEX(МаркетингФактические[],MATCH(INDEX(МаркетингОтклонение[],ROW()-ROW(МаркетингОтклонение[[#Headers],[Апрель]]),1),INDEX(МаркетингПлан[],,1),0),MATCH(МаркетингОтклонение[[#Headers],[Апрель]],МаркетингФактические[#Headers],0))</f>
        <v>100</v>
      </c>
      <c r="G25" s="107">
        <f>INDEX(МаркетингПлан[],MATCH(INDEX(МаркетингОтклонение[],ROW()-ROW(МаркетингОтклонение[[#Headers],[Май]]),1),INDEX(МаркетингПлан[],,1),0),MATCH(МаркетингОтклонение[[#Headers],[Май]],МаркетингПлан[#Headers],0))-INDEX(МаркетингФактические[],MATCH(INDEX(МаркетингОтклонение[],ROW()-ROW(МаркетингОтклонение[[#Headers],[Май]]),1),INDEX(МаркетингПлан[],,1),0),MATCH(МаркетингОтклонение[[#Headers],[Май]],МаркетингФактические[#Headers],0))</f>
        <v>-400</v>
      </c>
      <c r="H25" s="107">
        <f>INDEX(МаркетингПлан[],MATCH(INDEX(МаркетингОтклонение[],ROW()-ROW(МаркетингОтклонение[[#Headers],[Июнь]]),1),INDEX(МаркетингПлан[],,1),0),MATCH(МаркетингОтклонение[[#Headers],[Июнь]],МаркетингПлан[#Headers],0))-INDEX(МаркетингФактические[],MATCH(INDEX(МаркетингОтклонение[],ROW()-ROW(МаркетингОтклонение[[#Headers],[Июнь]]),1),INDEX(МаркетингПлан[],,1),0),MATCH(МаркетингОтклонение[[#Headers],[Июнь]],МаркетингФактические[#Headers],0))</f>
        <v>20</v>
      </c>
      <c r="I25" s="107">
        <f>INDEX(МаркетингПлан[],MATCH(INDEX(МаркетингОтклонение[],ROW()-ROW(МаркетингОтклонение[[#Headers],[Июль]]),1),INDEX(МаркетингПлан[],,1),0),MATCH(МаркетингОтклонение[[#Headers],[Июль]],МаркетингПлан[#Headers],0))-INDEX(МаркетингФактические[],MATCH(INDEX(МаркетингОтклонение[],ROW()-ROW(МаркетингОтклонение[[#Headers],[Июль]]),1),INDEX(МаркетингПлан[],,1),0),MATCH(МаркетингОтклонение[[#Headers],[Июль]],МаркетингФактические[#Headers],0))</f>
        <v>200</v>
      </c>
      <c r="J25" s="107">
        <f>INDEX(МаркетингПлан[],MATCH(INDEX(МаркетингОтклонение[],ROW()-ROW(МаркетингОтклонение[[#Headers],[Август]]),1),INDEX(МаркетингПлан[],,1),0),MATCH(МаркетингОтклонение[[#Headers],[Август]],МаркетингПлан[#Headers],0))-INDEX(МаркетингФактические[],MATCH(INDEX(МаркетингОтклонение[],ROW()-ROW(МаркетингОтклонение[[#Headers],[Август]]),1),INDEX(МаркетингПлан[],,1),0),MATCH(МаркетингОтклонение[[#Headers],[Август]],МаркетингФактические[#Headers],0))</f>
        <v>200</v>
      </c>
      <c r="K25" s="107">
        <f>INDEX(МаркетингПлан[],MATCH(INDEX(МаркетингОтклонение[],ROW()-ROW(МаркетингОтклонение[[#Headers],[Сентябрь]]),1),INDEX(МаркетингПлан[],,1),0),MATCH(МаркетингОтклонение[[#Headers],[Сентябрь]],МаркетингПлан[#Headers],0))-INDEX(МаркетингФактические[],MATCH(INDEX(МаркетингОтклонение[],ROW()-ROW(МаркетингОтклонение[[#Headers],[Сентябрь]]),1),INDEX(МаркетингПлан[],,1),0),MATCH(МаркетингОтклонение[[#Headers],[Сентябрь]],МаркетингФактические[#Headers],0))</f>
        <v>200</v>
      </c>
      <c r="L25" s="107">
        <f>INDEX(МаркетингПлан[],MATCH(INDEX(МаркетингОтклонение[],ROW()-ROW(МаркетингОтклонение[[#Headers],[Октябрь]]),1),INDEX(МаркетингПлан[],,1),0),MATCH(МаркетингОтклонение[[#Headers],[Октябрь]],МаркетингПлан[#Headers],0))-INDEX(МаркетингФактические[],MATCH(INDEX(МаркетингОтклонение[],ROW()-ROW(МаркетингОтклонение[[#Headers],[Октябрь]]),1),INDEX(МаркетингПлан[],,1),0),MATCH(МаркетингОтклонение[[#Headers],[Октябрь]],МаркетингФактические[#Headers],0))</f>
        <v>200</v>
      </c>
      <c r="M25" s="107">
        <f>INDEX(МаркетингПлан[],MATCH(INDEX(МаркетингОтклонение[],ROW()-ROW(МаркетингОтклонение[[#Headers],[Ноябрь]]),1),INDEX(МаркетингПлан[],,1),0),MATCH(МаркетингОтклонение[[#Headers],[Ноябрь]],МаркетингПлан[#Headers],0))-INDEX(МаркетингФактические[],MATCH(INDEX(МаркетингОтклонение[],ROW()-ROW(МаркетингОтклонение[[#Headers],[Ноябрь]]),1),INDEX(МаркетингПлан[],,1),0),MATCH(МаркетингОтклонение[[#Headers],[Ноябрь]],МаркетингФактические[#Headers],0))</f>
        <v>200</v>
      </c>
      <c r="N25" s="107">
        <f>INDEX(МаркетингПлан[],MATCH(INDEX(МаркетингОтклонение[],ROW()-ROW(МаркетингОтклонение[[#Headers],[Декабрь]]),1),INDEX(МаркетингПлан[],,1),0),MATCH(МаркетингОтклонение[[#Headers],[Декабрь]],МаркетингПлан[#Headers],0))-INDEX(МаркетингФактические[],MATCH(INDEX(МаркетингОтклонение[],ROW()-ROW(МаркетингОтклонение[[#Headers],[Декабрь]]),1),INDEX(МаркетингПлан[],,1),0),MATCH(МаркетингОтклонение[[#Headers],[Декабрь]],МаркетингФактические[#Headers],0))</f>
        <v>200</v>
      </c>
      <c r="O25" s="108">
        <f>SUM(МаркетингОтклонение[[#This Row],[Январь]:[Декабрь]])</f>
        <v>820</v>
      </c>
    </row>
    <row r="26" spans="1:15" ht="24.95" customHeight="1" thickBot="1" x14ac:dyDescent="0.35">
      <c r="A26" s="32"/>
      <c r="B26" s="66" t="s">
        <v>35</v>
      </c>
      <c r="C26" s="107">
        <f>INDEX(МаркетингПлан[],MATCH(INDEX(МаркетингОтклонение[],ROW()-ROW(МаркетингОтклонение[[#Headers],[Январь]]),1),INDEX(МаркетингПлан[],,1),0),MATCH(МаркетингОтклонение[[#Headers],[Январь]],МаркетингПлан[#Headers],0))-INDEX(МаркетингФактические[],MATCH(INDEX(МаркетингОтклонение[],ROW()-ROW(МаркетингОтклонение[[#Headers],[Январь]]),1),INDEX(МаркетингПлан[],,1),0),MATCH(МаркетингОтклонение[[#Headers],[Январь]],МаркетингФактические[#Headers],0))</f>
        <v>200</v>
      </c>
      <c r="D26" s="107">
        <f>INDEX(МаркетингПлан[],MATCH(INDEX(МаркетингОтклонение[],ROW()-ROW(МаркетингОтклонение[[#Headers],[Февраль]]),1),INDEX(МаркетингПлан[],,1),0),MATCH(МаркетингОтклонение[[#Headers],[Февраль]],МаркетингПлан[#Headers],0))-INDEX(МаркетингФактические[],MATCH(INDEX(МаркетингОтклонение[],ROW()-ROW(МаркетингОтклонение[[#Headers],[Февраль]]),1),INDEX(МаркетингПлан[],,1),0),MATCH(МаркетингОтклонение[[#Headers],[Февраль]],МаркетингФактические[#Headers],0))</f>
        <v>-200</v>
      </c>
      <c r="E26" s="107">
        <f>INDEX(МаркетингПлан[],MATCH(INDEX(МаркетингОтклонение[],ROW()-ROW(МаркетингОтклонение[[#Headers],[Март]]),1),INDEX(МаркетингПлан[],,1),0),MATCH(МаркетингОтклонение[[#Headers],[Март]],МаркетингПлан[#Headers],0))-INDEX(МаркетингФактические[],MATCH(INDEX(МаркетингОтклонение[],ROW()-ROW(МаркетингОтклонение[[#Headers],[Март]]),1),INDEX(МаркетингПлан[],,1),0),MATCH(МаркетингОтклонение[[#Headers],[Март]],МаркетингФактические[#Headers],0))</f>
        <v>-200</v>
      </c>
      <c r="F26" s="107">
        <f>INDEX(МаркетингПлан[],MATCH(INDEX(МаркетингОтклонение[],ROW()-ROW(МаркетингОтклонение[[#Headers],[Апрель]]),1),INDEX(МаркетингПлан[],,1),0),MATCH(МаркетингОтклонение[[#Headers],[Апрель]],МаркетингПлан[#Headers],0))-INDEX(МаркетингФактические[],MATCH(INDEX(МаркетингОтклонение[],ROW()-ROW(МаркетингОтклонение[[#Headers],[Апрель]]),1),INDEX(МаркетингПлан[],,1),0),MATCH(МаркетингОтклонение[[#Headers],[Апрель]],МаркетингФактические[#Headers],0))</f>
        <v>300</v>
      </c>
      <c r="G26" s="107">
        <f>INDEX(МаркетингПлан[],MATCH(INDEX(МаркетингОтклонение[],ROW()-ROW(МаркетингОтклонение[[#Headers],[Май]]),1),INDEX(МаркетингПлан[],,1),0),MATCH(МаркетингОтклонение[[#Headers],[Май]],МаркетингПлан[#Headers],0))-INDEX(МаркетингФактические[],MATCH(INDEX(МаркетингОтклонение[],ROW()-ROW(МаркетингОтклонение[[#Headers],[Май]]),1),INDEX(МаркетингПлан[],,1),0),MATCH(МаркетингОтклонение[[#Headers],[Май]],МаркетингФактические[#Headers],0))</f>
        <v>500</v>
      </c>
      <c r="H26" s="107">
        <f>INDEX(МаркетингПлан[],MATCH(INDEX(МаркетингОтклонение[],ROW()-ROW(МаркетингОтклонение[[#Headers],[Июнь]]),1),INDEX(МаркетингПлан[],,1),0),MATCH(МаркетингОтклонение[[#Headers],[Июнь]],МаркетингПлан[#Headers],0))-INDEX(МаркетингФактические[],MATCH(INDEX(МаркетингОтклонение[],ROW()-ROW(МаркетингОтклонение[[#Headers],[Июнь]]),1),INDEX(МаркетингПлан[],,1),0),MATCH(МаркетингОтклонение[[#Headers],[Июнь]],МаркетингФактические[#Headers],0))</f>
        <v>-300</v>
      </c>
      <c r="I26" s="107">
        <f>INDEX(МаркетингПлан[],MATCH(INDEX(МаркетингОтклонение[],ROW()-ROW(МаркетингОтклонение[[#Headers],[Июль]]),1),INDEX(МаркетингПлан[],,1),0),MATCH(МаркетингОтклонение[[#Headers],[Июль]],МаркетингПлан[#Headers],0))-INDEX(МаркетингФактические[],MATCH(INDEX(МаркетингОтклонение[],ROW()-ROW(МаркетингОтклонение[[#Headers],[Июль]]),1),INDEX(МаркетингПлан[],,1),0),MATCH(МаркетингОтклонение[[#Headers],[Июль]],МаркетингФактические[#Headers],0))</f>
        <v>2000</v>
      </c>
      <c r="J26" s="107">
        <f>INDEX(МаркетингПлан[],MATCH(INDEX(МаркетингОтклонение[],ROW()-ROW(МаркетингОтклонение[[#Headers],[Август]]),1),INDEX(МаркетингПлан[],,1),0),MATCH(МаркетингОтклонение[[#Headers],[Август]],МаркетингПлан[#Headers],0))-INDEX(МаркетингФактические[],MATCH(INDEX(МаркетингОтклонение[],ROW()-ROW(МаркетингОтклонение[[#Headers],[Август]]),1),INDEX(МаркетингПлан[],,1),0),MATCH(МаркетингОтклонение[[#Headers],[Август]],МаркетингФактические[#Headers],0))</f>
        <v>5000</v>
      </c>
      <c r="K26" s="107">
        <f>INDEX(МаркетингПлан[],MATCH(INDEX(МаркетингОтклонение[],ROW()-ROW(МаркетингОтклонение[[#Headers],[Сентябрь]]),1),INDEX(МаркетингПлан[],,1),0),MATCH(МаркетингОтклонение[[#Headers],[Сентябрь]],МаркетингПлан[#Headers],0))-INDEX(МаркетингФактические[],MATCH(INDEX(МаркетингОтклонение[],ROW()-ROW(МаркетингОтклонение[[#Headers],[Сентябрь]]),1),INDEX(МаркетингПлан[],,1),0),MATCH(МаркетингОтклонение[[#Headers],[Сентябрь]],МаркетингФактические[#Headers],0))</f>
        <v>2000</v>
      </c>
      <c r="L26" s="107">
        <f>INDEX(МаркетингПлан[],MATCH(INDEX(МаркетингОтклонение[],ROW()-ROW(МаркетингОтклонение[[#Headers],[Октябрь]]),1),INDEX(МаркетингПлан[],,1),0),MATCH(МаркетингОтклонение[[#Headers],[Октябрь]],МаркетингПлан[#Headers],0))-INDEX(МаркетингФактические[],MATCH(INDEX(МаркетингОтклонение[],ROW()-ROW(МаркетингОтклонение[[#Headers],[Октябрь]]),1),INDEX(МаркетингПлан[],,1),0),MATCH(МаркетингОтклонение[[#Headers],[Октябрь]],МаркетингФактические[#Headers],0))</f>
        <v>2000</v>
      </c>
      <c r="M26" s="107">
        <f>INDEX(МаркетингПлан[],MATCH(INDEX(МаркетингОтклонение[],ROW()-ROW(МаркетингОтклонение[[#Headers],[Ноябрь]]),1),INDEX(МаркетингПлан[],,1),0),MATCH(МаркетингОтклонение[[#Headers],[Ноябрь]],МаркетингПлан[#Headers],0))-INDEX(МаркетингФактические[],MATCH(INDEX(МаркетингОтклонение[],ROW()-ROW(МаркетингОтклонение[[#Headers],[Ноябрь]]),1),INDEX(МаркетингПлан[],,1),0),MATCH(МаркетингОтклонение[[#Headers],[Ноябрь]],МаркетингФактические[#Headers],0))</f>
        <v>2000</v>
      </c>
      <c r="N26" s="107">
        <f>INDEX(МаркетингПлан[],MATCH(INDEX(МаркетингОтклонение[],ROW()-ROW(МаркетингОтклонение[[#Headers],[Декабрь]]),1),INDEX(МаркетингПлан[],,1),0),MATCH(МаркетингОтклонение[[#Headers],[Декабрь]],МаркетингПлан[#Headers],0))-INDEX(МаркетингФактические[],MATCH(INDEX(МаркетингОтклонение[],ROW()-ROW(МаркетингОтклонение[[#Headers],[Декабрь]]),1),INDEX(МаркетингПлан[],,1),0),MATCH(МаркетингОтклонение[[#Headers],[Декабрь]],МаркетингФактические[#Headers],0))</f>
        <v>5000</v>
      </c>
      <c r="O26" s="108">
        <f>SUM(МаркетингОтклонение[[#This Row],[Январь]:[Декабрь]])</f>
        <v>18300</v>
      </c>
    </row>
    <row r="27" spans="1:15" ht="24.95" customHeight="1" thickBot="1" x14ac:dyDescent="0.35">
      <c r="A27" s="32"/>
      <c r="B27" s="66" t="s">
        <v>36</v>
      </c>
      <c r="C27" s="107">
        <f>INDEX(МаркетингПлан[],MATCH(INDEX(МаркетингОтклонение[],ROW()-ROW(МаркетингОтклонение[[#Headers],[Январь]]),1),INDEX(МаркетингПлан[],,1),0),MATCH(МаркетингОтклонение[[#Headers],[Январь]],МаркетингПлан[#Headers],0))-INDEX(МаркетингФактические[],MATCH(INDEX(МаркетингОтклонение[],ROW()-ROW(МаркетингОтклонение[[#Headers],[Январь]]),1),INDEX(МаркетингПлан[],,1),0),MATCH(МаркетингОтклонение[[#Headers],[Январь]],МаркетингФактические[#Headers],0))</f>
        <v>55</v>
      </c>
      <c r="D27" s="107">
        <f>INDEX(МаркетингПлан[],MATCH(INDEX(МаркетингОтклонение[],ROW()-ROW(МаркетингОтклонение[[#Headers],[Февраль]]),1),INDEX(МаркетингПлан[],,1),0),MATCH(МаркетингОтклонение[[#Headers],[Февраль]],МаркетингПлан[#Headers],0))-INDEX(МаркетингФактические[],MATCH(INDEX(МаркетингОтклонение[],ROW()-ROW(МаркетингОтклонение[[#Headers],[Февраль]]),1),INDEX(МаркетингПлан[],,1),0),MATCH(МаркетингОтклонение[[#Headers],[Февраль]],МаркетингФактические[#Headers],0))</f>
        <v>44</v>
      </c>
      <c r="E27" s="107">
        <f>INDEX(МаркетингПлан[],MATCH(INDEX(МаркетингОтклонение[],ROW()-ROW(МаркетингОтклонение[[#Headers],[Март]]),1),INDEX(МаркетингПлан[],,1),0),MATCH(МаркетингОтклонение[[#Headers],[Март]],МаркетингПлан[#Headers],0))-INDEX(МаркетингФактические[],MATCH(INDEX(МаркетингОтклонение[],ROW()-ROW(МаркетингОтклонение[[#Headers],[Март]]),1),INDEX(МаркетингПлан[],,1),0),MATCH(МаркетингОтклонение[[#Headers],[Март]],МаркетингФактические[#Headers],0))</f>
        <v>77</v>
      </c>
      <c r="F27" s="107">
        <f>INDEX(МаркетингПлан[],MATCH(INDEX(МаркетингОтклонение[],ROW()-ROW(МаркетингОтклонение[[#Headers],[Апрель]]),1),INDEX(МаркетингПлан[],,1),0),MATCH(МаркетингОтклонение[[#Headers],[Апрель]],МаркетингПлан[#Headers],0))-INDEX(МаркетингФактические[],MATCH(INDEX(МаркетингОтклонение[],ROW()-ROW(МаркетингОтклонение[[#Headers],[Апрель]]),1),INDEX(МаркетингПлан[],,1),0),MATCH(МаркетингОтклонение[[#Headers],[Апрель]],МаркетингФактические[#Headers],0))</f>
        <v>-23</v>
      </c>
      <c r="G27" s="107">
        <f>INDEX(МаркетингПлан[],MATCH(INDEX(МаркетингОтклонение[],ROW()-ROW(МаркетингОтклонение[[#Headers],[Май]]),1),INDEX(МаркетингПлан[],,1),0),MATCH(МаркетингОтклонение[[#Headers],[Май]],МаркетингПлан[#Headers],0))-INDEX(МаркетингФактические[],MATCH(INDEX(МаркетингОтклонение[],ROW()-ROW(МаркетингОтклонение[[#Headers],[Май]]),1),INDEX(МаркетингПлан[],,1),0),MATCH(МаркетингОтклонение[[#Headers],[Май]],МаркетингФактические[#Headers],0))</f>
        <v>13</v>
      </c>
      <c r="H27" s="107">
        <f>INDEX(МаркетингПлан[],MATCH(INDEX(МаркетингОтклонение[],ROW()-ROW(МаркетингОтклонение[[#Headers],[Июнь]]),1),INDEX(МаркетингПлан[],,1),0),MATCH(МаркетингОтклонение[[#Headers],[Июнь]],МаркетингПлан[#Headers],0))-INDEX(МаркетингФактические[],MATCH(INDEX(МаркетингОтклонение[],ROW()-ROW(МаркетингОтклонение[[#Headers],[Июнь]]),1),INDEX(МаркетингПлан[],,1),0),MATCH(МаркетингОтклонение[[#Headers],[Июнь]],МаркетингФактические[#Headers],0))</f>
        <v>-45</v>
      </c>
      <c r="I27" s="107">
        <f>INDEX(МаркетингПлан[],MATCH(INDEX(МаркетингОтклонение[],ROW()-ROW(МаркетингОтклонение[[#Headers],[Июль]]),1),INDEX(МаркетингПлан[],,1),0),MATCH(МаркетингОтклонение[[#Headers],[Июль]],МаркетингПлан[#Headers],0))-INDEX(МаркетингФактические[],MATCH(INDEX(МаркетингОтклонение[],ROW()-ROW(МаркетингОтклонение[[#Headers],[Июль]]),1),INDEX(МаркетингПлан[],,1),0),MATCH(МаркетингОтклонение[[#Headers],[Июль]],МаркетингФактические[#Headers],0))</f>
        <v>200</v>
      </c>
      <c r="J27" s="107">
        <f>INDEX(МаркетингПлан[],MATCH(INDEX(МаркетингОтклонение[],ROW()-ROW(МаркетингОтклонение[[#Headers],[Август]]),1),INDEX(МаркетингПлан[],,1),0),MATCH(МаркетингОтклонение[[#Headers],[Август]],МаркетингПлан[#Headers],0))-INDEX(МаркетингФактические[],MATCH(INDEX(МаркетингОтклонение[],ROW()-ROW(МаркетингОтклонение[[#Headers],[Август]]),1),INDEX(МаркетингПлан[],,1),0),MATCH(МаркетингОтклонение[[#Headers],[Август]],МаркетингФактические[#Headers],0))</f>
        <v>200</v>
      </c>
      <c r="K27" s="107">
        <f>INDEX(МаркетингПлан[],MATCH(INDEX(МаркетингОтклонение[],ROW()-ROW(МаркетингОтклонение[[#Headers],[Сентябрь]]),1),INDEX(МаркетингПлан[],,1),0),MATCH(МаркетингОтклонение[[#Headers],[Сентябрь]],МаркетингПлан[#Headers],0))-INDEX(МаркетингФактические[],MATCH(INDEX(МаркетингОтклонение[],ROW()-ROW(МаркетингОтклонение[[#Headers],[Сентябрь]]),1),INDEX(МаркетингПлан[],,1),0),MATCH(МаркетингОтклонение[[#Headers],[Сентябрь]],МаркетингФактические[#Headers],0))</f>
        <v>200</v>
      </c>
      <c r="L27" s="107">
        <f>INDEX(МаркетингПлан[],MATCH(INDEX(МаркетингОтклонение[],ROW()-ROW(МаркетингОтклонение[[#Headers],[Октябрь]]),1),INDEX(МаркетингПлан[],,1),0),MATCH(МаркетингОтклонение[[#Headers],[Октябрь]],МаркетингПлан[#Headers],0))-INDEX(МаркетингФактические[],MATCH(INDEX(МаркетингОтклонение[],ROW()-ROW(МаркетингОтклонение[[#Headers],[Октябрь]]),1),INDEX(МаркетингПлан[],,1),0),MATCH(МаркетингОтклонение[[#Headers],[Октябрь]],МаркетингФактические[#Headers],0))</f>
        <v>200</v>
      </c>
      <c r="M27" s="107">
        <f>INDEX(МаркетингПлан[],MATCH(INDEX(МаркетингОтклонение[],ROW()-ROW(МаркетингОтклонение[[#Headers],[Ноябрь]]),1),INDEX(МаркетингПлан[],,1),0),MATCH(МаркетингОтклонение[[#Headers],[Ноябрь]],МаркетингПлан[#Headers],0))-INDEX(МаркетингФактические[],MATCH(INDEX(МаркетингОтклонение[],ROW()-ROW(МаркетингОтклонение[[#Headers],[Ноябрь]]),1),INDEX(МаркетингПлан[],,1),0),MATCH(МаркетингОтклонение[[#Headers],[Ноябрь]],МаркетингФактические[#Headers],0))</f>
        <v>200</v>
      </c>
      <c r="N27" s="107">
        <f>INDEX(МаркетингПлан[],MATCH(INDEX(МаркетингОтклонение[],ROW()-ROW(МаркетингОтклонение[[#Headers],[Декабрь]]),1),INDEX(МаркетингПлан[],,1),0),MATCH(МаркетингОтклонение[[#Headers],[Декабрь]],МаркетингПлан[#Headers],0))-INDEX(МаркетингФактические[],MATCH(INDEX(МаркетингОтклонение[],ROW()-ROW(МаркетингОтклонение[[#Headers],[Декабрь]]),1),INDEX(МаркетингПлан[],,1),0),MATCH(МаркетингОтклонение[[#Headers],[Декабрь]],МаркетингФактические[#Headers],0))</f>
        <v>200</v>
      </c>
      <c r="O27" s="108">
        <f>SUM(МаркетингОтклонение[[#This Row],[Январь]:[Декабрь]])</f>
        <v>1321</v>
      </c>
    </row>
    <row r="28" spans="1:15" ht="24.95" customHeight="1" x14ac:dyDescent="0.3">
      <c r="A28" s="32"/>
      <c r="B28" s="77" t="s">
        <v>20</v>
      </c>
      <c r="C28" s="118">
        <f>SUBTOTAL(109,МаркетингОтклонение[Январь])</f>
        <v>555</v>
      </c>
      <c r="D28" s="118">
        <f>SUBTOTAL(109,МаркетингОтклонение[Февраль])</f>
        <v>-456</v>
      </c>
      <c r="E28" s="118">
        <f>SUBTOTAL(109,МаркетингОтклонение[Март])</f>
        <v>-23</v>
      </c>
      <c r="F28" s="118">
        <f>SUBTOTAL(109,МаркетингОтклонение[Апрель])</f>
        <v>-123</v>
      </c>
      <c r="G28" s="118">
        <f>SUBTOTAL(109,МаркетингОтклонение[Май])</f>
        <v>113</v>
      </c>
      <c r="H28" s="118">
        <f>SUBTOTAL(109,МаркетингОтклонение[Июнь])</f>
        <v>-825</v>
      </c>
      <c r="I28" s="118">
        <f>SUBTOTAL(109,МаркетингОтклонение[Июль])</f>
        <v>8100</v>
      </c>
      <c r="J28" s="118">
        <f>SUBTOTAL(109,МаркетингОтклонение[Август])</f>
        <v>6100</v>
      </c>
      <c r="K28" s="118">
        <f>SUBTOTAL(109,МаркетингОтклонение[Сентябрь])</f>
        <v>3100</v>
      </c>
      <c r="L28" s="118">
        <f>SUBTOTAL(109,МаркетингОтклонение[Октябрь])</f>
        <v>8100</v>
      </c>
      <c r="M28" s="118">
        <f>SUBTOTAL(109,МаркетингОтклонение[Ноябрь])</f>
        <v>3100</v>
      </c>
      <c r="N28" s="118">
        <f>SUBTOTAL(109,МаркетингОтклонение[Декабрь])</f>
        <v>6900</v>
      </c>
      <c r="O28" s="119">
        <f>SUBTOTAL(109,МаркетингОтклонение[ГОД])</f>
        <v>34641</v>
      </c>
    </row>
    <row r="29" spans="1:15" ht="21" customHeight="1" x14ac:dyDescent="0.3">
      <c r="A29" s="32"/>
      <c r="B29" s="140"/>
      <c r="C29" s="140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5"/>
    </row>
    <row r="30" spans="1:15" ht="24.95" customHeight="1" thickBot="1" x14ac:dyDescent="0.35">
      <c r="A30" s="32" t="s">
        <v>104</v>
      </c>
      <c r="B30" s="57" t="s">
        <v>37</v>
      </c>
      <c r="C30" s="64" t="s">
        <v>44</v>
      </c>
      <c r="D30" s="64" t="s">
        <v>46</v>
      </c>
      <c r="E30" s="64" t="s">
        <v>48</v>
      </c>
      <c r="F30" s="64" t="s">
        <v>50</v>
      </c>
      <c r="G30" s="64" t="s">
        <v>52</v>
      </c>
      <c r="H30" s="64" t="s">
        <v>54</v>
      </c>
      <c r="I30" s="64" t="s">
        <v>56</v>
      </c>
      <c r="J30" s="64" t="s">
        <v>58</v>
      </c>
      <c r="K30" s="64" t="s">
        <v>62</v>
      </c>
      <c r="L30" s="64" t="s">
        <v>64</v>
      </c>
      <c r="M30" s="64" t="s">
        <v>66</v>
      </c>
      <c r="N30" s="64" t="s">
        <v>69</v>
      </c>
      <c r="O30" s="65" t="s">
        <v>70</v>
      </c>
    </row>
    <row r="31" spans="1:15" ht="24.95" customHeight="1" thickBot="1" x14ac:dyDescent="0.35">
      <c r="A31" s="32"/>
      <c r="B31" s="66" t="s">
        <v>38</v>
      </c>
      <c r="C31" s="107">
        <f>INDEX(ОбучениеИКомандировкиПлан[],MATCH(INDEX(ОбучениеИКомандировкиОтклонение[],ROW()-ROW(ОбучениеИКомандировкиОтклонение[[#Headers],[Январь]]),1),INDEX(ОбучениеИКомандировкиПлан[],,1),0),MATCH(ОбучениеИКомандировкиОтклонение[[#Headers],[Янва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Январь]]),1),INDEX(ОбучениеИКомандировкиПлан[],,1),0),MATCH(ОбучениеИКомандировкиОтклонение[[#Headers],[Январь]],ОбучениеИКомандировкиФактические[#Headers],0))</f>
        <v>400</v>
      </c>
      <c r="D31" s="107">
        <f>INDEX(ОбучениеИКомандировкиПлан[],MATCH(INDEX(ОбучениеИКомандировкиОтклонение[],ROW()-ROW(ОбучениеИКомандировкиОтклонение[[#Headers],[Февраль]]),1),INDEX(ОбучениеИКомандировкиПлан[],,1),0),MATCH(ОбучениеИКомандировкиОтклонение[[#Headers],[Февра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Февраль]]),1),INDEX(ОбучениеИКомандировкиПлан[],,1),0),MATCH(ОбучениеИКомандировкиОтклонение[[#Headers],[Февраль]],ОбучениеИКомандировкиФактические[#Headers],0))</f>
        <v>-400</v>
      </c>
      <c r="E31" s="107">
        <f>INDEX(ОбучениеИКомандировкиПлан[],MATCH(INDEX(ОбучениеИКомандировкиОтклонение[],ROW()-ROW(ОбучениеИКомандировкиОтклонение[[#Headers],[Март]]),1),INDEX(ОбучениеИКомандировкиПлан[],,1),0),MATCH(ОбучениеИКомандировкиОтклонение[[#Headers],[Март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Март]]),1),INDEX(ОбучениеИКомандировкиПлан[],,1),0),MATCH(ОбучениеИКомандировкиОтклонение[[#Headers],[Март]],ОбучениеИКомандировкиФактические[#Headers],0))</f>
        <v>600</v>
      </c>
      <c r="F31" s="107">
        <f>INDEX(ОбучениеИКомандировкиПлан[],MATCH(INDEX(ОбучениеИКомандировкиОтклонение[],ROW()-ROW(ОбучениеИКомандировкиОтклонение[[#Headers],[Апрель]]),1),INDEX(ОбучениеИКомандировкиПлан[],,1),0),MATCH(ОбучениеИКомандировкиОтклонение[[#Headers],[Апре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Апрель]]),1),INDEX(ОбучениеИКомандировкиПлан[],,1),0),MATCH(ОбучениеИКомандировкиОтклонение[[#Headers],[Апрель]],ОбучениеИКомандировкиФактические[#Headers],0))</f>
        <v>400</v>
      </c>
      <c r="G31" s="107">
        <f>INDEX(ОбучениеИКомандировкиПлан[],MATCH(INDEX(ОбучениеИКомандировкиОтклонение[],ROW()-ROW(ОбучениеИКомандировкиОтклонение[[#Headers],[Май]]),1),INDEX(ОбучениеИКомандировкиПлан[],,1),0),MATCH(ОбучениеИКомандировкиОтклонение[[#Headers],[Май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Май]]),1),INDEX(ОбучениеИКомандировкиПлан[],,1),0),MATCH(ОбучениеИКомандировкиОтклонение[[#Headers],[Май]],ОбучениеИКомандировкиФактические[#Headers],0))</f>
        <v>800</v>
      </c>
      <c r="H31" s="107">
        <f>INDEX(ОбучениеИКомандировкиПлан[],MATCH(INDEX(ОбучениеИКомандировкиОтклонение[],ROW()-ROW(ОбучениеИКомандировкиОтклонение[[#Headers],[Июнь]]),1),INDEX(ОбучениеИКомандировкиПлан[],,1),0),MATCH(ОбучениеИКомандировкиОтклонение[[#Headers],[Июн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Июнь]]),1),INDEX(ОбучениеИКомандировкиПлан[],,1),0),MATCH(ОбучениеИКомандировкиОтклонение[[#Headers],[Июнь]],ОбучениеИКомандировкиФактические[#Headers],0))</f>
        <v>-800</v>
      </c>
      <c r="I31" s="107">
        <f>INDEX(ОбучениеИКомандировкиПлан[],MATCH(INDEX(ОбучениеИКомандировкиОтклонение[],ROW()-ROW(ОбучениеИКомандировкиОтклонение[[#Headers],[Июль]]),1),INDEX(ОбучениеИКомандировкиПлан[],,1),0),MATCH(ОбучениеИКомандировкиОтклонение[[#Headers],[Ию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Июль]]),1),INDEX(ОбучениеИКомандировкиПлан[],,1),0),MATCH(ОбучениеИКомандировкиОтклонение[[#Headers],[Июль]],ОбучениеИКомандировкиФактические[#Headers],0))</f>
        <v>2000</v>
      </c>
      <c r="J31" s="107">
        <f>INDEX(ОбучениеИКомандировкиПлан[],MATCH(INDEX(ОбучениеИКомандировкиОтклонение[],ROW()-ROW(ОбучениеИКомандировкиОтклонение[[#Headers],[Август]]),1),INDEX(ОбучениеИКомандировкиПлан[],,1),0),MATCH(ОбучениеИКомандировкиОтклонение[[#Headers],[Август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Август]]),1),INDEX(ОбучениеИКомандировкиПлан[],,1),0),MATCH(ОбучениеИКомандировкиОтклонение[[#Headers],[Август]],ОбучениеИКомандировкиФактические[#Headers],0))</f>
        <v>2000</v>
      </c>
      <c r="K31" s="107">
        <f>INDEX(ОбучениеИКомандировкиПлан[],MATCH(INDEX(ОбучениеИКомандировкиОтклонение[],ROW()-ROW(ОбучениеИКомандировкиОтклонение[[#Headers],[Сентябрь]]),1),INDEX(ОбучениеИКомандировкиПлан[],,1),0),MATCH(ОбучениеИКомандировкиОтклонение[[#Headers],[Сент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Сентябрь]]),1),INDEX(ОбучениеИКомандировкиПлан[],,1),0),MATCH(ОбучениеИКомандировкиОтклонение[[#Headers],[Сентябрь]],ОбучениеИКомандировкиФактические[#Headers],0))</f>
        <v>2000</v>
      </c>
      <c r="L31" s="107">
        <f>INDEX(ОбучениеИКомандировкиПлан[],MATCH(INDEX(ОбучениеИКомандировкиОтклонение[],ROW()-ROW(ОбучениеИКомандировкиОтклонение[[#Headers],[Октябрь]]),1),INDEX(ОбучениеИКомандировкиПлан[],,1),0),MATCH(ОбучениеИКомандировкиОтклонение[[#Headers],[Окт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Октябрь]]),1),INDEX(ОбучениеИКомандировкиПлан[],,1),0),MATCH(ОбучениеИКомандировкиОтклонение[[#Headers],[Октябрь]],ОбучениеИКомандировкиФактические[#Headers],0))</f>
        <v>2000</v>
      </c>
      <c r="M31" s="107">
        <f>INDEX(ОбучениеИКомандировкиПлан[],MATCH(INDEX(ОбучениеИКомандировкиОтклонение[],ROW()-ROW(ОбучениеИКомандировкиОтклонение[[#Headers],[Ноябрь]]),1),INDEX(ОбучениеИКомандировкиПлан[],,1),0),MATCH(ОбучениеИКомандировкиОтклонение[[#Headers],[Но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Ноябрь]]),1),INDEX(ОбучениеИКомандировкиПлан[],,1),0),MATCH(ОбучениеИКомандировкиОтклонение[[#Headers],[Ноябрь]],ОбучениеИКомандировкиФактические[#Headers],0))</f>
        <v>2000</v>
      </c>
      <c r="N31" s="107">
        <f>INDEX(ОбучениеИКомандировкиПлан[],MATCH(INDEX(ОбучениеИКомандировкиОтклонение[],ROW()-ROW(ОбучениеИКомандировкиОтклонение[[#Headers],[Декабрь]]),1),INDEX(ОбучениеИКомандировкиПлан[],,1),0),MATCH(ОбучениеИКомандировкиОтклонение[[#Headers],[Дека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Декабрь]]),1),INDEX(ОбучениеИКомандировкиПлан[],,1),0),MATCH(ОбучениеИКомандировкиОтклонение[[#Headers],[Декабрь]],ОбучениеИКомандировкиФактические[#Headers],0))</f>
        <v>2000</v>
      </c>
      <c r="O31" s="108">
        <f>SUM(ОбучениеИКомандировкиОтклонение[[#This Row],[Январь]:[Декабрь]])</f>
        <v>13000</v>
      </c>
    </row>
    <row r="32" spans="1:15" ht="24.95" customHeight="1" thickBot="1" x14ac:dyDescent="0.35">
      <c r="A32" s="32"/>
      <c r="B32" s="66" t="s">
        <v>39</v>
      </c>
      <c r="C32" s="107">
        <f>INDEX(ОбучениеИКомандировкиПлан[],MATCH(INDEX(ОбучениеИКомандировкиОтклонение[],ROW()-ROW(ОбучениеИКомандировкиОтклонение[[#Headers],[Январь]]),1),INDEX(ОбучениеИКомандировкиПлан[],,1),0),MATCH(ОбучениеИКомандировкиОтклонение[[#Headers],[Янва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Январь]]),1),INDEX(ОбучениеИКомандировкиПлан[],,1),0),MATCH(ОбучениеИКомандировкиОтклонение[[#Headers],[Январь]],ОбучениеИКомандировкиФактические[#Headers],0))</f>
        <v>800</v>
      </c>
      <c r="D32" s="107">
        <f>INDEX(ОбучениеИКомандировкиПлан[],MATCH(INDEX(ОбучениеИКомандировкиОтклонение[],ROW()-ROW(ОбучениеИКомандировкиОтклонение[[#Headers],[Февраль]]),1),INDEX(ОбучениеИКомандировкиПлан[],,1),0),MATCH(ОбучениеИКомандировкиОтклонение[[#Headers],[Февра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Февраль]]),1),INDEX(ОбучениеИКомандировкиПлан[],,1),0),MATCH(ОбучениеИКомандировкиОтклонение[[#Headers],[Февраль]],ОбучениеИКомандировкиФактические[#Headers],0))</f>
        <v>-200</v>
      </c>
      <c r="E32" s="107">
        <f>INDEX(ОбучениеИКомандировкиПлан[],MATCH(INDEX(ОбучениеИКомандировкиОтклонение[],ROW()-ROW(ОбучениеИКомандировкиОтклонение[[#Headers],[Март]]),1),INDEX(ОбучениеИКомандировкиПлан[],,1),0),MATCH(ОбучениеИКомандировкиОтклонение[[#Headers],[Март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Март]]),1),INDEX(ОбучениеИКомандировкиПлан[],,1),0),MATCH(ОбучениеИКомандировкиОтклонение[[#Headers],[Март]],ОбучениеИКомандировкиФактические[#Headers],0))</f>
        <v>600</v>
      </c>
      <c r="F32" s="107">
        <f>INDEX(ОбучениеИКомандировкиПлан[],MATCH(INDEX(ОбучениеИКомандировкиОтклонение[],ROW()-ROW(ОбучениеИКомандировкиОтклонение[[#Headers],[Апрель]]),1),INDEX(ОбучениеИКомандировкиПлан[],,1),0),MATCH(ОбучениеИКомандировкиОтклонение[[#Headers],[Апре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Апрель]]),1),INDEX(ОбучениеИКомандировкиПлан[],,1),0),MATCH(ОбучениеИКомандировкиОтклонение[[#Headers],[Апрель]],ОбучениеИКомандировкиФактические[#Headers],0))</f>
        <v>800</v>
      </c>
      <c r="G32" s="107">
        <f>INDEX(ОбучениеИКомандировкиПлан[],MATCH(INDEX(ОбучениеИКомандировкиОтклонение[],ROW()-ROW(ОбучениеИКомандировкиОтклонение[[#Headers],[Май]]),1),INDEX(ОбучениеИКомандировкиПлан[],,1),0),MATCH(ОбучениеИКомандировкиОтклонение[[#Headers],[Май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Май]]),1),INDEX(ОбучениеИКомандировкиПлан[],,1),0),MATCH(ОбучениеИКомандировкиОтклонение[[#Headers],[Май]],ОбучениеИКомандировкиФактические[#Headers],0))</f>
        <v>1200</v>
      </c>
      <c r="H32" s="107">
        <f>INDEX(ОбучениеИКомандировкиПлан[],MATCH(INDEX(ОбучениеИКомандировкиОтклонение[],ROW()-ROW(ОбучениеИКомандировкиОтклонение[[#Headers],[Июнь]]),1),INDEX(ОбучениеИКомандировкиПлан[],,1),0),MATCH(ОбучениеИКомандировкиОтклонение[[#Headers],[Июн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Июнь]]),1),INDEX(ОбучениеИКомандировкиПлан[],,1),0),MATCH(ОбучениеИКомандировкиОтклонение[[#Headers],[Июнь]],ОбучениеИКомандировкиФактические[#Headers],0))</f>
        <v>-1500</v>
      </c>
      <c r="I32" s="107">
        <f>INDEX(ОбучениеИКомандировкиПлан[],MATCH(INDEX(ОбучениеИКомандировкиОтклонение[],ROW()-ROW(ОбучениеИКомандировкиОтклонение[[#Headers],[Июль]]),1),INDEX(ОбучениеИКомандировкиПлан[],,1),0),MATCH(ОбучениеИКомандировкиОтклонение[[#Headers],[Июл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Июль]]),1),INDEX(ОбучениеИКомандировкиПлан[],,1),0),MATCH(ОбучениеИКомандировкиОтклонение[[#Headers],[Июль]],ОбучениеИКомандировкиФактические[#Headers],0))</f>
        <v>2000</v>
      </c>
      <c r="J32" s="107">
        <f>INDEX(ОбучениеИКомандировкиПлан[],MATCH(INDEX(ОбучениеИКомандировкиОтклонение[],ROW()-ROW(ОбучениеИКомандировкиОтклонение[[#Headers],[Август]]),1),INDEX(ОбучениеИКомандировкиПлан[],,1),0),MATCH(ОбучениеИКомандировкиОтклонение[[#Headers],[Август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Август]]),1),INDEX(ОбучениеИКомандировкиПлан[],,1),0),MATCH(ОбучениеИКомандировкиОтклонение[[#Headers],[Август]],ОбучениеИКомандировкиФактические[#Headers],0))</f>
        <v>2000</v>
      </c>
      <c r="K32" s="107">
        <f>INDEX(ОбучениеИКомандировкиПлан[],MATCH(INDEX(ОбучениеИКомандировкиОтклонение[],ROW()-ROW(ОбучениеИКомандировкиОтклонение[[#Headers],[Сентябрь]]),1),INDEX(ОбучениеИКомандировкиПлан[],,1),0),MATCH(ОбучениеИКомандировкиОтклонение[[#Headers],[Сент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Сентябрь]]),1),INDEX(ОбучениеИКомандировкиПлан[],,1),0),MATCH(ОбучениеИКомандировкиОтклонение[[#Headers],[Сентябрь]],ОбучениеИКомандировкиФактические[#Headers],0))</f>
        <v>2000</v>
      </c>
      <c r="L32" s="107">
        <f>INDEX(ОбучениеИКомандировкиПлан[],MATCH(INDEX(ОбучениеИКомандировкиОтклонение[],ROW()-ROW(ОбучениеИКомандировкиОтклонение[[#Headers],[Октябрь]]),1),INDEX(ОбучениеИКомандировкиПлан[],,1),0),MATCH(ОбучениеИКомандировкиОтклонение[[#Headers],[Окт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Октябрь]]),1),INDEX(ОбучениеИКомандировкиПлан[],,1),0),MATCH(ОбучениеИКомандировкиОтклонение[[#Headers],[Октябрь]],ОбучениеИКомандировкиФактические[#Headers],0))</f>
        <v>2000</v>
      </c>
      <c r="M32" s="107">
        <f>INDEX(ОбучениеИКомандировкиПлан[],MATCH(INDEX(ОбучениеИКомандировкиОтклонение[],ROW()-ROW(ОбучениеИКомандировкиОтклонение[[#Headers],[Ноябрь]]),1),INDEX(ОбучениеИКомандировкиПлан[],,1),0),MATCH(ОбучениеИКомандировкиОтклонение[[#Headers],[Ноя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Ноябрь]]),1),INDEX(ОбучениеИКомандировкиПлан[],,1),0),MATCH(ОбучениеИКомандировкиОтклонение[[#Headers],[Ноябрь]],ОбучениеИКомандировкиФактические[#Headers],0))</f>
        <v>2000</v>
      </c>
      <c r="N32" s="107">
        <f>INDEX(ОбучениеИКомандировкиПлан[],MATCH(INDEX(ОбучениеИКомандировкиОтклонение[],ROW()-ROW(ОбучениеИКомандировкиОтклонение[[#Headers],[Декабрь]]),1),INDEX(ОбучениеИКомандировкиПлан[],,1),0),MATCH(ОбучениеИКомандировкиОтклонение[[#Headers],[Декабрь]],ОбучениеИКомандировкиПлан[#Headers],0))-INDEX(ОбучениеИКомандировкиФактические[],MATCH(INDEX(ОбучениеИКомандировкиОтклонение[],ROW()-ROW(ОбучениеИКомандировкиОтклонение[[#Headers],[Декабрь]]),1),INDEX(ОбучениеИКомандировкиПлан[],,1),0),MATCH(ОбучениеИКомандировкиОтклонение[[#Headers],[Декабрь]],ОбучениеИКомандировкиФактические[#Headers],0))</f>
        <v>2000</v>
      </c>
      <c r="O32" s="108">
        <f>SUM(ОбучениеИКомандировкиОтклонение[[#This Row],[Январь]:[Декабрь]])</f>
        <v>13700</v>
      </c>
    </row>
    <row r="33" spans="1:15" ht="24.95" customHeight="1" x14ac:dyDescent="0.3">
      <c r="A33" s="32"/>
      <c r="B33" s="79" t="s">
        <v>20</v>
      </c>
      <c r="C33" s="118">
        <f>SUBTOTAL(109,ОбучениеИКомандировкиОтклонение[Январь])</f>
        <v>1200</v>
      </c>
      <c r="D33" s="118">
        <f>SUBTOTAL(109,ОбучениеИКомандировкиОтклонение[Февраль])</f>
        <v>-600</v>
      </c>
      <c r="E33" s="118">
        <f>SUBTOTAL(109,ОбучениеИКомандировкиОтклонение[Март])</f>
        <v>1200</v>
      </c>
      <c r="F33" s="118">
        <f>SUBTOTAL(109,ОбучениеИКомандировкиОтклонение[Апрель])</f>
        <v>1200</v>
      </c>
      <c r="G33" s="118">
        <f>SUBTOTAL(109,ОбучениеИКомандировкиОтклонение[Май])</f>
        <v>2000</v>
      </c>
      <c r="H33" s="118">
        <f>SUBTOTAL(109,ОбучениеИКомандировкиОтклонение[Июнь])</f>
        <v>-2300</v>
      </c>
      <c r="I33" s="118">
        <f>SUBTOTAL(109,ОбучениеИКомандировкиОтклонение[Июль])</f>
        <v>4000</v>
      </c>
      <c r="J33" s="118">
        <f>SUBTOTAL(109,ОбучениеИКомандировкиОтклонение[Август])</f>
        <v>4000</v>
      </c>
      <c r="K33" s="118">
        <f>SUBTOTAL(109,ОбучениеИКомандировкиОтклонение[Сентябрь])</f>
        <v>4000</v>
      </c>
      <c r="L33" s="118">
        <f>SUBTOTAL(109,ОбучениеИКомандировкиОтклонение[Октябрь])</f>
        <v>4000</v>
      </c>
      <c r="M33" s="118">
        <f>SUBTOTAL(109,ОбучениеИКомандировкиОтклонение[Ноябрь])</f>
        <v>4000</v>
      </c>
      <c r="N33" s="118">
        <f>SUBTOTAL(109,ОбучениеИКомандировкиОтклонение[Декабрь])</f>
        <v>4000</v>
      </c>
      <c r="O33" s="119">
        <f>SUBTOTAL(109,ОбучениеИКомандировкиОтклонение[ГОД])</f>
        <v>26700</v>
      </c>
    </row>
    <row r="34" spans="1:15" ht="21" customHeight="1" x14ac:dyDescent="0.3">
      <c r="A34" s="32"/>
      <c r="B34" s="140"/>
      <c r="C34" s="140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1:15" ht="24.95" customHeight="1" thickBot="1" x14ac:dyDescent="0.35">
      <c r="A35" s="40" t="s">
        <v>105</v>
      </c>
      <c r="B35" s="12" t="s">
        <v>40</v>
      </c>
      <c r="C35" s="29" t="s">
        <v>44</v>
      </c>
      <c r="D35" s="29" t="s">
        <v>46</v>
      </c>
      <c r="E35" s="29" t="s">
        <v>48</v>
      </c>
      <c r="F35" s="29" t="s">
        <v>50</v>
      </c>
      <c r="G35" s="29" t="s">
        <v>52</v>
      </c>
      <c r="H35" s="29" t="s">
        <v>54</v>
      </c>
      <c r="I35" s="29" t="s">
        <v>56</v>
      </c>
      <c r="J35" s="29" t="s">
        <v>58</v>
      </c>
      <c r="K35" s="29" t="s">
        <v>62</v>
      </c>
      <c r="L35" s="29" t="s">
        <v>64</v>
      </c>
      <c r="M35" s="29" t="s">
        <v>66</v>
      </c>
      <c r="N35" s="29" t="s">
        <v>69</v>
      </c>
      <c r="O35" s="29" t="s">
        <v>71</v>
      </c>
    </row>
    <row r="36" spans="1:15" ht="24.95" customHeight="1" thickBot="1" x14ac:dyDescent="0.35">
      <c r="A36" s="32"/>
      <c r="B36" s="13" t="s">
        <v>81</v>
      </c>
      <c r="C36" s="127">
        <f>ОбучениеИКомандировкиОтклонение[[#Totals],[Январь]]+МаркетингОтклонение[[#Totals],[Январь]]+ОфисОтклонение[[#Totals],[Январь]]+СотрудникиОтклонение[[#Totals],[Январь]]</f>
        <v>1738</v>
      </c>
      <c r="D36" s="127">
        <f>ОбучениеИКомандировкиОтклонение[[#Totals],[Февраль]]+МаркетингОтклонение[[#Totals],[Февраль]]+ОфисОтклонение[[#Totals],[Февраль]]+СотрудникиОтклонение[[#Totals],[Февраль]]</f>
        <v>-984</v>
      </c>
      <c r="E36" s="127">
        <f>ОбучениеИКомандировкиОтклонение[[#Totals],[Март]]+МаркетингОтклонение[[#Totals],[Март]]+ОфисОтклонение[[#Totals],[Март]]+СотрудникиОтклонение[[#Totals],[Март]]</f>
        <v>1255</v>
      </c>
      <c r="F36" s="127">
        <f>ОбучениеИКомандировкиОтклонение[[#Totals],[Апрель]]+МаркетингОтклонение[[#Totals],[Апрель]]+ОфисОтклонение[[#Totals],[Апрель]]+СотрудникиОтклонение[[#Totals],[Апрель]]</f>
        <v>301</v>
      </c>
      <c r="G36" s="127">
        <f>ОбучениеИКомандировкиОтклонение[[#Totals],[Май]]+МаркетингОтклонение[[#Totals],[Май]]+ОфисОтклонение[[#Totals],[Май]]+СотрудникиОтклонение[[#Totals],[Май]]</f>
        <v>1440</v>
      </c>
      <c r="H36" s="127">
        <f>ОбучениеИКомандировкиОтклонение[[#Totals],[Июнь]]+МаркетингОтклонение[[#Totals],[Июнь]]+ОфисОтклонение[[#Totals],[Июнь]]+СотрудникиОтклонение[[#Totals],[Июнь]]</f>
        <v>-3744</v>
      </c>
      <c r="I36" s="127">
        <f>ОбучениеИКомандировкиОтклонение[[#Totals],[Июль]]+МаркетингОтклонение[[#Totals],[Июль]]+ОфисОтклонение[[#Totals],[Июль]]+СотрудникиОтклонение[[#Totals],[Июль]]</f>
        <v>134695</v>
      </c>
      <c r="J36" s="127">
        <f>ОбучениеИКомандировкиОтклонение[[#Totals],[Август]]+МаркетингОтклонение[[#Totals],[Август]]+ОфисОтклонение[[#Totals],[Август]]+СотрудникиОтклонение[[#Totals],[Август]]</f>
        <v>138918</v>
      </c>
      <c r="K36" s="127">
        <f>ОбучениеИКомандировкиОтклонение[[#Totals],[Сентябрь]]+МаркетингОтклонение[[#Totals],[Сентябрь]]+ОфисОтклонение[[#Totals],[Сентябрь]]+СотрудникиОтклонение[[#Totals],[Сентябрь]]</f>
        <v>135918</v>
      </c>
      <c r="L36" s="127">
        <f>ОбучениеИКомандировкиОтклонение[[#Totals],[Октябрь]]+МаркетингОтклонение[[#Totals],[Октябрь]]+ОфисОтклонение[[#Totals],[Октябрь]]+СотрудникиОтклонение[[#Totals],[Октябрь]]</f>
        <v>140918</v>
      </c>
      <c r="M36" s="127">
        <f>ОбучениеИКомандировкиОтклонение[[#Totals],[Ноябрь]]+МаркетингОтклонение[[#Totals],[Ноябрь]]+ОфисОтклонение[[#Totals],[Ноябрь]]+СотрудникиОтклонение[[#Totals],[Ноябрь]]</f>
        <v>136218</v>
      </c>
      <c r="N36" s="127">
        <f>ОбучениеИКомандировкиОтклонение[[#Totals],[Декабрь]]+МаркетингОтклонение[[#Totals],[Декабрь]]+ОфисОтклонение[[#Totals],[Декабрь]]+СотрудникиОтклонение[[#Totals],[Декабрь]]</f>
        <v>140018</v>
      </c>
      <c r="O36" s="127">
        <f>ОбучениеИКомандировкиОтклонение[[#Totals],[ГОД]]+МаркетингОтклонение[[#Totals],[ГОД]]+ОфисОтклонение[[#Totals],[ГОД]]+СотрудникиОтклонение[[#Totals],[ГОД]]</f>
        <v>826691</v>
      </c>
    </row>
    <row r="37" spans="1:15" ht="24.95" customHeight="1" thickBot="1" x14ac:dyDescent="0.35">
      <c r="A37" s="32"/>
      <c r="B37" s="13" t="s">
        <v>82</v>
      </c>
      <c r="C37" s="128">
        <f>SUM($C$36:C36)</f>
        <v>1738</v>
      </c>
      <c r="D37" s="128">
        <f>SUM($C$36:D36)</f>
        <v>754</v>
      </c>
      <c r="E37" s="128">
        <f>SUM($C$36:E36)</f>
        <v>2009</v>
      </c>
      <c r="F37" s="128">
        <f>SUM($C$36:F36)</f>
        <v>2310</v>
      </c>
      <c r="G37" s="128">
        <f>SUM($C$36:G36)</f>
        <v>3750</v>
      </c>
      <c r="H37" s="128">
        <f>SUM($C$36:H36)</f>
        <v>6</v>
      </c>
      <c r="I37" s="128">
        <f>SUM($C$36:I36)</f>
        <v>134701</v>
      </c>
      <c r="J37" s="128">
        <f>SUM($C$36:J36)</f>
        <v>273619</v>
      </c>
      <c r="K37" s="128">
        <f>SUM($C$36:K36)</f>
        <v>409537</v>
      </c>
      <c r="L37" s="128">
        <f>SUM($C$36:L36)</f>
        <v>550455</v>
      </c>
      <c r="M37" s="128">
        <f>SUM($C$36:M36)</f>
        <v>686673</v>
      </c>
      <c r="N37" s="128">
        <f>SUM($C$36:N36)</f>
        <v>826691</v>
      </c>
      <c r="O37" s="128"/>
    </row>
    <row r="38" spans="1:15" ht="21" customHeight="1" x14ac:dyDescent="0.3">
      <c r="A38" s="32"/>
      <c r="B38" s="2"/>
      <c r="C38" s="2"/>
      <c r="D38" s="1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8">
    <mergeCell ref="N2:O3"/>
    <mergeCell ref="B34:C34"/>
    <mergeCell ref="B29:C29"/>
    <mergeCell ref="B20:C20"/>
    <mergeCell ref="B9:C9"/>
    <mergeCell ref="B2:D3"/>
    <mergeCell ref="I2:M2"/>
    <mergeCell ref="I3:M3"/>
  </mergeCell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2" emptyCellReference="1"/>
    <ignoredError sqref="C36:O37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autoPageBreaks="0" fitToPage="1"/>
  </sheetPr>
  <dimension ref="A1:P39"/>
  <sheetViews>
    <sheetView showGridLines="0" workbookViewId="0"/>
  </sheetViews>
  <sheetFormatPr defaultColWidth="9.140625" defaultRowHeight="18.75" x14ac:dyDescent="0.3"/>
  <cols>
    <col min="1" max="1" width="4.7109375" style="36" customWidth="1"/>
    <col min="2" max="2" width="28.85546875" style="4" bestFit="1" customWidth="1"/>
    <col min="3" max="4" width="26.42578125" style="4" customWidth="1"/>
    <col min="5" max="5" width="32.5703125" style="4" customWidth="1"/>
    <col min="6" max="6" width="33.5703125" style="4" customWidth="1"/>
    <col min="7" max="7" width="4.7109375" style="1" customWidth="1"/>
    <col min="8" max="8" width="8.85546875" customWidth="1"/>
    <col min="9" max="16384" width="9.140625" style="4"/>
  </cols>
  <sheetData>
    <row r="1" spans="1:16" s="1" customFormat="1" ht="24" customHeight="1" x14ac:dyDescent="0.3">
      <c r="A1" s="33" t="s">
        <v>86</v>
      </c>
      <c r="B1" s="10"/>
      <c r="C1" s="10"/>
      <c r="D1" s="10"/>
      <c r="E1" s="7"/>
      <c r="F1" s="7"/>
      <c r="G1" s="63" t="s">
        <v>72</v>
      </c>
      <c r="I1"/>
      <c r="J1"/>
      <c r="K1"/>
      <c r="L1"/>
      <c r="M1"/>
      <c r="N1"/>
      <c r="O1"/>
      <c r="P1" t="s">
        <v>72</v>
      </c>
    </row>
    <row r="2" spans="1:16" s="1" customFormat="1" ht="45" customHeight="1" x14ac:dyDescent="0.35">
      <c r="A2" s="33" t="s">
        <v>87</v>
      </c>
      <c r="B2" s="136" t="str">
        <f>'ЗАПЛАНИРОВАННЫЕ РАСХОДЫ'!B2:D3</f>
        <v>Название компании</v>
      </c>
      <c r="C2" s="136"/>
      <c r="D2" s="136"/>
      <c r="E2" s="15"/>
      <c r="F2" s="148" t="s">
        <v>67</v>
      </c>
      <c r="G2" s="148"/>
      <c r="I2"/>
      <c r="J2"/>
      <c r="K2"/>
      <c r="L2"/>
      <c r="M2"/>
      <c r="N2"/>
      <c r="O2"/>
      <c r="P2"/>
    </row>
    <row r="3" spans="1:16" s="1" customFormat="1" ht="30" customHeight="1" x14ac:dyDescent="0.3">
      <c r="A3" s="33" t="s">
        <v>88</v>
      </c>
      <c r="B3" s="136"/>
      <c r="C3" s="136"/>
      <c r="D3" s="136"/>
      <c r="E3" s="147" t="str">
        <f>заголовок_листа</f>
        <v>Подробные оценочные показатели расходов</v>
      </c>
      <c r="F3" s="147"/>
      <c r="G3" s="147"/>
      <c r="I3"/>
      <c r="J3"/>
      <c r="K3"/>
      <c r="L3"/>
      <c r="M3"/>
      <c r="N3"/>
      <c r="O3"/>
      <c r="P3"/>
    </row>
    <row r="4" spans="1:16" customFormat="1" ht="18.75" customHeight="1" x14ac:dyDescent="0.2">
      <c r="A4" s="27"/>
    </row>
    <row r="5" spans="1:16" ht="24.95" customHeight="1" thickBot="1" x14ac:dyDescent="0.35">
      <c r="A5" s="34" t="s">
        <v>89</v>
      </c>
      <c r="B5" s="16" t="s">
        <v>90</v>
      </c>
      <c r="C5" s="17" t="s">
        <v>92</v>
      </c>
      <c r="D5" s="18" t="s">
        <v>93</v>
      </c>
      <c r="E5" s="16" t="s">
        <v>95</v>
      </c>
      <c r="F5" s="19" t="s">
        <v>96</v>
      </c>
      <c r="G5" s="11"/>
      <c r="I5"/>
      <c r="J5"/>
      <c r="K5"/>
      <c r="L5"/>
      <c r="M5"/>
      <c r="N5"/>
      <c r="O5"/>
      <c r="P5"/>
    </row>
    <row r="6" spans="1:16" ht="24.95" customHeight="1" thickBot="1" x14ac:dyDescent="0.35">
      <c r="A6" s="35"/>
      <c r="B6" s="80" t="s">
        <v>17</v>
      </c>
      <c r="C6" s="129">
        <f>СотрудникиПлан[[#Totals],[ГОД]]</f>
        <v>1355090</v>
      </c>
      <c r="D6" s="129">
        <f>СотрудникиФактические[[#Totals],[ГОД]]</f>
        <v>659130</v>
      </c>
      <c r="E6" s="129">
        <f>C6-D6</f>
        <v>695960</v>
      </c>
      <c r="F6" s="21">
        <f>E6/C6</f>
        <v>0.5135895032802249</v>
      </c>
      <c r="G6" s="3"/>
    </row>
    <row r="7" spans="1:16" ht="24.95" customHeight="1" thickBot="1" x14ac:dyDescent="0.35">
      <c r="A7" s="34"/>
      <c r="B7" s="80" t="str">
        <f>'ЗАПЛАНИРОВАННЫЕ РАСХОДЫ'!B10</f>
        <v>Расходы на содержание офиса</v>
      </c>
      <c r="C7" s="129">
        <f>ОфисПлан[[#Totals],[ГОД]]</f>
        <v>138740</v>
      </c>
      <c r="D7" s="129">
        <f>ОфисФактические[[#Totals],[ГОД]]</f>
        <v>69350</v>
      </c>
      <c r="E7" s="129">
        <f>C7-D7</f>
        <v>69390</v>
      </c>
      <c r="F7" s="21">
        <f>E7/C7</f>
        <v>0.50014415453366012</v>
      </c>
    </row>
    <row r="8" spans="1:16" ht="24.95" customHeight="1" thickBot="1" x14ac:dyDescent="0.35">
      <c r="A8" s="34"/>
      <c r="B8" s="20" t="str">
        <f>'ЗАПЛАНИРОВАННЫЕ РАСХОДЫ'!B21</f>
        <v>Расходы на маркетинг</v>
      </c>
      <c r="C8" s="129">
        <f>МаркетингПлан[[#Totals],[ГОД]]</f>
        <v>67800</v>
      </c>
      <c r="D8" s="129">
        <f>МаркетингФактические[[#Totals],[ГОД]]</f>
        <v>33159</v>
      </c>
      <c r="E8" s="129">
        <f>C8-D8</f>
        <v>34641</v>
      </c>
      <c r="F8" s="21">
        <f>E8/C8</f>
        <v>0.51092920353982296</v>
      </c>
    </row>
    <row r="9" spans="1:16" ht="24.95" customHeight="1" thickBot="1" x14ac:dyDescent="0.35">
      <c r="A9" s="34"/>
      <c r="B9" s="20" t="str">
        <f>'ЗАПЛАНИРОВАННЫЕ РАСХОДЫ'!B30</f>
        <v>Обучение/командировки</v>
      </c>
      <c r="C9" s="129">
        <f>ОбучениеИКомандировкиПлан[[#Totals],[ГОД]]</f>
        <v>48000</v>
      </c>
      <c r="D9" s="129">
        <f>ОбучениеИКомандировкиФактические[[#Totals],[ГОД]]</f>
        <v>21300</v>
      </c>
      <c r="E9" s="129">
        <f>C9-D9</f>
        <v>26700</v>
      </c>
      <c r="F9" s="21">
        <f>E9/C9</f>
        <v>0.55625000000000002</v>
      </c>
    </row>
    <row r="10" spans="1:16" ht="24.95" customHeight="1" x14ac:dyDescent="0.3">
      <c r="A10" s="34"/>
      <c r="B10" s="37" t="str">
        <f>'ЗАПЛАНИРОВАННЫЕ РАСХОДЫ'!B35</f>
        <v>ИТОГИ</v>
      </c>
      <c r="C10" s="130">
        <f>'ЗАПЛАНИРОВАННЫЕ РАСХОДЫ'!O36</f>
        <v>1609630</v>
      </c>
      <c r="D10" s="130">
        <f>'ФАКТИЧЕСКИЕ РАСХОДЫ'!O36</f>
        <v>782939</v>
      </c>
      <c r="E10" s="130">
        <f>C10-D10</f>
        <v>826691</v>
      </c>
      <c r="F10" s="38">
        <f>E10/C10</f>
        <v>0.51359070096854553</v>
      </c>
    </row>
    <row r="11" spans="1:16" x14ac:dyDescent="0.3">
      <c r="A11" s="34"/>
      <c r="B11" s="82"/>
      <c r="C11" s="84"/>
      <c r="D11" s="84"/>
      <c r="E11" s="84"/>
      <c r="F11" s="6"/>
    </row>
    <row r="12" spans="1:16" ht="300" customHeight="1" x14ac:dyDescent="0.3">
      <c r="A12" s="34" t="s">
        <v>106</v>
      </c>
      <c r="B12" s="143" t="s">
        <v>91</v>
      </c>
      <c r="C12" s="142"/>
      <c r="D12" s="142" t="s">
        <v>94</v>
      </c>
      <c r="E12" s="142"/>
      <c r="F12" s="142"/>
      <c r="G12"/>
    </row>
    <row r="13" spans="1:16" ht="18.75" customHeight="1" x14ac:dyDescent="0.3">
      <c r="A13" s="34"/>
      <c r="B13" s="83"/>
    </row>
    <row r="14" spans="1:16" ht="409.5" x14ac:dyDescent="0.3">
      <c r="A14" s="34" t="s">
        <v>107</v>
      </c>
      <c r="B14" s="144"/>
      <c r="C14" s="145"/>
      <c r="D14" s="145"/>
      <c r="E14" s="145"/>
      <c r="F14" s="145"/>
    </row>
    <row r="15" spans="1:16" x14ac:dyDescent="0.3">
      <c r="A15" s="34"/>
      <c r="B15" s="144"/>
      <c r="C15" s="145"/>
      <c r="D15" s="145"/>
      <c r="E15" s="145"/>
      <c r="F15" s="145"/>
    </row>
    <row r="16" spans="1:16" x14ac:dyDescent="0.3">
      <c r="A16" s="34"/>
      <c r="B16" s="144"/>
      <c r="C16" s="145"/>
      <c r="D16" s="145"/>
      <c r="E16" s="145"/>
      <c r="F16" s="145"/>
    </row>
    <row r="17" spans="1:6" x14ac:dyDescent="0.3">
      <c r="A17" s="34"/>
      <c r="B17" s="144"/>
      <c r="C17" s="145"/>
      <c r="D17" s="145"/>
      <c r="E17" s="145"/>
      <c r="F17" s="145"/>
    </row>
    <row r="18" spans="1:6" x14ac:dyDescent="0.3">
      <c r="A18" s="34"/>
      <c r="B18" s="144"/>
      <c r="C18" s="145"/>
      <c r="D18" s="145"/>
      <c r="E18" s="145"/>
      <c r="F18" s="145"/>
    </row>
    <row r="19" spans="1:6" x14ac:dyDescent="0.3">
      <c r="A19" s="34"/>
      <c r="B19" s="145"/>
      <c r="C19" s="145"/>
      <c r="D19" s="145"/>
      <c r="E19" s="145"/>
      <c r="F19" s="145"/>
    </row>
    <row r="20" spans="1:6" x14ac:dyDescent="0.3">
      <c r="A20" s="34"/>
      <c r="B20" s="145"/>
      <c r="C20" s="145"/>
      <c r="D20" s="145"/>
      <c r="E20" s="145"/>
      <c r="F20" s="145"/>
    </row>
    <row r="21" spans="1:6" x14ac:dyDescent="0.3">
      <c r="A21" s="34"/>
      <c r="B21" s="145"/>
      <c r="C21" s="145"/>
      <c r="D21" s="145"/>
      <c r="E21" s="145"/>
      <c r="F21" s="145"/>
    </row>
    <row r="22" spans="1:6" x14ac:dyDescent="0.3">
      <c r="A22" s="34"/>
      <c r="B22" s="144"/>
      <c r="C22" s="145"/>
      <c r="D22" s="145"/>
      <c r="E22" s="145"/>
      <c r="F22" s="145"/>
    </row>
    <row r="23" spans="1:6" x14ac:dyDescent="0.3">
      <c r="A23" s="34"/>
      <c r="B23" s="144"/>
      <c r="C23" s="145"/>
      <c r="D23" s="145"/>
      <c r="E23" s="145"/>
      <c r="F23" s="145"/>
    </row>
    <row r="24" spans="1:6" x14ac:dyDescent="0.3">
      <c r="A24" s="34"/>
      <c r="B24" s="144"/>
      <c r="C24" s="145"/>
      <c r="D24" s="145"/>
      <c r="E24" s="145"/>
      <c r="F24" s="145"/>
    </row>
    <row r="25" spans="1:6" x14ac:dyDescent="0.3">
      <c r="A25" s="34"/>
      <c r="B25" s="144"/>
      <c r="C25" s="145"/>
      <c r="D25" s="145"/>
      <c r="E25" s="145"/>
      <c r="F25" s="145"/>
    </row>
    <row r="26" spans="1:6" x14ac:dyDescent="0.3">
      <c r="A26" s="34"/>
      <c r="B26" s="144"/>
      <c r="C26" s="145"/>
      <c r="D26" s="145"/>
      <c r="E26" s="145"/>
      <c r="F26" s="145"/>
    </row>
    <row r="27" spans="1:6" x14ac:dyDescent="0.3">
      <c r="A27" s="34"/>
      <c r="B27" s="144"/>
      <c r="C27" s="145"/>
      <c r="D27" s="145"/>
      <c r="E27" s="145"/>
      <c r="F27" s="145"/>
    </row>
    <row r="28" spans="1:6" x14ac:dyDescent="0.3">
      <c r="A28" s="34"/>
      <c r="B28" s="145"/>
      <c r="C28" s="145"/>
      <c r="D28" s="145"/>
      <c r="E28" s="145"/>
      <c r="F28" s="145"/>
    </row>
    <row r="29" spans="1:6" x14ac:dyDescent="0.3">
      <c r="A29" s="34"/>
      <c r="B29" s="145"/>
      <c r="C29" s="145"/>
      <c r="D29" s="145"/>
      <c r="E29" s="145"/>
      <c r="F29" s="145"/>
    </row>
    <row r="30" spans="1:6" x14ac:dyDescent="0.3">
      <c r="A30" s="34"/>
      <c r="B30" s="145"/>
      <c r="C30" s="145"/>
      <c r="D30" s="145"/>
      <c r="E30" s="145"/>
      <c r="F30" s="145"/>
    </row>
    <row r="31" spans="1:6" x14ac:dyDescent="0.3">
      <c r="A31" s="34"/>
      <c r="B31" s="144"/>
      <c r="C31" s="145"/>
      <c r="D31" s="145"/>
      <c r="E31" s="145"/>
      <c r="F31" s="145"/>
    </row>
    <row r="32" spans="1:6" x14ac:dyDescent="0.3">
      <c r="A32" s="34"/>
      <c r="B32" s="144"/>
      <c r="C32" s="145"/>
      <c r="D32" s="145"/>
      <c r="E32" s="145"/>
      <c r="F32" s="145"/>
    </row>
    <row r="33" spans="1:6" x14ac:dyDescent="0.3">
      <c r="A33" s="34"/>
      <c r="B33" s="145"/>
      <c r="C33" s="145"/>
      <c r="D33" s="145"/>
      <c r="E33" s="145"/>
      <c r="F33" s="145"/>
    </row>
    <row r="34" spans="1:6" x14ac:dyDescent="0.3">
      <c r="A34" s="34"/>
      <c r="B34" s="145"/>
      <c r="C34" s="145"/>
      <c r="D34" s="145"/>
      <c r="E34" s="145"/>
      <c r="F34" s="145"/>
    </row>
    <row r="35" spans="1:6" x14ac:dyDescent="0.3">
      <c r="A35" s="34"/>
      <c r="B35" s="145"/>
      <c r="C35" s="145"/>
      <c r="D35" s="145"/>
      <c r="E35" s="145"/>
      <c r="F35" s="145"/>
    </row>
    <row r="36" spans="1:6" x14ac:dyDescent="0.3">
      <c r="A36" s="34"/>
      <c r="B36" s="146"/>
      <c r="C36" s="145"/>
      <c r="D36" s="145"/>
      <c r="E36" s="145"/>
      <c r="F36" s="145"/>
    </row>
    <row r="37" spans="1:6" x14ac:dyDescent="0.3">
      <c r="A37" s="34"/>
      <c r="B37" s="146"/>
      <c r="C37" s="145"/>
      <c r="D37" s="145"/>
      <c r="E37" s="145"/>
      <c r="F37" s="145"/>
    </row>
    <row r="38" spans="1:6" x14ac:dyDescent="0.3">
      <c r="A38" s="34"/>
    </row>
    <row r="39" spans="1:6" x14ac:dyDescent="0.3">
      <c r="A39" s="34"/>
    </row>
  </sheetData>
  <mergeCells count="6">
    <mergeCell ref="D12:F12"/>
    <mergeCell ref="B12:C12"/>
    <mergeCell ref="B14:F37"/>
    <mergeCell ref="B2:D3"/>
    <mergeCell ref="E3:G3"/>
    <mergeCell ref="F2:G2"/>
  </mergeCells>
  <printOptions horizontalCentered="1"/>
  <pageMargins left="0.4" right="0.4" top="0.4" bottom="0.4" header="0.3" footer="0.3"/>
  <pageSetup paperSize="9" orientation="portrait" r:id="rId1"/>
  <ignoredErrors>
    <ignoredError sqref="B2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НАЧАЛО</vt:lpstr>
      <vt:lpstr>ЗАПЛАНИРОВАННЫЕ РАСХОДЫ</vt:lpstr>
      <vt:lpstr>ФАКТИЧЕСКИЕ РАСХОДЫ</vt:lpstr>
      <vt:lpstr>ОТКЛОНЕНИЯ ПО РАСХОДАМ</vt:lpstr>
      <vt:lpstr>АНАЛИЗ РАСХОДОВ</vt:lpstr>
      <vt:lpstr>заголовок_листа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2018-05-30T05:56:59Z</dcterms:created>
  <dcterms:modified xsi:type="dcterms:W3CDTF">2018-09-19T05:56:15Z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