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ro-RO\"/>
    </mc:Choice>
  </mc:AlternateContent>
  <bookViews>
    <workbookView xWindow="0" yWindow="0" windowWidth="21600" windowHeight="8325" tabRatio="756" xr2:uid="{00000000-000D-0000-FFFF-FFFF00000000}"/>
  </bookViews>
  <sheets>
    <sheet name="ÎNCEPUT" sheetId="6" r:id="rId1"/>
    <sheet name="CHELTUIELI PLANIFICATE" sheetId="2" r:id="rId2"/>
    <sheet name="CHELTUIELI REALE" sheetId="3" r:id="rId3"/>
    <sheet name="DIFERENȚA CHELTUIELILOR" sheetId="4" r:id="rId4"/>
    <sheet name="ANALIZA CHELTUIELILOR" sheetId="5" r:id="rId5"/>
  </sheets>
  <definedNames>
    <definedName name="titlu_foaie_de_lucru">'CHELTUIELI PLANIFICATE'!$K$2</definedName>
  </definedNames>
  <calcPr calcId="162913"/>
</workbook>
</file>

<file path=xl/calcChain.xml><?xml version="1.0" encoding="utf-8"?>
<calcChain xmlns="http://schemas.openxmlformats.org/spreadsheetml/2006/main">
  <c r="E3" i="5" l="1"/>
  <c r="K2" i="4"/>
  <c r="K2" i="3"/>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33" i="2" s="1"/>
  <c r="O27" i="2"/>
  <c r="O26" i="2"/>
  <c r="O25" i="2"/>
  <c r="O24" i="2"/>
  <c r="O23" i="2"/>
  <c r="O22" i="2"/>
  <c r="O18" i="2"/>
  <c r="O17" i="2"/>
  <c r="O16" i="2"/>
  <c r="O15" i="2"/>
  <c r="O14" i="2"/>
  <c r="O13" i="2"/>
  <c r="O12" i="2"/>
  <c r="O11" i="2"/>
  <c r="N7" i="2"/>
  <c r="M7" i="2"/>
  <c r="L7" i="2"/>
  <c r="K7" i="2"/>
  <c r="J7" i="2"/>
  <c r="I7" i="2"/>
  <c r="H7" i="2"/>
  <c r="G7" i="2"/>
  <c r="F7" i="2"/>
  <c r="E7" i="2"/>
  <c r="D7" i="2"/>
  <c r="C7" i="2"/>
  <c r="O6" i="2"/>
  <c r="J8" i="2" l="1"/>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<sst xmlns="http://schemas.openxmlformats.org/spreadsheetml/2006/main" count="388" uniqueCount="108">
  <si>
    <t>DESPRE ACEST ȘABLON</t>
  </si>
  <si>
    <t>Utilizați registrul de lucru Bugetul de cheltuieli al firmei pentru a urmări cheltuielile planificate, cheltuielile reale și diferențele.</t>
  </si>
  <si>
    <t>Completați numele firmei și adăugați sigla.</t>
  </si>
  <si>
    <t>Introduceți detaliile în tabelele din foaia de lucru Cheltuieli planificate și Cheltuieli reale.</t>
  </si>
  <si>
    <t>Tabelele sunt actualizate automat în foaia de lucru Diferența cheltuielilor și în diagramele din foaia de lucru Analiza cheltuielilor.</t>
  </si>
  <si>
    <t>Notă: </t>
  </si>
  <si>
    <t>Pentru a afla mai multe despre tabele, apăsați SHIFT, apoi F10 într-un tabel, selectați opțiunea TABEL, apoi TEXT ALTERNATIV.</t>
  </si>
  <si>
    <t>Introduceți numele firmei în celula de la dreapta și sigla în celula N2. Titlul acestei foi de lucru se află în celula K2.</t>
  </si>
  <si>
    <t>Sfatul se află în celula K3.</t>
  </si>
  <si>
    <t>Eticheta Cheltuieli planificate se află în celula din dreapta, lunile în celulele C4-N4, eticheta An în celula O4 și instrucțiunile pentru utilizarea acestui șablon în celula R4.</t>
  </si>
  <si>
    <t>Introduceți costurile de instruire și de deplasare în tabelul Planif. instruire și deplasare, începând în celula din dreapta. Următoarele instrucțiuni se află în celula A35.</t>
  </si>
  <si>
    <t>Numele firmei</t>
  </si>
  <si>
    <t>CHELTUIELI PLANIFICATE</t>
  </si>
  <si>
    <t>Costuri cu angajații</t>
  </si>
  <si>
    <t>Salarii</t>
  </si>
  <si>
    <t>Avantaje</t>
  </si>
  <si>
    <t>Subtotal</t>
  </si>
  <si>
    <t>Costuri cu biroul</t>
  </si>
  <si>
    <t>Închiriere birou</t>
  </si>
  <si>
    <t>Gaze</t>
  </si>
  <si>
    <t>Curent electric</t>
  </si>
  <si>
    <t>Apă</t>
  </si>
  <si>
    <t>Telefon</t>
  </si>
  <si>
    <t>Acces la internet</t>
  </si>
  <si>
    <t>Consumabile de birou</t>
  </si>
  <si>
    <t>Securitate</t>
  </si>
  <si>
    <t>Costuri de marketing</t>
  </si>
  <si>
    <t>Găzduire site web</t>
  </si>
  <si>
    <t>Actualizări site web</t>
  </si>
  <si>
    <t>Creare materiale publicitare</t>
  </si>
  <si>
    <t>Imprimare materiale publicitare</t>
  </si>
  <si>
    <t>Evenimente de marketing</t>
  </si>
  <si>
    <t>Cheltuieli diverse</t>
  </si>
  <si>
    <t>Instruire/deplasare</t>
  </si>
  <si>
    <t>Cursuri de instruire</t>
  </si>
  <si>
    <t>Costuri de deplasare în scopul instruirii</t>
  </si>
  <si>
    <t>Cheltuieli lunare planificate</t>
  </si>
  <si>
    <t>TOTAL cheltuieli planificate</t>
  </si>
  <si>
    <t>IAN</t>
  </si>
  <si>
    <t>Ian</t>
  </si>
  <si>
    <t>FEB</t>
  </si>
  <si>
    <t>Feb</t>
  </si>
  <si>
    <t>MAR</t>
  </si>
  <si>
    <t>Mar</t>
  </si>
  <si>
    <t>APR</t>
  </si>
  <si>
    <t>Apr</t>
  </si>
  <si>
    <t>MAI</t>
  </si>
  <si>
    <t>Mai</t>
  </si>
  <si>
    <t>IUN</t>
  </si>
  <si>
    <t>Iun</t>
  </si>
  <si>
    <t>IUL</t>
  </si>
  <si>
    <t>Iul</t>
  </si>
  <si>
    <t>AUG</t>
  </si>
  <si>
    <t>Aug</t>
  </si>
  <si>
    <t>Estimări detaliate cheltuieli</t>
  </si>
  <si>
    <t>Celule umbrite reprezintă calcule.</t>
  </si>
  <si>
    <t>SEP</t>
  </si>
  <si>
    <t>Sep</t>
  </si>
  <si>
    <t>OCT</t>
  </si>
  <si>
    <t>Oct</t>
  </si>
  <si>
    <t>NOV</t>
  </si>
  <si>
    <t>Nov</t>
  </si>
  <si>
    <t>Substituentul siglei se află în această celulă.</t>
  </si>
  <si>
    <t>DEC</t>
  </si>
  <si>
    <t>Dec</t>
  </si>
  <si>
    <t>AN</t>
  </si>
  <si>
    <t>An</t>
  </si>
  <si>
    <t xml:space="preserve"> </t>
  </si>
  <si>
    <t>Sfat: CUM SĂ UTILIZAȚI ACEST ȘABLON
Introduceți date în celulele albe din foile de lucru CHELTUIELI PLANIFICATE și CHELTUIELI REALE, iar DIFERENȚA CHELTUIELILOR și ANALIZA CHELTUIELILOR vor fi calculate pentru dvs. Dacă adăugați un rând într-o foaie, și celelalte foi trebuie modificate.</t>
  </si>
  <si>
    <t>Numele firmei se actualizează automat în celula din dreapta. Titlul acestei foi de lucru se află în celula K2. Introduceți sigla în celula N2.</t>
  </si>
  <si>
    <t>Eticheta Cheltuieli reale se află în celula din dreapta, lunile în celulele C4-N4 și eticheta An în celula O4.</t>
  </si>
  <si>
    <t>Introduceți costurile de instruire și de deplasare în tabelul Reale instruire și deplasare, începând în celula din dreapta. Următoarele instrucțiuni se află în celula A35.</t>
  </si>
  <si>
    <t>CHELTUIELI REALE</t>
  </si>
  <si>
    <t>Cheltuieli lunare reale</t>
  </si>
  <si>
    <t>TOTAL cheltuieli reale</t>
  </si>
  <si>
    <t>Eticheta Diferența cheltuielilor se află în celula din dreapta, lunile în celulele C4-N4 și eticheta An în celula O4.</t>
  </si>
  <si>
    <t>Diferența dintre costurile de instruire sau de deplasare este calculată automat în tabelul Diferență instruire și deplasare, începând cu celula din dreapta. Următoarele instrucțiuni se află în celula A35.</t>
  </si>
  <si>
    <t>DIFERENȚA CHELTUIELILOR</t>
  </si>
  <si>
    <t>Numele firmei se actualizează automat în celula din dreapta. Introduceți sigla în celula F2.</t>
  </si>
  <si>
    <t>Titlul acestei foi de lucru se află în celula E3. Următoarele instrucțiuni se află în celula A5.</t>
  </si>
  <si>
    <t>Diagrama cu structură radială Cheltuieli planificate se află în celula din dreapta și diagrama cu structură radială Cheltuieli reale se află în celula D12. Următoarele instrucțiuni se află în celula A14.</t>
  </si>
  <si>
    <t>Categorie de cheltuieli</t>
  </si>
  <si>
    <t>Diagrama cu structură radială care reprezintă cheltuielile planificate pe diferite categorii se află în această celulă.</t>
  </si>
  <si>
    <t>Cheltuieli planificate</t>
  </si>
  <si>
    <t>Cheltuieli reale</t>
  </si>
  <si>
    <t>Diagrama cu structură radială care reprezintă cheltuielile reale pe diferite categorii se află în această celulă.</t>
  </si>
  <si>
    <t>Diferența cheltuielilor</t>
  </si>
  <si>
    <t>Procentajul de diferență</t>
  </si>
  <si>
    <t>Găsiți instrucțiuni suplimentare în coloana A din fiecare foaie de lucru. Acest text a fost ascuns intenționat. Pentru a elimina textul, selectați coloana A, apoi ȘTERGERE. Pentru a reafișa textul, selectați coloana A, apoi schimbați culoarea de font.</t>
  </si>
  <si>
    <t>TOTAL</t>
  </si>
  <si>
    <t>Introduceți costuri cu angajații, costuril cu biroul, costuril de marketing și costurile pentru instruire sau deplasare în tabelele respective din această foaie de lucru. Sumele total sunt calculate automat. Găsiți instrucțiuni utile despre cum să utilizați această foaie de lucru în celulele din această coloană. Apăsați săgeata în jos pentru a începe.</t>
  </si>
  <si>
    <t>Introduceți costuri cu angajații în tabelul Planif. angajați, începând în celula din dreapta. Următoarele instrucțiuni se află în celula A10.</t>
  </si>
  <si>
    <t>Introduceți costuri cu biroul în tabelul Planif. birou, începând în celula din dreapta. Următoarele instrucțiuni se află în celula A21.</t>
  </si>
  <si>
    <t>Introduceți costuri de marketing în tabelul Planif. marketing, începând în celula din dreapta. Următoarele instrucțiuni se află în celula A30.</t>
  </si>
  <si>
    <t>Sumele total sunt calculate automat în planul Total planif., începând în celula din dreapta.</t>
  </si>
  <si>
    <t>Introduceți costuri cu angajații, costuri cu biroul, costuri de marketing și costurile pentru instruire sau deplasare în tabelele respective din această foaie de lucru. Sumele totale sunt calculate automat. Găsiți instrucțiuni utile despre cum să utilizați această foaie de lucru în celulele din această coloană. Apăsați săgeata în jos pentru a începe.</t>
  </si>
  <si>
    <t>Introduceți costuri cu angajații în tabelul Reale angajați, începând în celula din dreapta. Următoarele instrucțiuni se află în celula A10.</t>
  </si>
  <si>
    <t>Introduceți costuri cu biroul în tabelul Reale birou, începând în celula din dreapta. Următoarele instrucțiuni se află în celula A21.</t>
  </si>
  <si>
    <t>Introduceți costuri de marketing în tabelul Reale marketing, începând în celula din dreapta. Următoarele instrucțiuni se află în celula A30.</t>
  </si>
  <si>
    <t>Cheltuielile reale totale sunt calculate automat în planul Total reale, începând în celula din dreapta.</t>
  </si>
  <si>
    <t>Diferența cheltuielilor se calculează automat în această foaie de lucru pentru costuri cu angajații, costuri cu biroul, costuri de marketing și costurile pentru instruire sau deplasare în tabelele respective din această foaie de lucru. Găsiți instrucțiuni utile despre cum să utilizați această foaie de lucru în celulele din această coloană. Apăsați săgeata în jos pentru a începe.</t>
  </si>
  <si>
    <t>Diferența dintre costuri cu angajații este calculată automat în tabelul Diferență angajați, începând cu celula din dreapta. Următoarele instrucțiuni se află în celula A10.</t>
  </si>
  <si>
    <t>Diferența dintre costuri cu biroul este calculată automat în tabelul Diferență birou, începând cu celula din dreapta. Următoarele instrucțiuni se află în celula A21.</t>
  </si>
  <si>
    <t>Diferența dintre costuri de marketing este calculată automat în tabelul Diferență marketing, începând cu celula din dreapta. Următoarele instrucțiuni se află în celula A30.</t>
  </si>
  <si>
    <t>Diferența cheltuielilor este calculată automat în tabelul Diferență Totală, începând cu celula din dreapta.</t>
  </si>
  <si>
    <t xml:space="preserve">Cheltuielile anuale planificate și cheltuieli reale, diferența cheltuielilor și procentajul de diferență se actualizează automat pentru fiecare categorie de cheltuieli din această foaie de lucru. Găsiți instrucțiuni utile despre cum să utilizați această foaie de lucru în celulele din această coloană. Apăsați săgeata în jos pentru a începe. </t>
  </si>
  <si>
    <t>Cheltuieli planificate, cheltuieli reale, diferența cheltuielilor și procentajul de diferență sunt calculate automat în tabelul Analiză, începând în celula din dreapta. Următoarele instrucțiuni se află în celula A12.</t>
  </si>
  <si>
    <t>Diagrama care reprezintă cheltuielile planificate, reale și diferența dintre cheltuieli lunare se află în celula din dreapta.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</si>
</sst>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8" formatCode="#,##0.00\ &quot;lei&quot;;[Red]\-#,##0.00\ &quot;lei&quot;"/>
    <numFmt numFmtId="42" formatCode="_-* #,##0\ &quot;lei&quot;_-;\-* #,##0\ &quot;lei&quot;_-;_-* &quot;-&quot;\ &quot;lei&quot;_-;_-@_-"/>
    <numFmt numFmtId="44" formatCode="_-* #,##0.00\ &quot;lei&quot;_-;\-* #,##0.00\ &quot;lei&quot;_-;_-* &quot;-&quot;??\ &quot;lei&quot;_-;_-@_-"/>
    <numFmt numFmtId="164" formatCode="_(* #,##0_);_(* \(#,##0\);_(* &quot;-&quot;_);_(@_)"/>
    <numFmt numFmtId="165" formatCode="_(* #,##0.00_);_(* \(#,##0.00\);_(* &quot;-&quot;??_);_(@_)"/>
    <numFmt numFmtId="166" formatCode="#,##0.00\ &quot;lei&quot;;[Red]#,##0.00\ &quot;lei&quot;"/>
    <numFmt numFmtId="168" formatCode="#,##0_ ;\-#,##0\ "/>
  </numFmts>
  <fonts count="58" x14ac:knownFonts="1">
    <font>
      <sz val="9"/>
      <color theme="1" tint="0.24994659260841701"/>
      <name val="Microsoft Sans Serif"/>
      <family val="2"/>
      <scheme val="minor"/>
    </font>
    <font>
      <sz val="11"/>
      <color theme="1"/>
      <name val="Microsoft Sans Serif"/>
      <family val="2"/>
      <scheme val="minor"/>
    </font>
    <font>
      <sz val="14"/>
      <color theme="1"/>
      <name val="Microsoft Sans Serif"/>
      <family val="2"/>
      <scheme val="minor"/>
    </font>
    <font>
      <b/>
      <sz val="14"/>
      <color theme="1"/>
      <name val="Microsoft Sans Serif"/>
      <family val="2"/>
      <scheme val="minor"/>
    </font>
    <font>
      <sz val="10"/>
      <color theme="1"/>
      <name val="Microsoft Sans Serif"/>
      <family val="2"/>
      <scheme val="minor"/>
    </font>
    <font>
      <b/>
      <u/>
      <sz val="10"/>
      <color theme="1"/>
      <name val="Microsoft Sans Serif"/>
      <family val="2"/>
      <scheme val="minor"/>
    </font>
    <font>
      <b/>
      <sz val="10"/>
      <color theme="1"/>
      <name val="Microsoft Sans Serif"/>
      <family val="2"/>
      <scheme val="minor"/>
    </font>
    <font>
      <b/>
      <i/>
      <sz val="10"/>
      <color theme="1"/>
      <name val="Microsoft Sans Serif"/>
      <family val="2"/>
      <scheme val="minor"/>
    </font>
    <font>
      <i/>
      <sz val="11"/>
      <color theme="3" tint="0.79998168889431442"/>
      <name val="Microsoft Sans Serif"/>
      <family val="2"/>
      <scheme val="minor"/>
    </font>
    <font>
      <b/>
      <sz val="36"/>
      <color theme="0"/>
      <name val="Franklin Gothic Book"/>
      <family val="2"/>
      <scheme val="major"/>
    </font>
    <font>
      <sz val="9"/>
      <color theme="1"/>
      <name val="Microsoft Sans Serif"/>
      <family val="2"/>
      <scheme val="minor"/>
    </font>
    <font>
      <b/>
      <sz val="9"/>
      <color theme="1"/>
      <name val="Microsoft Sans Serif"/>
      <family val="2"/>
      <scheme val="minor"/>
    </font>
    <font>
      <b/>
      <sz val="10"/>
      <color theme="0"/>
      <name val="Microsoft Sans Serif"/>
      <family val="2"/>
      <scheme val="minor"/>
    </font>
    <font>
      <b/>
      <sz val="16"/>
      <color theme="0"/>
      <name val="Franklin Gothic Book"/>
      <family val="2"/>
      <scheme val="major"/>
    </font>
    <font>
      <sz val="10"/>
      <color theme="1" tint="0.24994659260841701"/>
      <name val="Microsoft Sans Serif"/>
      <family val="2"/>
      <scheme val="minor"/>
    </font>
    <font>
      <b/>
      <sz val="10"/>
      <color theme="1" tint="0.24994659260841701"/>
      <name val="Microsoft Sans Serif"/>
      <family val="2"/>
      <scheme val="minor"/>
    </font>
    <font>
      <sz val="9"/>
      <color theme="6" tint="0.39997558519241921"/>
      <name val="Microsoft Sans Serif"/>
      <family val="2"/>
      <scheme val="minor"/>
    </font>
    <font>
      <sz val="14"/>
      <color theme="3"/>
      <name val="Microsoft Sans Serif"/>
      <family val="2"/>
      <scheme val="minor"/>
    </font>
    <font>
      <b/>
      <sz val="14"/>
      <color theme="0"/>
      <name val="Microsoft Sans Serif"/>
      <family val="2"/>
      <scheme val="minor"/>
    </font>
    <font>
      <sz val="9"/>
      <name val="Microsoft Sans Serif"/>
      <family val="2"/>
      <scheme val="minor"/>
    </font>
    <font>
      <b/>
      <sz val="9"/>
      <name val="Microsoft Sans Serif"/>
      <family val="2"/>
      <scheme val="minor"/>
    </font>
    <font>
      <b/>
      <sz val="10"/>
      <name val="Microsoft Sans Serif"/>
      <family val="2"/>
      <scheme val="minor"/>
    </font>
    <font>
      <b/>
      <sz val="14"/>
      <color theme="3"/>
      <name val="Microsoft Sans Serif"/>
      <family val="2"/>
      <scheme val="minor"/>
    </font>
    <font>
      <sz val="10"/>
      <color theme="5" tint="0.79998168889431442"/>
      <name val="Microsoft Sans Serif"/>
      <family val="2"/>
      <scheme val="minor"/>
    </font>
    <font>
      <b/>
      <sz val="16"/>
      <color theme="0"/>
      <name val="Arial"/>
      <family val="2"/>
    </font>
    <font>
      <sz val="14"/>
      <color theme="3" tint="-0.249977111117893"/>
      <name val="Microsoft Sans Serif"/>
      <family val="2"/>
      <scheme val="minor"/>
    </font>
    <font>
      <sz val="14"/>
      <color theme="6" tint="0.39997558519241921"/>
      <name val="Microsoft Sans Serif"/>
      <family val="2"/>
      <scheme val="minor"/>
    </font>
    <font>
      <sz val="11"/>
      <color theme="6" tint="0.39997558519241921"/>
      <name val="Calibri"/>
      <family val="2"/>
    </font>
    <font>
      <sz val="11"/>
      <color theme="1" tint="4.9989318521683403E-2"/>
      <name val="Calibri"/>
      <family val="2"/>
    </font>
    <font>
      <b/>
      <sz val="11"/>
      <color theme="1" tint="4.9989318521683403E-2"/>
      <name val="Calibri"/>
      <family val="2"/>
    </font>
    <font>
      <i/>
      <sz val="11"/>
      <color theme="0"/>
      <name val="Microsoft Sans Serif"/>
      <family val="2"/>
      <scheme val="minor"/>
    </font>
    <font>
      <b/>
      <sz val="16"/>
      <color theme="3"/>
      <name val="Franklin Gothic Book"/>
      <family val="2"/>
      <scheme val="major"/>
    </font>
    <font>
      <sz val="14"/>
      <color theme="0"/>
      <name val="Microsoft Sans Serif"/>
      <family val="2"/>
      <scheme val="minor"/>
    </font>
    <font>
      <sz val="9"/>
      <color theme="1" tint="0.24994659260841701"/>
      <name val="Microsoft Sans Serif"/>
      <family val="2"/>
      <scheme val="minor"/>
    </font>
    <font>
      <sz val="11"/>
      <color rgb="FF006100"/>
      <name val="Microsoft Sans Serif"/>
      <family val="2"/>
      <scheme val="minor"/>
    </font>
    <font>
      <sz val="11"/>
      <color rgb="FF9C0006"/>
      <name val="Microsoft Sans Serif"/>
      <family val="2"/>
      <scheme val="minor"/>
    </font>
    <font>
      <sz val="11"/>
      <color rgb="FF9C5700"/>
      <name val="Microsoft Sans Serif"/>
      <family val="2"/>
      <scheme val="minor"/>
    </font>
    <font>
      <sz val="11"/>
      <color rgb="FF3F3F76"/>
      <name val="Microsoft Sans Serif"/>
      <family val="2"/>
      <scheme val="minor"/>
    </font>
    <font>
      <b/>
      <sz val="11"/>
      <color rgb="FF3F3F3F"/>
      <name val="Microsoft Sans Serif"/>
      <family val="2"/>
      <scheme val="minor"/>
    </font>
    <font>
      <b/>
      <sz val="11"/>
      <color rgb="FFFA7D00"/>
      <name val="Microsoft Sans Serif"/>
      <family val="2"/>
      <scheme val="minor"/>
    </font>
    <font>
      <sz val="11"/>
      <color rgb="FFFA7D00"/>
      <name val="Microsoft Sans Serif"/>
      <family val="2"/>
      <scheme val="minor"/>
    </font>
    <font>
      <b/>
      <sz val="11"/>
      <color theme="0"/>
      <name val="Microsoft Sans Serif"/>
      <family val="2"/>
      <scheme val="minor"/>
    </font>
    <font>
      <sz val="11"/>
      <color rgb="FFFF0000"/>
      <name val="Microsoft Sans Serif"/>
      <family val="2"/>
      <scheme val="minor"/>
    </font>
    <font>
      <b/>
      <sz val="11"/>
      <color theme="1"/>
      <name val="Microsoft Sans Serif"/>
      <family val="2"/>
      <scheme val="minor"/>
    </font>
    <font>
      <sz val="11"/>
      <color theme="0"/>
      <name val="Microsoft Sans Serif"/>
      <family val="2"/>
      <scheme val="minor"/>
    </font>
    <font>
      <b/>
      <sz val="22"/>
      <color theme="1" tint="0.24994659260841701"/>
      <name val="Calibri"/>
      <family val="2"/>
    </font>
    <font>
      <b/>
      <sz val="16"/>
      <color theme="0"/>
      <name val="Calibri"/>
      <family val="2"/>
    </font>
    <font>
      <b/>
      <sz val="10"/>
      <color theme="2"/>
      <name val="Calibri"/>
      <family val="2"/>
    </font>
    <font>
      <sz val="11"/>
      <color theme="1" tint="0.24994659260841701"/>
      <name val="Calibri"/>
      <family val="2"/>
    </font>
    <font>
      <sz val="18"/>
      <color theme="3"/>
      <name val="Calibri"/>
      <family val="2"/>
    </font>
    <font>
      <b/>
      <sz val="36"/>
      <color theme="0"/>
      <name val="Calibri"/>
      <family val="2"/>
      <charset val="238"/>
    </font>
    <font>
      <b/>
      <sz val="13"/>
      <color theme="3"/>
      <name val="Calibri"/>
      <family val="2"/>
      <charset val="238"/>
    </font>
    <font>
      <b/>
      <sz val="16"/>
      <color theme="0"/>
      <name val="Calibri"/>
      <family val="2"/>
      <charset val="238"/>
    </font>
    <font>
      <b/>
      <sz val="14"/>
      <color theme="0"/>
      <name val="Calibri"/>
      <family val="2"/>
      <charset val="238"/>
    </font>
    <font>
      <b/>
      <sz val="10"/>
      <color theme="3" tint="-0.499984740745262"/>
      <name val="Calibri"/>
      <family val="2"/>
      <charset val="238"/>
    </font>
    <font>
      <b/>
      <sz val="14"/>
      <color theme="2"/>
      <name val="Calibri"/>
      <family val="2"/>
      <charset val="238"/>
    </font>
    <font>
      <b/>
      <sz val="14"/>
      <color theme="3" tint="-0.499984740745262"/>
      <name val="Calibri"/>
      <family val="2"/>
      <charset val="238"/>
    </font>
    <font>
      <b/>
      <sz val="16"/>
      <color theme="3"/>
      <name val="Calibri"/>
      <family val="2"/>
      <charset val="238"/>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xf numFmtId="0" fontId="45" fillId="0" borderId="0" applyNumberFormat="0" applyFill="0" applyProtection="0">
      <alignment vertical="center"/>
    </xf>
    <xf numFmtId="0" fontId="46" fillId="4" borderId="0" applyNumberFormat="0" applyProtection="0">
      <alignment vertical="center"/>
    </xf>
    <xf numFmtId="0" fontId="47" fillId="2" borderId="0" applyNumberFormat="0" applyProtection="0">
      <alignment vertical="center"/>
    </xf>
    <xf numFmtId="0" fontId="48" fillId="3" borderId="1" applyNumberFormat="0" applyProtection="0">
      <alignment horizontal="left" vertical="center" indent="1"/>
    </xf>
    <xf numFmtId="0" fontId="8" fillId="0" borderId="0" applyNumberFormat="0" applyFill="0" applyBorder="0" applyAlignment="0" applyProtection="0"/>
    <xf numFmtId="165" fontId="33" fillId="0" borderId="0" applyFont="0" applyFill="0" applyBorder="0" applyAlignment="0" applyProtection="0"/>
    <xf numFmtId="164"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7" fillId="17" borderId="33" applyNumberFormat="0" applyAlignment="0" applyProtection="0"/>
    <xf numFmtId="0" fontId="38" fillId="18" borderId="34" applyNumberFormat="0" applyAlignment="0" applyProtection="0"/>
    <xf numFmtId="0" fontId="39" fillId="18" borderId="33" applyNumberFormat="0" applyAlignment="0" applyProtection="0"/>
    <xf numFmtId="0" fontId="40" fillId="0" borderId="35" applyNumberFormat="0" applyFill="0" applyAlignment="0" applyProtection="0"/>
    <xf numFmtId="0" fontId="41" fillId="19" borderId="36" applyNumberFormat="0" applyAlignment="0" applyProtection="0"/>
    <xf numFmtId="0" fontId="42" fillId="0" borderId="0" applyNumberFormat="0" applyFill="0" applyBorder="0" applyAlignment="0" applyProtection="0"/>
    <xf numFmtId="0" fontId="33" fillId="20" borderId="37" applyNumberFormat="0" applyFont="0" applyAlignment="0" applyProtection="0"/>
    <xf numFmtId="0" fontId="43" fillId="0" borderId="38" applyNumberFormat="0" applyFill="0" applyAlignment="0" applyProtection="0"/>
    <xf numFmtId="0" fontId="4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4"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44"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cellStyleXfs>
  <cellXfs count="150">
    <xf numFmtId="0" fontId="0" fillId="10" borderId="0" xfId="0"/>
    <xf numFmtId="0" fontId="2" fillId="10" borderId="0" xfId="0" applyFont="1"/>
    <xf numFmtId="0" fontId="4" fillId="10" borderId="0" xfId="0" applyNumberFormat="1" applyFont="1" applyAlignment="1"/>
    <xf numFmtId="0" fontId="2" fillId="10" borderId="0" xfId="0" applyFont="1" applyBorder="1"/>
    <xf numFmtId="0" fontId="4" fillId="10" borderId="0" xfId="0" applyFont="1"/>
    <xf numFmtId="0" fontId="4" fillId="10" borderId="0" xfId="0" applyFont="1" applyBorder="1"/>
    <xf numFmtId="9" fontId="0" fillId="10" borderId="0" xfId="0" applyNumberFormat="1" applyFont="1" applyBorder="1" applyAlignment="1">
      <alignment horizontal="right"/>
    </xf>
    <xf numFmtId="0" fontId="2" fillId="4" borderId="0" xfId="0" applyFont="1" applyFill="1" applyAlignment="1">
      <alignment horizontal="left" vertical="top" indent="1"/>
    </xf>
    <xf numFmtId="0" fontId="3" fillId="4" borderId="0" xfId="0" applyNumberFormat="1" applyFont="1" applyFill="1" applyAlignment="1">
      <alignment horizontal="left" vertical="top" indent="1"/>
    </xf>
    <xf numFmtId="0" fontId="5" fillId="4" borderId="0" xfId="0" applyNumberFormat="1" applyFont="1" applyFill="1" applyAlignment="1">
      <alignment horizontal="left" vertical="top" indent="1"/>
    </xf>
    <xf numFmtId="0" fontId="2" fillId="8" borderId="0" xfId="0" applyFont="1" applyFill="1" applyAlignment="1">
      <alignment horizontal="left" vertical="top" indent="1"/>
    </xf>
    <xf numFmtId="0" fontId="17" fillId="10" borderId="0" xfId="0" applyFont="1"/>
    <xf numFmtId="0" fontId="12" fillId="4" borderId="5" xfId="0" applyNumberFormat="1" applyFont="1" applyFill="1" applyBorder="1" applyAlignment="1">
      <alignment horizontal="left" vertical="center" indent="1"/>
    </xf>
    <xf numFmtId="0" fontId="4" fillId="10" borderId="4" xfId="0" applyNumberFormat="1" applyFont="1" applyBorder="1" applyAlignment="1"/>
    <xf numFmtId="0" fontId="47" fillId="6" borderId="0" xfId="3" applyNumberFormat="1" applyFill="1" applyAlignment="1">
      <alignment horizontal="left" vertical="center" indent="2"/>
    </xf>
    <xf numFmtId="0" fontId="47" fillId="5" borderId="0" xfId="3" applyNumberFormat="1" applyFill="1" applyAlignment="1">
      <alignment horizontal="left" vertical="center" indent="2"/>
    </xf>
    <xf numFmtId="0" fontId="47" fillId="7" borderId="0" xfId="3" applyNumberFormat="1" applyFill="1" applyAlignment="1">
      <alignment horizontal="left" vertical="center" indent="2"/>
    </xf>
    <xf numFmtId="0" fontId="47" fillId="4" borderId="0" xfId="3" applyNumberFormat="1" applyFill="1" applyAlignment="1">
      <alignment horizontal="left" vertical="center" indent="2"/>
    </xf>
    <xf numFmtId="0" fontId="0" fillId="11" borderId="2" xfId="0" applyNumberFormat="1" applyFont="1" applyFill="1" applyBorder="1" applyAlignment="1">
      <alignment horizontal="left" vertical="center" indent="2"/>
    </xf>
    <xf numFmtId="9" fontId="0" fillId="11" borderId="2" xfId="0" applyNumberFormat="1" applyFont="1" applyFill="1" applyBorder="1" applyAlignment="1">
      <alignment horizontal="right" vertical="center" indent="2"/>
    </xf>
    <xf numFmtId="0" fontId="17" fillId="10" borderId="0" xfId="0" applyFont="1" applyAlignment="1"/>
    <xf numFmtId="0" fontId="12" fillId="4" borderId="7" xfId="0" applyNumberFormat="1" applyFont="1" applyFill="1" applyBorder="1" applyAlignment="1">
      <alignment horizontal="left" vertical="center" indent="1"/>
    </xf>
    <xf numFmtId="0" fontId="16" fillId="10" borderId="0" xfId="0" applyFont="1" applyAlignment="1">
      <alignment wrapText="1"/>
    </xf>
    <xf numFmtId="0" fontId="0" fillId="10" borderId="0" xfId="0" applyAlignment="1">
      <alignment vertical="center"/>
    </xf>
    <xf numFmtId="0" fontId="24" fillId="8" borderId="0" xfId="2" applyFont="1" applyFill="1" applyBorder="1" applyAlignment="1">
      <alignment horizontal="center" vertical="center"/>
    </xf>
    <xf numFmtId="0" fontId="25" fillId="8" borderId="0" xfId="0" applyFont="1" applyFill="1" applyAlignment="1">
      <alignment horizontal="left" vertical="top" indent="1"/>
    </xf>
    <xf numFmtId="0" fontId="26" fillId="10" borderId="0" xfId="0" applyFont="1"/>
    <xf numFmtId="0" fontId="25" fillId="8" borderId="0" xfId="0" applyFont="1" applyFill="1" applyAlignment="1">
      <alignment horizontal="left" vertical="top" wrapText="1" indent="1"/>
    </xf>
    <xf numFmtId="0" fontId="26" fillId="10" borderId="0" xfId="0" applyFont="1" applyAlignment="1"/>
    <xf numFmtId="0" fontId="25" fillId="8" borderId="0" xfId="0" applyFont="1" applyFill="1" applyAlignment="1">
      <alignment horizontal="left" vertical="top" wrapText="1"/>
    </xf>
    <xf numFmtId="0" fontId="26" fillId="10" borderId="0" xfId="0" applyFont="1" applyAlignment="1">
      <alignment wrapText="1"/>
    </xf>
    <xf numFmtId="0" fontId="27" fillId="10" borderId="0" xfId="0" applyFont="1" applyAlignment="1">
      <alignment vertical="center" wrapText="1"/>
    </xf>
    <xf numFmtId="0" fontId="2" fillId="10" borderId="0" xfId="0" applyFont="1" applyAlignment="1">
      <alignment wrapText="1"/>
    </xf>
    <xf numFmtId="0" fontId="0" fillId="11" borderId="5" xfId="0" applyNumberFormat="1" applyFont="1" applyFill="1" applyBorder="1" applyAlignment="1">
      <alignment horizontal="left" vertical="center" indent="2"/>
    </xf>
    <xf numFmtId="9" fontId="0" fillId="11" borderId="5" xfId="0" applyNumberFormat="1" applyFont="1" applyFill="1" applyBorder="1" applyAlignment="1">
      <alignment horizontal="right" vertical="center" indent="2"/>
    </xf>
    <xf numFmtId="0" fontId="26" fillId="10" borderId="0" xfId="0" applyFont="1" applyBorder="1"/>
    <xf numFmtId="0" fontId="26" fillId="10" borderId="6" xfId="0" applyFont="1" applyBorder="1"/>
    <xf numFmtId="0" fontId="28" fillId="10" borderId="0" xfId="0" applyFont="1" applyAlignment="1">
      <alignment vertical="center" wrapText="1"/>
    </xf>
    <xf numFmtId="0" fontId="28" fillId="10" borderId="0" xfId="0" applyFont="1" applyAlignment="1">
      <alignment wrapText="1"/>
    </xf>
    <xf numFmtId="0" fontId="29" fillId="10" borderId="0" xfId="0" applyFont="1" applyAlignment="1">
      <alignment vertical="center" wrapText="1"/>
    </xf>
    <xf numFmtId="0" fontId="18" fillId="6" borderId="9" xfId="4" applyNumberFormat="1" applyFont="1" applyFill="1" applyBorder="1" applyAlignment="1">
      <alignment horizontal="left" vertical="center" indent="1"/>
    </xf>
    <xf numFmtId="0" fontId="12" fillId="4" borderId="10" xfId="0" applyNumberFormat="1" applyFont="1" applyFill="1" applyBorder="1" applyAlignment="1">
      <alignment horizontal="left" vertical="center" indent="1"/>
    </xf>
    <xf numFmtId="0" fontId="6" fillId="11" borderId="12" xfId="0" applyFont="1" applyFill="1" applyBorder="1" applyAlignment="1">
      <alignment horizontal="left" vertical="center" indent="1"/>
    </xf>
    <xf numFmtId="0" fontId="6" fillId="11" borderId="12" xfId="0" applyFont="1" applyFill="1" applyBorder="1" applyAlignment="1">
      <alignment horizontal="left" vertical="center" indent="2"/>
    </xf>
    <xf numFmtId="0" fontId="18" fillId="5" borderId="14" xfId="4" applyNumberFormat="1" applyFont="1" applyFill="1" applyBorder="1">
      <alignment horizontal="left" vertical="center" indent="1"/>
    </xf>
    <xf numFmtId="0" fontId="16" fillId="12" borderId="15" xfId="4" applyNumberFormat="1" applyFont="1" applyFill="1" applyBorder="1">
      <alignment horizontal="left" vertical="center" indent="1"/>
    </xf>
    <xf numFmtId="0" fontId="16" fillId="12" borderId="16" xfId="4" applyNumberFormat="1" applyFont="1" applyFill="1" applyBorder="1">
      <alignment horizontal="left" vertical="center" indent="1"/>
    </xf>
    <xf numFmtId="0" fontId="18" fillId="5" borderId="9" xfId="4" applyNumberFormat="1" applyFont="1" applyFill="1" applyBorder="1">
      <alignment horizontal="left" vertical="center" indent="1"/>
    </xf>
    <xf numFmtId="0" fontId="16" fillId="12" borderId="22" xfId="4" applyNumberFormat="1" applyFont="1" applyFill="1" applyBorder="1">
      <alignment horizontal="left" vertical="center" indent="1"/>
    </xf>
    <xf numFmtId="0" fontId="16" fillId="12" borderId="23" xfId="4" applyNumberFormat="1" applyFont="1" applyFill="1" applyBorder="1">
      <alignment horizontal="left" vertical="center" indent="1"/>
    </xf>
    <xf numFmtId="0" fontId="16" fillId="12" borderId="24" xfId="4" applyNumberFormat="1" applyFont="1" applyFill="1" applyBorder="1">
      <alignment horizontal="left" vertical="center" indent="1"/>
    </xf>
    <xf numFmtId="0" fontId="18" fillId="5" borderId="25" xfId="4" applyNumberFormat="1" applyFont="1" applyFill="1" applyBorder="1">
      <alignment horizontal="left" vertical="center" indent="1"/>
    </xf>
    <xf numFmtId="0" fontId="18" fillId="7" borderId="14" xfId="4" applyNumberFormat="1" applyFont="1" applyFill="1" applyBorder="1">
      <alignment horizontal="left" vertical="center" indent="1"/>
    </xf>
    <xf numFmtId="0" fontId="18" fillId="6" borderId="14" xfId="4" applyNumberFormat="1" applyFont="1" applyFill="1" applyBorder="1">
      <alignment horizontal="left" vertical="center" indent="1"/>
    </xf>
    <xf numFmtId="0" fontId="18" fillId="6" borderId="14" xfId="4" applyNumberFormat="1" applyFont="1" applyFill="1" applyBorder="1" applyAlignment="1">
      <alignment horizontal="left" vertical="center" indent="1"/>
    </xf>
    <xf numFmtId="0" fontId="16" fillId="12" borderId="15" xfId="4" applyNumberFormat="1" applyFont="1" applyFill="1" applyBorder="1" applyAlignment="1">
      <alignment horizontal="center" vertical="center"/>
    </xf>
    <xf numFmtId="0" fontId="16" fillId="12" borderId="16" xfId="4" applyNumberFormat="1" applyFont="1" applyFill="1" applyBorder="1" applyAlignment="1">
      <alignment horizontal="center" vertical="center"/>
    </xf>
    <xf numFmtId="0" fontId="16" fillId="12" borderId="14" xfId="4" applyNumberFormat="1" applyFont="1" applyFill="1" applyBorder="1" applyAlignment="1">
      <alignment horizontal="center" vertical="center"/>
    </xf>
    <xf numFmtId="0" fontId="6" fillId="11" borderId="30" xfId="0" applyFont="1" applyFill="1" applyBorder="1" applyAlignment="1">
      <alignment horizontal="left" vertical="center" indent="2"/>
    </xf>
    <xf numFmtId="0" fontId="32" fillId="4" borderId="0" xfId="0" applyFont="1" applyFill="1" applyAlignment="1">
      <alignment horizontal="left" vertical="top" indent="1"/>
    </xf>
    <xf numFmtId="0" fontId="16" fillId="12" borderId="15" xfId="4" applyNumberFormat="1" applyFont="1" applyFill="1" applyBorder="1" applyAlignment="1">
      <alignment horizontal="left" vertical="center" indent="1"/>
    </xf>
    <xf numFmtId="0" fontId="16" fillId="12" borderId="16" xfId="4" applyNumberFormat="1" applyFont="1" applyFill="1" applyBorder="1" applyAlignment="1">
      <alignment horizontal="left" vertical="center" indent="1"/>
    </xf>
    <xf numFmtId="0" fontId="12" fillId="4" borderId="17" xfId="0" applyNumberFormat="1" applyFont="1" applyFill="1" applyBorder="1" applyAlignment="1">
      <alignment horizontal="left" vertical="center" indent="1"/>
    </xf>
    <xf numFmtId="0" fontId="21" fillId="11" borderId="19" xfId="0" applyFont="1" applyFill="1" applyBorder="1" applyAlignment="1">
      <alignment horizontal="left" vertical="center" indent="1"/>
    </xf>
    <xf numFmtId="0" fontId="16" fillId="12" borderId="14" xfId="4" applyNumberFormat="1" applyFont="1" applyFill="1" applyBorder="1" applyAlignment="1">
      <alignment horizontal="left" vertical="center" indent="1"/>
    </xf>
    <xf numFmtId="0" fontId="21" fillId="11" borderId="11" xfId="0" applyFont="1" applyFill="1" applyBorder="1" applyAlignment="1">
      <alignment horizontal="left" vertical="center" indent="1"/>
    </xf>
    <xf numFmtId="0" fontId="21" fillId="11" borderId="19" xfId="0" applyFont="1" applyFill="1" applyBorder="1" applyAlignment="1">
      <alignment horizontal="left" vertical="center" indent="2"/>
    </xf>
    <xf numFmtId="0" fontId="18" fillId="7" borderId="9" xfId="4" applyNumberFormat="1" applyFont="1" applyFill="1" applyBorder="1">
      <alignment horizontal="left" vertical="center" indent="1"/>
    </xf>
    <xf numFmtId="0" fontId="12" fillId="4" borderId="4" xfId="0" applyNumberFormat="1" applyFont="1" applyFill="1" applyBorder="1" applyAlignment="1">
      <alignment horizontal="left" vertical="center" indent="1"/>
    </xf>
    <xf numFmtId="0" fontId="16" fillId="12" borderId="15" xfId="4" applyNumberFormat="1" applyFont="1" applyFill="1" applyBorder="1" applyAlignment="1">
      <alignment horizontal="left"/>
    </xf>
    <xf numFmtId="0" fontId="16" fillId="12" borderId="16" xfId="4" applyNumberFormat="1" applyFont="1" applyFill="1" applyBorder="1" applyAlignment="1">
      <alignment horizontal="left"/>
    </xf>
    <xf numFmtId="0" fontId="15" fillId="11" borderId="19" xfId="0" applyNumberFormat="1" applyFont="1" applyFill="1" applyBorder="1" applyAlignment="1">
      <alignment horizontal="left" vertical="center" indent="1"/>
    </xf>
    <xf numFmtId="0" fontId="14" fillId="11" borderId="19" xfId="0" applyNumberFormat="1" applyFont="1" applyFill="1" applyBorder="1" applyAlignment="1">
      <alignment horizontal="left" vertical="center" indent="2"/>
    </xf>
    <xf numFmtId="0" fontId="6" fillId="11" borderId="19" xfId="0" applyNumberFormat="1" applyFont="1" applyFill="1" applyBorder="1" applyAlignment="1">
      <alignment horizontal="left" vertical="center" indent="1"/>
    </xf>
    <xf numFmtId="0" fontId="15" fillId="11" borderId="19" xfId="0" applyNumberFormat="1" applyFont="1" applyFill="1" applyBorder="1" applyAlignment="1">
      <alignment horizontal="left" vertical="center" indent="2"/>
    </xf>
    <xf numFmtId="0" fontId="0" fillId="11" borderId="2" xfId="0" applyNumberFormat="1" applyFont="1" applyFill="1" applyBorder="1" applyAlignment="1">
      <alignment horizontal="left" vertical="center" indent="1"/>
    </xf>
    <xf numFmtId="0" fontId="12" fillId="4" borderId="26" xfId="0" applyNumberFormat="1" applyFont="1" applyFill="1" applyBorder="1" applyAlignment="1">
      <alignment horizontal="left" vertical="center" indent="1"/>
    </xf>
    <xf numFmtId="0" fontId="0" fillId="10" borderId="0" xfId="0" applyNumberFormat="1" applyFont="1" applyBorder="1" applyAlignment="1">
      <alignment horizontal="left" indent="1"/>
    </xf>
    <xf numFmtId="0" fontId="4" fillId="10" borderId="0" xfId="0" applyFont="1" applyAlignment="1">
      <alignment horizontal="left"/>
    </xf>
    <xf numFmtId="42" fontId="16" fillId="12" borderId="23" xfId="4" applyNumberFormat="1" applyFont="1" applyFill="1" applyBorder="1">
      <alignment horizontal="left" vertical="center" indent="1"/>
    </xf>
    <xf numFmtId="42" fontId="16" fillId="12" borderId="15" xfId="4" applyNumberFormat="1" applyFont="1" applyFill="1" applyBorder="1">
      <alignment horizontal="left" vertical="center" indent="1"/>
    </xf>
    <xf numFmtId="42" fontId="16" fillId="12" borderId="15" xfId="4" applyNumberFormat="1" applyFont="1" applyFill="1" applyBorder="1" applyAlignment="1">
      <alignment horizontal="left" vertical="center" indent="1"/>
    </xf>
    <xf numFmtId="166" fontId="0" fillId="10" borderId="0" xfId="0" applyNumberFormat="1" applyFont="1" applyBorder="1" applyAlignment="1">
      <alignment horizontal="right"/>
    </xf>
    <xf numFmtId="0" fontId="16" fillId="10" borderId="0" xfId="0" applyFont="1" applyAlignment="1">
      <alignment wrapText="1"/>
    </xf>
    <xf numFmtId="0" fontId="16" fillId="10" borderId="0" xfId="0" applyFont="1"/>
    <xf numFmtId="0" fontId="22" fillId="4" borderId="0" xfId="0" applyNumberFormat="1" applyFont="1" applyFill="1" applyAlignment="1">
      <alignment horizontal="center" vertical="top"/>
    </xf>
    <xf numFmtId="0" fontId="13" fillId="4" borderId="0" xfId="2" applyNumberFormat="1" applyFont="1" applyFill="1" applyAlignment="1">
      <alignment horizontal="left" indent="1"/>
    </xf>
    <xf numFmtId="0" fontId="6" fillId="10" borderId="0" xfId="0" applyNumberFormat="1" applyFont="1" applyBorder="1" applyAlignment="1">
      <alignment horizontal="center"/>
    </xf>
    <xf numFmtId="0" fontId="4" fillId="10" borderId="0" xfId="0" applyNumberFormat="1" applyFont="1" applyBorder="1" applyAlignment="1">
      <alignment horizontal="center"/>
    </xf>
    <xf numFmtId="0" fontId="9" fillId="8" borderId="0" xfId="1" applyNumberFormat="1" applyFont="1" applyFill="1" applyAlignment="1">
      <alignment horizontal="left" vertical="top" indent="1"/>
    </xf>
    <xf numFmtId="0" fontId="8" fillId="4" borderId="0" xfId="5" applyNumberFormat="1" applyFill="1" applyAlignment="1">
      <alignment horizontal="left" vertical="top" indent="1"/>
    </xf>
    <xf numFmtId="0" fontId="30" fillId="4" borderId="0" xfId="5" applyNumberFormat="1" applyFont="1" applyFill="1" applyAlignment="1">
      <alignment horizontal="left" vertical="top" indent="1"/>
    </xf>
    <xf numFmtId="0" fontId="6" fillId="10" borderId="0" xfId="0" applyNumberFormat="1" applyFont="1" applyAlignment="1">
      <alignment horizontal="center"/>
    </xf>
    <xf numFmtId="0" fontId="4" fillId="10" borderId="0" xfId="0" applyNumberFormat="1" applyFont="1" applyAlignment="1">
      <alignment horizontal="center"/>
    </xf>
    <xf numFmtId="0" fontId="23" fillId="11" borderId="0" xfId="0" applyFont="1" applyFill="1" applyAlignment="1">
      <alignment horizontal="center"/>
    </xf>
    <xf numFmtId="0" fontId="23" fillId="11" borderId="0" xfId="0" applyFont="1" applyFill="1" applyAlignment="1">
      <alignment horizontal="left"/>
    </xf>
    <xf numFmtId="0" fontId="4" fillId="10" borderId="0" xfId="0" applyFont="1" applyAlignment="1">
      <alignment horizontal="left"/>
    </xf>
    <xf numFmtId="0" fontId="4" fillId="10" borderId="0" xfId="0" applyFont="1" applyAlignment="1">
      <alignment horizontal="center"/>
    </xf>
    <xf numFmtId="0" fontId="4" fillId="10" borderId="0" xfId="0" applyFont="1" applyAlignment="1">
      <alignment horizontal="left" indent="1"/>
    </xf>
    <xf numFmtId="0" fontId="13" fillId="4" borderId="0" xfId="2" applyNumberFormat="1" applyFont="1" applyFill="1" applyAlignment="1">
      <alignment horizontal="right" vertical="center" indent="3"/>
    </xf>
    <xf numFmtId="0" fontId="31" fillId="4" borderId="0" xfId="2" applyNumberFormat="1" applyFont="1" applyFill="1" applyAlignment="1">
      <alignment horizontal="center" wrapText="1"/>
    </xf>
    <xf numFmtId="8" fontId="10" fillId="13" borderId="17" xfId="0" applyNumberFormat="1" applyFont="1" applyFill="1" applyBorder="1" applyAlignment="1">
      <alignment horizontal="right" vertical="center"/>
    </xf>
    <xf numFmtId="8" fontId="10" fillId="13" borderId="13" xfId="0" applyNumberFormat="1" applyFont="1" applyFill="1" applyBorder="1" applyAlignment="1">
      <alignment horizontal="right" vertical="center"/>
    </xf>
    <xf numFmtId="8" fontId="10" fillId="11" borderId="18" xfId="0" applyNumberFormat="1" applyFont="1" applyFill="1" applyBorder="1" applyAlignment="1">
      <alignment horizontal="right" vertical="center"/>
    </xf>
    <xf numFmtId="8" fontId="10" fillId="11" borderId="19" xfId="0" applyNumberFormat="1" applyFont="1" applyFill="1" applyBorder="1" applyAlignment="1">
      <alignment horizontal="right" vertical="center"/>
    </xf>
    <xf numFmtId="8" fontId="10" fillId="11" borderId="20" xfId="0" applyNumberFormat="1" applyFont="1" applyFill="1" applyBorder="1" applyAlignment="1">
      <alignment horizontal="right" vertical="center"/>
    </xf>
    <xf numFmtId="8" fontId="10" fillId="11" borderId="21" xfId="0" applyNumberFormat="1" applyFont="1" applyFill="1" applyBorder="1" applyAlignment="1">
      <alignment horizontal="right" vertical="center"/>
    </xf>
    <xf numFmtId="8" fontId="10" fillId="11" borderId="27" xfId="0" applyNumberFormat="1" applyFont="1" applyFill="1" applyBorder="1" applyAlignment="1">
      <alignment horizontal="right" vertical="center"/>
    </xf>
    <xf numFmtId="8" fontId="10" fillId="11" borderId="28" xfId="0" applyNumberFormat="1" applyFont="1" applyFill="1" applyBorder="1" applyAlignment="1">
      <alignment horizontal="right" vertical="center"/>
    </xf>
    <xf numFmtId="8" fontId="10" fillId="11" borderId="29" xfId="0" applyNumberFormat="1" applyFont="1" applyFill="1" applyBorder="1" applyAlignment="1">
      <alignment horizontal="right" vertical="center"/>
    </xf>
    <xf numFmtId="8" fontId="0" fillId="13" borderId="17" xfId="0" applyNumberFormat="1" applyFont="1" applyFill="1" applyBorder="1" applyAlignment="1">
      <alignment horizontal="right" vertical="center"/>
    </xf>
    <xf numFmtId="8" fontId="0" fillId="13" borderId="13" xfId="0" applyNumberFormat="1" applyFont="1" applyFill="1" applyBorder="1" applyAlignment="1">
      <alignment horizontal="right" vertical="center"/>
    </xf>
    <xf numFmtId="8" fontId="0" fillId="11" borderId="18" xfId="0" applyNumberFormat="1" applyFont="1" applyFill="1" applyBorder="1" applyAlignment="1">
      <alignment horizontal="right" vertical="center"/>
    </xf>
    <xf numFmtId="8" fontId="0" fillId="11" borderId="19" xfId="0" applyNumberFormat="1" applyFont="1" applyFill="1" applyBorder="1" applyAlignment="1">
      <alignment horizontal="right" vertical="center"/>
    </xf>
    <xf numFmtId="8" fontId="0" fillId="11" borderId="20" xfId="0" applyNumberFormat="1" applyFont="1" applyFill="1" applyBorder="1" applyAlignment="1">
      <alignment horizontal="right" vertical="center"/>
    </xf>
    <xf numFmtId="8" fontId="0" fillId="11" borderId="21" xfId="0" applyNumberFormat="1" applyFont="1" applyFill="1" applyBorder="1" applyAlignment="1">
      <alignment horizontal="right" vertical="center"/>
    </xf>
    <xf numFmtId="8" fontId="11" fillId="11" borderId="5" xfId="0" applyNumberFormat="1" applyFont="1" applyFill="1" applyBorder="1" applyAlignment="1">
      <alignment horizontal="right" vertical="center"/>
    </xf>
    <xf numFmtId="8" fontId="11" fillId="11" borderId="2" xfId="0" applyNumberFormat="1" applyFont="1" applyFill="1" applyBorder="1" applyAlignment="1">
      <alignment horizontal="right" vertical="center"/>
    </xf>
    <xf numFmtId="8" fontId="0" fillId="11" borderId="20" xfId="0" applyNumberFormat="1" applyFont="1" applyFill="1" applyBorder="1" applyAlignment="1">
      <alignment vertical="center"/>
    </xf>
    <xf numFmtId="8" fontId="0" fillId="11" borderId="21" xfId="0" applyNumberFormat="1" applyFont="1" applyFill="1" applyBorder="1" applyAlignment="1">
      <alignment vertical="center"/>
    </xf>
    <xf numFmtId="8" fontId="10" fillId="11" borderId="20" xfId="0" applyNumberFormat="1" applyFont="1" applyFill="1" applyBorder="1" applyAlignment="1">
      <alignment vertical="center"/>
    </xf>
    <xf numFmtId="8" fontId="20" fillId="11" borderId="2" xfId="0" applyNumberFormat="1" applyFont="1" applyFill="1" applyBorder="1" applyAlignment="1">
      <alignment horizontal="right"/>
    </xf>
    <xf numFmtId="8" fontId="20" fillId="11" borderId="8" xfId="0" applyNumberFormat="1" applyFont="1" applyFill="1" applyBorder="1" applyAlignment="1">
      <alignment horizontal="right"/>
    </xf>
    <xf numFmtId="8" fontId="0" fillId="11" borderId="19" xfId="0" applyNumberFormat="1" applyFont="1" applyFill="1" applyBorder="1" applyAlignment="1">
      <alignment vertical="center"/>
    </xf>
    <xf numFmtId="8" fontId="19" fillId="11" borderId="20" xfId="0" applyNumberFormat="1" applyFont="1" applyFill="1" applyBorder="1" applyAlignment="1">
      <alignment horizontal="right" vertical="center"/>
    </xf>
    <xf numFmtId="8" fontId="11" fillId="11" borderId="31" xfId="0" applyNumberFormat="1" applyFont="1" applyFill="1" applyBorder="1" applyAlignment="1">
      <alignment horizontal="right"/>
    </xf>
    <xf numFmtId="8" fontId="11" fillId="11" borderId="2" xfId="0" applyNumberFormat="1" applyFont="1" applyFill="1" applyBorder="1" applyAlignment="1">
      <alignment horizontal="right"/>
    </xf>
    <xf numFmtId="8" fontId="11" fillId="11" borderId="6" xfId="0" applyNumberFormat="1" applyFont="1" applyFill="1" applyBorder="1" applyAlignment="1">
      <alignment horizontal="right"/>
    </xf>
    <xf numFmtId="8" fontId="11" fillId="11" borderId="8" xfId="0" applyNumberFormat="1" applyFont="1" applyFill="1" applyBorder="1" applyAlignment="1">
      <alignment horizontal="right"/>
    </xf>
    <xf numFmtId="8" fontId="11" fillId="11" borderId="5" xfId="0" applyNumberFormat="1" applyFont="1" applyFill="1" applyBorder="1" applyAlignment="1">
      <alignment horizontal="right"/>
    </xf>
    <xf numFmtId="168" fontId="4" fillId="10" borderId="0" xfId="0" applyNumberFormat="1" applyFont="1" applyAlignment="1">
      <alignment horizontal="right"/>
    </xf>
    <xf numFmtId="168" fontId="6" fillId="10" borderId="0" xfId="0" applyNumberFormat="1" applyFont="1" applyAlignment="1">
      <alignment horizontal="right"/>
    </xf>
    <xf numFmtId="168" fontId="7" fillId="10" borderId="0" xfId="0" applyNumberFormat="1" applyFont="1" applyAlignment="1">
      <alignment horizontal="right"/>
    </xf>
    <xf numFmtId="8" fontId="0" fillId="11" borderId="2" xfId="0" applyNumberFormat="1" applyFont="1" applyFill="1" applyBorder="1" applyAlignment="1">
      <alignment horizontal="right" vertical="center" indent="2"/>
    </xf>
    <xf numFmtId="8" fontId="0" fillId="11" borderId="5" xfId="0" applyNumberFormat="1" applyFont="1" applyFill="1" applyBorder="1" applyAlignment="1">
      <alignment horizontal="right" vertical="center" indent="2"/>
    </xf>
    <xf numFmtId="0" fontId="50" fillId="8" borderId="0" xfId="1" applyNumberFormat="1" applyFont="1" applyFill="1" applyAlignment="1">
      <alignment horizontal="left" vertical="top" indent="1"/>
    </xf>
    <xf numFmtId="0" fontId="51" fillId="12" borderId="0" xfId="3" applyNumberFormat="1" applyFont="1" applyFill="1" applyAlignment="1">
      <alignment horizontal="left"/>
    </xf>
    <xf numFmtId="0" fontId="52" fillId="4" borderId="0" xfId="2" applyNumberFormat="1" applyFont="1" applyFill="1" applyAlignment="1">
      <alignment horizontal="left" indent="1"/>
    </xf>
    <xf numFmtId="0" fontId="51" fillId="12" borderId="0" xfId="3" applyNumberFormat="1" applyFont="1" applyFill="1" applyAlignment="1">
      <alignment horizontal="center"/>
    </xf>
    <xf numFmtId="0" fontId="53" fillId="9" borderId="3" xfId="3" applyNumberFormat="1" applyFont="1" applyFill="1" applyBorder="1" applyAlignment="1">
      <alignment horizontal="left" vertical="center" indent="1"/>
    </xf>
    <xf numFmtId="0" fontId="54" fillId="9" borderId="3" xfId="3" applyNumberFormat="1" applyFont="1" applyFill="1" applyBorder="1" applyAlignment="1">
      <alignment vertical="center"/>
    </xf>
    <xf numFmtId="0" fontId="55" fillId="9" borderId="3" xfId="3" applyNumberFormat="1" applyFont="1" applyFill="1" applyBorder="1" applyAlignment="1">
      <alignment horizontal="left" vertical="center" indent="1"/>
    </xf>
    <xf numFmtId="0" fontId="56" fillId="9" borderId="0" xfId="3" applyNumberFormat="1" applyFont="1" applyFill="1" applyAlignment="1">
      <alignment vertical="center"/>
    </xf>
    <xf numFmtId="0" fontId="56" fillId="9" borderId="32" xfId="3" applyNumberFormat="1" applyFont="1" applyFill="1" applyBorder="1" applyAlignment="1">
      <alignment vertical="center"/>
    </xf>
    <xf numFmtId="0" fontId="55" fillId="9" borderId="0" xfId="3" applyNumberFormat="1" applyFont="1" applyFill="1" applyAlignment="1">
      <alignment horizontal="left" vertical="center" indent="1"/>
    </xf>
    <xf numFmtId="0" fontId="52" fillId="4" borderId="0" xfId="2" applyNumberFormat="1" applyFont="1" applyFill="1" applyAlignment="1"/>
    <xf numFmtId="0" fontId="57" fillId="4" borderId="0" xfId="2" applyNumberFormat="1" applyFont="1" applyFill="1" applyAlignment="1">
      <alignment horizontal="center" wrapText="1"/>
    </xf>
    <xf numFmtId="0" fontId="52" fillId="4" borderId="0" xfId="2" applyNumberFormat="1" applyFont="1" applyFill="1" applyAlignment="1">
      <alignment horizontal="right" vertical="center" indent="3"/>
    </xf>
    <xf numFmtId="0" fontId="3" fillId="8" borderId="0" xfId="0" applyNumberFormat="1" applyFont="1" applyFill="1" applyAlignment="1">
      <alignment horizontal="left" vertical="top" indent="1"/>
    </xf>
    <xf numFmtId="0" fontId="5" fillId="8" borderId="0" xfId="0" applyNumberFormat="1" applyFont="1" applyFill="1" applyAlignment="1">
      <alignment horizontal="left" vertical="top"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un" xfId="12" builtinId="26" customBuiltin="1"/>
    <cellStyle name="Calcul" xfId="17" builtinId="22" customBuiltin="1"/>
    <cellStyle name="Celulă legată" xfId="18" builtinId="24" customBuiltin="1"/>
    <cellStyle name="Eronat" xfId="13" builtinId="27" customBuiltin="1"/>
    <cellStyle name="Ieșire" xfId="16" builtinId="21" customBuiltin="1"/>
    <cellStyle name="Intrare" xfId="15" builtinId="20" customBuiltin="1"/>
    <cellStyle name="Monedă" xfId="8" builtinId="4" customBuiltin="1"/>
    <cellStyle name="Monedă [0]" xfId="9" builtinId="7" customBuiltin="1"/>
    <cellStyle name="Neutru" xfId="14" builtinId="28" customBuiltin="1"/>
    <cellStyle name="Normal" xfId="0" builtinId="0" customBuiltin="1"/>
    <cellStyle name="Notă" xfId="21" builtinId="10" customBuiltin="1"/>
    <cellStyle name="Procent" xfId="10" builtinId="5" customBuiltin="1"/>
    <cellStyle name="Text avertisment" xfId="20" builtinId="11" customBuiltin="1"/>
    <cellStyle name="Text explicativ" xfId="5" builtinId="53" customBuiltin="1"/>
    <cellStyle name="Titlu" xfId="11" builtinId="15" customBuiltin="1"/>
    <cellStyle name="Titlu 1" xfId="1" builtinId="16" customBuiltin="1"/>
    <cellStyle name="Titlu 2" xfId="2" builtinId="17" customBuiltin="1"/>
    <cellStyle name="Titlu 3" xfId="3" builtinId="18" customBuiltin="1"/>
    <cellStyle name="Titlu 4" xfId="4" builtinId="19" customBuiltin="1"/>
    <cellStyle name="Total" xfId="22" builtinId="25" customBuiltin="1"/>
    <cellStyle name="Verificare celulă" xfId="19" builtinId="23" customBuiltin="1"/>
    <cellStyle name="Virgulă" xfId="6" builtinId="3" customBuiltin="1"/>
    <cellStyle name="Virgulă [0]" xfId="7" builtinId="6" customBuiltin="1"/>
  </cellStyles>
  <dxfs count="477">
    <dxf>
      <font>
        <b/>
        <i val="0"/>
        <strike val="0"/>
        <condense val="0"/>
        <extend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outline="0">
        <left style="medium">
          <color theme="6" tint="0.39997558519241921"/>
        </left>
        <right style="medium">
          <color theme="6" tint="0.39997558519241921"/>
        </right>
        <top/>
        <bottom/>
      </border>
    </dxf>
    <dxf>
      <font>
        <b val="0"/>
        <i val="0"/>
        <strike val="0"/>
        <condense val="0"/>
        <extend val="0"/>
        <outline val="0"/>
        <shadow val="0"/>
        <u val="none"/>
        <vertAlign val="baseline"/>
        <sz val="9"/>
        <color theme="1" tint="0.2499465926084170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0.00\ &quot;lei&quot;;[Red]\-#,##0.00\ &quot;lei&quot;"/>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numFmt numFmtId="12" formatCode="#,##0.00\ &quot;lei&quot;;[Red]\-#,##0.00\ &quot;lei&quot;"/>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auto="1"/>
        <name val="Microsoft Sans Serif"/>
        <family val="2"/>
        <scheme val="minor"/>
      </font>
      <numFmt numFmtId="12" formatCode="#,##0.00\ &quot;lei&quot;;[Red]\-#,##0.00\ &quot;lei&quot;"/>
      <fill>
        <patternFill patternType="solid">
          <fgColor indexed="64"/>
          <bgColor theme="6" tint="0.79998168889431442"/>
        </patternFill>
      </fill>
      <alignment horizontal="right" vertical="bottom" textRotation="0" wrapText="0" indent="0" justifyLastLine="0" shrinkToFit="0" readingOrder="0"/>
      <border diagonalUp="0" diagonalDown="0">
        <left/>
        <right style="medium">
          <color theme="6" tint="0.39997558519241921"/>
        </right>
        <top style="medium">
          <color theme="6" tint="0.39997558519241921"/>
        </top>
        <bottom style="medium">
          <color theme="6" tint="0.39997558519241921"/>
        </bottom>
      </border>
    </dxf>
    <dxf>
      <numFmt numFmtId="12"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font>
      <numFmt numFmtId="12" formatCode="#,##0.00\ &quot;lei&quot;;[Red]\-#,##0.00\ &quot;lei&quot;"/>
      <fill>
        <patternFill patternType="solid">
          <fgColor indexed="64"/>
          <bgColor theme="6" tint="0.79998168889431442"/>
        </patternFill>
      </fill>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numFmt numFmtId="12" formatCode="#,##0.00\ &quot;lei&quot;;[Red]\-#,##0.00\ &quot;lei&quot;"/>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7558519241921"/>
        </left>
        <right style="medium">
          <color theme="6" tint="0.39997558519241921"/>
        </right>
        <top style="medium">
          <color theme="6" tint="0.39997558519241921"/>
        </top>
        <bottom/>
        <vertical/>
        <horizontal/>
      </border>
    </dxf>
    <dxf>
      <font>
        <b/>
        <i val="0"/>
        <strike val="0"/>
        <condense val="0"/>
        <extend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right style="medium">
          <color theme="6" tint="0.39997558519241921"/>
        </right>
        <top style="medium">
          <color theme="6" tint="0.39997558519241921"/>
        </top>
        <bottom/>
      </border>
    </dxf>
    <dxf>
      <font>
        <strike val="0"/>
        <outline val="0"/>
        <shadow val="0"/>
        <u val="none"/>
        <vertAlign val="baseline"/>
        <sz val="9"/>
        <color theme="1"/>
        <name val="Microsoft Sans Serif"/>
        <family val="2"/>
        <scheme val="minor"/>
      </font>
      <numFmt numFmtId="12" formatCode="#,##0.00\ &quot;lei&quot;;[Red]\-#,##0.00\ &quot;lei&quot;"/>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border diagonalUp="0" diagonalDown="0">
        <left/>
        <right style="medium">
          <color theme="6" tint="0.39994506668294322"/>
        </right>
        <top style="medium">
          <color theme="6" tint="0.39994506668294322"/>
        </top>
        <bottom style="medium">
          <color theme="6" tint="0.39994506668294322"/>
        </bottom>
      </border>
    </dxf>
    <dxf>
      <numFmt numFmtId="12" formatCode="#,##0.00\ &quot;lei&quot;;[Red]\-#,##0.00\ &quot;lei&quot;"/>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left style="medium">
          <color theme="6" tint="0.39994506668294322"/>
        </left>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style="medium">
          <color theme="6" tint="0.39994506668294322"/>
        </left>
        <right style="medium">
          <color theme="6" tint="0.39994506668294322"/>
        </right>
        <top style="medium">
          <color theme="6" tint="0.39994506668294322"/>
        </top>
        <bottom style="medium">
          <color theme="6" tint="0.39994506668294322"/>
        </bottom>
        <vertical style="medium">
          <color theme="6" tint="0.39994506668294322"/>
        </vertical>
        <horizontal style="medium">
          <color theme="6" tint="0.39994506668294322"/>
        </horizontal>
      </border>
    </dxf>
    <dxf>
      <font>
        <strike val="0"/>
        <outline val="0"/>
        <shadow val="0"/>
        <u val="none"/>
        <vertAlign val="baseline"/>
        <sz val="9"/>
        <color theme="1"/>
        <name val="Microsoft Sans Serif"/>
        <family val="2"/>
        <scheme val="minor"/>
      </font>
      <numFmt numFmtId="12" formatCode="#,##0.00\ &quot;lei&quot;;[Red]\-#,##0.00\ &quot;lei&quot;"/>
      <fill>
        <patternFill patternType="solid">
          <fgColor indexed="64"/>
          <bgColor theme="0"/>
        </patternFill>
      </fill>
      <alignment horizontal="right" vertical="center" textRotation="0" wrapText="0" indent="0" justifyLastLine="0" shrinkToFit="0" readingOrder="0"/>
      <border diagonalUp="0" diagonalDown="0">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97558519241921"/>
        </left>
        <right style="medium">
          <color theme="6" tint="0.39997558519241921"/>
        </right>
        <top style="medium">
          <color theme="6" tint="0.39997558519241921"/>
        </top>
        <bottom style="medium">
          <color theme="6" tint="0.39997558519241921"/>
        </bottom>
        <vertical/>
        <horizontal/>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ill>
        <patternFill patternType="solid">
          <fgColor indexed="64"/>
          <bgColor theme="6" tint="0.79998168889431442"/>
        </patternFill>
      </fill>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theme="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numFmt numFmtId="166" formatCode="#,##0.00\ &quot;lei&quot;;[Red]#,##0.00\ &quot;lei&quot;"/>
    </dxf>
    <dxf>
      <fill>
        <patternFill patternType="solid">
          <fgColor indexed="64"/>
          <bgColor theme="6" tint="0.79998168889431442"/>
        </patternFill>
      </fill>
      <alignment horizontal="left" vertical="center" textRotation="0" wrapTex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dxf>
    <dxf>
      <border>
        <top style="medium">
          <color theme="6" tint="0.39994506668294322"/>
        </top>
      </border>
    </dxf>
    <dxf>
      <fill>
        <patternFill patternType="solid">
          <fgColor indexed="64"/>
          <bgColor theme="6" tint="0.79998168889431442"/>
        </patternFill>
      </fill>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indent="0" justifyLastLine="0" shrinkToFit="0" readingOrder="0"/>
      <border diagonalUp="0" diagonalDown="0">
        <left/>
        <right/>
        <top style="medium">
          <color theme="6" tint="0.39994506668294322"/>
        </top>
        <bottom style="medium">
          <color theme="6" tint="0.39994506668294322"/>
        </bottom>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horizontal="left" vertical="center" textRotation="0" wrapText="0" justifyLastLine="0" shrinkToFit="0" readingOrder="0"/>
      <border diagonalUp="0" diagonalDown="0" outline="0">
        <left/>
        <right style="medium">
          <color theme="6" tint="0.39994506668294322"/>
        </right>
        <top/>
        <bottom/>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strike val="0"/>
        <outline val="0"/>
        <shadow val="0"/>
        <u val="none"/>
        <vertAlign val="baseline"/>
        <color auto="1"/>
        <name val="Microsoft Sans Serif"/>
        <family val="2"/>
        <scheme val="minor"/>
      </font>
      <numFmt numFmtId="166" formatCode="#,##0.00\ &quot;lei&quot;;[Red]#,##0.00\ &quot;lei&quot;"/>
      <fill>
        <patternFill patternType="solid">
          <fgColor indexed="64"/>
          <bgColor theme="6" tint="0.79998168889431442"/>
        </patternFill>
      </fill>
      <alignmen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strike val="0"/>
        <outline val="0"/>
        <shadow val="0"/>
        <u val="none"/>
        <vertAlign val="baseline"/>
        <sz val="10"/>
        <color auto="1"/>
        <name val="Microsoft Sans Serif"/>
        <family val="2"/>
        <scheme val="minor"/>
      </font>
      <fill>
        <patternFill patternType="solid">
          <fgColor indexed="64"/>
          <bgColor theme="6" tint="0.79998168889431442"/>
        </patternFill>
      </fill>
      <alignment vertical="center" textRotation="0" wrapText="0" indent="0" justifyLastLine="0" shrinkToFit="0" readingOrder="0"/>
      <border diagonalUp="0" diagonalDown="0">
        <left/>
        <right style="medium">
          <color theme="6" tint="0.39994506668294322"/>
        </right>
        <top/>
        <bottom/>
        <vertical style="medium">
          <color theme="6" tint="0.39994506668294322"/>
        </vertical>
        <horizontal style="medium">
          <color theme="6" tint="0.39994506668294322"/>
        </horizontal>
      </border>
    </dxf>
    <dxf>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auto="1"/>
        <name val="Microsoft Sans Serif"/>
        <family val="2"/>
        <scheme val="minor"/>
      </font>
      <fill>
        <patternFill patternType="solid">
          <fgColor indexed="64"/>
          <bgColor theme="6" tint="0.79998168889431442"/>
        </patternFill>
      </fill>
      <border diagonalUp="0" diagonalDown="0">
        <left/>
        <right style="medium">
          <color theme="6" tint="0.39994506668294322"/>
        </right>
        <top/>
        <bottom/>
        <vertical style="medium">
          <color theme="6" tint="0.39994506668294322"/>
        </vertical>
        <horizontal style="medium">
          <color theme="6" tint="0.39994506668294322"/>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i val="0"/>
        <strike val="0"/>
        <condense val="0"/>
        <extend val="0"/>
        <outline val="0"/>
        <shadow val="0"/>
        <u val="none"/>
        <vertAlign val="baseline"/>
        <sz val="10"/>
        <color theme="0"/>
        <name val="Microsoft Sans Serif"/>
        <family val="2"/>
        <scheme val="minor"/>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Microsoft Sans Serif"/>
        <family val="2"/>
        <scheme val="minor"/>
      </font>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Franklin Gothic Book"/>
        <family val="2"/>
        <scheme val="major"/>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b/>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numFmt numFmtId="166" formatCode="#,##0.00\ &quot;lei&quot;;[Red]#,##0.00\ &quot;lei&quot;"/>
      <fill>
        <patternFill patternType="solid">
          <fgColor indexed="64"/>
          <bgColor theme="6" tint="0.79998168889431442"/>
        </patternFill>
      </fill>
      <border diagonalUp="0" diagonalDown="0" outline="0">
        <left style="medium">
          <color theme="6" tint="0.39994506668294322"/>
        </left>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font>
        <strike val="0"/>
        <outline val="0"/>
        <shadow val="0"/>
        <u val="none"/>
        <vertAlign val="baseline"/>
        <sz val="10"/>
        <color theme="1"/>
        <name val="Microsoft Sans Serif"/>
        <family val="2"/>
        <scheme val="minor"/>
      </font>
      <fill>
        <patternFill patternType="solid">
          <fgColor indexed="64"/>
          <bgColor theme="6" tint="0.79998168889431442"/>
        </patternFill>
      </fill>
      <border diagonalUp="0" diagonalDown="0">
        <left/>
        <right style="medium">
          <color theme="6" tint="0.39991454817346722"/>
        </right>
        <top style="medium">
          <color theme="6" tint="0.39994506668294322"/>
        </top>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Microsoft Sans Serif"/>
        <family val="2"/>
        <scheme val="minor"/>
      </font>
      <numFmt numFmtId="166" formatCode="#,##0.00\ &quot;lei&quot;;[Red]#,##0.00\ &quot;lei&quot;"/>
      <fill>
        <patternFill patternType="solid">
          <fgColor indexed="64"/>
          <bgColor theme="6" tint="0.79998168889431442"/>
        </patternFill>
      </fill>
      <alignment horizontal="right" vertical="center" textRotation="0" wrapText="0" indent="0" justifyLastLine="0" shrinkToFit="0" readingOrder="0"/>
      <border diagonalUp="0" diagonalDown="0" outline="0">
        <left/>
        <right style="medium">
          <color theme="6" tint="0.39994506668294322"/>
        </right>
        <top/>
        <bottom/>
      </border>
    </dxf>
    <dxf>
      <font>
        <b/>
        <i val="0"/>
        <strike val="0"/>
        <condense val="0"/>
        <extend val="0"/>
        <outline val="0"/>
        <shadow val="0"/>
        <u val="none"/>
        <vertAlign val="baseline"/>
        <sz val="10"/>
        <color theme="1"/>
        <name val="Microsoft Sans Serif"/>
        <family val="2"/>
        <scheme val="minor"/>
      </font>
      <fill>
        <patternFill patternType="solid">
          <fgColor indexed="64"/>
          <bgColor theme="6" tint="0.79998168889431442"/>
        </patternFill>
      </fill>
      <alignment horizontal="left" vertical="center" textRotation="0" wrapText="0" indent="2" justifyLastLine="0" shrinkToFit="0" readingOrder="0"/>
      <border diagonalUp="0" diagonalDown="0">
        <left style="medium">
          <color theme="6" tint="0.39988402966399123"/>
        </left>
        <right style="medium">
          <color theme="6" tint="0.39985351115451523"/>
        </right>
        <top style="medium">
          <color theme="6" tint="0.39994506668294322"/>
        </top>
        <bottom style="medium">
          <color theme="6" tint="0.39985351115451523"/>
        </bottom>
        <vertical/>
        <horizontal/>
      </border>
    </dxf>
    <dxf>
      <font>
        <b/>
        <strike val="0"/>
        <outline val="0"/>
        <shadow val="0"/>
        <u val="none"/>
        <vertAlign val="baseline"/>
        <sz val="10"/>
        <color theme="0"/>
        <name val="Microsoft Sans Serif"/>
        <family val="2"/>
        <scheme val="minor"/>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border diagonalUp="0" diagonalDown="0">
        <left/>
        <right style="medium">
          <color theme="6" tint="0.39994506668294322"/>
        </right>
        <top/>
        <bottom/>
      </border>
    </dxf>
    <dxf>
      <border>
        <bottom style="medium">
          <color theme="6" tint="0.39994506668294322"/>
        </bottom>
      </border>
    </dxf>
    <dxf>
      <border diagonalUp="0" diagonalDown="0">
        <left style="medium">
          <color theme="6" tint="0.39994506668294322"/>
        </left>
        <right style="medium">
          <color theme="6" tint="0.39994506668294322"/>
        </right>
        <top/>
        <bottom/>
        <vertical style="medium">
          <color theme="6" tint="0.39994506668294322"/>
        </vertical>
        <horizontal style="medium">
          <color theme="6" tint="0.39994506668294322"/>
        </horizontal>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76"/>
      <tableStyleElement type="headerRow" dxfId="475"/>
      <tableStyleElement type="totalRow" dxfId="474"/>
      <tableStyleElement type="firstColumn" dxfId="473"/>
      <tableStyleElement type="lastColumn" dxfId="472"/>
      <tableStyleElement type="firstRowStripe" size="9" dxfId="471"/>
      <tableStyleElement type="firstColumnStripe" dxfId="470"/>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r>
              <a:rPr lang="en-US"/>
              <a:t>Cheltuieli reale</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icrosoft Sans Serif"/>
              <a:ea typeface="Microsoft Sans Serif"/>
              <a:cs typeface="Microsoft Sans Serif"/>
            </a:defRPr>
          </a:pPr>
          <a:endParaRPr lang="ro-RO"/>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16903582257697239"/>
                  <c:y val="-3.6706026709857155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mn-lt"/>
                      <a:ea typeface="+mn-ea"/>
                      <a:cs typeface="+mn-cs"/>
                    </a:defRPr>
                  </a:pPr>
                  <a:endParaRPr lang="ro-R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3.9133483346486281E-2"/>
                  <c:y val="0.10124833189842194"/>
                </c:manualLayout>
              </c:layout>
              <c:tx>
                <c:rich>
                  <a:bodyPr/>
                  <a:lstStyle/>
                  <a:p>
                    <a:fld id="{49C0A998-280B-4D55-9894-EA8A42797DAE}" type="CATEGORYNAME">
                      <a:rPr lang="en-US"/>
                      <a:pPr/>
                      <a:t>[NUME CATEGORIE]</a:t>
                    </a:fld>
                    <a:endParaRPr lang="en-US" baseline="0"/>
                  </a:p>
                  <a:p>
                    <a:fld id="{59041DA1-D25C-4FA8-8D87-40EC8051ECD6}" type="PERCENTAGE">
                      <a:rPr lang="en-US" baseline="0"/>
                      <a:pPr/>
                      <a:t>[PROCENT]</a:t>
                    </a:fld>
                    <a:endParaRPr lang="ro-RO"/>
                  </a:p>
                </c:rich>
              </c:tx>
              <c:dLblPos val="bestFit"/>
              <c:showLegendKey val="0"/>
              <c:showVal val="0"/>
              <c:showCatName val="1"/>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mn-lt"/>
                    <a:ea typeface="+mn-ea"/>
                    <a:cs typeface="+mn-cs"/>
                  </a:defRPr>
                </a:pPr>
                <a:endParaRPr lang="ro-RO"/>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'ANALIZA CHELTUIELILOR'!$B$6:$B$9</c:f>
              <c:strCache>
                <c:ptCount val="4"/>
                <c:pt idx="0">
                  <c:v>Costuri cu angajații</c:v>
                </c:pt>
                <c:pt idx="1">
                  <c:v>Costuri cu biroul</c:v>
                </c:pt>
                <c:pt idx="2">
                  <c:v>Costuri de marketing</c:v>
                </c:pt>
                <c:pt idx="3">
                  <c:v>Instruire/deplasare</c:v>
                </c:pt>
              </c:strCache>
            </c:strRef>
          </c:cat>
          <c:val>
            <c:numRef>
              <c:f>'ANALIZA CHELTUIELILOR'!$D$6:$D$9</c:f>
              <c:numCache>
                <c:formatCode>"lei"#,##0.00_);[Red]\("lei"#,##0.00\)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3723410124887445"/>
          <c:y val="0.85735021397905353"/>
          <c:w val="0.51702116110545349"/>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ro-RO"/>
        </a:p>
      </c:txPr>
    </c:legend>
    <c:plotVisOnly val="1"/>
    <c:dispBlanksAs val="gap"/>
    <c:showDLblsOverMax val="0"/>
  </c:chart>
  <c:spPr>
    <a:noFill/>
    <a:ln w="9525" cap="flat" cmpd="sng" algn="ctr">
      <a:noFill/>
      <a:round/>
    </a:ln>
    <a:effectLst/>
  </c:spPr>
  <c:txPr>
    <a:bodyPr/>
    <a:lstStyle/>
    <a:p>
      <a:pPr>
        <a:defRPr/>
      </a:pPr>
      <a:endParaRPr lang="ro-R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Cheltuieli lunare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ro-RO"/>
        </a:p>
      </c:txPr>
    </c:title>
    <c:autoTitleDeleted val="0"/>
    <c:plotArea>
      <c:layout/>
      <c:barChart>
        <c:barDir val="col"/>
        <c:grouping val="clustered"/>
        <c:varyColors val="0"/>
        <c:ser>
          <c:idx val="1"/>
          <c:order val="1"/>
          <c:tx>
            <c:v>Planificate</c:v>
          </c:tx>
          <c:spPr>
            <a:solidFill>
              <a:schemeClr val="accent3"/>
            </a:solidFill>
            <a:ln>
              <a:noFill/>
            </a:ln>
            <a:effectLst/>
          </c:spPr>
          <c:invertIfNegative val="0"/>
          <c:val>
            <c:numRef>
              <c:f>'CHELTUIELI PLANIFICATE'!$C$36:$N$36</c:f>
              <c:numCache>
                <c:formatCode>"lei"#,##0.00_);[Red]\("lei"#,##0.00\)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Reale</c:v>
          </c:tx>
          <c:spPr>
            <a:solidFill>
              <a:schemeClr val="accent3">
                <a:tint val="65000"/>
              </a:schemeClr>
            </a:solidFill>
            <a:ln>
              <a:noFill/>
            </a:ln>
            <a:effectLst/>
          </c:spPr>
          <c:invertIfNegative val="0"/>
          <c:val>
            <c:numRef>
              <c:f>'CHELTUIELI REALE'!$C$36:$N$36</c:f>
              <c:numCache>
                <c:formatCode>"lei"#,##0.00_);[Red]\("lei"#,##0.00\)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Diferența</c:v>
          </c:tx>
          <c:spPr>
            <a:ln w="28575" cap="rnd">
              <a:solidFill>
                <a:schemeClr val="accent3">
                  <a:shade val="65000"/>
                </a:schemeClr>
              </a:solidFill>
              <a:round/>
            </a:ln>
            <a:effectLst/>
          </c:spPr>
          <c:marker>
            <c:symbol val="none"/>
          </c:marker>
          <c:val>
            <c:numRef>
              <c:f>'DIFERENȚA CHELTUIELILOR'!$C$36:$N$36</c:f>
              <c:numCache>
                <c:formatCode>"lei"#,##0.00_);[Red]\("lei"#,##0.00\)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Lună</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o-RO"/>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o-RO"/>
          </a:p>
        </c:txPr>
        <c:crossAx val="362147008"/>
        <c:crosses val="autoZero"/>
        <c:auto val="1"/>
        <c:lblAlgn val="ctr"/>
        <c:lblOffset val="100"/>
        <c:noMultiLvlLbl val="0"/>
      </c:catAx>
      <c:valAx>
        <c:axId val="362147008"/>
        <c:scaling>
          <c:orientation val="minMax"/>
        </c:scaling>
        <c:delete val="0"/>
        <c:axPos val="l"/>
        <c:majorGridlines>
          <c:spPr>
            <a:ln w="9525" cap="flat" cmpd="sng" algn="ctr">
              <a:solidFill>
                <a:schemeClr val="bg2">
                  <a:lumMod val="50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Cheltuieli</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ro-RO"/>
            </a:p>
          </c:txPr>
        </c:title>
        <c:numFmt formatCode="&quot;lei&quot;#,##0.00_);[Red]\(&quot;lei&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ro-RO"/>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ro-RO"/>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defRPr>
      </a:pPr>
      <a:endParaRPr lang="ro-R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r>
              <a:rPr lang="en-US"/>
              <a:t>Cheltuieli planificate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icrosoft Sans Serif"/>
              <a:ea typeface="Microsoft Sans Serif"/>
              <a:cs typeface="Microsoft Sans Serif"/>
            </a:defRPr>
          </a:pPr>
          <a:endParaRPr lang="ro-RO"/>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19045364340543908"/>
                  <c:y val="-8.0111275153105857E-2"/>
                </c:manualLayout>
              </c:layout>
              <c:spPr>
                <a:noFill/>
                <a:ln>
                  <a:noFill/>
                </a:ln>
                <a:effectLst/>
              </c:spPr>
              <c:txPr>
                <a:bodyPr rot="0" spcFirstLastPara="1" vertOverflow="ellipsis" vert="horz" wrap="square" anchor="ctr" anchorCtr="1"/>
                <a:lstStyle/>
                <a:p>
                  <a:pPr>
                    <a:defRPr sz="800" b="1" i="0" u="none" strike="noStrike" kern="1200" baseline="0">
                      <a:solidFill>
                        <a:schemeClr val="bg1"/>
                      </a:solidFill>
                      <a:latin typeface="+mn-lt"/>
                      <a:ea typeface="+mn-ea"/>
                      <a:cs typeface="+mn-cs"/>
                    </a:defRPr>
                  </a:pPr>
                  <a:endParaRPr lang="ro-R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7.4682682403057737E-3"/>
                  <c:y val="9.174568022747156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ro-RO"/>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'ANALIZA CHELTUIELILOR'!$B$6:$B$9</c:f>
              <c:strCache>
                <c:ptCount val="4"/>
                <c:pt idx="0">
                  <c:v>Costuri cu angajații</c:v>
                </c:pt>
                <c:pt idx="1">
                  <c:v>Costuri cu biroul</c:v>
                </c:pt>
                <c:pt idx="2">
                  <c:v>Costuri de marketing</c:v>
                </c:pt>
                <c:pt idx="3">
                  <c:v>Instruire/deplasare</c:v>
                </c:pt>
              </c:strCache>
            </c:strRef>
          </c:cat>
          <c:val>
            <c:numRef>
              <c:f>'ANALIZA CHELTUIELILOR'!$C$6:$C$9</c:f>
              <c:numCache>
                <c:formatCode>"lei"#,##0.00_);[Red]\("lei"#,##0.00\)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555807741327232"/>
          <c:y val="0.86776684164479445"/>
          <c:w val="0.57184023837375098"/>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icrosoft Sans Serif"/>
              <a:ea typeface="Microsoft Sans Serif"/>
              <a:cs typeface="Microsoft Sans Serif"/>
            </a:defRPr>
          </a:pPr>
          <a:endParaRPr lang="ro-RO"/>
        </a:p>
      </c:txPr>
    </c:legend>
    <c:plotVisOnly val="1"/>
    <c:dispBlanksAs val="gap"/>
    <c:showDLblsOverMax val="0"/>
  </c:chart>
  <c:spPr>
    <a:noFill/>
    <a:ln w="9525" cap="flat" cmpd="sng" algn="ctr">
      <a:noFill/>
      <a:round/>
    </a:ln>
    <a:effectLst/>
  </c:spPr>
  <c:txPr>
    <a:bodyPr/>
    <a:lstStyle/>
    <a:p>
      <a:pPr>
        <a:defRPr>
          <a:solidFill>
            <a:schemeClr val="tx1"/>
          </a:solidFill>
        </a:defRPr>
      </a:pPr>
      <a:endParaRPr lang="ro-R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962</xdr:colOff>
      <xdr:row>12</xdr:row>
      <xdr:rowOff>192640</xdr:rowOff>
    </xdr:to>
    <xdr:sp macro="" textlink="">
      <xdr:nvSpPr>
        <xdr:cNvPr id="3" name="Bulă de vorbire: Dreptunghi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a:off x="15629454" y="1257300"/>
          <a:ext cx="1935608"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0" anchor="t"/>
        <a:lstStyle/>
        <a:p>
          <a:pPr rtl="0"/>
          <a:r>
            <a:rPr lang="ro" sz="1100" b="1">
              <a:solidFill>
                <a:schemeClr val="tx2"/>
              </a:solidFill>
              <a:effectLst/>
              <a:latin typeface="Microsoft Sans Serif" panose="020B0604020202020204" pitchFamily="34" charset="0"/>
              <a:ea typeface="+mn-ea"/>
              <a:cs typeface="+mn-cs"/>
            </a:rPr>
            <a:t>CUM SĂ UTILIZAȚI ACEST ȘABLON</a:t>
          </a:r>
        </a:p>
        <a:p>
          <a:pPr rtl="0"/>
          <a:endParaRPr lang="en-US">
            <a:solidFill>
              <a:schemeClr val="tx2"/>
            </a:solidFill>
            <a:effectLst/>
            <a:latin typeface="Microsoft Sans Serif" panose="020B0604020202020204" pitchFamily="34" charset="0"/>
          </a:endParaRPr>
        </a:p>
        <a:p>
          <a:pPr rtl="0"/>
          <a:r>
            <a:rPr lang="ro" sz="1100">
              <a:solidFill>
                <a:schemeClr val="tx2"/>
              </a:solidFill>
              <a:effectLst/>
              <a:latin typeface="Microsoft Sans Serif" panose="020B0604020202020204" pitchFamily="34" charset="0"/>
              <a:ea typeface="+mn-ea"/>
              <a:cs typeface="+mn-cs"/>
            </a:rPr>
            <a:t>Introduceți date în celulele albe din foile de lucru CHELTUIELI PLANIFICATE și CHELTUIELI REALE, iar DIFERENȚA CHELTUIELILOR și ANALIZA CHELTUIELILOR vor fi calculate pentru dvs. Dacă adăugați un rând într-o foaie, </a:t>
          </a:r>
          <a:r>
            <a:rPr lang="ro" sz="1100" baseline="0">
              <a:solidFill>
                <a:schemeClr val="tx2"/>
              </a:solidFill>
              <a:effectLst/>
              <a:latin typeface="Microsoft Sans Serif" panose="020B0604020202020204" pitchFamily="34" charset="0"/>
              <a:ea typeface="+mn-ea"/>
              <a:cs typeface="+mn-cs"/>
            </a:rPr>
            <a:t>și celelalte foi trebuie modificate.</a:t>
          </a:r>
          <a:endParaRPr lang="en-US" sz="1100">
            <a:solidFill>
              <a:schemeClr val="tx2"/>
            </a:solidFill>
            <a:latin typeface="Microsoft Sans Serif" panose="020B0604020202020204" pitchFamily="34" charset="0"/>
          </a:endParaRPr>
        </a:p>
      </xdr:txBody>
    </xdr:sp>
    <xdr:clientData fPrintsWithSheet="0"/>
  </xdr:twoCellAnchor>
  <xdr:twoCellAnchor editAs="oneCell">
    <xdr:from>
      <xdr:col>13</xdr:col>
      <xdr:colOff>267556</xdr:colOff>
      <xdr:row>1</xdr:row>
      <xdr:rowOff>2117</xdr:rowOff>
    </xdr:from>
    <xdr:to>
      <xdr:col>14</xdr:col>
      <xdr:colOff>841597</xdr:colOff>
      <xdr:row>2</xdr:row>
      <xdr:rowOff>139243</xdr:rowOff>
    </xdr:to>
    <xdr:pic>
      <xdr:nvPicPr>
        <xdr:cNvPr id="9" name="Imagine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602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2117</xdr:rowOff>
    </xdr:from>
    <xdr:to>
      <xdr:col>14</xdr:col>
      <xdr:colOff>841597</xdr:colOff>
      <xdr:row>2</xdr:row>
      <xdr:rowOff>139243</xdr:rowOff>
    </xdr:to>
    <xdr:pic>
      <xdr:nvPicPr>
        <xdr:cNvPr id="6" name="Imagine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602556"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251011</xdr:colOff>
      <xdr:row>1</xdr:row>
      <xdr:rowOff>0</xdr:rowOff>
    </xdr:from>
    <xdr:to>
      <xdr:col>14</xdr:col>
      <xdr:colOff>807486</xdr:colOff>
      <xdr:row>2</xdr:row>
      <xdr:rowOff>129496</xdr:rowOff>
    </xdr:to>
    <xdr:pic>
      <xdr:nvPicPr>
        <xdr:cNvPr id="6" name="Imagine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biLevel thresh="25000"/>
          <a:extLst>
            <a:ext uri="{28A0092B-C50C-407E-A947-70E740481C1C}">
              <a14:useLocalDpi xmlns:a14="http://schemas.microsoft.com/office/drawing/2010/main" val="0"/>
            </a:ext>
          </a:extLst>
        </a:blip>
        <a:stretch>
          <a:fillRect/>
        </a:stretch>
      </xdr:blipFill>
      <xdr:spPr bwMode="auto">
        <a:xfrm>
          <a:off x="13586011" y="304800"/>
          <a:ext cx="1613750"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1362075</xdr:colOff>
      <xdr:row>11</xdr:row>
      <xdr:rowOff>57150</xdr:rowOff>
    </xdr:from>
    <xdr:to>
      <xdr:col>5</xdr:col>
      <xdr:colOff>1495425</xdr:colOff>
      <xdr:row>11</xdr:row>
      <xdr:rowOff>3714751</xdr:rowOff>
    </xdr:to>
    <xdr:graphicFrame macro="">
      <xdr:nvGraphicFramePr>
        <xdr:cNvPr id="13" name="DiagramăCheltuieliReale"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28574</xdr:colOff>
      <xdr:row>12</xdr:row>
      <xdr:rowOff>200025</xdr:rowOff>
    </xdr:from>
    <xdr:to>
      <xdr:col>5</xdr:col>
      <xdr:colOff>1619249</xdr:colOff>
      <xdr:row>16</xdr:row>
      <xdr:rowOff>5778</xdr:rowOff>
    </xdr:to>
    <xdr:graphicFrame macro="">
      <xdr:nvGraphicFramePr>
        <xdr:cNvPr id="8" name="DiagramăCheltuieliLunare"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9524</xdr:colOff>
      <xdr:row>11</xdr:row>
      <xdr:rowOff>85726</xdr:rowOff>
    </xdr:from>
    <xdr:to>
      <xdr:col>3</xdr:col>
      <xdr:colOff>1019175</xdr:colOff>
      <xdr:row>11</xdr:row>
      <xdr:rowOff>3743326</xdr:rowOff>
    </xdr:to>
    <xdr:graphicFrame macro="">
      <xdr:nvGraphicFramePr>
        <xdr:cNvPr id="12" name="DiagramăCheltuieliPlanificate"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447675</xdr:colOff>
      <xdr:row>1</xdr:row>
      <xdr:rowOff>1635</xdr:rowOff>
    </xdr:from>
    <xdr:to>
      <xdr:col>6</xdr:col>
      <xdr:colOff>69215</xdr:colOff>
      <xdr:row>1</xdr:row>
      <xdr:rowOff>548896</xdr:rowOff>
    </xdr:to>
    <xdr:pic>
      <xdr:nvPicPr>
        <xdr:cNvPr id="9" name="Imagine 18">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cstate="print">
          <a:biLevel thresh="25000"/>
          <a:extLst>
            <a:ext uri="{28A0092B-C50C-407E-A947-70E740481C1C}">
              <a14:useLocalDpi xmlns:a14="http://schemas.microsoft.com/office/drawing/2010/main" val="0"/>
            </a:ext>
          </a:extLst>
        </a:blip>
        <a:stretch>
          <a:fillRect/>
        </a:stretch>
      </xdr:blipFill>
      <xdr:spPr bwMode="auto">
        <a:xfrm>
          <a:off x="7219950" y="306435"/>
          <a:ext cx="1259840" cy="54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lanif.Birou" displayName="Planif.Birou" ref="B10:O19" totalsRowCount="1" headerRowDxfId="469" totalsRowDxfId="466" headerRowBorderDxfId="468" tableBorderDxfId="467" totalsRowBorderDxfId="465">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Costuri cu biroul" totalsRowLabel="Subtotal" dataDxfId="464" totalsRowDxfId="463"/>
    <tableColumn id="2" xr3:uid="{00000000-0010-0000-0000-000002000000}" name="Ian" totalsRowFunction="sum" dataDxfId="211" totalsRowDxfId="462"/>
    <tableColumn id="3" xr3:uid="{00000000-0010-0000-0000-000003000000}" name="Feb" totalsRowFunction="sum" dataDxfId="210" totalsRowDxfId="461"/>
    <tableColumn id="4" xr3:uid="{00000000-0010-0000-0000-000004000000}" name="Mar" totalsRowFunction="sum" dataDxfId="209" totalsRowDxfId="460"/>
    <tableColumn id="5" xr3:uid="{00000000-0010-0000-0000-000005000000}" name="Apr" totalsRowFunction="sum" dataDxfId="208" totalsRowDxfId="459"/>
    <tableColumn id="6" xr3:uid="{00000000-0010-0000-0000-000006000000}" name="Mai" totalsRowFunction="sum" dataDxfId="207" totalsRowDxfId="458"/>
    <tableColumn id="7" xr3:uid="{00000000-0010-0000-0000-000007000000}" name="Iun" totalsRowFunction="sum" dataDxfId="206" totalsRowDxfId="457"/>
    <tableColumn id="8" xr3:uid="{00000000-0010-0000-0000-000008000000}" name="Iul" totalsRowFunction="sum" dataDxfId="205" totalsRowDxfId="456"/>
    <tableColumn id="9" xr3:uid="{00000000-0010-0000-0000-000009000000}" name="Aug" totalsRowFunction="sum" dataDxfId="204" totalsRowDxfId="455"/>
    <tableColumn id="10" xr3:uid="{00000000-0010-0000-0000-00000A000000}" name="Sep" totalsRowFunction="sum" dataDxfId="203" totalsRowDxfId="454"/>
    <tableColumn id="11" xr3:uid="{00000000-0010-0000-0000-00000B000000}" name="Oct" totalsRowFunction="sum" dataDxfId="202" totalsRowDxfId="453"/>
    <tableColumn id="12" xr3:uid="{00000000-0010-0000-0000-00000C000000}" name="Nov" totalsRowFunction="sum" dataDxfId="201" totalsRowDxfId="452"/>
    <tableColumn id="13" xr3:uid="{00000000-0010-0000-0000-00000D000000}" name="Dec" totalsRowFunction="sum" dataDxfId="200" totalsRowDxfId="451"/>
    <tableColumn id="14" xr3:uid="{00000000-0010-0000-0000-00000E000000}" name="AN" totalsRowFunction="sum" dataDxfId="199" totalsRowDxfId="450">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Introduceți costurile lunare planificate cu biroul în acest tabel. Suma totală este calculată automat la sfârși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Reale" displayName="TotalReale" ref="B35:O37" totalsRowShown="0" headerRowDxfId="303" dataDxfId="302" tableBorderDxfId="301">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TOTAL cheltuieli planificate" dataDxfId="300"/>
    <tableColumn id="2" xr3:uid="{ED08B701-BD0B-43EA-B6B5-8B23D583D505}" name="Ian" dataDxfId="29">
      <calculatedColumnFormula>SUM($C35:C$36)</calculatedColumnFormula>
    </tableColumn>
    <tableColumn id="3" xr3:uid="{953C450B-5235-4234-924F-53796609C439}" name="Feb" dataDxfId="28">
      <calculatedColumnFormula>SUM($C35:D$36)</calculatedColumnFormula>
    </tableColumn>
    <tableColumn id="4" xr3:uid="{A434CE91-3696-411F-8418-02228D13F12E}" name="Mar" dataDxfId="27">
      <calculatedColumnFormula>SUM($C35:E$36)</calculatedColumnFormula>
    </tableColumn>
    <tableColumn id="5" xr3:uid="{1E74C645-B91F-4CDB-9F55-6FEC8EAB0A64}" name="Apr" dataDxfId="26">
      <calculatedColumnFormula>SUM($C35:F$36)</calculatedColumnFormula>
    </tableColumn>
    <tableColumn id="6" xr3:uid="{A3B698F1-9EF3-489A-A70E-8E760D6B713B}" name="Mai" dataDxfId="25">
      <calculatedColumnFormula>SUM($C35:G$36)</calculatedColumnFormula>
    </tableColumn>
    <tableColumn id="7" xr3:uid="{6CEDC80B-5635-47E7-AA54-EBD827095F7C}" name="Iun" dataDxfId="24">
      <calculatedColumnFormula>SUM($C35:H$36)</calculatedColumnFormula>
    </tableColumn>
    <tableColumn id="8" xr3:uid="{A73C88FE-0ABF-4134-B6B0-043ECC9295D4}" name="Iul" dataDxfId="23">
      <calculatedColumnFormula>SUM($C35:I$36)</calculatedColumnFormula>
    </tableColumn>
    <tableColumn id="9" xr3:uid="{62119987-B16F-44A1-B80E-29460A9513CD}" name="Aug" dataDxfId="22">
      <calculatedColumnFormula>SUM($C35:J$36)</calculatedColumnFormula>
    </tableColumn>
    <tableColumn id="10" xr3:uid="{C84A40CE-DC4A-442E-883F-891CA5A9A166}" name="Sep" dataDxfId="21">
      <calculatedColumnFormula>SUM($C35:K$36)</calculatedColumnFormula>
    </tableColumn>
    <tableColumn id="11" xr3:uid="{4DB975F1-C294-416D-81FB-A8070CC2C3BC}" name="Oct" dataDxfId="20">
      <calculatedColumnFormula>SUM($C35:L$36)</calculatedColumnFormula>
    </tableColumn>
    <tableColumn id="12" xr3:uid="{BC57DA11-9B5C-452D-8026-EF863D07E32E}" name="Nov" dataDxfId="19">
      <calculatedColumnFormula>SUM($C35:M$36)</calculatedColumnFormula>
    </tableColumn>
    <tableColumn id="13" xr3:uid="{904E02FB-FEA8-49B0-ABA0-9B659A7720D8}" name="Dec" dataDxfId="18">
      <calculatedColumnFormula>SUM($C35:N$36)</calculatedColumnFormula>
    </tableColumn>
    <tableColumn id="14" xr3:uid="{8C10E0BB-4735-4718-9538-C4AFB616D92A}" name="An" dataDxfId="17"/>
  </tableColumns>
  <tableStyleInfo name="TableStyleMedium1" showFirstColumn="1" showLastColumn="0" showRowStripes="0" showColumnStripes="0"/>
  <extLst>
    <ext xmlns:x14="http://schemas.microsoft.com/office/spreadsheetml/2009/9/main" uri="{504A1905-F514-4f6f-8877-14C23A59335A}">
      <x14:table altTextSummary="Cheltuielile lunare și totalul cheltuielilor reale sunt calculate automat în acest tabel."/>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DiferențăAngajați" displayName="DiferențăAngajați" ref="B5:O8" totalsRowCount="1" headerRowDxfId="299" totalsRowDxfId="296" headerRowBorderDxfId="298" tableBorderDxfId="297" totalsRowBorderDxfId="295">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Costuri cu angajații" totalsRowLabel="Subtotal" dataDxfId="294" totalsRowDxfId="293"/>
    <tableColumn id="2" xr3:uid="{00000000-0010-0000-0800-000002000000}" name="Ian" totalsRowFunction="sum" dataDxfId="146" totalsRowDxfId="292">
      <calculatedColumnFormula>INDEX(Planif.Angajați[],MATCH(INDEX(DiferențăAngajați[],ROW()-ROW(DiferențăAngajați[[#Headers],[Ian]]),1),INDEX(Planif.Angajați[],,1),0),MATCH(DiferențăAngajați[[#Headers],[Ian]],Planif.Angajați[#Headers],0))-INDEX(RealeAngajați[],MATCH(INDEX(DiferențăAngajați[],ROW()-ROW(DiferențăAngajați[[#Headers],[Ian]]),1),INDEX(Planif.Angajați[],,1),0),MATCH(DiferențăAngajați[[#Headers],[Ian]],RealeAngajați[#Headers],0))</calculatedColumnFormula>
    </tableColumn>
    <tableColumn id="3" xr3:uid="{00000000-0010-0000-0800-000003000000}" name="Feb" totalsRowFunction="sum" dataDxfId="145" totalsRowDxfId="291">
      <calculatedColumnFormula>INDEX(Planif.Angajați[],MATCH(INDEX(DiferențăAngajați[],ROW()-ROW(DiferențăAngajați[[#Headers],[Feb]]),1),INDEX(Planif.Angajați[],,1),0),MATCH(DiferențăAngajați[[#Headers],[Feb]],Planif.Angajați[#Headers],0))-INDEX(RealeAngajați[],MATCH(INDEX(DiferențăAngajați[],ROW()-ROW(DiferențăAngajați[[#Headers],[Feb]]),1),INDEX(Planif.Angajați[],,1),0),MATCH(DiferențăAngajați[[#Headers],[Feb]],RealeAngajați[#Headers],0))</calculatedColumnFormula>
    </tableColumn>
    <tableColumn id="4" xr3:uid="{00000000-0010-0000-0800-000004000000}" name="Mar" totalsRowFunction="sum" dataDxfId="144" totalsRowDxfId="290">
      <calculatedColumnFormula>INDEX(Planif.Angajați[],MATCH(INDEX(DiferențăAngajați[],ROW()-ROW(DiferențăAngajați[[#Headers],[Mar]]),1),INDEX(Planif.Angajați[],,1),0),MATCH(DiferențăAngajați[[#Headers],[Mar]],Planif.Angajați[#Headers],0))-INDEX(RealeAngajați[],MATCH(INDEX(DiferențăAngajați[],ROW()-ROW(DiferențăAngajați[[#Headers],[Mar]]),1),INDEX(Planif.Angajați[],,1),0),MATCH(DiferențăAngajați[[#Headers],[Mar]],RealeAngajați[#Headers],0))</calculatedColumnFormula>
    </tableColumn>
    <tableColumn id="5" xr3:uid="{00000000-0010-0000-0800-000005000000}" name="Apr" totalsRowFunction="sum" dataDxfId="143" totalsRowDxfId="289">
      <calculatedColumnFormula>INDEX(Planif.Angajați[],MATCH(INDEX(DiferențăAngajați[],ROW()-ROW(DiferențăAngajați[[#Headers],[Apr]]),1),INDEX(Planif.Angajați[],,1),0),MATCH(DiferențăAngajați[[#Headers],[Apr]],Planif.Angajați[#Headers],0))-INDEX(RealeAngajați[],MATCH(INDEX(DiferențăAngajați[],ROW()-ROW(DiferențăAngajați[[#Headers],[Apr]]),1),INDEX(Planif.Angajați[],,1),0),MATCH(DiferențăAngajați[[#Headers],[Apr]],RealeAngajați[#Headers],0))</calculatedColumnFormula>
    </tableColumn>
    <tableColumn id="6" xr3:uid="{00000000-0010-0000-0800-000006000000}" name="Mai" totalsRowFunction="sum" dataDxfId="142" totalsRowDxfId="288">
      <calculatedColumnFormula>INDEX(Planif.Angajați[],MATCH(INDEX(DiferențăAngajați[],ROW()-ROW(DiferențăAngajați[[#Headers],[Mai]]),1),INDEX(Planif.Angajați[],,1),0),MATCH(DiferențăAngajați[[#Headers],[Mai]],Planif.Angajați[#Headers],0))-INDEX(RealeAngajați[],MATCH(INDEX(DiferențăAngajați[],ROW()-ROW(DiferențăAngajați[[#Headers],[Mai]]),1),INDEX(Planif.Angajați[],,1),0),MATCH(DiferențăAngajați[[#Headers],[Mai]],RealeAngajați[#Headers],0))</calculatedColumnFormula>
    </tableColumn>
    <tableColumn id="7" xr3:uid="{00000000-0010-0000-0800-000007000000}" name="Iun" totalsRowFunction="sum" dataDxfId="141" totalsRowDxfId="287">
      <calculatedColumnFormula>INDEX(Planif.Angajați[],MATCH(INDEX(DiferențăAngajați[],ROW()-ROW(DiferențăAngajați[[#Headers],[Iun]]),1),INDEX(Planif.Angajați[],,1),0),MATCH(DiferențăAngajați[[#Headers],[Iun]],Planif.Angajați[#Headers],0))-INDEX(RealeAngajați[],MATCH(INDEX(DiferențăAngajați[],ROW()-ROW(DiferențăAngajați[[#Headers],[Iun]]),1),INDEX(Planif.Angajați[],,1),0),MATCH(DiferențăAngajați[[#Headers],[Iun]],RealeAngajați[#Headers],0))</calculatedColumnFormula>
    </tableColumn>
    <tableColumn id="8" xr3:uid="{00000000-0010-0000-0800-000008000000}" name="Iul" totalsRowFunction="sum" dataDxfId="140" totalsRowDxfId="286">
      <calculatedColumnFormula>INDEX(Planif.Angajați[],MATCH(INDEX(DiferențăAngajați[],ROW()-ROW(DiferențăAngajați[[#Headers],[Iul]]),1),INDEX(Planif.Angajați[],,1),0),MATCH(DiferențăAngajați[[#Headers],[Iul]],Planif.Angajați[#Headers],0))-INDEX(RealeAngajați[],MATCH(INDEX(DiferențăAngajați[],ROW()-ROW(DiferențăAngajați[[#Headers],[Iul]]),1),INDEX(Planif.Angajați[],,1),0),MATCH(DiferențăAngajați[[#Headers],[Iul]],RealeAngajați[#Headers],0))</calculatedColumnFormula>
    </tableColumn>
    <tableColumn id="9" xr3:uid="{00000000-0010-0000-0800-000009000000}" name="Aug" totalsRowFunction="sum" dataDxfId="139" totalsRowDxfId="285">
      <calculatedColumnFormula>INDEX(Planif.Angajați[],MATCH(INDEX(DiferențăAngajați[],ROW()-ROW(DiferențăAngajați[[#Headers],[Aug]]),1),INDEX(Planif.Angajați[],,1),0),MATCH(DiferențăAngajați[[#Headers],[Aug]],Planif.Angajați[#Headers],0))-INDEX(RealeAngajați[],MATCH(INDEX(DiferențăAngajați[],ROW()-ROW(DiferențăAngajați[[#Headers],[Aug]]),1),INDEX(Planif.Angajați[],,1),0),MATCH(DiferențăAngajați[[#Headers],[Aug]],RealeAngajați[#Headers],0))</calculatedColumnFormula>
    </tableColumn>
    <tableColumn id="10" xr3:uid="{00000000-0010-0000-0800-00000A000000}" name="Sep" totalsRowFunction="sum" dataDxfId="138" totalsRowDxfId="284">
      <calculatedColumnFormula>INDEX(Planif.Angajați[],MATCH(INDEX(DiferențăAngajați[],ROW()-ROW(DiferențăAngajați[[#Headers],[Sep]]),1),INDEX(Planif.Angajați[],,1),0),MATCH(DiferențăAngajați[[#Headers],[Sep]],Planif.Angajați[#Headers],0))-INDEX(RealeAngajați[],MATCH(INDEX(DiferențăAngajați[],ROW()-ROW(DiferențăAngajați[[#Headers],[Sep]]),1),INDEX(Planif.Angajați[],,1),0),MATCH(DiferențăAngajați[[#Headers],[Sep]],RealeAngajați[#Headers],0))</calculatedColumnFormula>
    </tableColumn>
    <tableColumn id="11" xr3:uid="{00000000-0010-0000-0800-00000B000000}" name="Oct" totalsRowFunction="sum" dataDxfId="137" totalsRowDxfId="283">
      <calculatedColumnFormula>INDEX(Planif.Angajați[],MATCH(INDEX(DiferențăAngajați[],ROW()-ROW(DiferențăAngajați[[#Headers],[Oct]]),1),INDEX(Planif.Angajați[],,1),0),MATCH(DiferențăAngajați[[#Headers],[Oct]],Planif.Angajați[#Headers],0))-INDEX(RealeAngajați[],MATCH(INDEX(DiferențăAngajați[],ROW()-ROW(DiferențăAngajați[[#Headers],[Oct]]),1),INDEX(Planif.Angajați[],,1),0),MATCH(DiferențăAngajați[[#Headers],[Oct]],RealeAngajați[#Headers],0))</calculatedColumnFormula>
    </tableColumn>
    <tableColumn id="12" xr3:uid="{00000000-0010-0000-0800-00000C000000}" name="Nov" totalsRowFunction="sum" dataDxfId="136" totalsRowDxfId="282">
      <calculatedColumnFormula>INDEX(Planif.Angajați[],MATCH(INDEX(DiferențăAngajați[],ROW()-ROW(DiferențăAngajați[[#Headers],[Nov]]),1),INDEX(Planif.Angajați[],,1),0),MATCH(DiferențăAngajați[[#Headers],[Nov]],Planif.Angajați[#Headers],0))-INDEX(RealeAngajați[],MATCH(INDEX(DiferențăAngajați[],ROW()-ROW(DiferențăAngajați[[#Headers],[Nov]]),1),INDEX(Planif.Angajați[],,1),0),MATCH(DiferențăAngajați[[#Headers],[Nov]],RealeAngajați[#Headers],0))</calculatedColumnFormula>
    </tableColumn>
    <tableColumn id="13" xr3:uid="{00000000-0010-0000-0800-00000D000000}" name="Dec" totalsRowFunction="sum" dataDxfId="135" totalsRowDxfId="281">
      <calculatedColumnFormula>INDEX(Planif.Angajați[],MATCH(INDEX(DiferențăAngajați[],ROW()-ROW(DiferențăAngajați[[#Headers],[Dec]]),1),INDEX(Planif.Angajați[],,1),0),MATCH(DiferențăAngajați[[#Headers],[Dec]],Planif.Angajați[#Headers],0))-INDEX(RealeAngajați[],MATCH(INDEX(DiferențăAngajați[],ROW()-ROW(DiferențăAngajați[[#Headers],[Dec]]),1),INDEX(Planif.Angajați[],,1),0),MATCH(DiferențăAngajați[[#Headers],[Dec]],RealeAngajați[#Headers],0))</calculatedColumnFormula>
    </tableColumn>
    <tableColumn id="14" xr3:uid="{00000000-0010-0000-0800-00000E000000}" name="AN" totalsRowFunction="sum" dataDxfId="134" totalsRowDxfId="280">
      <calculatedColumnFormula>SUM(DiferențăAngajați[[#This Row],[Ian]:[Dec]])</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Diferența dintre costurile lunare cu angajații este calculată automat în acest tabel."/>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DiferențăBirou" displayName="DiferențăBirou" ref="B10:O19" totalsRowCount="1" headerRowDxfId="279" totalsRowDxfId="276" headerRowBorderDxfId="278" tableBorderDxfId="277" totalsRowBorderDxfId="275">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Costuri cu biroul" totalsRowLabel="Subtotal" dataDxfId="274" totalsRowDxfId="273"/>
    <tableColumn id="2" xr3:uid="{00000000-0010-0000-0900-000002000000}" name="Ian" totalsRowFunction="sum" dataDxfId="133" totalsRowDxfId="272">
      <calculatedColumnFormula>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calculatedColumnFormula>
    </tableColumn>
    <tableColumn id="3" xr3:uid="{00000000-0010-0000-0900-000003000000}" name="Feb" totalsRowFunction="sum" dataDxfId="132" totalsRowDxfId="271">
      <calculatedColumnFormula>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calculatedColumnFormula>
    </tableColumn>
    <tableColumn id="4" xr3:uid="{00000000-0010-0000-0900-000004000000}" name="Mar" totalsRowFunction="sum" dataDxfId="131" totalsRowDxfId="270">
      <calculatedColumnFormula>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calculatedColumnFormula>
    </tableColumn>
    <tableColumn id="5" xr3:uid="{00000000-0010-0000-0900-000005000000}" name="Apr" totalsRowFunction="sum" dataDxfId="130" totalsRowDxfId="269">
      <calculatedColumnFormula>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calculatedColumnFormula>
    </tableColumn>
    <tableColumn id="6" xr3:uid="{00000000-0010-0000-0900-000006000000}" name="Mai" totalsRowFunction="sum" dataDxfId="129" totalsRowDxfId="268">
      <calculatedColumnFormula>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calculatedColumnFormula>
    </tableColumn>
    <tableColumn id="7" xr3:uid="{00000000-0010-0000-0900-000007000000}" name="Iun" totalsRowFunction="sum" dataDxfId="128" totalsRowDxfId="267">
      <calculatedColumnFormula>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calculatedColumnFormula>
    </tableColumn>
    <tableColumn id="8" xr3:uid="{00000000-0010-0000-0900-000008000000}" name="Iul" totalsRowFunction="sum" dataDxfId="127" totalsRowDxfId="266">
      <calculatedColumnFormula>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calculatedColumnFormula>
    </tableColumn>
    <tableColumn id="9" xr3:uid="{00000000-0010-0000-0900-000009000000}" name="Aug" totalsRowFunction="sum" dataDxfId="126" totalsRowDxfId="265">
      <calculatedColumnFormula>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calculatedColumnFormula>
    </tableColumn>
    <tableColumn id="10" xr3:uid="{00000000-0010-0000-0900-00000A000000}" name="Sep" totalsRowFunction="sum" dataDxfId="125" totalsRowDxfId="264">
      <calculatedColumnFormula>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calculatedColumnFormula>
    </tableColumn>
    <tableColumn id="11" xr3:uid="{00000000-0010-0000-0900-00000B000000}" name="Oct" totalsRowFunction="sum" dataDxfId="124" totalsRowDxfId="263">
      <calculatedColumnFormula>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calculatedColumnFormula>
    </tableColumn>
    <tableColumn id="12" xr3:uid="{00000000-0010-0000-0900-00000C000000}" name="Nov" totalsRowFunction="sum" dataDxfId="123" totalsRowDxfId="262">
      <calculatedColumnFormula>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calculatedColumnFormula>
    </tableColumn>
    <tableColumn id="13" xr3:uid="{00000000-0010-0000-0900-00000D000000}" name="Dec" totalsRowFunction="sum" dataDxfId="122" totalsRowDxfId="261">
      <calculatedColumnFormula>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calculatedColumnFormula>
    </tableColumn>
    <tableColumn id="14" xr3:uid="{00000000-0010-0000-0900-00000E000000}" name="AN" totalsRowFunction="sum" dataDxfId="121" totalsRowDxfId="260">
      <calculatedColumnFormula>SUM(DiferențăBirou[[#This Row],[Ian]:[Dec]])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Diferența dintre costurile lunare cu biroul este calculată automat în acest tabel."/>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DiferențăMarketing" displayName="DiferențăMarketing" ref="B21:O28" totalsRowCount="1" headerRowDxfId="259" totalsRowDxfId="256" headerRowBorderDxfId="258" tableBorderDxfId="257" totalsRowBorderDxfId="255">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Costuri de marketing" totalsRowLabel="Subtotal" dataDxfId="254" totalsRowDxfId="253"/>
    <tableColumn id="2" xr3:uid="{00000000-0010-0000-0A00-000002000000}" name="Ian" totalsRowFunction="sum" dataDxfId="120" totalsRowDxfId="252">
      <calculatedColumnFormula>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calculatedColumnFormula>
    </tableColumn>
    <tableColumn id="3" xr3:uid="{00000000-0010-0000-0A00-000003000000}" name="Feb" totalsRowFunction="sum" dataDxfId="119" totalsRowDxfId="251">
      <calculatedColumnFormula>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calculatedColumnFormula>
    </tableColumn>
    <tableColumn id="4" xr3:uid="{00000000-0010-0000-0A00-000004000000}" name="Mar" totalsRowFunction="sum" dataDxfId="118" totalsRowDxfId="250">
      <calculatedColumnFormula>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calculatedColumnFormula>
    </tableColumn>
    <tableColumn id="5" xr3:uid="{00000000-0010-0000-0A00-000005000000}" name="Apr" totalsRowFunction="sum" dataDxfId="117" totalsRowDxfId="249">
      <calculatedColumnFormula>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calculatedColumnFormula>
    </tableColumn>
    <tableColumn id="6" xr3:uid="{00000000-0010-0000-0A00-000006000000}" name="Mai" totalsRowFunction="sum" dataDxfId="116" totalsRowDxfId="248">
      <calculatedColumnFormula>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calculatedColumnFormula>
    </tableColumn>
    <tableColumn id="7" xr3:uid="{00000000-0010-0000-0A00-000007000000}" name="Iun" totalsRowFunction="sum" dataDxfId="115" totalsRowDxfId="247">
      <calculatedColumnFormula>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calculatedColumnFormula>
    </tableColumn>
    <tableColumn id="8" xr3:uid="{00000000-0010-0000-0A00-000008000000}" name="Iul" totalsRowFunction="sum" dataDxfId="114" totalsRowDxfId="246">
      <calculatedColumnFormula>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calculatedColumnFormula>
    </tableColumn>
    <tableColumn id="9" xr3:uid="{00000000-0010-0000-0A00-000009000000}" name="Aug" totalsRowFunction="sum" dataDxfId="113" totalsRowDxfId="245">
      <calculatedColumnFormula>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calculatedColumnFormula>
    </tableColumn>
    <tableColumn id="10" xr3:uid="{00000000-0010-0000-0A00-00000A000000}" name="Sep" totalsRowFunction="sum" dataDxfId="112" totalsRowDxfId="244">
      <calculatedColumnFormula>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calculatedColumnFormula>
    </tableColumn>
    <tableColumn id="11" xr3:uid="{00000000-0010-0000-0A00-00000B000000}" name="Oct" totalsRowFunction="sum" dataDxfId="111" totalsRowDxfId="243">
      <calculatedColumnFormula>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calculatedColumnFormula>
    </tableColumn>
    <tableColumn id="12" xr3:uid="{00000000-0010-0000-0A00-00000C000000}" name="Nov" totalsRowFunction="sum" dataDxfId="110" totalsRowDxfId="242">
      <calculatedColumnFormula>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calculatedColumnFormula>
    </tableColumn>
    <tableColumn id="13" xr3:uid="{00000000-0010-0000-0A00-00000D000000}" name="Dec" totalsRowFunction="sum" dataDxfId="109" totalsRowDxfId="241">
      <calculatedColumnFormula>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calculatedColumnFormula>
    </tableColumn>
    <tableColumn id="14" xr3:uid="{00000000-0010-0000-0A00-00000E000000}" name="AN" totalsRowFunction="sum" dataDxfId="108" totalsRowDxfId="240">
      <calculatedColumnFormula>SUM(DiferențăMarketing[[#This Row],[Ian]:[Dec]])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Diferența dintre costurile lunare de marketing este calculată automat în acest tabel."/>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iferențăInstruireȘiDeplasare" displayName="DiferențăInstruireȘiDeplasare" ref="B30:O33" totalsRowCount="1" headerRowDxfId="239" totalsRowDxfId="236" headerRowBorderDxfId="238" tableBorderDxfId="237" totalsRowBorderDxfId="235">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Instruire/deplasare" totalsRowLabel="Subtotal" dataDxfId="234" totalsRowDxfId="233"/>
    <tableColumn id="2" xr3:uid="{00000000-0010-0000-0B00-000002000000}" name="Ian" totalsRowFunction="sum" dataDxfId="107" totalsRowDxfId="232">
      <calculatedColumnFormula>INDEX(Planif.InstruireȘiDeplasare[],MATCH(INDEX(DiferențăInstruireȘiDeplasare[],ROW()-ROW(DiferențăInstruireȘiDeplasare[[#Headers],[Ian]]),1),INDEX(Planif.InstruireȘiDeplasare[],,1),0),MATCH(DiferențăInstruireȘiDeplasare[[#Headers],[Ian]],Planif.InstruireȘiDeplasare[#Headers],0))-INDEX(RealeInstruireȘiDeplasare[],MATCH(INDEX(DiferențăInstruireȘiDeplasare[],ROW()-ROW(DiferențăInstruireȘiDeplasare[[#Headers],[Ian]]),1),INDEX(Planif.InstruireȘiDeplasare[],,1),0),MATCH(DiferențăInstruireȘiDeplasare[[#Headers],[Ian]],RealeInstruireȘiDeplasare[#Headers],0))</calculatedColumnFormula>
    </tableColumn>
    <tableColumn id="3" xr3:uid="{00000000-0010-0000-0B00-000003000000}" name="Feb" totalsRowFunction="sum" dataDxfId="106" totalsRowDxfId="231">
      <calculatedColumnFormula>INDEX(Planif.InstruireȘiDeplasare[],MATCH(INDEX(DiferențăInstruireȘiDeplasare[],ROW()-ROW(DiferențăInstruireȘiDeplasare[[#Headers],[Feb]]),1),INDEX(Planif.InstruireȘiDeplasare[],,1),0),MATCH(DiferențăInstruireȘiDeplasare[[#Headers],[Feb]],Planif.InstruireȘiDeplasare[#Headers],0))-INDEX(RealeInstruireȘiDeplasare[],MATCH(INDEX(DiferențăInstruireȘiDeplasare[],ROW()-ROW(DiferențăInstruireȘiDeplasare[[#Headers],[Feb]]),1),INDEX(Planif.InstruireȘiDeplasare[],,1),0),MATCH(DiferențăInstruireȘiDeplasare[[#Headers],[Feb]],RealeInstruireȘiDeplasare[#Headers],0))</calculatedColumnFormula>
    </tableColumn>
    <tableColumn id="4" xr3:uid="{00000000-0010-0000-0B00-000004000000}" name="Mar" totalsRowFunction="sum" dataDxfId="105" totalsRowDxfId="230">
      <calculatedColumnFormula>INDEX(Planif.InstruireȘiDeplasare[],MATCH(INDEX(DiferențăInstruireȘiDeplasare[],ROW()-ROW(DiferențăInstruireȘiDeplasare[[#Headers],[Mar]]),1),INDEX(Planif.InstruireȘiDeplasare[],,1),0),MATCH(DiferențăInstruireȘiDeplasare[[#Headers],[Mar]],Planif.InstruireȘiDeplasare[#Headers],0))-INDEX(RealeInstruireȘiDeplasare[],MATCH(INDEX(DiferențăInstruireȘiDeplasare[],ROW()-ROW(DiferențăInstruireȘiDeplasare[[#Headers],[Mar]]),1),INDEX(Planif.InstruireȘiDeplasare[],,1),0),MATCH(DiferențăInstruireȘiDeplasare[[#Headers],[Mar]],RealeInstruireȘiDeplasare[#Headers],0))</calculatedColumnFormula>
    </tableColumn>
    <tableColumn id="5" xr3:uid="{00000000-0010-0000-0B00-000005000000}" name="Apr" totalsRowFunction="sum" dataDxfId="104" totalsRowDxfId="229">
      <calculatedColumnFormula>INDEX(Planif.InstruireȘiDeplasare[],MATCH(INDEX(DiferențăInstruireȘiDeplasare[],ROW()-ROW(DiferențăInstruireȘiDeplasare[[#Headers],[Apr]]),1),INDEX(Planif.InstruireȘiDeplasare[],,1),0),MATCH(DiferențăInstruireȘiDeplasare[[#Headers],[Apr]],Planif.InstruireȘiDeplasare[#Headers],0))-INDEX(RealeInstruireȘiDeplasare[],MATCH(INDEX(DiferențăInstruireȘiDeplasare[],ROW()-ROW(DiferențăInstruireȘiDeplasare[[#Headers],[Apr]]),1),INDEX(Planif.InstruireȘiDeplasare[],,1),0),MATCH(DiferențăInstruireȘiDeplasare[[#Headers],[Apr]],RealeInstruireȘiDeplasare[#Headers],0))</calculatedColumnFormula>
    </tableColumn>
    <tableColumn id="6" xr3:uid="{00000000-0010-0000-0B00-000006000000}" name="Mai" totalsRowFunction="sum" dataDxfId="103" totalsRowDxfId="228">
      <calculatedColumnFormula>INDEX(Planif.InstruireȘiDeplasare[],MATCH(INDEX(DiferențăInstruireȘiDeplasare[],ROW()-ROW(DiferențăInstruireȘiDeplasare[[#Headers],[Mai]]),1),INDEX(Planif.InstruireȘiDeplasare[],,1),0),MATCH(DiferențăInstruireȘiDeplasare[[#Headers],[Mai]],Planif.InstruireȘiDeplasare[#Headers],0))-INDEX(RealeInstruireȘiDeplasare[],MATCH(INDEX(DiferențăInstruireȘiDeplasare[],ROW()-ROW(DiferențăInstruireȘiDeplasare[[#Headers],[Mai]]),1),INDEX(Planif.InstruireȘiDeplasare[],,1),0),MATCH(DiferențăInstruireȘiDeplasare[[#Headers],[Mai]],RealeInstruireȘiDeplasare[#Headers],0))</calculatedColumnFormula>
    </tableColumn>
    <tableColumn id="7" xr3:uid="{00000000-0010-0000-0B00-000007000000}" name="Iun" totalsRowFunction="sum" dataDxfId="102" totalsRowDxfId="227">
      <calculatedColumnFormula>INDEX(Planif.InstruireȘiDeplasare[],MATCH(INDEX(DiferențăInstruireȘiDeplasare[],ROW()-ROW(DiferențăInstruireȘiDeplasare[[#Headers],[Iun]]),1),INDEX(Planif.InstruireȘiDeplasare[],,1),0),MATCH(DiferențăInstruireȘiDeplasare[[#Headers],[Iun]],Planif.InstruireȘiDeplasare[#Headers],0))-INDEX(RealeInstruireȘiDeplasare[],MATCH(INDEX(DiferențăInstruireȘiDeplasare[],ROW()-ROW(DiferențăInstruireȘiDeplasare[[#Headers],[Iun]]),1),INDEX(Planif.InstruireȘiDeplasare[],,1),0),MATCH(DiferențăInstruireȘiDeplasare[[#Headers],[Iun]],RealeInstruireȘiDeplasare[#Headers],0))</calculatedColumnFormula>
    </tableColumn>
    <tableColumn id="8" xr3:uid="{00000000-0010-0000-0B00-000008000000}" name="Iul" totalsRowFunction="sum" dataDxfId="101" totalsRowDxfId="226">
      <calculatedColumnFormula>INDEX(Planif.InstruireȘiDeplasare[],MATCH(INDEX(DiferențăInstruireȘiDeplasare[],ROW()-ROW(DiferențăInstruireȘiDeplasare[[#Headers],[Iul]]),1),INDEX(Planif.InstruireȘiDeplasare[],,1),0),MATCH(DiferențăInstruireȘiDeplasare[[#Headers],[Iul]],Planif.InstruireȘiDeplasare[#Headers],0))-INDEX(RealeInstruireȘiDeplasare[],MATCH(INDEX(DiferențăInstruireȘiDeplasare[],ROW()-ROW(DiferențăInstruireȘiDeplasare[[#Headers],[Iul]]),1),INDEX(Planif.InstruireȘiDeplasare[],,1),0),MATCH(DiferențăInstruireȘiDeplasare[[#Headers],[Iul]],RealeInstruireȘiDeplasare[#Headers],0))</calculatedColumnFormula>
    </tableColumn>
    <tableColumn id="9" xr3:uid="{00000000-0010-0000-0B00-000009000000}" name="Aug" totalsRowFunction="sum" dataDxfId="100" totalsRowDxfId="225">
      <calculatedColumnFormula>INDEX(Planif.InstruireȘiDeplasare[],MATCH(INDEX(DiferențăInstruireȘiDeplasare[],ROW()-ROW(DiferențăInstruireȘiDeplasare[[#Headers],[Aug]]),1),INDEX(Planif.InstruireȘiDeplasare[],,1),0),MATCH(DiferențăInstruireȘiDeplasare[[#Headers],[Aug]],Planif.InstruireȘiDeplasare[#Headers],0))-INDEX(RealeInstruireȘiDeplasare[],MATCH(INDEX(DiferențăInstruireȘiDeplasare[],ROW()-ROW(DiferențăInstruireȘiDeplasare[[#Headers],[Aug]]),1),INDEX(Planif.InstruireȘiDeplasare[],,1),0),MATCH(DiferențăInstruireȘiDeplasare[[#Headers],[Aug]],RealeInstruireȘiDeplasare[#Headers],0))</calculatedColumnFormula>
    </tableColumn>
    <tableColumn id="10" xr3:uid="{00000000-0010-0000-0B00-00000A000000}" name="Sep" totalsRowFunction="sum" dataDxfId="99" totalsRowDxfId="224">
      <calculatedColumnFormula>INDEX(Planif.InstruireȘiDeplasare[],MATCH(INDEX(DiferențăInstruireȘiDeplasare[],ROW()-ROW(DiferențăInstruireȘiDeplasare[[#Headers],[Sep]]),1),INDEX(Planif.InstruireȘiDeplasare[],,1),0),MATCH(DiferențăInstruireȘiDeplasare[[#Headers],[Sep]],Planif.InstruireȘiDeplasare[#Headers],0))-INDEX(RealeInstruireȘiDeplasare[],MATCH(INDEX(DiferențăInstruireȘiDeplasare[],ROW()-ROW(DiferențăInstruireȘiDeplasare[[#Headers],[Sep]]),1),INDEX(Planif.InstruireȘiDeplasare[],,1),0),MATCH(DiferențăInstruireȘiDeplasare[[#Headers],[Sep]],RealeInstruireȘiDeplasare[#Headers],0))</calculatedColumnFormula>
    </tableColumn>
    <tableColumn id="11" xr3:uid="{00000000-0010-0000-0B00-00000B000000}" name="Oct" totalsRowFunction="sum" dataDxfId="98" totalsRowDxfId="223">
      <calculatedColumnFormula>INDEX(Planif.InstruireȘiDeplasare[],MATCH(INDEX(DiferențăInstruireȘiDeplasare[],ROW()-ROW(DiferențăInstruireȘiDeplasare[[#Headers],[Oct]]),1),INDEX(Planif.InstruireȘiDeplasare[],,1),0),MATCH(DiferențăInstruireȘiDeplasare[[#Headers],[Oct]],Planif.InstruireȘiDeplasare[#Headers],0))-INDEX(RealeInstruireȘiDeplasare[],MATCH(INDEX(DiferențăInstruireȘiDeplasare[],ROW()-ROW(DiferențăInstruireȘiDeplasare[[#Headers],[Oct]]),1),INDEX(Planif.InstruireȘiDeplasare[],,1),0),MATCH(DiferențăInstruireȘiDeplasare[[#Headers],[Oct]],RealeInstruireȘiDeplasare[#Headers],0))</calculatedColumnFormula>
    </tableColumn>
    <tableColumn id="12" xr3:uid="{00000000-0010-0000-0B00-00000C000000}" name="Nov" totalsRowFunction="sum" dataDxfId="97" totalsRowDxfId="222">
      <calculatedColumnFormula>INDEX(Planif.InstruireȘiDeplasare[],MATCH(INDEX(DiferențăInstruireȘiDeplasare[],ROW()-ROW(DiferențăInstruireȘiDeplasare[[#Headers],[Nov]]),1),INDEX(Planif.InstruireȘiDeplasare[],,1),0),MATCH(DiferențăInstruireȘiDeplasare[[#Headers],[Nov]],Planif.InstruireȘiDeplasare[#Headers],0))-INDEX(RealeInstruireȘiDeplasare[],MATCH(INDEX(DiferențăInstruireȘiDeplasare[],ROW()-ROW(DiferențăInstruireȘiDeplasare[[#Headers],[Nov]]),1),INDEX(Planif.InstruireȘiDeplasare[],,1),0),MATCH(DiferențăInstruireȘiDeplasare[[#Headers],[Nov]],RealeInstruireȘiDeplasare[#Headers],0))</calculatedColumnFormula>
    </tableColumn>
    <tableColumn id="13" xr3:uid="{00000000-0010-0000-0B00-00000D000000}" name="Dec" totalsRowFunction="sum" dataDxfId="96" totalsRowDxfId="221">
      <calculatedColumnFormula>INDEX(Planif.InstruireȘiDeplasare[],MATCH(INDEX(DiferențăInstruireȘiDeplasare[],ROW()-ROW(DiferențăInstruireȘiDeplasare[[#Headers],[Dec]]),1),INDEX(Planif.InstruireȘiDeplasare[],,1),0),MATCH(DiferențăInstruireȘiDeplasare[[#Headers],[Dec]],Planif.InstruireȘiDeplasare[#Headers],0))-INDEX(RealeInstruireȘiDeplasare[],MATCH(INDEX(DiferențăInstruireȘiDeplasare[],ROW()-ROW(DiferențăInstruireȘiDeplasare[[#Headers],[Dec]]),1),INDEX(Planif.InstruireȘiDeplasare[],,1),0),MATCH(DiferențăInstruireȘiDeplasare[[#Headers],[Dec]],RealeInstruireȘiDeplasare[#Headers],0))</calculatedColumnFormula>
    </tableColumn>
    <tableColumn id="14" xr3:uid="{00000000-0010-0000-0B00-00000E000000}" name="AN" totalsRowFunction="sum" dataDxfId="95" totalsRowDxfId="220">
      <calculatedColumnFormula>SUM(DiferențăInstruireȘiDeplasare[[#This Row],[Ian]:[Dec]])</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Diferența dintre costurile lunare de instruire și deplasare este calculată automat în acest tabel."/>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DiferențăTotală" displayName="DiferențăTotală" ref="B35:O37" headerRowDxfId="219" dataDxfId="218" tableBorderDxfId="217">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TOTAL" totalsRowLabel="Total" dataDxfId="216" totalsRowDxfId="0"/>
    <tableColumn id="2" xr3:uid="{AE0C21A5-398B-42DE-950D-8AE4AD1A8551}" name="Ian" dataDxfId="94" totalsRowDxfId="1">
      <calculatedColumnFormula>SUM($C35:C$36)</calculatedColumnFormula>
    </tableColumn>
    <tableColumn id="3" xr3:uid="{A43B0B0E-F35F-4E04-8A0D-11BB7356D5F1}" name="Feb" dataDxfId="93" totalsRowDxfId="2">
      <calculatedColumnFormula>SUM($C35:D$36)</calculatedColumnFormula>
    </tableColumn>
    <tableColumn id="4" xr3:uid="{F14459A4-8E61-4E04-9A53-A7DA16CE366A}" name="Mar" dataDxfId="92" totalsRowDxfId="3">
      <calculatedColumnFormula>SUM($C35:E$36)</calculatedColumnFormula>
    </tableColumn>
    <tableColumn id="5" xr3:uid="{1C90C974-8801-4A11-B3AF-1DC144BB0C14}" name="Apr" dataDxfId="91" totalsRowDxfId="4">
      <calculatedColumnFormula>SUM($C35:F$36)</calculatedColumnFormula>
    </tableColumn>
    <tableColumn id="6" xr3:uid="{C8E3F4F6-5F27-4CC7-9916-6D86833782C1}" name="Mai" dataDxfId="90" totalsRowDxfId="5">
      <calculatedColumnFormula>SUM($C35:G$36)</calculatedColumnFormula>
    </tableColumn>
    <tableColumn id="7" xr3:uid="{AF75D92B-7578-4087-BB78-DD5AD8165117}" name="Iun" dataDxfId="89" totalsRowDxfId="6">
      <calculatedColumnFormula>SUM($C35:H$36)</calculatedColumnFormula>
    </tableColumn>
    <tableColumn id="8" xr3:uid="{35F61ABA-09FB-4695-B0F5-A2C6B6580A2E}" name="Iul" dataDxfId="88" totalsRowDxfId="7">
      <calculatedColumnFormula>SUM($C35:I$36)</calculatedColumnFormula>
    </tableColumn>
    <tableColumn id="9" xr3:uid="{59F62437-45DC-439F-945A-D0E79C444E8E}" name="Aug" dataDxfId="87" totalsRowDxfId="8">
      <calculatedColumnFormula>SUM($C35:J$36)</calculatedColumnFormula>
    </tableColumn>
    <tableColumn id="10" xr3:uid="{2BF9DCC5-B211-44A6-BD40-E91602CDA85C}" name="Sep" dataDxfId="86" totalsRowDxfId="9">
      <calculatedColumnFormula>SUM($C35:K$36)</calculatedColumnFormula>
    </tableColumn>
    <tableColumn id="11" xr3:uid="{4280684A-CD23-4103-8664-029757D0A2A2}" name="Oct" dataDxfId="85" totalsRowDxfId="10">
      <calculatedColumnFormula>SUM($C35:L$36)</calculatedColumnFormula>
    </tableColumn>
    <tableColumn id="12" xr3:uid="{07DED434-EC8F-4DAF-83E3-E350A33F2EAE}" name="Nov" dataDxfId="84" totalsRowDxfId="11">
      <calculatedColumnFormula>SUM($C35:M$36)</calculatedColumnFormula>
    </tableColumn>
    <tableColumn id="13" xr3:uid="{32BA0102-0F05-43CF-91BA-724F1FE01DAA}" name="Dec" dataDxfId="83" totalsRowDxfId="12">
      <calculatedColumnFormula>SUM($C35:N$36)</calculatedColumnFormula>
    </tableColumn>
    <tableColumn id="14" xr3:uid="{57A0D710-AEB8-4057-928D-010058E02081}" name="An" totalsRowFunction="sum" dataDxfId="82" totalsRowDxfId="13"/>
  </tableColumns>
  <tableStyleInfo showFirstColumn="1" showLastColumn="0" showRowStripes="0" showColumnStripes="0"/>
  <extLst>
    <ext xmlns:x14="http://schemas.microsoft.com/office/spreadsheetml/2009/9/main" uri="{504A1905-F514-4f6f-8877-14C23A59335A}">
      <x14:table altTextSummary="Diferența dintre cheltuielile lunare și totalul cheltuielilor reale este calculată automat în acest tabel."/>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iză" displayName="Analiză" ref="B5:F10" totalsRowShown="0" dataDxfId="215" tableBorderDxfId="214">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Categorie de cheltuieli" dataDxfId="213"/>
    <tableColumn id="2" xr3:uid="{71038352-BC76-49DD-9F6C-B394E5F033ED}" name="Cheltuieli planificate" dataDxfId="16"/>
    <tableColumn id="3" xr3:uid="{19ED3EBC-BC10-47F6-9800-62129A32BC8E}" name="Cheltuieli reale" dataDxfId="15"/>
    <tableColumn id="4" xr3:uid="{E8D5E1DD-7CB1-4A1A-8F42-EFBF70790FE7}" name="Diferența cheltuielilor" dataDxfId="14">
      <calculatedColumnFormula>C6-D6</calculatedColumnFormula>
    </tableColumn>
    <tableColumn id="5" xr3:uid="{47E1881E-12A2-4F0E-8364-B79F2DC5D0B1}" name="Procentajul de diferență" dataDxfId="212">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lanif.Marketing" displayName="Planif.Marketing" ref="B21:O28" totalsRowCount="1" headerRowDxfId="449" totalsRowDxfId="446" headerRowBorderDxfId="448" tableBorderDxfId="447" totalsRowBorderDxfId="445">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osturi de marketing" totalsRowLabel="Subtotal" dataDxfId="444" totalsRowDxfId="443"/>
    <tableColumn id="2" xr3:uid="{00000000-0010-0000-0100-000002000000}" name="Ian" totalsRowFunction="sum" dataDxfId="198" totalsRowDxfId="442"/>
    <tableColumn id="3" xr3:uid="{00000000-0010-0000-0100-000003000000}" name="Feb" totalsRowFunction="sum" dataDxfId="197" totalsRowDxfId="441"/>
    <tableColumn id="4" xr3:uid="{00000000-0010-0000-0100-000004000000}" name="Mar" totalsRowFunction="sum" dataDxfId="196" totalsRowDxfId="440"/>
    <tableColumn id="5" xr3:uid="{00000000-0010-0000-0100-000005000000}" name="Apr" totalsRowFunction="sum" dataDxfId="195" totalsRowDxfId="439"/>
    <tableColumn id="6" xr3:uid="{00000000-0010-0000-0100-000006000000}" name="Mai" totalsRowFunction="sum" dataDxfId="194" totalsRowDxfId="438"/>
    <tableColumn id="7" xr3:uid="{00000000-0010-0000-0100-000007000000}" name="Iun" totalsRowFunction="sum" dataDxfId="193" totalsRowDxfId="437"/>
    <tableColumn id="8" xr3:uid="{00000000-0010-0000-0100-000008000000}" name="Iul" totalsRowFunction="sum" dataDxfId="192" totalsRowDxfId="436"/>
    <tableColumn id="9" xr3:uid="{00000000-0010-0000-0100-000009000000}" name="Aug" totalsRowFunction="sum" dataDxfId="191" totalsRowDxfId="435"/>
    <tableColumn id="10" xr3:uid="{00000000-0010-0000-0100-00000A000000}" name="Sep" totalsRowFunction="sum" dataDxfId="190" totalsRowDxfId="434"/>
    <tableColumn id="11" xr3:uid="{00000000-0010-0000-0100-00000B000000}" name="Oct" totalsRowFunction="sum" dataDxfId="189" totalsRowDxfId="433"/>
    <tableColumn id="12" xr3:uid="{00000000-0010-0000-0100-00000C000000}" name="Nov" totalsRowFunction="sum" dataDxfId="188" totalsRowDxfId="432"/>
    <tableColumn id="13" xr3:uid="{00000000-0010-0000-0100-00000D000000}" name="Dec" totalsRowFunction="sum" dataDxfId="187" totalsRowDxfId="431"/>
    <tableColumn id="14" xr3:uid="{00000000-0010-0000-0100-00000E000000}" name="AN" totalsRowFunction="sum" dataDxfId="186" totalsRowDxfId="430">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troduceți costurile de marketing lunare planificate în acest tabel. Suma totală este calculată automat la sfârși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Planif.InstruireȘiDeplasare" displayName="Planif.InstruireȘiDeplasare" ref="B30:O33" totalsRowCount="1" headerRowDxfId="429" totalsRowDxfId="426" headerRowBorderDxfId="428" tableBorderDxfId="427" totalsRowBorderDxfId="425">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Instruire/deplasare" totalsRowLabel="Subtotal" dataDxfId="424" totalsRowDxfId="423"/>
    <tableColumn id="2" xr3:uid="{00000000-0010-0000-0200-000002000000}" name="Ian" totalsRowFunction="sum" dataDxfId="185" totalsRowDxfId="422"/>
    <tableColumn id="3" xr3:uid="{00000000-0010-0000-0200-000003000000}" name="Feb" totalsRowFunction="sum" dataDxfId="184" totalsRowDxfId="421"/>
    <tableColumn id="4" xr3:uid="{00000000-0010-0000-0200-000004000000}" name="Mar" totalsRowFunction="sum" dataDxfId="183" totalsRowDxfId="420"/>
    <tableColumn id="5" xr3:uid="{00000000-0010-0000-0200-000005000000}" name="Apr" totalsRowFunction="sum" dataDxfId="182" totalsRowDxfId="419"/>
    <tableColumn id="6" xr3:uid="{00000000-0010-0000-0200-000006000000}" name="Mai" totalsRowFunction="sum" dataDxfId="181" totalsRowDxfId="418"/>
    <tableColumn id="7" xr3:uid="{00000000-0010-0000-0200-000007000000}" name="Iun" totalsRowFunction="sum" dataDxfId="180" totalsRowDxfId="417"/>
    <tableColumn id="8" xr3:uid="{00000000-0010-0000-0200-000008000000}" name="Iul" totalsRowFunction="sum" dataDxfId="179" totalsRowDxfId="416"/>
    <tableColumn id="9" xr3:uid="{00000000-0010-0000-0200-000009000000}" name="Aug" totalsRowFunction="sum" dataDxfId="178" totalsRowDxfId="415"/>
    <tableColumn id="10" xr3:uid="{00000000-0010-0000-0200-00000A000000}" name="Sep" totalsRowFunction="sum" dataDxfId="177" totalsRowDxfId="414"/>
    <tableColumn id="11" xr3:uid="{00000000-0010-0000-0200-00000B000000}" name="Oct" totalsRowFunction="sum" dataDxfId="176" totalsRowDxfId="413"/>
    <tableColumn id="12" xr3:uid="{00000000-0010-0000-0200-00000C000000}" name="Nov" totalsRowFunction="sum" dataDxfId="175" totalsRowDxfId="412"/>
    <tableColumn id="13" xr3:uid="{00000000-0010-0000-0200-00000D000000}" name="Dec" totalsRowFunction="sum" dataDxfId="174" totalsRowDxfId="411"/>
    <tableColumn id="14" xr3:uid="{00000000-0010-0000-0200-00000E000000}" name="AN" totalsRowFunction="sum" dataDxfId="173" totalsRowDxfId="410">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troduceți costurile de instruire și deplasare lunare planificate în acest tabel. Suma totală este calculată automat la sfârși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Planif.Angajați" displayName="Planif.Angajați" ref="B5:O8" totalsRowCount="1" headerRowDxfId="409" totalsRowDxfId="406" headerRowBorderDxfId="408" tableBorderDxfId="407" totalsRowBorderDxfId="405">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Costuri cu angajații" totalsRowLabel="Subtotal" dataDxfId="404" totalsRowDxfId="403"/>
    <tableColumn id="2" xr3:uid="{00000000-0010-0000-0300-000002000000}" name="Ian" totalsRowFunction="sum" dataDxfId="172" totalsRowDxfId="402">
      <calculatedColumnFormula>C5*0.27</calculatedColumnFormula>
    </tableColumn>
    <tableColumn id="3" xr3:uid="{00000000-0010-0000-0300-000003000000}" name="Feb" totalsRowFunction="sum" dataDxfId="171" totalsRowDxfId="401">
      <calculatedColumnFormula>D5*0.27</calculatedColumnFormula>
    </tableColumn>
    <tableColumn id="4" xr3:uid="{00000000-0010-0000-0300-000004000000}" name="Mar" totalsRowFunction="sum" dataDxfId="170" totalsRowDxfId="400">
      <calculatedColumnFormula>E5*0.27</calculatedColumnFormula>
    </tableColumn>
    <tableColumn id="5" xr3:uid="{00000000-0010-0000-0300-000005000000}" name="Apr" totalsRowFunction="sum" dataDxfId="169" totalsRowDxfId="399">
      <calculatedColumnFormula>F5*0.27</calculatedColumnFormula>
    </tableColumn>
    <tableColumn id="6" xr3:uid="{00000000-0010-0000-0300-000006000000}" name="Mai" totalsRowFunction="sum" dataDxfId="168" totalsRowDxfId="398">
      <calculatedColumnFormula>G5*0.27</calculatedColumnFormula>
    </tableColumn>
    <tableColumn id="7" xr3:uid="{00000000-0010-0000-0300-000007000000}" name="Iun" totalsRowFunction="sum" dataDxfId="167" totalsRowDxfId="397">
      <calculatedColumnFormula>H5*0.27</calculatedColumnFormula>
    </tableColumn>
    <tableColumn id="8" xr3:uid="{00000000-0010-0000-0300-000008000000}" name="Iul" totalsRowFunction="sum" dataDxfId="166" totalsRowDxfId="396">
      <calculatedColumnFormula>I5*0.27</calculatedColumnFormula>
    </tableColumn>
    <tableColumn id="9" xr3:uid="{00000000-0010-0000-0300-000009000000}" name="Aug" totalsRowFunction="sum" dataDxfId="165" totalsRowDxfId="395">
      <calculatedColumnFormula>J5*0.27</calculatedColumnFormula>
    </tableColumn>
    <tableColumn id="10" xr3:uid="{00000000-0010-0000-0300-00000A000000}" name="Sep" totalsRowFunction="sum" dataDxfId="164" totalsRowDxfId="394">
      <calculatedColumnFormula>K5*0.27</calculatedColumnFormula>
    </tableColumn>
    <tableColumn id="11" xr3:uid="{00000000-0010-0000-0300-00000B000000}" name="Oct" totalsRowFunction="sum" dataDxfId="163" totalsRowDxfId="393">
      <calculatedColumnFormula>L5*0.27</calculatedColumnFormula>
    </tableColumn>
    <tableColumn id="12" xr3:uid="{00000000-0010-0000-0300-00000C000000}" name="Nov" totalsRowFunction="sum" dataDxfId="162" totalsRowDxfId="392">
      <calculatedColumnFormula>M5*0.27</calculatedColumnFormula>
    </tableColumn>
    <tableColumn id="13" xr3:uid="{00000000-0010-0000-0300-00000D000000}" name="Dec" totalsRowFunction="sum" dataDxfId="161" totalsRowDxfId="391">
      <calculatedColumnFormula>N5*0.27</calculatedColumnFormula>
    </tableColumn>
    <tableColumn id="14" xr3:uid="{00000000-0010-0000-0300-00000E000000}" name="AN" totalsRowFunction="sum" dataDxfId="160" totalsRowDxfId="390">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Introduceți costurile lunare planificate cu angajații în acest tabel. Suma totală este calculată automat la sfârși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TotalPlanif." displayName="TotalPlanif." ref="B35:O37" totalsRowShown="0" headerRowDxfId="389" dataDxfId="387" headerRowBorderDxfId="388" tableBorderDxfId="386" totalsRowBorderDxfId="385">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TOTAL" dataDxfId="384"/>
    <tableColumn id="2" xr3:uid="{3CBCAAC6-5850-43CE-8A4B-7299FADFEA94}" name="Ian" dataDxfId="159">
      <calculatedColumnFormula>SUM($C35:C$36)</calculatedColumnFormula>
    </tableColumn>
    <tableColumn id="3" xr3:uid="{E78EAAAB-F732-4079-94F1-D17531764B41}" name="Feb" dataDxfId="158">
      <calculatedColumnFormula>SUM($C35:D$36)</calculatedColumnFormula>
    </tableColumn>
    <tableColumn id="4" xr3:uid="{7E178853-B334-4E02-A0B5-9E8AC39D6929}" name="Mar" dataDxfId="157">
      <calculatedColumnFormula>SUM($C35:E$36)</calculatedColumnFormula>
    </tableColumn>
    <tableColumn id="5" xr3:uid="{901BCAA1-7C45-46E6-9DAA-C055B5CC4D9E}" name="Apr" dataDxfId="156">
      <calculatedColumnFormula>SUM($C35:F$36)</calculatedColumnFormula>
    </tableColumn>
    <tableColumn id="6" xr3:uid="{FDC62F5A-FCA8-49DA-AFE4-FBDA22CB588C}" name="Mai" dataDxfId="155">
      <calculatedColumnFormula>SUM($C35:G$36)</calculatedColumnFormula>
    </tableColumn>
    <tableColumn id="7" xr3:uid="{6B7E4F62-6387-4545-9593-FCFE8EB0E87B}" name="Iun" dataDxfId="154">
      <calculatedColumnFormula>SUM($C35:H$36)</calculatedColumnFormula>
    </tableColumn>
    <tableColumn id="8" xr3:uid="{29C96D76-82C3-4C86-A866-135D2B5F6766}" name="Iul" dataDxfId="153">
      <calculatedColumnFormula>SUM($C35:I$36)</calculatedColumnFormula>
    </tableColumn>
    <tableColumn id="9" xr3:uid="{8EAF7A8A-BCFD-4A07-ADFE-7B3A8A367BB3}" name="Aug" dataDxfId="152">
      <calculatedColumnFormula>SUM($C35:J$36)</calculatedColumnFormula>
    </tableColumn>
    <tableColumn id="10" xr3:uid="{F40CD844-EFB4-4B82-8FEA-F130D1DDE9B6}" name="Sep" dataDxfId="151">
      <calculatedColumnFormula>SUM($C35:K$36)</calculatedColumnFormula>
    </tableColumn>
    <tableColumn id="11" xr3:uid="{42E3BDAF-1274-4A42-93E1-A70D8EFF4D76}" name="Oct" dataDxfId="150">
      <calculatedColumnFormula>SUM($C35:L$36)</calculatedColumnFormula>
    </tableColumn>
    <tableColumn id="12" xr3:uid="{4F7ADDB3-3705-4D5F-B56D-EBBC8E7DFAFB}" name="Nov" dataDxfId="149">
      <calculatedColumnFormula>SUM($C35:M$36)</calculatedColumnFormula>
    </tableColumn>
    <tableColumn id="13" xr3:uid="{56789314-1137-4ED4-BA2B-969187ADECB2}" name="Dec" dataDxfId="148">
      <calculatedColumnFormula>SUM($C35:N$36)</calculatedColumnFormula>
    </tableColumn>
    <tableColumn id="14" xr3:uid="{284F34B8-8D32-4E44-96FD-25CE69A931D2}" name="An" dataDxfId="147"/>
  </tableColumns>
  <tableStyleInfo showFirstColumn="1" showLastColumn="0" showRowStripes="0" showColumnStripes="0"/>
  <extLst>
    <ext xmlns:x14="http://schemas.microsoft.com/office/spreadsheetml/2009/9/main" uri="{504A1905-F514-4f6f-8877-14C23A59335A}">
      <x14:table altTextSummary="Cheltuielile lunare și totalul cheltuielilor planificate sunt calculate automat în acest tabel."/>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RealeBirou" displayName="RealeBirou" ref="B10:O19" totalsRowCount="1" headerRowDxfId="383" totalsRowDxfId="380" headerRowBorderDxfId="382" tableBorderDxfId="381" totalsRowBorderDxfId="379">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Costuri cu biroul" totalsRowLabel="Subtotal" dataDxfId="378" totalsRowDxfId="377"/>
    <tableColumn id="2" xr3:uid="{00000000-0010-0000-0400-000002000000}" name="Ian" totalsRowFunction="sum" dataDxfId="81" totalsRowDxfId="376"/>
    <tableColumn id="3" xr3:uid="{00000000-0010-0000-0400-000003000000}" name="Feb" totalsRowFunction="sum" dataDxfId="80" totalsRowDxfId="375"/>
    <tableColumn id="4" xr3:uid="{00000000-0010-0000-0400-000004000000}" name="Mar" totalsRowFunction="sum" dataDxfId="79" totalsRowDxfId="374"/>
    <tableColumn id="5" xr3:uid="{00000000-0010-0000-0400-000005000000}" name="Apr" totalsRowFunction="sum" dataDxfId="78" totalsRowDxfId="373"/>
    <tableColumn id="6" xr3:uid="{00000000-0010-0000-0400-000006000000}" name="Mai" totalsRowFunction="sum" dataDxfId="77" totalsRowDxfId="372"/>
    <tableColumn id="7" xr3:uid="{00000000-0010-0000-0400-000007000000}" name="Iun" totalsRowFunction="sum" dataDxfId="76" totalsRowDxfId="371"/>
    <tableColumn id="8" xr3:uid="{00000000-0010-0000-0400-000008000000}" name="Iul" totalsRowFunction="sum" dataDxfId="75" totalsRowDxfId="370"/>
    <tableColumn id="9" xr3:uid="{00000000-0010-0000-0400-000009000000}" name="Aug" totalsRowFunction="sum" dataDxfId="74" totalsRowDxfId="369"/>
    <tableColumn id="10" xr3:uid="{00000000-0010-0000-0400-00000A000000}" name="Sep" totalsRowFunction="sum" dataDxfId="73" totalsRowDxfId="368"/>
    <tableColumn id="11" xr3:uid="{00000000-0010-0000-0400-00000B000000}" name="Oct" totalsRowFunction="sum" dataDxfId="72" totalsRowDxfId="367"/>
    <tableColumn id="12" xr3:uid="{00000000-0010-0000-0400-00000C000000}" name="Nov" totalsRowFunction="sum" dataDxfId="71" totalsRowDxfId="366"/>
    <tableColumn id="13" xr3:uid="{00000000-0010-0000-0400-00000D000000}" name="Dec" totalsRowFunction="sum" dataDxfId="70" totalsRowDxfId="365"/>
    <tableColumn id="14" xr3:uid="{00000000-0010-0000-0400-00000E000000}" name="AN" totalsRowFunction="sum" dataDxfId="69" totalsRowDxfId="364">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troduceți costurile lunare reale cu biroul în acest tabel. Suma totală este calculată automat la sfârși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RealeMarketing" displayName="RealeMarketing" ref="B21:O28" totalsRowCount="1" headerRowDxfId="363" totalsRowDxfId="360" headerRowBorderDxfId="362" tableBorderDxfId="361" totalsRowBorderDxfId="359">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Costuri de marketing" totalsRowLabel="Subtotal" dataDxfId="358" totalsRowDxfId="357"/>
    <tableColumn id="2" xr3:uid="{00000000-0010-0000-0500-000002000000}" name="Ian" totalsRowFunction="sum" dataDxfId="68" totalsRowDxfId="356"/>
    <tableColumn id="3" xr3:uid="{00000000-0010-0000-0500-000003000000}" name="Feb" totalsRowFunction="sum" dataDxfId="67" totalsRowDxfId="355"/>
    <tableColumn id="4" xr3:uid="{00000000-0010-0000-0500-000004000000}" name="Mar" totalsRowFunction="sum" dataDxfId="66" totalsRowDxfId="354"/>
    <tableColumn id="5" xr3:uid="{00000000-0010-0000-0500-000005000000}" name="Apr" totalsRowFunction="sum" dataDxfId="65" totalsRowDxfId="353"/>
    <tableColumn id="6" xr3:uid="{00000000-0010-0000-0500-000006000000}" name="Mai" totalsRowFunction="sum" dataDxfId="64" totalsRowDxfId="352"/>
    <tableColumn id="7" xr3:uid="{00000000-0010-0000-0500-000007000000}" name="Iun" totalsRowFunction="sum" dataDxfId="63" totalsRowDxfId="351"/>
    <tableColumn id="8" xr3:uid="{00000000-0010-0000-0500-000008000000}" name="Iul" totalsRowFunction="sum" dataDxfId="62" totalsRowDxfId="350"/>
    <tableColumn id="9" xr3:uid="{00000000-0010-0000-0500-000009000000}" name="Aug" totalsRowFunction="sum" dataDxfId="61" totalsRowDxfId="349"/>
    <tableColumn id="10" xr3:uid="{00000000-0010-0000-0500-00000A000000}" name="Sep" totalsRowFunction="sum" dataDxfId="60" totalsRowDxfId="348"/>
    <tableColumn id="11" xr3:uid="{00000000-0010-0000-0500-00000B000000}" name="Oct" totalsRowFunction="sum" dataDxfId="59" totalsRowDxfId="347"/>
    <tableColumn id="12" xr3:uid="{00000000-0010-0000-0500-00000C000000}" name="Nov" totalsRowFunction="sum" dataDxfId="58" totalsRowDxfId="346"/>
    <tableColumn id="13" xr3:uid="{00000000-0010-0000-0500-00000D000000}" name="Dec" totalsRowFunction="sum" dataDxfId="57" totalsRowDxfId="345"/>
    <tableColumn id="14" xr3:uid="{00000000-0010-0000-0500-00000E000000}" name="AN" totalsRowFunction="sum" dataDxfId="56" totalsRowDxfId="344">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troduceți costurile de marketing lunare reale în acest tabel. Suma totală este calculată automat la sfârși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RealeInstruireȘiDeplasare" displayName="RealeInstruireȘiDeplasare" ref="B30:O33" totalsRowCount="1" headerRowDxfId="343" totalsRowDxfId="340" headerRowBorderDxfId="342" tableBorderDxfId="341" totalsRowBorderDxfId="339">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Instruire/deplasare" totalsRowLabel="Subtotal" dataDxfId="338" totalsRowDxfId="337"/>
    <tableColumn id="2" xr3:uid="{00000000-0010-0000-0600-000002000000}" name="Ian" totalsRowFunction="sum" dataDxfId="55" totalsRowDxfId="336"/>
    <tableColumn id="3" xr3:uid="{00000000-0010-0000-0600-000003000000}" name="Feb" totalsRowFunction="sum" dataDxfId="54" totalsRowDxfId="335"/>
    <tableColumn id="4" xr3:uid="{00000000-0010-0000-0600-000004000000}" name="Mar" totalsRowFunction="sum" dataDxfId="53" totalsRowDxfId="334"/>
    <tableColumn id="5" xr3:uid="{00000000-0010-0000-0600-000005000000}" name="Apr" totalsRowFunction="sum" dataDxfId="52" totalsRowDxfId="333"/>
    <tableColumn id="6" xr3:uid="{00000000-0010-0000-0600-000006000000}" name="Mai" totalsRowFunction="sum" dataDxfId="51" totalsRowDxfId="332"/>
    <tableColumn id="7" xr3:uid="{00000000-0010-0000-0600-000007000000}" name="Iun" totalsRowFunction="sum" dataDxfId="50" totalsRowDxfId="331"/>
    <tableColumn id="8" xr3:uid="{00000000-0010-0000-0600-000008000000}" name="Iul" totalsRowFunction="sum" dataDxfId="49" totalsRowDxfId="330"/>
    <tableColumn id="9" xr3:uid="{00000000-0010-0000-0600-000009000000}" name="Aug" totalsRowFunction="sum" dataDxfId="48" totalsRowDxfId="329"/>
    <tableColumn id="10" xr3:uid="{00000000-0010-0000-0600-00000A000000}" name="Sep" totalsRowFunction="sum" dataDxfId="47" totalsRowDxfId="328"/>
    <tableColumn id="11" xr3:uid="{00000000-0010-0000-0600-00000B000000}" name="Oct" totalsRowFunction="sum" dataDxfId="46" totalsRowDxfId="327"/>
    <tableColumn id="12" xr3:uid="{00000000-0010-0000-0600-00000C000000}" name="Nov" totalsRowFunction="sum" dataDxfId="45" totalsRowDxfId="326"/>
    <tableColumn id="13" xr3:uid="{00000000-0010-0000-0600-00000D000000}" name="Dec" totalsRowFunction="sum" dataDxfId="44" totalsRowDxfId="325"/>
    <tableColumn id="14" xr3:uid="{00000000-0010-0000-0600-00000E000000}" name="AN" totalsRowFunction="sum" dataDxfId="43" totalsRowDxfId="324">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troduceți costurile de instruire și deplasare lunare reale în acest tabel. Suma totală este calculată automat la sfârși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RealeAngajați" displayName="RealeAngajați" ref="B5:O8" totalsRowCount="1" headerRowDxfId="323" totalsRowDxfId="320" headerRowBorderDxfId="322" tableBorderDxfId="321" totalsRowBorderDxfId="319">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Costuri cu angajații" totalsRowLabel="Subtotal" dataDxfId="318" totalsRowDxfId="317"/>
    <tableColumn id="2" xr3:uid="{00000000-0010-0000-0700-000002000000}" name="Ian" totalsRowFunction="sum" dataDxfId="42" totalsRowDxfId="316">
      <calculatedColumnFormula>C5*0.27</calculatedColumnFormula>
    </tableColumn>
    <tableColumn id="3" xr3:uid="{00000000-0010-0000-0700-000003000000}" name="Feb" totalsRowFunction="sum" dataDxfId="41" totalsRowDxfId="315">
      <calculatedColumnFormula>D5*0.27</calculatedColumnFormula>
    </tableColumn>
    <tableColumn id="4" xr3:uid="{00000000-0010-0000-0700-000004000000}" name="Mar" totalsRowFunction="sum" dataDxfId="40" totalsRowDxfId="314">
      <calculatedColumnFormula>E5*0.27</calculatedColumnFormula>
    </tableColumn>
    <tableColumn id="5" xr3:uid="{00000000-0010-0000-0700-000005000000}" name="Apr" totalsRowFunction="sum" dataDxfId="39" totalsRowDxfId="313">
      <calculatedColumnFormula>F5*0.27</calculatedColumnFormula>
    </tableColumn>
    <tableColumn id="6" xr3:uid="{00000000-0010-0000-0700-000006000000}" name="Mai" totalsRowFunction="sum" dataDxfId="38" totalsRowDxfId="312">
      <calculatedColumnFormula>G5*0.27</calculatedColumnFormula>
    </tableColumn>
    <tableColumn id="7" xr3:uid="{00000000-0010-0000-0700-000007000000}" name="Iun" totalsRowFunction="sum" dataDxfId="37" totalsRowDxfId="311">
      <calculatedColumnFormula>H5*0.27</calculatedColumnFormula>
    </tableColumn>
    <tableColumn id="8" xr3:uid="{00000000-0010-0000-0700-000008000000}" name="Iul" totalsRowFunction="sum" dataDxfId="36" totalsRowDxfId="310"/>
    <tableColumn id="9" xr3:uid="{00000000-0010-0000-0700-000009000000}" name="Aug" totalsRowFunction="sum" dataDxfId="35" totalsRowDxfId="309"/>
    <tableColumn id="10" xr3:uid="{00000000-0010-0000-0700-00000A000000}" name="Sep" totalsRowFunction="sum" dataDxfId="34" totalsRowDxfId="308"/>
    <tableColumn id="11" xr3:uid="{00000000-0010-0000-0700-00000B000000}" name="Oct" totalsRowFunction="sum" dataDxfId="33" totalsRowDxfId="307"/>
    <tableColumn id="12" xr3:uid="{00000000-0010-0000-0700-00000C000000}" name="Nov" totalsRowFunction="sum" dataDxfId="32" totalsRowDxfId="306"/>
    <tableColumn id="13" xr3:uid="{00000000-0010-0000-0700-00000D000000}" name="Dec" totalsRowFunction="sum" dataDxfId="31" totalsRowDxfId="305"/>
    <tableColumn id="14" xr3:uid="{00000000-0010-0000-0700-00000E000000}" name="AN" totalsRowFunction="sum" dataDxfId="30" totalsRowDxfId="304">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Introduceți costurile lunare reale cu angajații în acest tabel. Suma totală este calculată automat la sfârșit."/>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B1:B8"/>
  <sheetViews>
    <sheetView tabSelected="1" workbookViewId="0"/>
  </sheetViews>
  <sheetFormatPr defaultRowHeight="12.75" x14ac:dyDescent="0.2"/>
  <cols>
    <col min="1" max="1" width="2.7109375" customWidth="1"/>
    <col min="2" max="2" width="75.42578125" customWidth="1"/>
    <col min="3" max="3" width="2.7109375" customWidth="1"/>
    <col min="8" max="10" width="10.7109375" customWidth="1"/>
  </cols>
  <sheetData>
    <row r="1" spans="2:2" s="23" customFormat="1" ht="30" customHeight="1" x14ac:dyDescent="0.2">
      <c r="B1" s="24" t="s">
        <v>0</v>
      </c>
    </row>
    <row r="2" spans="2:2" ht="36.75" customHeight="1" x14ac:dyDescent="0.2">
      <c r="B2" s="37" t="s">
        <v>1</v>
      </c>
    </row>
    <row r="3" spans="2:2" ht="30" customHeight="1" x14ac:dyDescent="0.2">
      <c r="B3" s="37" t="s">
        <v>2</v>
      </c>
    </row>
    <row r="4" spans="2:2" ht="40.5" customHeight="1" x14ac:dyDescent="0.2">
      <c r="B4" s="37" t="s">
        <v>3</v>
      </c>
    </row>
    <row r="5" spans="2:2" ht="36" customHeight="1" x14ac:dyDescent="0.2">
      <c r="B5" s="37" t="s">
        <v>4</v>
      </c>
    </row>
    <row r="6" spans="2:2" ht="36" customHeight="1" x14ac:dyDescent="0.2">
      <c r="B6" s="39" t="s">
        <v>5</v>
      </c>
    </row>
    <row r="7" spans="2:2" ht="53.25" customHeight="1" x14ac:dyDescent="0.2">
      <c r="B7" s="37" t="s">
        <v>88</v>
      </c>
    </row>
    <row r="8" spans="2:2" ht="40.5" customHeight="1" x14ac:dyDescent="0.25">
      <c r="B8" s="38" t="s">
        <v>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zoomScaleNormal="100" workbookViewId="0"/>
  </sheetViews>
  <sheetFormatPr defaultColWidth="9.140625" defaultRowHeight="21" customHeight="1" x14ac:dyDescent="0.3"/>
  <cols>
    <col min="1" max="1" width="4.7109375" style="1" customWidth="1"/>
    <col min="2" max="2" width="44.5703125" style="1" customWidth="1"/>
    <col min="3" max="14" width="15.85546875" style="1" customWidth="1"/>
    <col min="15" max="15" width="16.28515625" style="1" customWidth="1"/>
    <col min="16" max="16" width="4.7109375" style="1" customWidth="1"/>
    <col min="17" max="17" width="1.7109375" style="1" customWidth="1"/>
    <col min="18" max="19" width="9.140625" style="1"/>
    <col min="20" max="20" width="11.140625" style="1" customWidth="1"/>
    <col min="21" max="16384" width="9.140625" style="1"/>
  </cols>
  <sheetData>
    <row r="1" spans="1:20" ht="24" customHeight="1" x14ac:dyDescent="0.3">
      <c r="A1" s="27" t="s">
        <v>90</v>
      </c>
      <c r="B1" s="10"/>
      <c r="C1" s="10"/>
      <c r="D1" s="10"/>
      <c r="E1" s="10"/>
      <c r="F1" s="7"/>
      <c r="G1" s="7"/>
      <c r="H1" s="7"/>
      <c r="I1" s="7"/>
      <c r="J1" s="7"/>
      <c r="K1" s="7"/>
      <c r="L1" s="7"/>
      <c r="M1" s="7"/>
      <c r="N1" s="7"/>
      <c r="O1" s="7"/>
      <c r="P1" s="59" t="s">
        <v>67</v>
      </c>
    </row>
    <row r="2" spans="1:20" ht="45" customHeight="1" x14ac:dyDescent="0.35">
      <c r="A2" s="25" t="s">
        <v>7</v>
      </c>
      <c r="B2" s="135" t="s">
        <v>11</v>
      </c>
      <c r="C2" s="135"/>
      <c r="D2" s="135"/>
      <c r="E2" s="148"/>
      <c r="F2" s="8"/>
      <c r="G2" s="8"/>
      <c r="H2" s="8"/>
      <c r="I2" s="8"/>
      <c r="J2" s="8"/>
      <c r="K2" s="137" t="s">
        <v>54</v>
      </c>
      <c r="L2" s="137"/>
      <c r="M2" s="137"/>
      <c r="N2" s="85" t="s">
        <v>62</v>
      </c>
      <c r="O2" s="85"/>
      <c r="P2" s="7"/>
    </row>
    <row r="3" spans="1:20" ht="30" customHeight="1" x14ac:dyDescent="0.3">
      <c r="A3" s="25" t="s">
        <v>8</v>
      </c>
      <c r="B3" s="135"/>
      <c r="C3" s="135"/>
      <c r="D3" s="135"/>
      <c r="E3" s="149"/>
      <c r="F3" s="9"/>
      <c r="G3" s="9"/>
      <c r="H3" s="9"/>
      <c r="I3" s="9"/>
      <c r="J3" s="9"/>
      <c r="K3" s="90" t="s">
        <v>55</v>
      </c>
      <c r="L3" s="90"/>
      <c r="M3" s="90"/>
      <c r="N3" s="85"/>
      <c r="O3" s="85"/>
      <c r="P3" s="7"/>
    </row>
    <row r="4" spans="1:20" s="20" customFormat="1" ht="49.5" customHeight="1" x14ac:dyDescent="0.3">
      <c r="A4" s="28" t="s">
        <v>9</v>
      </c>
      <c r="B4" s="136" t="s">
        <v>12</v>
      </c>
      <c r="C4" s="138" t="s">
        <v>38</v>
      </c>
      <c r="D4" s="138" t="s">
        <v>40</v>
      </c>
      <c r="E4" s="138" t="s">
        <v>42</v>
      </c>
      <c r="F4" s="138" t="s">
        <v>44</v>
      </c>
      <c r="G4" s="138" t="s">
        <v>46</v>
      </c>
      <c r="H4" s="138" t="s">
        <v>48</v>
      </c>
      <c r="I4" s="138" t="s">
        <v>50</v>
      </c>
      <c r="J4" s="138" t="s">
        <v>52</v>
      </c>
      <c r="K4" s="138" t="s">
        <v>56</v>
      </c>
      <c r="L4" s="138" t="s">
        <v>58</v>
      </c>
      <c r="M4" s="138" t="s">
        <v>60</v>
      </c>
      <c r="N4" s="138" t="s">
        <v>63</v>
      </c>
      <c r="O4" s="138" t="s">
        <v>65</v>
      </c>
      <c r="R4" s="83" t="s">
        <v>68</v>
      </c>
      <c r="S4" s="84"/>
      <c r="T4" s="84"/>
    </row>
    <row r="5" spans="1:20" s="3" customFormat="1" ht="24.95" customHeight="1" thickBot="1" x14ac:dyDescent="0.35">
      <c r="A5" s="35" t="s">
        <v>91</v>
      </c>
      <c r="B5" s="40" t="s">
        <v>13</v>
      </c>
      <c r="C5" s="57" t="s">
        <v>39</v>
      </c>
      <c r="D5" s="55" t="s">
        <v>41</v>
      </c>
      <c r="E5" s="55" t="s">
        <v>43</v>
      </c>
      <c r="F5" s="55" t="s">
        <v>45</v>
      </c>
      <c r="G5" s="55" t="s">
        <v>47</v>
      </c>
      <c r="H5" s="55" t="s">
        <v>49</v>
      </c>
      <c r="I5" s="55" t="s">
        <v>51</v>
      </c>
      <c r="J5" s="55" t="s">
        <v>53</v>
      </c>
      <c r="K5" s="55" t="s">
        <v>57</v>
      </c>
      <c r="L5" s="55" t="s">
        <v>59</v>
      </c>
      <c r="M5" s="55" t="s">
        <v>61</v>
      </c>
      <c r="N5" s="55" t="s">
        <v>64</v>
      </c>
      <c r="O5" s="56" t="s">
        <v>65</v>
      </c>
      <c r="R5" s="84"/>
      <c r="S5" s="84"/>
      <c r="T5" s="84"/>
    </row>
    <row r="6" spans="1:20" ht="24.95" customHeight="1" thickBot="1" x14ac:dyDescent="0.35">
      <c r="A6" s="26"/>
      <c r="B6" s="41" t="s">
        <v>14</v>
      </c>
      <c r="C6" s="101">
        <v>85000</v>
      </c>
      <c r="D6" s="102">
        <v>85000</v>
      </c>
      <c r="E6" s="102">
        <v>85000</v>
      </c>
      <c r="F6" s="102">
        <v>87500</v>
      </c>
      <c r="G6" s="102">
        <v>87500</v>
      </c>
      <c r="H6" s="102">
        <v>87500</v>
      </c>
      <c r="I6" s="102">
        <v>87500</v>
      </c>
      <c r="J6" s="102">
        <v>92400</v>
      </c>
      <c r="K6" s="102">
        <v>92400</v>
      </c>
      <c r="L6" s="102">
        <v>92400</v>
      </c>
      <c r="M6" s="102">
        <v>92400</v>
      </c>
      <c r="N6" s="102">
        <v>92400</v>
      </c>
      <c r="O6" s="103">
        <f>SUM(C6:N6)</f>
        <v>1067000</v>
      </c>
      <c r="R6" s="84"/>
      <c r="S6" s="84"/>
      <c r="T6" s="84"/>
    </row>
    <row r="7" spans="1:20" ht="24.95" customHeight="1" thickBot="1" x14ac:dyDescent="0.35">
      <c r="A7" s="26"/>
      <c r="B7" s="41" t="s">
        <v>15</v>
      </c>
      <c r="C7" s="101">
        <f t="shared" ref="C7:N7" si="0">C6*0.27</f>
        <v>22950</v>
      </c>
      <c r="D7" s="102">
        <f t="shared" si="0"/>
        <v>22950</v>
      </c>
      <c r="E7" s="102">
        <f t="shared" si="0"/>
        <v>22950</v>
      </c>
      <c r="F7" s="102">
        <f t="shared" si="0"/>
        <v>23625</v>
      </c>
      <c r="G7" s="102">
        <f t="shared" si="0"/>
        <v>23625</v>
      </c>
      <c r="H7" s="102">
        <f t="shared" si="0"/>
        <v>23625</v>
      </c>
      <c r="I7" s="102">
        <f t="shared" si="0"/>
        <v>23625</v>
      </c>
      <c r="J7" s="102">
        <f t="shared" si="0"/>
        <v>24948</v>
      </c>
      <c r="K7" s="102">
        <f t="shared" si="0"/>
        <v>24948</v>
      </c>
      <c r="L7" s="102">
        <f t="shared" si="0"/>
        <v>24948</v>
      </c>
      <c r="M7" s="102">
        <f t="shared" si="0"/>
        <v>24948</v>
      </c>
      <c r="N7" s="102">
        <f t="shared" si="0"/>
        <v>24948</v>
      </c>
      <c r="O7" s="103">
        <f>SUM(C7:N7)</f>
        <v>288090</v>
      </c>
      <c r="R7" s="84"/>
      <c r="S7" s="84"/>
      <c r="T7" s="84"/>
    </row>
    <row r="8" spans="1:20" ht="24.95" customHeight="1" x14ac:dyDescent="0.3">
      <c r="A8" s="26"/>
      <c r="B8" s="42" t="s">
        <v>16</v>
      </c>
      <c r="C8" s="104">
        <f>SUBTOTAL(109,Planif.Angajați[Ian])</f>
        <v>107950</v>
      </c>
      <c r="D8" s="105">
        <f>SUBTOTAL(109,Planif.Angajați[Feb])</f>
        <v>107950</v>
      </c>
      <c r="E8" s="105">
        <f>SUBTOTAL(109,Planif.Angajați[Mar])</f>
        <v>107950</v>
      </c>
      <c r="F8" s="105">
        <f>SUBTOTAL(109,Planif.Angajați[Apr])</f>
        <v>111125</v>
      </c>
      <c r="G8" s="105">
        <f>SUBTOTAL(109,Planif.Angajați[Mai])</f>
        <v>111125</v>
      </c>
      <c r="H8" s="105">
        <f>SUBTOTAL(109,Planif.Angajați[Iun])</f>
        <v>111125</v>
      </c>
      <c r="I8" s="105">
        <f>SUBTOTAL(109,Planif.Angajați[Iul])</f>
        <v>111125</v>
      </c>
      <c r="J8" s="105">
        <f>SUBTOTAL(109,Planif.Angajați[Aug])</f>
        <v>117348</v>
      </c>
      <c r="K8" s="105">
        <f>SUBTOTAL(109,Planif.Angajați[Sep])</f>
        <v>117348</v>
      </c>
      <c r="L8" s="105">
        <f>SUBTOTAL(109,Planif.Angajați[Oct])</f>
        <v>117348</v>
      </c>
      <c r="M8" s="105">
        <f>SUBTOTAL(109,Planif.Angajați[Nov])</f>
        <v>117348</v>
      </c>
      <c r="N8" s="105">
        <f>SUBTOTAL(109,Planif.Angajați[Dec])</f>
        <v>117348</v>
      </c>
      <c r="O8" s="106">
        <f>SUBTOTAL(109,Planif.Angajați[AN])</f>
        <v>1355090</v>
      </c>
      <c r="R8" s="84"/>
      <c r="S8" s="84"/>
      <c r="T8" s="84"/>
    </row>
    <row r="9" spans="1:20" ht="21" customHeight="1" thickBot="1" x14ac:dyDescent="0.35">
      <c r="A9" s="26"/>
      <c r="B9" s="87"/>
      <c r="C9" s="87"/>
      <c r="D9" s="130"/>
      <c r="E9" s="130"/>
      <c r="F9" s="130"/>
      <c r="G9" s="130"/>
      <c r="H9" s="130"/>
      <c r="I9" s="130"/>
      <c r="J9" s="130"/>
      <c r="K9" s="130"/>
      <c r="L9" s="130"/>
      <c r="M9" s="130"/>
      <c r="N9" s="130"/>
      <c r="O9" s="131"/>
      <c r="R9" s="84"/>
      <c r="S9" s="84"/>
      <c r="T9" s="84"/>
    </row>
    <row r="10" spans="1:20" ht="24.95" customHeight="1" thickBot="1" x14ac:dyDescent="0.35">
      <c r="A10" s="26" t="s">
        <v>92</v>
      </c>
      <c r="B10" s="51" t="s">
        <v>17</v>
      </c>
      <c r="C10" s="48" t="s">
        <v>39</v>
      </c>
      <c r="D10" s="49" t="s">
        <v>41</v>
      </c>
      <c r="E10" s="79" t="s">
        <v>43</v>
      </c>
      <c r="F10" s="49" t="s">
        <v>45</v>
      </c>
      <c r="G10" s="49" t="s">
        <v>47</v>
      </c>
      <c r="H10" s="49" t="s">
        <v>49</v>
      </c>
      <c r="I10" s="49" t="s">
        <v>51</v>
      </c>
      <c r="J10" s="49" t="s">
        <v>53</v>
      </c>
      <c r="K10" s="49" t="s">
        <v>57</v>
      </c>
      <c r="L10" s="49" t="s">
        <v>59</v>
      </c>
      <c r="M10" s="49" t="s">
        <v>61</v>
      </c>
      <c r="N10" s="49" t="s">
        <v>64</v>
      </c>
      <c r="O10" s="50" t="s">
        <v>65</v>
      </c>
      <c r="R10" s="84"/>
      <c r="S10" s="84"/>
      <c r="T10" s="84"/>
    </row>
    <row r="11" spans="1:20" ht="24.95" customHeight="1" thickBot="1" x14ac:dyDescent="0.35">
      <c r="A11" s="26"/>
      <c r="B11" s="76" t="s">
        <v>18</v>
      </c>
      <c r="C11" s="101">
        <v>9800</v>
      </c>
      <c r="D11" s="102">
        <v>9800</v>
      </c>
      <c r="E11" s="102">
        <v>9800</v>
      </c>
      <c r="F11" s="102">
        <v>9800</v>
      </c>
      <c r="G11" s="102">
        <v>9800</v>
      </c>
      <c r="H11" s="102">
        <v>9800</v>
      </c>
      <c r="I11" s="102">
        <v>9800</v>
      </c>
      <c r="J11" s="102">
        <v>9800</v>
      </c>
      <c r="K11" s="102">
        <v>9800</v>
      </c>
      <c r="L11" s="102">
        <v>9800</v>
      </c>
      <c r="M11" s="102">
        <v>9800</v>
      </c>
      <c r="N11" s="102">
        <v>9800</v>
      </c>
      <c r="O11" s="103">
        <f t="shared" ref="O11:O18" si="1">SUM(C11:N11)</f>
        <v>117600</v>
      </c>
      <c r="R11" s="84"/>
      <c r="S11" s="84"/>
      <c r="T11" s="84"/>
    </row>
    <row r="12" spans="1:20" ht="24.95" customHeight="1" thickBot="1" x14ac:dyDescent="0.35">
      <c r="A12" s="26"/>
      <c r="B12" s="76" t="s">
        <v>19</v>
      </c>
      <c r="C12" s="101"/>
      <c r="D12" s="102">
        <v>400</v>
      </c>
      <c r="E12" s="102">
        <v>400</v>
      </c>
      <c r="F12" s="102">
        <v>100</v>
      </c>
      <c r="G12" s="102">
        <v>100</v>
      </c>
      <c r="H12" s="102">
        <v>100</v>
      </c>
      <c r="I12" s="102">
        <v>100</v>
      </c>
      <c r="J12" s="102">
        <v>100</v>
      </c>
      <c r="K12" s="102">
        <v>100</v>
      </c>
      <c r="L12" s="102">
        <v>100</v>
      </c>
      <c r="M12" s="102">
        <v>400</v>
      </c>
      <c r="N12" s="102">
        <v>400</v>
      </c>
      <c r="O12" s="103">
        <f t="shared" si="1"/>
        <v>2300</v>
      </c>
      <c r="R12" s="84"/>
      <c r="S12" s="84"/>
      <c r="T12" s="84"/>
    </row>
    <row r="13" spans="1:20" ht="24.95" customHeight="1" thickBot="1" x14ac:dyDescent="0.35">
      <c r="A13" s="26"/>
      <c r="B13" s="76" t="s">
        <v>20</v>
      </c>
      <c r="C13" s="101">
        <v>300</v>
      </c>
      <c r="D13" s="102">
        <v>300</v>
      </c>
      <c r="E13" s="102">
        <v>300</v>
      </c>
      <c r="F13" s="102">
        <v>300</v>
      </c>
      <c r="G13" s="102">
        <v>300</v>
      </c>
      <c r="H13" s="102">
        <v>300</v>
      </c>
      <c r="I13" s="102">
        <v>300</v>
      </c>
      <c r="J13" s="102">
        <v>300</v>
      </c>
      <c r="K13" s="102">
        <v>300</v>
      </c>
      <c r="L13" s="102">
        <v>300</v>
      </c>
      <c r="M13" s="102">
        <v>300</v>
      </c>
      <c r="N13" s="102">
        <v>300</v>
      </c>
      <c r="O13" s="103">
        <f t="shared" si="1"/>
        <v>3600</v>
      </c>
      <c r="R13" s="84"/>
      <c r="S13" s="84"/>
      <c r="T13" s="84"/>
    </row>
    <row r="14" spans="1:20" ht="24.95" customHeight="1" thickBot="1" x14ac:dyDescent="0.35">
      <c r="A14" s="26"/>
      <c r="B14" s="76" t="s">
        <v>21</v>
      </c>
      <c r="C14" s="101">
        <v>40</v>
      </c>
      <c r="D14" s="102">
        <v>40</v>
      </c>
      <c r="E14" s="102">
        <v>40</v>
      </c>
      <c r="F14" s="102">
        <v>40</v>
      </c>
      <c r="G14" s="102">
        <v>40</v>
      </c>
      <c r="H14" s="102">
        <v>40</v>
      </c>
      <c r="I14" s="102">
        <v>40</v>
      </c>
      <c r="J14" s="102">
        <v>40</v>
      </c>
      <c r="K14" s="102">
        <v>40</v>
      </c>
      <c r="L14" s="102">
        <v>40</v>
      </c>
      <c r="M14" s="102">
        <v>40</v>
      </c>
      <c r="N14" s="102">
        <v>40</v>
      </c>
      <c r="O14" s="103">
        <f t="shared" si="1"/>
        <v>480</v>
      </c>
    </row>
    <row r="15" spans="1:20" ht="24.95" customHeight="1" thickBot="1" x14ac:dyDescent="0.35">
      <c r="A15" s="26"/>
      <c r="B15" s="76" t="s">
        <v>22</v>
      </c>
      <c r="C15" s="101">
        <v>250</v>
      </c>
      <c r="D15" s="102">
        <v>250</v>
      </c>
      <c r="E15" s="102">
        <v>250</v>
      </c>
      <c r="F15" s="102">
        <v>250</v>
      </c>
      <c r="G15" s="102">
        <v>250</v>
      </c>
      <c r="H15" s="102">
        <v>250</v>
      </c>
      <c r="I15" s="102">
        <v>250</v>
      </c>
      <c r="J15" s="102">
        <v>250</v>
      </c>
      <c r="K15" s="102">
        <v>250</v>
      </c>
      <c r="L15" s="102">
        <v>250</v>
      </c>
      <c r="M15" s="102">
        <v>250</v>
      </c>
      <c r="N15" s="102">
        <v>250</v>
      </c>
      <c r="O15" s="103">
        <f t="shared" si="1"/>
        <v>3000</v>
      </c>
    </row>
    <row r="16" spans="1:20" ht="24.95" customHeight="1" thickBot="1" x14ac:dyDescent="0.35">
      <c r="A16" s="26"/>
      <c r="B16" s="76" t="s">
        <v>23</v>
      </c>
      <c r="C16" s="101">
        <v>180</v>
      </c>
      <c r="D16" s="102">
        <v>180</v>
      </c>
      <c r="E16" s="102">
        <v>180</v>
      </c>
      <c r="F16" s="102">
        <v>180</v>
      </c>
      <c r="G16" s="102">
        <v>180</v>
      </c>
      <c r="H16" s="102">
        <v>180</v>
      </c>
      <c r="I16" s="102">
        <v>180</v>
      </c>
      <c r="J16" s="102">
        <v>180</v>
      </c>
      <c r="K16" s="102">
        <v>180</v>
      </c>
      <c r="L16" s="102">
        <v>180</v>
      </c>
      <c r="M16" s="102">
        <v>180</v>
      </c>
      <c r="N16" s="102">
        <v>180</v>
      </c>
      <c r="O16" s="103">
        <f t="shared" si="1"/>
        <v>2160</v>
      </c>
    </row>
    <row r="17" spans="1:15" ht="24.95" customHeight="1" thickBot="1" x14ac:dyDescent="0.35">
      <c r="A17" s="26"/>
      <c r="B17" s="76" t="s">
        <v>24</v>
      </c>
      <c r="C17" s="101">
        <v>200</v>
      </c>
      <c r="D17" s="102">
        <v>200</v>
      </c>
      <c r="E17" s="102">
        <v>200</v>
      </c>
      <c r="F17" s="102">
        <v>200</v>
      </c>
      <c r="G17" s="102">
        <v>200</v>
      </c>
      <c r="H17" s="102">
        <v>200</v>
      </c>
      <c r="I17" s="102">
        <v>200</v>
      </c>
      <c r="J17" s="102">
        <v>200</v>
      </c>
      <c r="K17" s="102">
        <v>200</v>
      </c>
      <c r="L17" s="102">
        <v>200</v>
      </c>
      <c r="M17" s="102">
        <v>200</v>
      </c>
      <c r="N17" s="102">
        <v>200</v>
      </c>
      <c r="O17" s="103">
        <f t="shared" si="1"/>
        <v>2400</v>
      </c>
    </row>
    <row r="18" spans="1:15" ht="24.95" customHeight="1" thickBot="1" x14ac:dyDescent="0.35">
      <c r="A18" s="26"/>
      <c r="B18" s="76" t="s">
        <v>25</v>
      </c>
      <c r="C18" s="101">
        <v>600</v>
      </c>
      <c r="D18" s="102">
        <v>600</v>
      </c>
      <c r="E18" s="102">
        <v>600</v>
      </c>
      <c r="F18" s="102">
        <v>600</v>
      </c>
      <c r="G18" s="102">
        <v>600</v>
      </c>
      <c r="H18" s="102">
        <v>600</v>
      </c>
      <c r="I18" s="102">
        <v>600</v>
      </c>
      <c r="J18" s="102">
        <v>600</v>
      </c>
      <c r="K18" s="102">
        <v>600</v>
      </c>
      <c r="L18" s="102">
        <v>600</v>
      </c>
      <c r="M18" s="102">
        <v>600</v>
      </c>
      <c r="N18" s="102">
        <v>600</v>
      </c>
      <c r="O18" s="103">
        <f t="shared" si="1"/>
        <v>7200</v>
      </c>
    </row>
    <row r="19" spans="1:15" ht="24.95" customHeight="1" thickBot="1" x14ac:dyDescent="0.35">
      <c r="A19" s="26"/>
      <c r="B19" s="58" t="s">
        <v>16</v>
      </c>
      <c r="C19" s="107">
        <f>SUBTOTAL(109,Planif.Birou[Ian])</f>
        <v>11370</v>
      </c>
      <c r="D19" s="108">
        <f>SUBTOTAL(109,Planif.Birou[Feb])</f>
        <v>11770</v>
      </c>
      <c r="E19" s="108">
        <f>SUBTOTAL(109,Planif.Birou[Mar])</f>
        <v>11770</v>
      </c>
      <c r="F19" s="108">
        <f>SUBTOTAL(109,Planif.Birou[Apr])</f>
        <v>11470</v>
      </c>
      <c r="G19" s="108">
        <f>SUBTOTAL(109,Planif.Birou[Mai])</f>
        <v>11470</v>
      </c>
      <c r="H19" s="108">
        <f>SUBTOTAL(109,Planif.Birou[Iun])</f>
        <v>11470</v>
      </c>
      <c r="I19" s="108">
        <f>SUBTOTAL(109,Planif.Birou[Iul])</f>
        <v>11470</v>
      </c>
      <c r="J19" s="108">
        <f>SUBTOTAL(109,Planif.Birou[Aug])</f>
        <v>11470</v>
      </c>
      <c r="K19" s="108">
        <f>SUBTOTAL(109,Planif.Birou[Sep])</f>
        <v>11470</v>
      </c>
      <c r="L19" s="108">
        <f>SUBTOTAL(109,Planif.Birou[Oct])</f>
        <v>11470</v>
      </c>
      <c r="M19" s="108">
        <f>SUBTOTAL(109,Planif.Birou[Nov])</f>
        <v>11770</v>
      </c>
      <c r="N19" s="108">
        <f>SUBTOTAL(109,Planif.Birou[Dec])</f>
        <v>11770</v>
      </c>
      <c r="O19" s="109">
        <f>SUBTOTAL(109,Planif.Birou[AN])</f>
        <v>138740</v>
      </c>
    </row>
    <row r="20" spans="1:15" ht="21" customHeight="1" x14ac:dyDescent="0.3">
      <c r="A20" s="26"/>
      <c r="B20" s="88"/>
      <c r="C20" s="88"/>
      <c r="D20" s="130"/>
      <c r="E20" s="130"/>
      <c r="F20" s="132"/>
      <c r="G20" s="132"/>
      <c r="H20" s="132"/>
      <c r="I20" s="132"/>
      <c r="J20" s="132"/>
      <c r="K20" s="132"/>
      <c r="L20" s="132"/>
      <c r="M20" s="132"/>
      <c r="N20" s="132"/>
      <c r="O20" s="131"/>
    </row>
    <row r="21" spans="1:15" ht="24.95" customHeight="1" thickBot="1" x14ac:dyDescent="0.35">
      <c r="A21" s="26" t="s">
        <v>93</v>
      </c>
      <c r="B21" s="52" t="s">
        <v>26</v>
      </c>
      <c r="C21" s="45" t="s">
        <v>39</v>
      </c>
      <c r="D21" s="45" t="s">
        <v>41</v>
      </c>
      <c r="E21" s="80" t="s">
        <v>43</v>
      </c>
      <c r="F21" s="45" t="s">
        <v>45</v>
      </c>
      <c r="G21" s="45" t="s">
        <v>47</v>
      </c>
      <c r="H21" s="45" t="s">
        <v>49</v>
      </c>
      <c r="I21" s="45" t="s">
        <v>51</v>
      </c>
      <c r="J21" s="45" t="s">
        <v>53</v>
      </c>
      <c r="K21" s="45" t="s">
        <v>57</v>
      </c>
      <c r="L21" s="45" t="s">
        <v>59</v>
      </c>
      <c r="M21" s="45" t="s">
        <v>61</v>
      </c>
      <c r="N21" s="45" t="s">
        <v>64</v>
      </c>
      <c r="O21" s="46" t="s">
        <v>65</v>
      </c>
    </row>
    <row r="22" spans="1:15" ht="24.95" customHeight="1" thickBot="1" x14ac:dyDescent="0.35">
      <c r="A22" s="26"/>
      <c r="B22" s="41" t="s">
        <v>27</v>
      </c>
      <c r="C22" s="110">
        <v>500</v>
      </c>
      <c r="D22" s="111">
        <v>500</v>
      </c>
      <c r="E22" s="111">
        <v>500</v>
      </c>
      <c r="F22" s="111">
        <v>500</v>
      </c>
      <c r="G22" s="111">
        <v>500</v>
      </c>
      <c r="H22" s="111">
        <v>500</v>
      </c>
      <c r="I22" s="111">
        <v>500</v>
      </c>
      <c r="J22" s="111">
        <v>500</v>
      </c>
      <c r="K22" s="111">
        <v>500</v>
      </c>
      <c r="L22" s="111">
        <v>500</v>
      </c>
      <c r="M22" s="111">
        <v>500</v>
      </c>
      <c r="N22" s="111">
        <v>500</v>
      </c>
      <c r="O22" s="103">
        <f t="shared" ref="O22:O27" si="2">SUM(C22:N22)</f>
        <v>6000</v>
      </c>
    </row>
    <row r="23" spans="1:15" ht="24.95" customHeight="1" thickBot="1" x14ac:dyDescent="0.35">
      <c r="A23" s="26"/>
      <c r="B23" s="41" t="s">
        <v>28</v>
      </c>
      <c r="C23" s="110">
        <v>200</v>
      </c>
      <c r="D23" s="111">
        <v>200</v>
      </c>
      <c r="E23" s="111">
        <v>200</v>
      </c>
      <c r="F23" s="111">
        <v>200</v>
      </c>
      <c r="G23" s="111">
        <v>200</v>
      </c>
      <c r="H23" s="111">
        <v>1000</v>
      </c>
      <c r="I23" s="111">
        <v>200</v>
      </c>
      <c r="J23" s="111">
        <v>200</v>
      </c>
      <c r="K23" s="111">
        <v>200</v>
      </c>
      <c r="L23" s="111">
        <v>200</v>
      </c>
      <c r="M23" s="111">
        <v>200</v>
      </c>
      <c r="N23" s="111">
        <v>1000</v>
      </c>
      <c r="O23" s="103">
        <f t="shared" si="2"/>
        <v>4000</v>
      </c>
    </row>
    <row r="24" spans="1:15" ht="24.95" customHeight="1" thickBot="1" x14ac:dyDescent="0.35">
      <c r="A24" s="26"/>
      <c r="B24" s="41" t="s">
        <v>29</v>
      </c>
      <c r="C24" s="110">
        <v>5000</v>
      </c>
      <c r="D24" s="111">
        <v>0</v>
      </c>
      <c r="E24" s="111">
        <v>0</v>
      </c>
      <c r="F24" s="111">
        <v>5000</v>
      </c>
      <c r="G24" s="111">
        <v>0</v>
      </c>
      <c r="H24" s="111">
        <v>0</v>
      </c>
      <c r="I24" s="111">
        <v>5000</v>
      </c>
      <c r="J24" s="111">
        <v>0</v>
      </c>
      <c r="K24" s="111">
        <v>0</v>
      </c>
      <c r="L24" s="111">
        <v>5000</v>
      </c>
      <c r="M24" s="111">
        <v>0</v>
      </c>
      <c r="N24" s="111">
        <v>0</v>
      </c>
      <c r="O24" s="103">
        <f t="shared" si="2"/>
        <v>20000</v>
      </c>
    </row>
    <row r="25" spans="1:15" ht="24.95" customHeight="1" thickBot="1" x14ac:dyDescent="0.35">
      <c r="A25" s="26"/>
      <c r="B25" s="41" t="s">
        <v>30</v>
      </c>
      <c r="C25" s="110">
        <v>200</v>
      </c>
      <c r="D25" s="111">
        <v>200</v>
      </c>
      <c r="E25" s="111">
        <v>200</v>
      </c>
      <c r="F25" s="111">
        <v>200</v>
      </c>
      <c r="G25" s="111">
        <v>200</v>
      </c>
      <c r="H25" s="111">
        <v>200</v>
      </c>
      <c r="I25" s="111">
        <v>200</v>
      </c>
      <c r="J25" s="111">
        <v>200</v>
      </c>
      <c r="K25" s="111">
        <v>200</v>
      </c>
      <c r="L25" s="111">
        <v>200</v>
      </c>
      <c r="M25" s="111">
        <v>200</v>
      </c>
      <c r="N25" s="111">
        <v>200</v>
      </c>
      <c r="O25" s="103">
        <f t="shared" si="2"/>
        <v>2400</v>
      </c>
    </row>
    <row r="26" spans="1:15" ht="24.95" customHeight="1" thickBot="1" x14ac:dyDescent="0.35">
      <c r="A26" s="26"/>
      <c r="B26" s="41" t="s">
        <v>31</v>
      </c>
      <c r="C26" s="110">
        <v>2000</v>
      </c>
      <c r="D26" s="111">
        <v>2000</v>
      </c>
      <c r="E26" s="111">
        <v>2000</v>
      </c>
      <c r="F26" s="111">
        <v>5000</v>
      </c>
      <c r="G26" s="111">
        <v>2000</v>
      </c>
      <c r="H26" s="111">
        <v>2000</v>
      </c>
      <c r="I26" s="111">
        <v>2000</v>
      </c>
      <c r="J26" s="111">
        <v>5000</v>
      </c>
      <c r="K26" s="111">
        <v>2000</v>
      </c>
      <c r="L26" s="111">
        <v>2000</v>
      </c>
      <c r="M26" s="111">
        <v>2000</v>
      </c>
      <c r="N26" s="111">
        <v>5000</v>
      </c>
      <c r="O26" s="103">
        <f t="shared" si="2"/>
        <v>33000</v>
      </c>
    </row>
    <row r="27" spans="1:15" ht="24.95" customHeight="1" thickBot="1" x14ac:dyDescent="0.35">
      <c r="A27" s="26"/>
      <c r="B27" s="41" t="s">
        <v>32</v>
      </c>
      <c r="C27" s="110">
        <v>200</v>
      </c>
      <c r="D27" s="111">
        <v>200</v>
      </c>
      <c r="E27" s="111">
        <v>200</v>
      </c>
      <c r="F27" s="111">
        <v>200</v>
      </c>
      <c r="G27" s="111">
        <v>200</v>
      </c>
      <c r="H27" s="111">
        <v>200</v>
      </c>
      <c r="I27" s="111">
        <v>200</v>
      </c>
      <c r="J27" s="111">
        <v>200</v>
      </c>
      <c r="K27" s="111">
        <v>200</v>
      </c>
      <c r="L27" s="111">
        <v>200</v>
      </c>
      <c r="M27" s="111">
        <v>200</v>
      </c>
      <c r="N27" s="111">
        <v>200</v>
      </c>
      <c r="O27" s="103">
        <f t="shared" si="2"/>
        <v>2400</v>
      </c>
    </row>
    <row r="28" spans="1:15" ht="24.95" customHeight="1" x14ac:dyDescent="0.3">
      <c r="A28" s="26"/>
      <c r="B28" s="43" t="s">
        <v>16</v>
      </c>
      <c r="C28" s="104">
        <f>SUBTOTAL(109,Planif.Marketing[Ian])</f>
        <v>8100</v>
      </c>
      <c r="D28" s="105">
        <f>SUBTOTAL(109,Planif.Marketing[Feb])</f>
        <v>3100</v>
      </c>
      <c r="E28" s="105">
        <f>SUBTOTAL(109,Planif.Marketing[Mar])</f>
        <v>3100</v>
      </c>
      <c r="F28" s="105">
        <f>SUBTOTAL(109,Planif.Marketing[Apr])</f>
        <v>11100</v>
      </c>
      <c r="G28" s="105">
        <f>SUBTOTAL(109,Planif.Marketing[Mai])</f>
        <v>3100</v>
      </c>
      <c r="H28" s="105">
        <f>SUBTOTAL(109,Planif.Marketing[Iun])</f>
        <v>3900</v>
      </c>
      <c r="I28" s="105">
        <f>SUBTOTAL(109,Planif.Marketing[Iul])</f>
        <v>8100</v>
      </c>
      <c r="J28" s="105">
        <f>SUBTOTAL(109,Planif.Marketing[Aug])</f>
        <v>6100</v>
      </c>
      <c r="K28" s="105">
        <f>SUBTOTAL(109,Planif.Marketing[Sep])</f>
        <v>3100</v>
      </c>
      <c r="L28" s="105">
        <f>SUBTOTAL(109,Planif.Marketing[Oct])</f>
        <v>8100</v>
      </c>
      <c r="M28" s="105">
        <f>SUBTOTAL(109,Planif.Marketing[Nov])</f>
        <v>3100</v>
      </c>
      <c r="N28" s="105">
        <f>SUBTOTAL(109,Planif.Marketing[Dec])</f>
        <v>6900</v>
      </c>
      <c r="O28" s="106">
        <f>SUBTOTAL(109,Planif.Marketing[AN])</f>
        <v>67800</v>
      </c>
    </row>
    <row r="29" spans="1:15" ht="21" customHeight="1" x14ac:dyDescent="0.3">
      <c r="A29" s="26"/>
      <c r="B29" s="87"/>
      <c r="C29" s="87"/>
      <c r="D29" s="132"/>
      <c r="E29" s="132"/>
      <c r="F29" s="132"/>
      <c r="G29" s="132"/>
      <c r="H29" s="132"/>
      <c r="I29" s="132"/>
      <c r="J29" s="132"/>
      <c r="K29" s="132"/>
      <c r="L29" s="132"/>
      <c r="M29" s="132"/>
      <c r="N29" s="132"/>
      <c r="O29" s="131"/>
    </row>
    <row r="30" spans="1:15" ht="21" customHeight="1" thickBot="1" x14ac:dyDescent="0.35">
      <c r="A30" s="26" t="s">
        <v>10</v>
      </c>
      <c r="B30" s="53" t="s">
        <v>33</v>
      </c>
      <c r="C30" s="45" t="s">
        <v>39</v>
      </c>
      <c r="D30" s="45" t="s">
        <v>41</v>
      </c>
      <c r="E30" s="80" t="s">
        <v>43</v>
      </c>
      <c r="F30" s="45" t="s">
        <v>45</v>
      </c>
      <c r="G30" s="45" t="s">
        <v>47</v>
      </c>
      <c r="H30" s="45" t="s">
        <v>49</v>
      </c>
      <c r="I30" s="45" t="s">
        <v>51</v>
      </c>
      <c r="J30" s="45" t="s">
        <v>53</v>
      </c>
      <c r="K30" s="45" t="s">
        <v>57</v>
      </c>
      <c r="L30" s="45" t="s">
        <v>59</v>
      </c>
      <c r="M30" s="45" t="s">
        <v>61</v>
      </c>
      <c r="N30" s="45" t="s">
        <v>64</v>
      </c>
      <c r="O30" s="46" t="s">
        <v>65</v>
      </c>
    </row>
    <row r="31" spans="1:15" ht="21" customHeight="1" thickBot="1" x14ac:dyDescent="0.35">
      <c r="A31" s="26"/>
      <c r="B31" s="41" t="s">
        <v>34</v>
      </c>
      <c r="C31" s="110">
        <v>2000</v>
      </c>
      <c r="D31" s="111">
        <v>2000</v>
      </c>
      <c r="E31" s="111">
        <v>2000</v>
      </c>
      <c r="F31" s="111">
        <v>2000</v>
      </c>
      <c r="G31" s="111">
        <v>2000</v>
      </c>
      <c r="H31" s="111">
        <v>2000</v>
      </c>
      <c r="I31" s="111">
        <v>2000</v>
      </c>
      <c r="J31" s="111">
        <v>2000</v>
      </c>
      <c r="K31" s="111">
        <v>2000</v>
      </c>
      <c r="L31" s="111">
        <v>2000</v>
      </c>
      <c r="M31" s="111">
        <v>2000</v>
      </c>
      <c r="N31" s="111">
        <v>2000</v>
      </c>
      <c r="O31" s="112">
        <f>SUM(C31:N31)</f>
        <v>24000</v>
      </c>
    </row>
    <row r="32" spans="1:15" ht="21" customHeight="1" thickBot="1" x14ac:dyDescent="0.35">
      <c r="A32" s="26"/>
      <c r="B32" s="41" t="s">
        <v>35</v>
      </c>
      <c r="C32" s="110">
        <v>2000</v>
      </c>
      <c r="D32" s="111">
        <v>2000</v>
      </c>
      <c r="E32" s="111">
        <v>2000</v>
      </c>
      <c r="F32" s="111">
        <v>2000</v>
      </c>
      <c r="G32" s="111">
        <v>2000</v>
      </c>
      <c r="H32" s="111">
        <v>2000</v>
      </c>
      <c r="I32" s="111">
        <v>2000</v>
      </c>
      <c r="J32" s="111">
        <v>2000</v>
      </c>
      <c r="K32" s="111">
        <v>2000</v>
      </c>
      <c r="L32" s="111">
        <v>2000</v>
      </c>
      <c r="M32" s="111">
        <v>2000</v>
      </c>
      <c r="N32" s="111">
        <v>2000</v>
      </c>
      <c r="O32" s="112">
        <f>SUM(C32:N32)</f>
        <v>24000</v>
      </c>
    </row>
    <row r="33" spans="1:15" ht="21" customHeight="1" x14ac:dyDescent="0.3">
      <c r="A33" s="26"/>
      <c r="B33" s="43" t="s">
        <v>16</v>
      </c>
      <c r="C33" s="113">
        <f>SUBTOTAL(109,Planif.InstruireȘiDeplasare[Ian])</f>
        <v>4000</v>
      </c>
      <c r="D33" s="114">
        <f>SUBTOTAL(109,Planif.InstruireȘiDeplasare[Feb])</f>
        <v>4000</v>
      </c>
      <c r="E33" s="114">
        <f>SUBTOTAL(109,Planif.InstruireȘiDeplasare[Mar])</f>
        <v>4000</v>
      </c>
      <c r="F33" s="114">
        <f>SUBTOTAL(109,Planif.InstruireȘiDeplasare[Apr])</f>
        <v>4000</v>
      </c>
      <c r="G33" s="114">
        <f>SUBTOTAL(109,Planif.InstruireȘiDeplasare[Mai])</f>
        <v>4000</v>
      </c>
      <c r="H33" s="114">
        <f>SUBTOTAL(109,Planif.InstruireȘiDeplasare[Iun])</f>
        <v>4000</v>
      </c>
      <c r="I33" s="114">
        <f>SUBTOTAL(109,Planif.InstruireȘiDeplasare[Iul])</f>
        <v>4000</v>
      </c>
      <c r="J33" s="114">
        <f>SUBTOTAL(109,Planif.InstruireȘiDeplasare[Aug])</f>
        <v>4000</v>
      </c>
      <c r="K33" s="114">
        <f>SUBTOTAL(109,Planif.InstruireȘiDeplasare[Sep])</f>
        <v>4000</v>
      </c>
      <c r="L33" s="114">
        <f>SUBTOTAL(109,Planif.InstruireȘiDeplasare[Oct])</f>
        <v>4000</v>
      </c>
      <c r="M33" s="114">
        <f>SUBTOTAL(109,Planif.InstruireȘiDeplasare[Nov])</f>
        <v>4000</v>
      </c>
      <c r="N33" s="114">
        <f>SUBTOTAL(109,Planif.InstruireȘiDeplasare[Dec])</f>
        <v>4000</v>
      </c>
      <c r="O33" s="115">
        <f>SUBTOTAL(109,Planif.InstruireȘiDeplasare[AN])</f>
        <v>48000</v>
      </c>
    </row>
    <row r="34" spans="1:15" ht="21" customHeight="1" x14ac:dyDescent="0.3">
      <c r="A34" s="26"/>
      <c r="B34" s="87"/>
      <c r="C34" s="87"/>
      <c r="D34" s="131"/>
      <c r="E34" s="131"/>
      <c r="F34" s="131"/>
      <c r="G34" s="131"/>
      <c r="H34" s="131"/>
      <c r="I34" s="131"/>
      <c r="J34" s="131"/>
      <c r="K34" s="131"/>
      <c r="L34" s="131"/>
      <c r="M34" s="131"/>
      <c r="N34" s="131"/>
      <c r="O34" s="131"/>
    </row>
    <row r="35" spans="1:15" ht="24.95" customHeight="1" thickBot="1" x14ac:dyDescent="0.35">
      <c r="A35" s="26" t="s">
        <v>94</v>
      </c>
      <c r="B35" s="139" t="s">
        <v>89</v>
      </c>
      <c r="C35" s="140" t="s">
        <v>39</v>
      </c>
      <c r="D35" s="140" t="s">
        <v>41</v>
      </c>
      <c r="E35" s="140" t="s">
        <v>43</v>
      </c>
      <c r="F35" s="140" t="s">
        <v>45</v>
      </c>
      <c r="G35" s="140" t="s">
        <v>47</v>
      </c>
      <c r="H35" s="140" t="s">
        <v>49</v>
      </c>
      <c r="I35" s="140" t="s">
        <v>51</v>
      </c>
      <c r="J35" s="140" t="s">
        <v>53</v>
      </c>
      <c r="K35" s="140" t="s">
        <v>57</v>
      </c>
      <c r="L35" s="140" t="s">
        <v>59</v>
      </c>
      <c r="M35" s="140" t="s">
        <v>61</v>
      </c>
      <c r="N35" s="140" t="s">
        <v>64</v>
      </c>
      <c r="O35" s="140" t="s">
        <v>66</v>
      </c>
    </row>
    <row r="36" spans="1:15" ht="24.95" customHeight="1" thickBot="1" x14ac:dyDescent="0.35">
      <c r="A36" s="26"/>
      <c r="B36" s="21" t="s">
        <v>36</v>
      </c>
      <c r="C36" s="116">
        <f>Planif.InstruireȘiDeplasare[[#Totals],[Ian]]+Planif.Marketing[[#Totals],[Ian]]+Planif.Birou[[#Totals],[Ian]]+Planif.Angajați[[#Totals],[Ian]]</f>
        <v>131420</v>
      </c>
      <c r="D36" s="116">
        <f>Planif.InstruireȘiDeplasare[[#Totals],[Feb]]+Planif.Marketing[[#Totals],[Feb]]+Planif.Birou[[#Totals],[Feb]]+Planif.Angajați[[#Totals],[Feb]]</f>
        <v>126820</v>
      </c>
      <c r="E36" s="116">
        <f>Planif.InstruireȘiDeplasare[[#Totals],[Mar]]+Planif.Marketing[[#Totals],[Mar]]+Planif.Birou[[#Totals],[Mar]]+Planif.Angajați[[#Totals],[Mar]]</f>
        <v>126820</v>
      </c>
      <c r="F36" s="116">
        <f>Planif.InstruireȘiDeplasare[[#Totals],[Apr]]+Planif.Marketing[[#Totals],[Apr]]+Planif.Birou[[#Totals],[Apr]]+Planif.Angajați[[#Totals],[Apr]]</f>
        <v>137695</v>
      </c>
      <c r="G36" s="116">
        <f>Planif.InstruireȘiDeplasare[[#Totals],[Mai]]+Planif.Marketing[[#Totals],[Mai]]+Planif.Birou[[#Totals],[Mai]]+Planif.Angajați[[#Totals],[Mai]]</f>
        <v>129695</v>
      </c>
      <c r="H36" s="116">
        <f>Planif.InstruireȘiDeplasare[[#Totals],[Iun]]+Planif.Marketing[[#Totals],[Iun]]+Planif.Birou[[#Totals],[Iun]]+Planif.Angajați[[#Totals],[Iun]]</f>
        <v>130495</v>
      </c>
      <c r="I36" s="117">
        <f>Planif.InstruireȘiDeplasare[[#Totals],[Iul]]+Planif.Marketing[[#Totals],[Iul]]+Planif.Birou[[#Totals],[Iul]]+Planif.Angajați[[#Totals],[Iul]]</f>
        <v>134695</v>
      </c>
      <c r="J36" s="116">
        <f>Planif.InstruireȘiDeplasare[[#Totals],[Aug]]+Planif.Marketing[[#Totals],[Aug]]+Planif.Birou[[#Totals],[Aug]]+Planif.Angajați[[#Totals],[Aug]]</f>
        <v>138918</v>
      </c>
      <c r="K36" s="116">
        <f>Planif.InstruireȘiDeplasare[[#Totals],[Sep]]+Planif.Marketing[[#Totals],[Sep]]+Planif.Birou[[#Totals],[Sep]]+Planif.Angajați[[#Totals],[Sep]]</f>
        <v>135918</v>
      </c>
      <c r="L36" s="116">
        <f>Planif.InstruireȘiDeplasare[[#Totals],[Oct]]+Planif.Marketing[[#Totals],[Oct]]+Planif.Birou[[#Totals],[Oct]]+Planif.Angajați[[#Totals],[Oct]]</f>
        <v>140918</v>
      </c>
      <c r="M36" s="116">
        <f>Planif.InstruireȘiDeplasare[[#Totals],[Nov]]+Planif.Marketing[[#Totals],[Nov]]+Planif.Birou[[#Totals],[Nov]]+Planif.Angajați[[#Totals],[Nov]]</f>
        <v>136218</v>
      </c>
      <c r="N36" s="116">
        <f>Planif.InstruireȘiDeplasare[[#Totals],[Dec]]+Planif.Marketing[[#Totals],[Dec]]+Planif.Birou[[#Totals],[Dec]]+Planif.Angajați[[#Totals],[Dec]]</f>
        <v>140018</v>
      </c>
      <c r="O36" s="116">
        <f>Planif.InstruireȘiDeplasare[[#Totals],[AN]]+Planif.Marketing[[#Totals],[AN]]+Planif.Birou[[#Totals],[AN]]+Planif.Angajați[[#Totals],[AN]]</f>
        <v>1609630</v>
      </c>
    </row>
    <row r="37" spans="1:15" ht="24.95" customHeight="1" x14ac:dyDescent="0.3">
      <c r="A37" s="26"/>
      <c r="B37" s="21" t="s">
        <v>37</v>
      </c>
      <c r="C37" s="116">
        <f>SUM($C$36:C36)</f>
        <v>131420</v>
      </c>
      <c r="D37" s="116">
        <f>SUM($C$36:D36)</f>
        <v>258240</v>
      </c>
      <c r="E37" s="116">
        <f>SUM($C$36:E36)</f>
        <v>385060</v>
      </c>
      <c r="F37" s="116">
        <f>SUM($C$36:F36)</f>
        <v>522755</v>
      </c>
      <c r="G37" s="116">
        <f>SUM($C$36:G36)</f>
        <v>652450</v>
      </c>
      <c r="H37" s="116">
        <f>SUM($C$36:H36)</f>
        <v>782945</v>
      </c>
      <c r="I37" s="116">
        <f>SUM($C$36:I36)</f>
        <v>917640</v>
      </c>
      <c r="J37" s="116">
        <f>SUM($C$36:J36)</f>
        <v>1056558</v>
      </c>
      <c r="K37" s="116">
        <f>SUM($C$36:K36)</f>
        <v>1192476</v>
      </c>
      <c r="L37" s="116">
        <f>SUM($C$36:L36)</f>
        <v>1333394</v>
      </c>
      <c r="M37" s="116">
        <f>SUM($C$36:M36)</f>
        <v>1469612</v>
      </c>
      <c r="N37" s="116">
        <f>SUM($C$36:N36)</f>
        <v>1609630</v>
      </c>
      <c r="O37" s="116"/>
    </row>
    <row r="38" spans="1:15" ht="21" customHeight="1" x14ac:dyDescent="0.3">
      <c r="A38" s="26"/>
      <c r="N38" s="3"/>
      <c r="O38" s="3"/>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zoomScaleNormal="100" workbookViewId="0"/>
  </sheetViews>
  <sheetFormatPr defaultColWidth="9.140625" defaultRowHeight="21" customHeight="1" x14ac:dyDescent="0.3"/>
  <cols>
    <col min="1" max="1" width="4.7109375" style="1" customWidth="1"/>
    <col min="2" max="2" width="44.5703125" style="4" customWidth="1"/>
    <col min="3" max="14" width="15.85546875" style="4" customWidth="1"/>
    <col min="15" max="15" width="16.28515625" style="4" customWidth="1"/>
    <col min="16" max="16" width="4.7109375" style="1" customWidth="1"/>
    <col min="17" max="16384" width="9.140625" style="4"/>
  </cols>
  <sheetData>
    <row r="1" spans="1:16" s="1" customFormat="1" ht="24" customHeight="1" x14ac:dyDescent="0.3">
      <c r="A1" s="27" t="s">
        <v>95</v>
      </c>
      <c r="B1" s="10"/>
      <c r="C1" s="10"/>
      <c r="D1" s="10"/>
      <c r="E1" s="10"/>
      <c r="F1" s="7"/>
      <c r="G1" s="7"/>
      <c r="H1" s="7"/>
      <c r="I1" s="7"/>
      <c r="J1" s="7"/>
      <c r="K1" s="7"/>
      <c r="L1" s="7"/>
      <c r="M1" s="7"/>
      <c r="N1" s="7"/>
      <c r="O1" s="7"/>
      <c r="P1" s="59" t="s">
        <v>67</v>
      </c>
    </row>
    <row r="2" spans="1:16" s="1" customFormat="1" ht="45" customHeight="1" x14ac:dyDescent="0.35">
      <c r="A2" s="25" t="s">
        <v>69</v>
      </c>
      <c r="B2" s="135" t="str">
        <f>'CHELTUIELI PLANIFICATE'!B2:D3</f>
        <v>Numele firmei</v>
      </c>
      <c r="C2" s="89"/>
      <c r="D2" s="89"/>
      <c r="E2" s="148"/>
      <c r="F2" s="8"/>
      <c r="G2" s="8"/>
      <c r="H2" s="8"/>
      <c r="I2" s="8"/>
      <c r="J2" s="8"/>
      <c r="K2" s="137" t="str">
        <f>titlu_foaie_de_lucru</f>
        <v>Estimări detaliate cheltuieli</v>
      </c>
      <c r="L2" s="86"/>
      <c r="M2" s="86"/>
      <c r="N2" s="85" t="s">
        <v>62</v>
      </c>
      <c r="O2" s="85"/>
      <c r="P2" s="7"/>
    </row>
    <row r="3" spans="1:16" s="1" customFormat="1" ht="30" customHeight="1" x14ac:dyDescent="0.3">
      <c r="A3" s="25" t="s">
        <v>8</v>
      </c>
      <c r="B3" s="89"/>
      <c r="C3" s="89"/>
      <c r="D3" s="89"/>
      <c r="E3" s="149"/>
      <c r="F3" s="9"/>
      <c r="G3" s="9"/>
      <c r="H3" s="9"/>
      <c r="I3" s="9"/>
      <c r="J3" s="9"/>
      <c r="K3" s="91" t="s">
        <v>55</v>
      </c>
      <c r="L3" s="91"/>
      <c r="M3" s="91"/>
      <c r="N3" s="85"/>
      <c r="O3" s="85"/>
      <c r="P3" s="7"/>
    </row>
    <row r="4" spans="1:16" s="20" customFormat="1" ht="49.5" customHeight="1" x14ac:dyDescent="0.3">
      <c r="A4" s="28" t="s">
        <v>70</v>
      </c>
      <c r="B4" s="136" t="s">
        <v>72</v>
      </c>
      <c r="C4" s="138" t="s">
        <v>38</v>
      </c>
      <c r="D4" s="138" t="s">
        <v>40</v>
      </c>
      <c r="E4" s="138" t="s">
        <v>42</v>
      </c>
      <c r="F4" s="138" t="s">
        <v>44</v>
      </c>
      <c r="G4" s="138" t="s">
        <v>46</v>
      </c>
      <c r="H4" s="138" t="s">
        <v>48</v>
      </c>
      <c r="I4" s="138" t="s">
        <v>50</v>
      </c>
      <c r="J4" s="138" t="s">
        <v>52</v>
      </c>
      <c r="K4" s="138" t="s">
        <v>56</v>
      </c>
      <c r="L4" s="138" t="s">
        <v>58</v>
      </c>
      <c r="M4" s="138" t="s">
        <v>60</v>
      </c>
      <c r="N4" s="138" t="s">
        <v>63</v>
      </c>
      <c r="O4" s="138" t="s">
        <v>65</v>
      </c>
    </row>
    <row r="5" spans="1:16" s="5" customFormat="1" ht="24.95" customHeight="1" thickBot="1" x14ac:dyDescent="0.35">
      <c r="A5" s="35" t="s">
        <v>96</v>
      </c>
      <c r="B5" s="40" t="s">
        <v>13</v>
      </c>
      <c r="C5" s="64" t="s">
        <v>39</v>
      </c>
      <c r="D5" s="60" t="s">
        <v>41</v>
      </c>
      <c r="E5" s="60" t="s">
        <v>43</v>
      </c>
      <c r="F5" s="60" t="s">
        <v>45</v>
      </c>
      <c r="G5" s="60" t="s">
        <v>47</v>
      </c>
      <c r="H5" s="60" t="s">
        <v>49</v>
      </c>
      <c r="I5" s="60" t="s">
        <v>51</v>
      </c>
      <c r="J5" s="60" t="s">
        <v>53</v>
      </c>
      <c r="K5" s="60" t="s">
        <v>57</v>
      </c>
      <c r="L5" s="60" t="s">
        <v>59</v>
      </c>
      <c r="M5" s="60" t="s">
        <v>61</v>
      </c>
      <c r="N5" s="60" t="s">
        <v>64</v>
      </c>
      <c r="O5" s="61" t="s">
        <v>65</v>
      </c>
      <c r="P5" s="3"/>
    </row>
    <row r="6" spans="1:16" s="5" customFormat="1" ht="24.95" customHeight="1" thickBot="1" x14ac:dyDescent="0.35">
      <c r="A6" s="26"/>
      <c r="B6" s="41" t="s">
        <v>14</v>
      </c>
      <c r="C6" s="110">
        <v>85000</v>
      </c>
      <c r="D6" s="111">
        <v>85000</v>
      </c>
      <c r="E6" s="111">
        <v>85000</v>
      </c>
      <c r="F6" s="111">
        <v>88000</v>
      </c>
      <c r="G6" s="111">
        <v>88000</v>
      </c>
      <c r="H6" s="111">
        <v>88000</v>
      </c>
      <c r="I6" s="111"/>
      <c r="J6" s="111"/>
      <c r="K6" s="111"/>
      <c r="L6" s="111"/>
      <c r="M6" s="111"/>
      <c r="N6" s="111"/>
      <c r="O6" s="112">
        <f>SUM(C6:N6)</f>
        <v>519000</v>
      </c>
      <c r="P6" s="1"/>
    </row>
    <row r="7" spans="1:16" s="5" customFormat="1" ht="24.95" customHeight="1" thickBot="1" x14ac:dyDescent="0.35">
      <c r="A7" s="26"/>
      <c r="B7" s="41" t="s">
        <v>15</v>
      </c>
      <c r="C7" s="110">
        <f t="shared" ref="C7:N7" si="0">C6*0.27</f>
        <v>22950</v>
      </c>
      <c r="D7" s="111">
        <f t="shared" si="0"/>
        <v>22950</v>
      </c>
      <c r="E7" s="111">
        <f t="shared" si="0"/>
        <v>22950</v>
      </c>
      <c r="F7" s="111">
        <f t="shared" si="0"/>
        <v>23760</v>
      </c>
      <c r="G7" s="111">
        <f t="shared" si="0"/>
        <v>23760</v>
      </c>
      <c r="H7" s="111">
        <f t="shared" si="0"/>
        <v>23760</v>
      </c>
      <c r="I7" s="111">
        <f t="shared" si="0"/>
        <v>0</v>
      </c>
      <c r="J7" s="111">
        <f t="shared" si="0"/>
        <v>0</v>
      </c>
      <c r="K7" s="111">
        <f t="shared" si="0"/>
        <v>0</v>
      </c>
      <c r="L7" s="111">
        <f t="shared" si="0"/>
        <v>0</v>
      </c>
      <c r="M7" s="111">
        <f t="shared" si="0"/>
        <v>0</v>
      </c>
      <c r="N7" s="111">
        <f t="shared" si="0"/>
        <v>0</v>
      </c>
      <c r="O7" s="112">
        <f>SUM(C7:N7)</f>
        <v>140130</v>
      </c>
      <c r="P7" s="1"/>
    </row>
    <row r="8" spans="1:16" ht="24.95" customHeight="1" x14ac:dyDescent="0.3">
      <c r="A8" s="26"/>
      <c r="B8" s="65" t="s">
        <v>16</v>
      </c>
      <c r="C8" s="123">
        <f>SUBTOTAL(109,RealeAngajați[Ian])</f>
        <v>107950</v>
      </c>
      <c r="D8" s="118">
        <f>SUBTOTAL(109,RealeAngajați[Feb])</f>
        <v>107950</v>
      </c>
      <c r="E8" s="118">
        <f>SUBTOTAL(109,RealeAngajați[Mar])</f>
        <v>107950</v>
      </c>
      <c r="F8" s="118">
        <f>SUBTOTAL(109,RealeAngajați[Apr])</f>
        <v>111760</v>
      </c>
      <c r="G8" s="118">
        <f>SUBTOTAL(109,RealeAngajați[Mai])</f>
        <v>111760</v>
      </c>
      <c r="H8" s="118">
        <f>SUBTOTAL(109,RealeAngajați[Iun])</f>
        <v>111760</v>
      </c>
      <c r="I8" s="118">
        <f>SUBTOTAL(109,RealeAngajați[Iul])</f>
        <v>0</v>
      </c>
      <c r="J8" s="118">
        <f>SUBTOTAL(109,RealeAngajați[Aug])</f>
        <v>0</v>
      </c>
      <c r="K8" s="118">
        <f>SUBTOTAL(109,RealeAngajați[Sep])</f>
        <v>0</v>
      </c>
      <c r="L8" s="118">
        <f>SUBTOTAL(109,RealeAngajați[Oct])</f>
        <v>0</v>
      </c>
      <c r="M8" s="118">
        <f>SUBTOTAL(109,RealeAngajați[Nov])</f>
        <v>0</v>
      </c>
      <c r="N8" s="118">
        <f>SUBTOTAL(109,RealeAngajați[Dec])</f>
        <v>0</v>
      </c>
      <c r="O8" s="119">
        <f>SUBTOTAL(109,RealeAngajați[AN])</f>
        <v>659130</v>
      </c>
    </row>
    <row r="9" spans="1:16" s="1" customFormat="1" ht="21" customHeight="1" x14ac:dyDescent="0.3">
      <c r="A9" s="26"/>
      <c r="B9" s="87"/>
      <c r="C9" s="87"/>
      <c r="D9" s="130"/>
      <c r="E9" s="130"/>
      <c r="F9" s="130"/>
      <c r="G9" s="130"/>
      <c r="H9" s="130"/>
      <c r="I9" s="130"/>
      <c r="J9" s="130"/>
      <c r="K9" s="130"/>
      <c r="L9" s="130"/>
      <c r="M9" s="130"/>
      <c r="N9" s="130"/>
      <c r="O9" s="131"/>
    </row>
    <row r="10" spans="1:16" ht="24.95" customHeight="1" thickBot="1" x14ac:dyDescent="0.35">
      <c r="A10" s="26" t="s">
        <v>97</v>
      </c>
      <c r="B10" s="47" t="s">
        <v>17</v>
      </c>
      <c r="C10" s="64" t="s">
        <v>39</v>
      </c>
      <c r="D10" s="60" t="s">
        <v>41</v>
      </c>
      <c r="E10" s="81" t="s">
        <v>43</v>
      </c>
      <c r="F10" s="60" t="s">
        <v>45</v>
      </c>
      <c r="G10" s="60" t="s">
        <v>47</v>
      </c>
      <c r="H10" s="60" t="s">
        <v>49</v>
      </c>
      <c r="I10" s="60" t="s">
        <v>51</v>
      </c>
      <c r="J10" s="60" t="s">
        <v>53</v>
      </c>
      <c r="K10" s="60" t="s">
        <v>57</v>
      </c>
      <c r="L10" s="60" t="s">
        <v>59</v>
      </c>
      <c r="M10" s="60" t="s">
        <v>61</v>
      </c>
      <c r="N10" s="60" t="s">
        <v>64</v>
      </c>
      <c r="O10" s="61" t="s">
        <v>65</v>
      </c>
    </row>
    <row r="11" spans="1:16" ht="24.95" customHeight="1" thickBot="1" x14ac:dyDescent="0.35">
      <c r="A11" s="26"/>
      <c r="B11" s="41" t="s">
        <v>18</v>
      </c>
      <c r="C11" s="110">
        <v>9800</v>
      </c>
      <c r="D11" s="111">
        <v>9800</v>
      </c>
      <c r="E11" s="111">
        <v>9800</v>
      </c>
      <c r="F11" s="111">
        <v>9800</v>
      </c>
      <c r="G11" s="111">
        <v>9800</v>
      </c>
      <c r="H11" s="111">
        <v>9800</v>
      </c>
      <c r="I11" s="111"/>
      <c r="J11" s="111"/>
      <c r="K11" s="111"/>
      <c r="L11" s="111"/>
      <c r="M11" s="111"/>
      <c r="N11" s="111"/>
      <c r="O11" s="112">
        <f t="shared" ref="O11:O18" si="1">SUM(C11:N11)</f>
        <v>58800</v>
      </c>
    </row>
    <row r="12" spans="1:16" ht="24.95" customHeight="1" thickBot="1" x14ac:dyDescent="0.35">
      <c r="A12" s="26"/>
      <c r="B12" s="41" t="s">
        <v>19</v>
      </c>
      <c r="C12" s="110">
        <v>4</v>
      </c>
      <c r="D12" s="111">
        <v>430</v>
      </c>
      <c r="E12" s="111">
        <v>385</v>
      </c>
      <c r="F12" s="111">
        <v>230</v>
      </c>
      <c r="G12" s="111">
        <v>87</v>
      </c>
      <c r="H12" s="111">
        <v>88</v>
      </c>
      <c r="I12" s="111"/>
      <c r="J12" s="111"/>
      <c r="K12" s="111"/>
      <c r="L12" s="111"/>
      <c r="M12" s="111"/>
      <c r="N12" s="111"/>
      <c r="O12" s="112">
        <f t="shared" si="1"/>
        <v>1224</v>
      </c>
    </row>
    <row r="13" spans="1:16" ht="24.95" customHeight="1" thickBot="1" x14ac:dyDescent="0.35">
      <c r="A13" s="26"/>
      <c r="B13" s="41" t="s">
        <v>20</v>
      </c>
      <c r="C13" s="110">
        <v>288</v>
      </c>
      <c r="D13" s="111">
        <v>278</v>
      </c>
      <c r="E13" s="111">
        <v>268</v>
      </c>
      <c r="F13" s="111">
        <v>299</v>
      </c>
      <c r="G13" s="111">
        <v>306</v>
      </c>
      <c r="H13" s="111">
        <v>290</v>
      </c>
      <c r="I13" s="111"/>
      <c r="J13" s="111"/>
      <c r="K13" s="111"/>
      <c r="L13" s="111"/>
      <c r="M13" s="111"/>
      <c r="N13" s="111"/>
      <c r="O13" s="112">
        <f t="shared" si="1"/>
        <v>1729</v>
      </c>
    </row>
    <row r="14" spans="1:16" ht="24.95" customHeight="1" thickBot="1" x14ac:dyDescent="0.35">
      <c r="A14" s="26"/>
      <c r="B14" s="41" t="s">
        <v>21</v>
      </c>
      <c r="C14" s="110">
        <v>35</v>
      </c>
      <c r="D14" s="111">
        <v>33</v>
      </c>
      <c r="E14" s="111">
        <v>34</v>
      </c>
      <c r="F14" s="111">
        <v>36</v>
      </c>
      <c r="G14" s="111">
        <v>34</v>
      </c>
      <c r="H14" s="111">
        <v>36</v>
      </c>
      <c r="I14" s="111"/>
      <c r="J14" s="111"/>
      <c r="K14" s="111"/>
      <c r="L14" s="111"/>
      <c r="M14" s="111"/>
      <c r="N14" s="111"/>
      <c r="O14" s="112">
        <f t="shared" si="1"/>
        <v>208</v>
      </c>
    </row>
    <row r="15" spans="1:16" ht="24.95" customHeight="1" thickBot="1" x14ac:dyDescent="0.35">
      <c r="A15" s="26"/>
      <c r="B15" s="41" t="s">
        <v>22</v>
      </c>
      <c r="C15" s="110">
        <v>224</v>
      </c>
      <c r="D15" s="111">
        <v>235</v>
      </c>
      <c r="E15" s="111">
        <v>265</v>
      </c>
      <c r="F15" s="111">
        <v>245</v>
      </c>
      <c r="G15" s="111">
        <v>245</v>
      </c>
      <c r="H15" s="111">
        <v>220</v>
      </c>
      <c r="I15" s="111"/>
      <c r="J15" s="111"/>
      <c r="K15" s="111"/>
      <c r="L15" s="111"/>
      <c r="M15" s="111"/>
      <c r="N15" s="111"/>
      <c r="O15" s="112">
        <f t="shared" si="1"/>
        <v>1434</v>
      </c>
    </row>
    <row r="16" spans="1:16" ht="24.95" customHeight="1" thickBot="1" x14ac:dyDescent="0.35">
      <c r="A16" s="26"/>
      <c r="B16" s="41" t="s">
        <v>23</v>
      </c>
      <c r="C16" s="110">
        <v>180</v>
      </c>
      <c r="D16" s="111">
        <v>180</v>
      </c>
      <c r="E16" s="111">
        <v>180</v>
      </c>
      <c r="F16" s="111">
        <v>180</v>
      </c>
      <c r="G16" s="111">
        <v>180</v>
      </c>
      <c r="H16" s="111">
        <v>180</v>
      </c>
      <c r="I16" s="111"/>
      <c r="J16" s="111"/>
      <c r="K16" s="111"/>
      <c r="L16" s="111"/>
      <c r="M16" s="111"/>
      <c r="N16" s="111"/>
      <c r="O16" s="112">
        <f t="shared" si="1"/>
        <v>1080</v>
      </c>
    </row>
    <row r="17" spans="1:15" ht="24.95" customHeight="1" thickBot="1" x14ac:dyDescent="0.35">
      <c r="A17" s="26"/>
      <c r="B17" s="41" t="s">
        <v>24</v>
      </c>
      <c r="C17" s="110">
        <v>256</v>
      </c>
      <c r="D17" s="111">
        <v>142</v>
      </c>
      <c r="E17" s="111">
        <v>160</v>
      </c>
      <c r="F17" s="111">
        <v>221</v>
      </c>
      <c r="G17" s="111">
        <v>256</v>
      </c>
      <c r="H17" s="111">
        <v>240</v>
      </c>
      <c r="I17" s="111"/>
      <c r="J17" s="111"/>
      <c r="K17" s="111"/>
      <c r="L17" s="111"/>
      <c r="M17" s="111"/>
      <c r="N17" s="111"/>
      <c r="O17" s="112">
        <f t="shared" si="1"/>
        <v>1275</v>
      </c>
    </row>
    <row r="18" spans="1:15" ht="24.95" customHeight="1" thickBot="1" x14ac:dyDescent="0.35">
      <c r="A18" s="26"/>
      <c r="B18" s="41" t="s">
        <v>25</v>
      </c>
      <c r="C18" s="110">
        <v>600</v>
      </c>
      <c r="D18" s="111">
        <v>600</v>
      </c>
      <c r="E18" s="111">
        <v>600</v>
      </c>
      <c r="F18" s="111">
        <v>600</v>
      </c>
      <c r="G18" s="111">
        <v>600</v>
      </c>
      <c r="H18" s="111">
        <v>600</v>
      </c>
      <c r="I18" s="111"/>
      <c r="J18" s="111"/>
      <c r="K18" s="111"/>
      <c r="L18" s="111"/>
      <c r="M18" s="111"/>
      <c r="N18" s="111"/>
      <c r="O18" s="112">
        <f t="shared" si="1"/>
        <v>3600</v>
      </c>
    </row>
    <row r="19" spans="1:15" ht="24.95" customHeight="1" x14ac:dyDescent="0.3">
      <c r="A19" s="26"/>
      <c r="B19" s="66" t="s">
        <v>16</v>
      </c>
      <c r="C19" s="114">
        <f>SUBTOTAL(109,RealeBirou[Ian])</f>
        <v>11387</v>
      </c>
      <c r="D19" s="114">
        <f>SUBTOTAL(109,RealeBirou[Feb])</f>
        <v>11698</v>
      </c>
      <c r="E19" s="114">
        <f>SUBTOTAL(109,RealeBirou[Mar])</f>
        <v>11692</v>
      </c>
      <c r="F19" s="114">
        <f>SUBTOTAL(109,RealeBirou[Apr])</f>
        <v>11611</v>
      </c>
      <c r="G19" s="114">
        <f>SUBTOTAL(109,RealeBirou[Mai])</f>
        <v>11508</v>
      </c>
      <c r="H19" s="114">
        <f>SUBTOTAL(109,RealeBirou[Iun])</f>
        <v>11454</v>
      </c>
      <c r="I19" s="114">
        <f>SUBTOTAL(109,RealeBirou[Iul])</f>
        <v>0</v>
      </c>
      <c r="J19" s="114">
        <f>SUBTOTAL(109,RealeBirou[Aug])</f>
        <v>0</v>
      </c>
      <c r="K19" s="114">
        <f>SUBTOTAL(109,RealeBirou[Sep])</f>
        <v>0</v>
      </c>
      <c r="L19" s="114">
        <f>SUBTOTAL(109,RealeBirou[Oct])</f>
        <v>0</v>
      </c>
      <c r="M19" s="114">
        <f>SUBTOTAL(109,RealeBirou[Nov])</f>
        <v>0</v>
      </c>
      <c r="N19" s="114">
        <f>SUBTOTAL(109,RealeBirou[Dec])</f>
        <v>0</v>
      </c>
      <c r="O19" s="115">
        <f>SUBTOTAL(109,RealeBirou[AN])</f>
        <v>69350</v>
      </c>
    </row>
    <row r="20" spans="1:15" ht="21" customHeight="1" x14ac:dyDescent="0.3">
      <c r="A20" s="26"/>
      <c r="B20" s="88"/>
      <c r="C20" s="88"/>
      <c r="D20" s="130"/>
      <c r="E20" s="130"/>
      <c r="F20" s="132"/>
      <c r="G20" s="132"/>
      <c r="H20" s="132"/>
      <c r="I20" s="132"/>
      <c r="J20" s="132"/>
      <c r="K20" s="132"/>
      <c r="L20" s="132"/>
      <c r="M20" s="132"/>
      <c r="N20" s="132"/>
      <c r="O20" s="131"/>
    </row>
    <row r="21" spans="1:15" ht="24.95" customHeight="1" thickBot="1" x14ac:dyDescent="0.35">
      <c r="A21" s="26" t="s">
        <v>98</v>
      </c>
      <c r="B21" s="67" t="s">
        <v>26</v>
      </c>
      <c r="C21" s="64" t="s">
        <v>39</v>
      </c>
      <c r="D21" s="60" t="s">
        <v>41</v>
      </c>
      <c r="E21" s="81" t="s">
        <v>43</v>
      </c>
      <c r="F21" s="60" t="s">
        <v>45</v>
      </c>
      <c r="G21" s="60" t="s">
        <v>47</v>
      </c>
      <c r="H21" s="60" t="s">
        <v>49</v>
      </c>
      <c r="I21" s="60" t="s">
        <v>51</v>
      </c>
      <c r="J21" s="60" t="s">
        <v>53</v>
      </c>
      <c r="K21" s="60" t="s">
        <v>57</v>
      </c>
      <c r="L21" s="60" t="s">
        <v>59</v>
      </c>
      <c r="M21" s="60" t="s">
        <v>61</v>
      </c>
      <c r="N21" s="60" t="s">
        <v>64</v>
      </c>
      <c r="O21" s="61" t="s">
        <v>65</v>
      </c>
    </row>
    <row r="22" spans="1:15" ht="24.95" customHeight="1" thickBot="1" x14ac:dyDescent="0.35">
      <c r="A22" s="26"/>
      <c r="B22" s="41" t="s">
        <v>27</v>
      </c>
      <c r="C22" s="110">
        <v>500</v>
      </c>
      <c r="D22" s="111">
        <v>500</v>
      </c>
      <c r="E22" s="111">
        <v>500</v>
      </c>
      <c r="F22" s="111">
        <v>500</v>
      </c>
      <c r="G22" s="111">
        <v>500</v>
      </c>
      <c r="H22" s="111">
        <v>500</v>
      </c>
      <c r="I22" s="111"/>
      <c r="J22" s="111"/>
      <c r="K22" s="111"/>
      <c r="L22" s="111"/>
      <c r="M22" s="111"/>
      <c r="N22" s="111"/>
      <c r="O22" s="112">
        <f t="shared" ref="O22:O27" si="2">SUM(C22:N22)</f>
        <v>3000</v>
      </c>
    </row>
    <row r="23" spans="1:15" ht="24.95" customHeight="1" thickBot="1" x14ac:dyDescent="0.35">
      <c r="A23" s="26"/>
      <c r="B23" s="41" t="s">
        <v>28</v>
      </c>
      <c r="C23" s="110">
        <v>200</v>
      </c>
      <c r="D23" s="111">
        <v>200</v>
      </c>
      <c r="E23" s="111">
        <v>200</v>
      </c>
      <c r="F23" s="111">
        <v>200</v>
      </c>
      <c r="G23" s="111">
        <v>200</v>
      </c>
      <c r="H23" s="111">
        <v>1500</v>
      </c>
      <c r="I23" s="111"/>
      <c r="J23" s="111"/>
      <c r="K23" s="111"/>
      <c r="L23" s="111"/>
      <c r="M23" s="111"/>
      <c r="N23" s="111"/>
      <c r="O23" s="112">
        <f t="shared" si="2"/>
        <v>2500</v>
      </c>
    </row>
    <row r="24" spans="1:15" ht="24.95" customHeight="1" thickBot="1" x14ac:dyDescent="0.35">
      <c r="A24" s="26"/>
      <c r="B24" s="41" t="s">
        <v>29</v>
      </c>
      <c r="C24" s="110">
        <v>4800</v>
      </c>
      <c r="D24" s="111">
        <v>0</v>
      </c>
      <c r="E24" s="111">
        <v>0</v>
      </c>
      <c r="F24" s="111">
        <v>5500</v>
      </c>
      <c r="G24" s="111">
        <v>0</v>
      </c>
      <c r="H24" s="111">
        <v>0</v>
      </c>
      <c r="I24" s="111"/>
      <c r="J24" s="111"/>
      <c r="K24" s="111"/>
      <c r="L24" s="111"/>
      <c r="M24" s="111"/>
      <c r="N24" s="111"/>
      <c r="O24" s="112">
        <f t="shared" si="2"/>
        <v>10300</v>
      </c>
    </row>
    <row r="25" spans="1:15" ht="24.95" customHeight="1" thickBot="1" x14ac:dyDescent="0.35">
      <c r="A25" s="26"/>
      <c r="B25" s="41" t="s">
        <v>30</v>
      </c>
      <c r="C25" s="110">
        <v>100</v>
      </c>
      <c r="D25" s="111">
        <v>500</v>
      </c>
      <c r="E25" s="111">
        <v>100</v>
      </c>
      <c r="F25" s="111">
        <v>100</v>
      </c>
      <c r="G25" s="111">
        <v>600</v>
      </c>
      <c r="H25" s="111">
        <v>180</v>
      </c>
      <c r="I25" s="111"/>
      <c r="J25" s="111"/>
      <c r="K25" s="111"/>
      <c r="L25" s="111"/>
      <c r="M25" s="111"/>
      <c r="N25" s="111"/>
      <c r="O25" s="112">
        <f t="shared" si="2"/>
        <v>1580</v>
      </c>
    </row>
    <row r="26" spans="1:15" ht="24.95" customHeight="1" thickBot="1" x14ac:dyDescent="0.35">
      <c r="A26" s="26"/>
      <c r="B26" s="41" t="s">
        <v>31</v>
      </c>
      <c r="C26" s="110">
        <v>1800</v>
      </c>
      <c r="D26" s="111">
        <v>2200</v>
      </c>
      <c r="E26" s="111">
        <v>2200</v>
      </c>
      <c r="F26" s="111">
        <v>4700</v>
      </c>
      <c r="G26" s="111">
        <v>1500</v>
      </c>
      <c r="H26" s="111">
        <v>2300</v>
      </c>
      <c r="I26" s="111"/>
      <c r="J26" s="111"/>
      <c r="K26" s="111"/>
      <c r="L26" s="111"/>
      <c r="M26" s="111"/>
      <c r="N26" s="111"/>
      <c r="O26" s="112">
        <f t="shared" si="2"/>
        <v>14700</v>
      </c>
    </row>
    <row r="27" spans="1:15" ht="24.95" customHeight="1" thickBot="1" x14ac:dyDescent="0.35">
      <c r="A27" s="26"/>
      <c r="B27" s="41" t="s">
        <v>32</v>
      </c>
      <c r="C27" s="110">
        <v>145</v>
      </c>
      <c r="D27" s="111">
        <v>156</v>
      </c>
      <c r="E27" s="111">
        <v>123</v>
      </c>
      <c r="F27" s="111">
        <v>223</v>
      </c>
      <c r="G27" s="111">
        <v>187</v>
      </c>
      <c r="H27" s="111">
        <v>245</v>
      </c>
      <c r="I27" s="111"/>
      <c r="J27" s="111"/>
      <c r="K27" s="111"/>
      <c r="L27" s="111"/>
      <c r="M27" s="111"/>
      <c r="N27" s="111"/>
      <c r="O27" s="112">
        <f t="shared" si="2"/>
        <v>1079</v>
      </c>
    </row>
    <row r="28" spans="1:15" ht="24.95" customHeight="1" x14ac:dyDescent="0.3">
      <c r="A28" s="26"/>
      <c r="B28" s="63" t="s">
        <v>16</v>
      </c>
      <c r="C28" s="124">
        <f>SUBTOTAL(109,RealeMarketing[Ian])</f>
        <v>7545</v>
      </c>
      <c r="D28" s="114">
        <f>SUBTOTAL(109,RealeMarketing[Feb])</f>
        <v>3556</v>
      </c>
      <c r="E28" s="114">
        <f>SUBTOTAL(109,RealeMarketing[Mar])</f>
        <v>3123</v>
      </c>
      <c r="F28" s="114">
        <f>SUBTOTAL(109,RealeMarketing[Apr])</f>
        <v>11223</v>
      </c>
      <c r="G28" s="114">
        <f>SUBTOTAL(109,RealeMarketing[Mai])</f>
        <v>2987</v>
      </c>
      <c r="H28" s="114">
        <f>SUBTOTAL(109,RealeMarketing[Iun])</f>
        <v>4725</v>
      </c>
      <c r="I28" s="114">
        <f>SUBTOTAL(109,RealeMarketing[Iul])</f>
        <v>0</v>
      </c>
      <c r="J28" s="114">
        <f>SUBTOTAL(109,RealeMarketing[Aug])</f>
        <v>0</v>
      </c>
      <c r="K28" s="114">
        <f>SUBTOTAL(109,RealeMarketing[Sep])</f>
        <v>0</v>
      </c>
      <c r="L28" s="114">
        <f>SUBTOTAL(109,RealeMarketing[Oct])</f>
        <v>0</v>
      </c>
      <c r="M28" s="114">
        <f>SUBTOTAL(109,RealeMarketing[Nov])</f>
        <v>0</v>
      </c>
      <c r="N28" s="114">
        <f>SUBTOTAL(109,RealeMarketing[Dec])</f>
        <v>0</v>
      </c>
      <c r="O28" s="115">
        <f>SUBTOTAL(109,RealeMarketing[AN])</f>
        <v>33159</v>
      </c>
    </row>
    <row r="29" spans="1:15" ht="21" customHeight="1" x14ac:dyDescent="0.3">
      <c r="A29" s="26"/>
      <c r="B29" s="87"/>
      <c r="C29" s="87"/>
      <c r="D29" s="132"/>
      <c r="E29" s="132"/>
      <c r="F29" s="132"/>
      <c r="G29" s="132"/>
      <c r="H29" s="132"/>
      <c r="I29" s="132"/>
      <c r="J29" s="132"/>
      <c r="K29" s="132"/>
      <c r="L29" s="132"/>
      <c r="M29" s="132"/>
      <c r="N29" s="132"/>
      <c r="O29" s="131"/>
    </row>
    <row r="30" spans="1:15" ht="24.95" customHeight="1" thickBot="1" x14ac:dyDescent="0.35">
      <c r="A30" s="26" t="s">
        <v>71</v>
      </c>
      <c r="B30" s="54" t="s">
        <v>33</v>
      </c>
      <c r="C30" s="60" t="s">
        <v>39</v>
      </c>
      <c r="D30" s="60" t="s">
        <v>41</v>
      </c>
      <c r="E30" s="81" t="s">
        <v>43</v>
      </c>
      <c r="F30" s="60" t="s">
        <v>45</v>
      </c>
      <c r="G30" s="60" t="s">
        <v>47</v>
      </c>
      <c r="H30" s="60" t="s">
        <v>49</v>
      </c>
      <c r="I30" s="60" t="s">
        <v>51</v>
      </c>
      <c r="J30" s="60" t="s">
        <v>53</v>
      </c>
      <c r="K30" s="60" t="s">
        <v>57</v>
      </c>
      <c r="L30" s="60" t="s">
        <v>59</v>
      </c>
      <c r="M30" s="60" t="s">
        <v>61</v>
      </c>
      <c r="N30" s="60" t="s">
        <v>64</v>
      </c>
      <c r="O30" s="61" t="s">
        <v>65</v>
      </c>
    </row>
    <row r="31" spans="1:15" ht="24.95" customHeight="1" thickBot="1" x14ac:dyDescent="0.35">
      <c r="A31" s="26"/>
      <c r="B31" s="62" t="s">
        <v>34</v>
      </c>
      <c r="C31" s="111">
        <v>1600</v>
      </c>
      <c r="D31" s="111">
        <v>2400</v>
      </c>
      <c r="E31" s="111">
        <v>1400</v>
      </c>
      <c r="F31" s="111">
        <v>1600</v>
      </c>
      <c r="G31" s="111">
        <v>1200</v>
      </c>
      <c r="H31" s="111">
        <v>2800</v>
      </c>
      <c r="I31" s="111"/>
      <c r="J31" s="111"/>
      <c r="K31" s="111"/>
      <c r="L31" s="111"/>
      <c r="M31" s="111"/>
      <c r="N31" s="111"/>
      <c r="O31" s="112">
        <f>SUM(C31:N31)</f>
        <v>11000</v>
      </c>
    </row>
    <row r="32" spans="1:15" ht="24.95" customHeight="1" thickBot="1" x14ac:dyDescent="0.35">
      <c r="A32" s="26"/>
      <c r="B32" s="62" t="s">
        <v>35</v>
      </c>
      <c r="C32" s="111">
        <v>1200</v>
      </c>
      <c r="D32" s="111">
        <v>2200</v>
      </c>
      <c r="E32" s="111">
        <v>1400</v>
      </c>
      <c r="F32" s="111">
        <v>1200</v>
      </c>
      <c r="G32" s="111">
        <v>800</v>
      </c>
      <c r="H32" s="111">
        <v>3500</v>
      </c>
      <c r="I32" s="111"/>
      <c r="J32" s="111"/>
      <c r="K32" s="111"/>
      <c r="L32" s="111"/>
      <c r="M32" s="111"/>
      <c r="N32" s="111"/>
      <c r="O32" s="112">
        <f>SUM(C32:N32)</f>
        <v>10300</v>
      </c>
    </row>
    <row r="33" spans="1:16" ht="24.95" customHeight="1" x14ac:dyDescent="0.3">
      <c r="A33" s="26"/>
      <c r="B33" s="66" t="s">
        <v>16</v>
      </c>
      <c r="C33" s="114">
        <f>SUBTOTAL(109,RealeInstruireȘiDeplasare[Ian])</f>
        <v>2800</v>
      </c>
      <c r="D33" s="114">
        <f>SUBTOTAL(109,RealeInstruireȘiDeplasare[Feb])</f>
        <v>4600</v>
      </c>
      <c r="E33" s="114">
        <f>SUBTOTAL(109,RealeInstruireȘiDeplasare[Mar])</f>
        <v>2800</v>
      </c>
      <c r="F33" s="114">
        <f>SUBTOTAL(109,RealeInstruireȘiDeplasare[Apr])</f>
        <v>2800</v>
      </c>
      <c r="G33" s="114">
        <f>SUBTOTAL(109,RealeInstruireȘiDeplasare[Mai])</f>
        <v>2000</v>
      </c>
      <c r="H33" s="114">
        <f>SUBTOTAL(109,RealeInstruireȘiDeplasare[Iun])</f>
        <v>6300</v>
      </c>
      <c r="I33" s="114">
        <f>SUBTOTAL(109,RealeInstruireȘiDeplasare[Iul])</f>
        <v>0</v>
      </c>
      <c r="J33" s="114">
        <f>SUBTOTAL(109,RealeInstruireȘiDeplasare[Aug])</f>
        <v>0</v>
      </c>
      <c r="K33" s="114">
        <f>SUBTOTAL(109,RealeInstruireȘiDeplasare[Sep])</f>
        <v>0</v>
      </c>
      <c r="L33" s="114">
        <f>SUBTOTAL(109,RealeInstruireȘiDeplasare[Oct])</f>
        <v>0</v>
      </c>
      <c r="M33" s="114">
        <f>SUBTOTAL(109,RealeInstruireȘiDeplasare[Nov])</f>
        <v>0</v>
      </c>
      <c r="N33" s="114">
        <f>SUBTOTAL(109,RealeInstruireȘiDeplasare[Dec])</f>
        <v>0</v>
      </c>
      <c r="O33" s="115">
        <f>SUBTOTAL(109,RealeInstruireȘiDeplasare[AN])</f>
        <v>21300</v>
      </c>
    </row>
    <row r="34" spans="1:16" ht="21" customHeight="1" x14ac:dyDescent="0.3">
      <c r="A34" s="26"/>
      <c r="B34" s="87"/>
      <c r="C34" s="87"/>
      <c r="D34" s="131"/>
      <c r="E34" s="131"/>
      <c r="F34" s="131"/>
      <c r="G34" s="131"/>
      <c r="H34" s="131"/>
      <c r="I34" s="131"/>
      <c r="J34" s="131"/>
      <c r="K34" s="131"/>
      <c r="L34" s="131"/>
      <c r="M34" s="131"/>
      <c r="N34" s="131"/>
      <c r="O34" s="131"/>
    </row>
    <row r="35" spans="1:16" ht="24.95" customHeight="1" thickBot="1" x14ac:dyDescent="0.35">
      <c r="A35" s="26" t="s">
        <v>99</v>
      </c>
      <c r="B35" s="141" t="s">
        <v>37</v>
      </c>
      <c r="C35" s="142" t="s">
        <v>39</v>
      </c>
      <c r="D35" s="142" t="s">
        <v>41</v>
      </c>
      <c r="E35" s="142" t="s">
        <v>43</v>
      </c>
      <c r="F35" s="142" t="s">
        <v>45</v>
      </c>
      <c r="G35" s="142" t="s">
        <v>47</v>
      </c>
      <c r="H35" s="142" t="s">
        <v>49</v>
      </c>
      <c r="I35" s="142" t="s">
        <v>51</v>
      </c>
      <c r="J35" s="142" t="s">
        <v>53</v>
      </c>
      <c r="K35" s="142" t="s">
        <v>57</v>
      </c>
      <c r="L35" s="142" t="s">
        <v>59</v>
      </c>
      <c r="M35" s="142" t="s">
        <v>61</v>
      </c>
      <c r="N35" s="142" t="s">
        <v>64</v>
      </c>
      <c r="O35" s="143" t="s">
        <v>66</v>
      </c>
    </row>
    <row r="36" spans="1:16" ht="24.95" customHeight="1" thickBot="1" x14ac:dyDescent="0.35">
      <c r="A36" s="26"/>
      <c r="B36" s="68" t="s">
        <v>73</v>
      </c>
      <c r="C36" s="125">
        <f>RealeInstruireȘiDeplasare[[#Totals],[Ian]]+RealeMarketing[[#Totals],[Ian]]+RealeBirou[[#Totals],[Ian]]+RealeAngajați[[#Totals],[Ian]]</f>
        <v>129682</v>
      </c>
      <c r="D36" s="126">
        <f>RealeInstruireȘiDeplasare[[#Totals],[Feb]]+RealeMarketing[[#Totals],[Feb]]+RealeBirou[[#Totals],[Feb]]+RealeAngajați[[#Totals],[Feb]]</f>
        <v>127804</v>
      </c>
      <c r="E36" s="126">
        <f>RealeInstruireȘiDeplasare[[#Totals],[Mar]]+RealeMarketing[[#Totals],[Mar]]+RealeBirou[[#Totals],[Mar]]+RealeAngajați[[#Totals],[Mar]]</f>
        <v>125565</v>
      </c>
      <c r="F36" s="126">
        <f>RealeInstruireȘiDeplasare[[#Totals],[Apr]]+RealeMarketing[[#Totals],[Apr]]+RealeBirou[[#Totals],[Apr]]+RealeAngajați[[#Totals],[Apr]]</f>
        <v>137394</v>
      </c>
      <c r="G36" s="126">
        <f>RealeInstruireȘiDeplasare[[#Totals],[Mai]]+RealeMarketing[[#Totals],[Mai]]+RealeBirou[[#Totals],[Mai]]+RealeAngajați[[#Totals],[Mai]]</f>
        <v>128255</v>
      </c>
      <c r="H36" s="126">
        <f>RealeInstruireȘiDeplasare[[#Totals],[Iun]]+RealeMarketing[[#Totals],[Iun]]+RealeBirou[[#Totals],[Iun]]+RealeAngajați[[#Totals],[Iun]]</f>
        <v>134239</v>
      </c>
      <c r="I36" s="126">
        <f>RealeInstruireȘiDeplasare[[#Totals],[Iul]]+RealeMarketing[[#Totals],[Iul]]+RealeBirou[[#Totals],[Iul]]+RealeAngajați[[#Totals],[Iul]]</f>
        <v>0</v>
      </c>
      <c r="J36" s="126">
        <f>RealeInstruireȘiDeplasare[[#Totals],[Aug]]+RealeMarketing[[#Totals],[Aug]]+RealeBirou[[#Totals],[Aug]]+RealeAngajați[[#Totals],[Aug]]</f>
        <v>0</v>
      </c>
      <c r="K36" s="126">
        <f>RealeInstruireȘiDeplasare[[#Totals],[Sep]]+RealeMarketing[[#Totals],[Sep]]+RealeBirou[[#Totals],[Sep]]+RealeAngajați[[#Totals],[Sep]]</f>
        <v>0</v>
      </c>
      <c r="L36" s="126">
        <f>RealeInstruireȘiDeplasare[[#Totals],[Oct]]+RealeMarketing[[#Totals],[Oct]]+RealeBirou[[#Totals],[Oct]]+RealeAngajați[[#Totals],[Oct]]</f>
        <v>0</v>
      </c>
      <c r="M36" s="126">
        <f>RealeInstruireȘiDeplasare[[#Totals],[Nov]]+RealeMarketing[[#Totals],[Nov]]+RealeBirou[[#Totals],[Nov]]+RealeAngajați[[#Totals],[Nov]]</f>
        <v>0</v>
      </c>
      <c r="N36" s="126">
        <f>RealeInstruireȘiDeplasare[[#Totals],[Dec]]+RealeMarketing[[#Totals],[Dec]]+RealeBirou[[#Totals],[Dec]]+RealeAngajați[[#Totals],[Dec]]</f>
        <v>0</v>
      </c>
      <c r="O36" s="126">
        <f>RealeInstruireȘiDeplasare[[#Totals],[AN]]+RealeMarketing[[#Totals],[AN]]+RealeBirou[[#Totals],[AN]]+RealeAngajați[[#Totals],[AN]]</f>
        <v>782939</v>
      </c>
      <c r="P36"/>
    </row>
    <row r="37" spans="1:16" ht="24.95" customHeight="1" thickBot="1" x14ac:dyDescent="0.35">
      <c r="A37" s="26"/>
      <c r="B37" s="68" t="s">
        <v>74</v>
      </c>
      <c r="C37" s="127">
        <f>SUM($C$36:C36)</f>
        <v>129682</v>
      </c>
      <c r="D37" s="128">
        <f>SUM($C$36:D36)</f>
        <v>257486</v>
      </c>
      <c r="E37" s="128">
        <f>SUM($C$36:E36)</f>
        <v>383051</v>
      </c>
      <c r="F37" s="128">
        <f>SUM($C$36:F36)</f>
        <v>520445</v>
      </c>
      <c r="G37" s="128">
        <f>SUM($C$36:G36)</f>
        <v>648700</v>
      </c>
      <c r="H37" s="129">
        <f>SUM($C$36:H36)</f>
        <v>782939</v>
      </c>
      <c r="I37" s="128">
        <f>SUM($C$36:I36)</f>
        <v>782939</v>
      </c>
      <c r="J37" s="128">
        <f>SUM($C$36:J36)</f>
        <v>782939</v>
      </c>
      <c r="K37" s="128">
        <f>SUM($C$36:K36)</f>
        <v>782939</v>
      </c>
      <c r="L37" s="128">
        <f>SUM($C$36:L36)</f>
        <v>782939</v>
      </c>
      <c r="M37" s="129">
        <f>SUM($C$36:M36)</f>
        <v>782939</v>
      </c>
      <c r="N37" s="128">
        <f>SUM($C$36:N36)</f>
        <v>782939</v>
      </c>
      <c r="O37" s="129"/>
      <c r="P37"/>
    </row>
    <row r="38" spans="1:16" ht="21" customHeight="1" x14ac:dyDescent="0.3">
      <c r="B38" s="2"/>
      <c r="C38" s="2"/>
      <c r="D38" s="2"/>
      <c r="E38" s="2"/>
      <c r="F38" s="2"/>
      <c r="G38" s="2"/>
      <c r="H38" s="2"/>
      <c r="I38" s="2"/>
      <c r="J38" s="2"/>
      <c r="K38" s="2"/>
      <c r="L38" s="13"/>
      <c r="M38" s="13"/>
      <c r="N38" s="13"/>
      <c r="O38" s="13"/>
    </row>
    <row r="39" spans="1:16" ht="21" customHeight="1" x14ac:dyDescent="0.3">
      <c r="B39" s="2"/>
      <c r="C39" s="2"/>
      <c r="D39" s="2"/>
      <c r="E39" s="2"/>
      <c r="F39" s="2"/>
      <c r="G39" s="2"/>
      <c r="H39" s="2"/>
      <c r="I39" s="2"/>
      <c r="J39" s="2"/>
      <c r="K39" s="2"/>
      <c r="L39" s="2"/>
      <c r="M39" s="2"/>
      <c r="N39" s="2"/>
      <c r="O39" s="2"/>
    </row>
    <row r="40" spans="1:16" ht="21" customHeight="1" x14ac:dyDescent="0.3">
      <c r="B40" s="2"/>
      <c r="C40" s="2"/>
      <c r="D40" s="2"/>
      <c r="E40" s="2"/>
      <c r="F40" s="2"/>
      <c r="G40" s="2"/>
      <c r="H40" s="2"/>
      <c r="I40" s="2"/>
      <c r="J40" s="2"/>
      <c r="K40" s="2"/>
      <c r="L40" s="2"/>
      <c r="M40" s="2"/>
      <c r="N40" s="2"/>
      <c r="O40" s="2"/>
    </row>
    <row r="41" spans="1:16" ht="21" customHeight="1" x14ac:dyDescent="0.3">
      <c r="B41" s="2"/>
      <c r="C41" s="2"/>
      <c r="D41" s="2"/>
      <c r="E41" s="2"/>
      <c r="F41" s="2"/>
      <c r="G41" s="2"/>
      <c r="H41" s="2"/>
      <c r="I41" s="2"/>
      <c r="J41" s="2"/>
      <c r="K41" s="2"/>
      <c r="L41" s="2"/>
      <c r="M41" s="2"/>
      <c r="N41" s="2"/>
      <c r="O41"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zoomScaleNormal="100" workbookViewId="0"/>
  </sheetViews>
  <sheetFormatPr defaultColWidth="9.140625" defaultRowHeight="21" customHeight="1" x14ac:dyDescent="0.3"/>
  <cols>
    <col min="1" max="1" width="4.7109375" style="1" customWidth="1"/>
    <col min="2" max="2" width="44.5703125" style="4" customWidth="1"/>
    <col min="3" max="14" width="15.85546875" style="4" customWidth="1"/>
    <col min="15" max="15" width="16.28515625" style="4" customWidth="1"/>
    <col min="16" max="16" width="4.7109375" style="1" customWidth="1"/>
    <col min="17" max="16384" width="9.140625" style="4"/>
  </cols>
  <sheetData>
    <row r="1" spans="1:16" s="1" customFormat="1" ht="24" customHeight="1" x14ac:dyDescent="0.3">
      <c r="A1" s="27" t="s">
        <v>100</v>
      </c>
      <c r="B1" s="10"/>
      <c r="C1" s="10"/>
      <c r="D1" s="10"/>
      <c r="E1" s="10"/>
      <c r="F1" s="7"/>
      <c r="G1" s="7"/>
      <c r="H1" s="7"/>
      <c r="I1" s="7"/>
      <c r="J1" s="7"/>
      <c r="K1" s="7"/>
      <c r="L1" s="7"/>
      <c r="M1" s="7"/>
      <c r="N1" s="7"/>
      <c r="O1" s="7"/>
      <c r="P1" s="59" t="s">
        <v>67</v>
      </c>
    </row>
    <row r="2" spans="1:16" s="1" customFormat="1" ht="45" customHeight="1" x14ac:dyDescent="0.35">
      <c r="A2" s="25" t="s">
        <v>69</v>
      </c>
      <c r="B2" s="135" t="str">
        <f>'CHELTUIELI PLANIFICATE'!B2:D3</f>
        <v>Numele firmei</v>
      </c>
      <c r="C2" s="89"/>
      <c r="D2" s="89"/>
      <c r="E2" s="148"/>
      <c r="F2" s="8"/>
      <c r="G2" s="8"/>
      <c r="H2" s="8"/>
      <c r="I2" s="8"/>
      <c r="J2" s="8"/>
      <c r="K2" s="137" t="str">
        <f>titlu_foaie_de_lucru</f>
        <v>Estimări detaliate cheltuieli</v>
      </c>
      <c r="L2" s="86"/>
      <c r="M2" s="86"/>
      <c r="N2" s="85" t="s">
        <v>62</v>
      </c>
      <c r="O2" s="85"/>
      <c r="P2" s="7"/>
    </row>
    <row r="3" spans="1:16" s="1" customFormat="1" ht="30" customHeight="1" x14ac:dyDescent="0.3">
      <c r="A3" s="25" t="s">
        <v>8</v>
      </c>
      <c r="B3" s="89"/>
      <c r="C3" s="89"/>
      <c r="D3" s="89"/>
      <c r="E3" s="149"/>
      <c r="F3" s="9"/>
      <c r="G3" s="9"/>
      <c r="H3" s="9"/>
      <c r="I3" s="9"/>
      <c r="J3" s="9"/>
      <c r="K3" s="91" t="s">
        <v>55</v>
      </c>
      <c r="L3" s="91"/>
      <c r="M3" s="91"/>
      <c r="N3" s="85"/>
      <c r="O3" s="85"/>
      <c r="P3" s="7"/>
    </row>
    <row r="4" spans="1:16" s="20" customFormat="1" ht="49.5" customHeight="1" x14ac:dyDescent="0.3">
      <c r="A4" s="28" t="s">
        <v>75</v>
      </c>
      <c r="B4" s="136" t="s">
        <v>77</v>
      </c>
      <c r="C4" s="138" t="s">
        <v>38</v>
      </c>
      <c r="D4" s="138" t="s">
        <v>40</v>
      </c>
      <c r="E4" s="138" t="s">
        <v>42</v>
      </c>
      <c r="F4" s="138" t="s">
        <v>44</v>
      </c>
      <c r="G4" s="138" t="s">
        <v>46</v>
      </c>
      <c r="H4" s="138" t="s">
        <v>48</v>
      </c>
      <c r="I4" s="138" t="s">
        <v>50</v>
      </c>
      <c r="J4" s="138" t="s">
        <v>52</v>
      </c>
      <c r="K4" s="138" t="s">
        <v>56</v>
      </c>
      <c r="L4" s="138" t="s">
        <v>58</v>
      </c>
      <c r="M4" s="138" t="s">
        <v>60</v>
      </c>
      <c r="N4" s="138" t="s">
        <v>63</v>
      </c>
      <c r="O4" s="138" t="s">
        <v>65</v>
      </c>
    </row>
    <row r="5" spans="1:16" s="5" customFormat="1" ht="24.95" customHeight="1" thickBot="1" x14ac:dyDescent="0.35">
      <c r="A5" s="35" t="s">
        <v>101</v>
      </c>
      <c r="B5" s="54" t="s">
        <v>13</v>
      </c>
      <c r="C5" s="69" t="s">
        <v>39</v>
      </c>
      <c r="D5" s="69" t="s">
        <v>41</v>
      </c>
      <c r="E5" s="69" t="s">
        <v>43</v>
      </c>
      <c r="F5" s="69" t="s">
        <v>45</v>
      </c>
      <c r="G5" s="69" t="s">
        <v>47</v>
      </c>
      <c r="H5" s="69" t="s">
        <v>49</v>
      </c>
      <c r="I5" s="69" t="s">
        <v>51</v>
      </c>
      <c r="J5" s="69" t="s">
        <v>53</v>
      </c>
      <c r="K5" s="69" t="s">
        <v>57</v>
      </c>
      <c r="L5" s="69" t="s">
        <v>59</v>
      </c>
      <c r="M5" s="69" t="s">
        <v>61</v>
      </c>
      <c r="N5" s="69" t="s">
        <v>64</v>
      </c>
      <c r="O5" s="70" t="s">
        <v>65</v>
      </c>
      <c r="P5" s="3"/>
    </row>
    <row r="6" spans="1:16" ht="24.95" customHeight="1" thickBot="1" x14ac:dyDescent="0.35">
      <c r="A6" s="26"/>
      <c r="B6" s="41" t="s">
        <v>14</v>
      </c>
      <c r="C6" s="110">
        <f>INDEX(Planif.Angajați[],MATCH(INDEX(DiferențăAngajați[],ROW()-ROW(DiferențăAngajați[[#Headers],[Ian]]),1),INDEX(Planif.Angajați[],,1),0),MATCH(DiferențăAngajați[[#Headers],[Ian]],Planif.Angajați[#Headers],0))-INDEX(RealeAngajați[],MATCH(INDEX(DiferențăAngajați[],ROW()-ROW(DiferențăAngajați[[#Headers],[Ian]]),1),INDEX(Planif.Angajați[],,1),0),MATCH(DiferențăAngajați[[#Headers],[Ian]],RealeAngajați[#Headers],0))</f>
        <v>0</v>
      </c>
      <c r="D6" s="111">
        <f>INDEX(Planif.Angajați[],MATCH(INDEX(DiferențăAngajați[],ROW()-ROW(DiferențăAngajați[[#Headers],[Feb]]),1),INDEX(Planif.Angajați[],,1),0),MATCH(DiferențăAngajați[[#Headers],[Feb]],Planif.Angajați[#Headers],0))-INDEX(RealeAngajați[],MATCH(INDEX(DiferențăAngajați[],ROW()-ROW(DiferențăAngajați[[#Headers],[Feb]]),1),INDEX(Planif.Angajați[],,1),0),MATCH(DiferențăAngajați[[#Headers],[Feb]],RealeAngajați[#Headers],0))</f>
        <v>0</v>
      </c>
      <c r="E6" s="111">
        <f>INDEX(Planif.Angajați[],MATCH(INDEX(DiferențăAngajați[],ROW()-ROW(DiferențăAngajați[[#Headers],[Mar]]),1),INDEX(Planif.Angajați[],,1),0),MATCH(DiferențăAngajați[[#Headers],[Mar]],Planif.Angajați[#Headers],0))-INDEX(RealeAngajați[],MATCH(INDEX(DiferențăAngajați[],ROW()-ROW(DiferențăAngajați[[#Headers],[Mar]]),1),INDEX(Planif.Angajați[],,1),0),MATCH(DiferențăAngajați[[#Headers],[Mar]],RealeAngajați[#Headers],0))</f>
        <v>0</v>
      </c>
      <c r="F6" s="111">
        <f>INDEX(Planif.Angajați[],MATCH(INDEX(DiferențăAngajați[],ROW()-ROW(DiferențăAngajați[[#Headers],[Apr]]),1),INDEX(Planif.Angajați[],,1),0),MATCH(DiferențăAngajați[[#Headers],[Apr]],Planif.Angajați[#Headers],0))-INDEX(RealeAngajați[],MATCH(INDEX(DiferențăAngajați[],ROW()-ROW(DiferențăAngajați[[#Headers],[Apr]]),1),INDEX(Planif.Angajați[],,1),0),MATCH(DiferențăAngajați[[#Headers],[Apr]],RealeAngajați[#Headers],0))</f>
        <v>-500</v>
      </c>
      <c r="G6" s="111">
        <f>INDEX(Planif.Angajați[],MATCH(INDEX(DiferențăAngajați[],ROW()-ROW(DiferențăAngajați[[#Headers],[Mai]]),1),INDEX(Planif.Angajați[],,1),0),MATCH(DiferențăAngajați[[#Headers],[Mai]],Planif.Angajați[#Headers],0))-INDEX(RealeAngajați[],MATCH(INDEX(DiferențăAngajați[],ROW()-ROW(DiferențăAngajați[[#Headers],[Mai]]),1),INDEX(Planif.Angajați[],,1),0),MATCH(DiferențăAngajați[[#Headers],[Mai]],RealeAngajați[#Headers],0))</f>
        <v>-500</v>
      </c>
      <c r="H6" s="111">
        <f>INDEX(Planif.Angajați[],MATCH(INDEX(DiferențăAngajați[],ROW()-ROW(DiferențăAngajați[[#Headers],[Iun]]),1),INDEX(Planif.Angajați[],,1),0),MATCH(DiferențăAngajați[[#Headers],[Iun]],Planif.Angajați[#Headers],0))-INDEX(RealeAngajați[],MATCH(INDEX(DiferențăAngajați[],ROW()-ROW(DiferențăAngajați[[#Headers],[Iun]]),1),INDEX(Planif.Angajați[],,1),0),MATCH(DiferențăAngajați[[#Headers],[Iun]],RealeAngajați[#Headers],0))</f>
        <v>-500</v>
      </c>
      <c r="I6" s="111">
        <f>INDEX(Planif.Angajați[],MATCH(INDEX(DiferențăAngajați[],ROW()-ROW(DiferențăAngajați[[#Headers],[Iul]]),1),INDEX(Planif.Angajați[],,1),0),MATCH(DiferențăAngajați[[#Headers],[Iul]],Planif.Angajați[#Headers],0))-INDEX(RealeAngajați[],MATCH(INDEX(DiferențăAngajați[],ROW()-ROW(DiferențăAngajați[[#Headers],[Iul]]),1),INDEX(Planif.Angajați[],,1),0),MATCH(DiferențăAngajați[[#Headers],[Iul]],RealeAngajați[#Headers],0))</f>
        <v>87500</v>
      </c>
      <c r="J6" s="111">
        <f>INDEX(Planif.Angajați[],MATCH(INDEX(DiferențăAngajați[],ROW()-ROW(DiferențăAngajați[[#Headers],[Aug]]),1),INDEX(Planif.Angajați[],,1),0),MATCH(DiferențăAngajați[[#Headers],[Aug]],Planif.Angajați[#Headers],0))-INDEX(RealeAngajați[],MATCH(INDEX(DiferențăAngajați[],ROW()-ROW(DiferențăAngajați[[#Headers],[Aug]]),1),INDEX(Planif.Angajați[],,1),0),MATCH(DiferențăAngajați[[#Headers],[Aug]],RealeAngajați[#Headers],0))</f>
        <v>92400</v>
      </c>
      <c r="K6" s="111">
        <f>INDEX(Planif.Angajați[],MATCH(INDEX(DiferențăAngajați[],ROW()-ROW(DiferențăAngajați[[#Headers],[Sep]]),1),INDEX(Planif.Angajați[],,1),0),MATCH(DiferențăAngajați[[#Headers],[Sep]],Planif.Angajați[#Headers],0))-INDEX(RealeAngajați[],MATCH(INDEX(DiferențăAngajați[],ROW()-ROW(DiferențăAngajați[[#Headers],[Sep]]),1),INDEX(Planif.Angajați[],,1),0),MATCH(DiferențăAngajați[[#Headers],[Sep]],RealeAngajați[#Headers],0))</f>
        <v>92400</v>
      </c>
      <c r="L6" s="111">
        <f>INDEX(Planif.Angajați[],MATCH(INDEX(DiferențăAngajați[],ROW()-ROW(DiferențăAngajați[[#Headers],[Oct]]),1),INDEX(Planif.Angajați[],,1),0),MATCH(DiferențăAngajați[[#Headers],[Oct]],Planif.Angajați[#Headers],0))-INDEX(RealeAngajați[],MATCH(INDEX(DiferențăAngajați[],ROW()-ROW(DiferențăAngajați[[#Headers],[Oct]]),1),INDEX(Planif.Angajați[],,1),0),MATCH(DiferențăAngajați[[#Headers],[Oct]],RealeAngajați[#Headers],0))</f>
        <v>92400</v>
      </c>
      <c r="M6" s="111">
        <f>INDEX(Planif.Angajați[],MATCH(INDEX(DiferențăAngajați[],ROW()-ROW(DiferențăAngajați[[#Headers],[Nov]]),1),INDEX(Planif.Angajați[],,1),0),MATCH(DiferențăAngajați[[#Headers],[Nov]],Planif.Angajați[#Headers],0))-INDEX(RealeAngajați[],MATCH(INDEX(DiferențăAngajați[],ROW()-ROW(DiferențăAngajați[[#Headers],[Nov]]),1),INDEX(Planif.Angajați[],,1),0),MATCH(DiferențăAngajați[[#Headers],[Nov]],RealeAngajați[#Headers],0))</f>
        <v>92400</v>
      </c>
      <c r="N6" s="111">
        <f>INDEX(Planif.Angajați[],MATCH(INDEX(DiferențăAngajați[],ROW()-ROW(DiferențăAngajați[[#Headers],[Dec]]),1),INDEX(Planif.Angajați[],,1),0),MATCH(DiferențăAngajați[[#Headers],[Dec]],Planif.Angajați[#Headers],0))-INDEX(RealeAngajați[],MATCH(INDEX(DiferențăAngajați[],ROW()-ROW(DiferențăAngajați[[#Headers],[Dec]]),1),INDEX(Planif.Angajați[],,1),0),MATCH(DiferențăAngajați[[#Headers],[Dec]],RealeAngajați[#Headers],0))</f>
        <v>92400</v>
      </c>
      <c r="O6" s="112">
        <f>SUM(DiferențăAngajați[[#This Row],[Ian]:[Dec]])</f>
        <v>548000</v>
      </c>
    </row>
    <row r="7" spans="1:16" ht="24.95" customHeight="1" thickBot="1" x14ac:dyDescent="0.35">
      <c r="A7" s="26"/>
      <c r="B7" s="41" t="s">
        <v>15</v>
      </c>
      <c r="C7" s="110">
        <f>INDEX(Planif.Angajați[],MATCH(INDEX(DiferențăAngajați[],ROW()-ROW(DiferențăAngajați[[#Headers],[Ian]]),1),INDEX(Planif.Angajați[],,1),0),MATCH(DiferențăAngajați[[#Headers],[Ian]],Planif.Angajați[#Headers],0))-INDEX(RealeAngajați[],MATCH(INDEX(DiferențăAngajați[],ROW()-ROW(DiferențăAngajați[[#Headers],[Ian]]),1),INDEX(Planif.Angajați[],,1),0),MATCH(DiferențăAngajați[[#Headers],[Ian]],RealeAngajați[#Headers],0))</f>
        <v>0</v>
      </c>
      <c r="D7" s="111">
        <f>INDEX(Planif.Angajați[],MATCH(INDEX(DiferențăAngajați[],ROW()-ROW(DiferențăAngajați[[#Headers],[Feb]]),1),INDEX(Planif.Angajați[],,1),0),MATCH(DiferențăAngajați[[#Headers],[Feb]],Planif.Angajați[#Headers],0))-INDEX(RealeAngajați[],MATCH(INDEX(DiferențăAngajați[],ROW()-ROW(DiferențăAngajați[[#Headers],[Feb]]),1),INDEX(Planif.Angajați[],,1),0),MATCH(DiferențăAngajați[[#Headers],[Feb]],RealeAngajați[#Headers],0))</f>
        <v>0</v>
      </c>
      <c r="E7" s="111">
        <f>INDEX(Planif.Angajați[],MATCH(INDEX(DiferențăAngajați[],ROW()-ROW(DiferențăAngajați[[#Headers],[Mar]]),1),INDEX(Planif.Angajați[],,1),0),MATCH(DiferențăAngajați[[#Headers],[Mar]],Planif.Angajați[#Headers],0))-INDEX(RealeAngajați[],MATCH(INDEX(DiferențăAngajați[],ROW()-ROW(DiferențăAngajați[[#Headers],[Mar]]),1),INDEX(Planif.Angajați[],,1),0),MATCH(DiferențăAngajați[[#Headers],[Mar]],RealeAngajați[#Headers],0))</f>
        <v>0</v>
      </c>
      <c r="F7" s="111">
        <f>INDEX(Planif.Angajați[],MATCH(INDEX(DiferențăAngajați[],ROW()-ROW(DiferențăAngajați[[#Headers],[Apr]]),1),INDEX(Planif.Angajați[],,1),0),MATCH(DiferențăAngajați[[#Headers],[Apr]],Planif.Angajați[#Headers],0))-INDEX(RealeAngajați[],MATCH(INDEX(DiferențăAngajați[],ROW()-ROW(DiferențăAngajați[[#Headers],[Apr]]),1),INDEX(Planif.Angajați[],,1),0),MATCH(DiferențăAngajați[[#Headers],[Apr]],RealeAngajați[#Headers],0))</f>
        <v>-135</v>
      </c>
      <c r="G7" s="111">
        <f>INDEX(Planif.Angajați[],MATCH(INDEX(DiferențăAngajați[],ROW()-ROW(DiferențăAngajați[[#Headers],[Mai]]),1),INDEX(Planif.Angajați[],,1),0),MATCH(DiferențăAngajați[[#Headers],[Mai]],Planif.Angajați[#Headers],0))-INDEX(RealeAngajați[],MATCH(INDEX(DiferențăAngajați[],ROW()-ROW(DiferențăAngajați[[#Headers],[Mai]]),1),INDEX(Planif.Angajați[],,1),0),MATCH(DiferențăAngajați[[#Headers],[Mai]],RealeAngajați[#Headers],0))</f>
        <v>-135</v>
      </c>
      <c r="H7" s="111">
        <f>INDEX(Planif.Angajați[],MATCH(INDEX(DiferențăAngajați[],ROW()-ROW(DiferențăAngajați[[#Headers],[Iun]]),1),INDEX(Planif.Angajați[],,1),0),MATCH(DiferențăAngajați[[#Headers],[Iun]],Planif.Angajați[#Headers],0))-INDEX(RealeAngajați[],MATCH(INDEX(DiferențăAngajați[],ROW()-ROW(DiferențăAngajați[[#Headers],[Iun]]),1),INDEX(Planif.Angajați[],,1),0),MATCH(DiferențăAngajați[[#Headers],[Iun]],RealeAngajați[#Headers],0))</f>
        <v>-135</v>
      </c>
      <c r="I7" s="111">
        <f>INDEX(Planif.Angajați[],MATCH(INDEX(DiferențăAngajați[],ROW()-ROW(DiferențăAngajați[[#Headers],[Iul]]),1),INDEX(Planif.Angajați[],,1),0),MATCH(DiferențăAngajați[[#Headers],[Iul]],Planif.Angajați[#Headers],0))-INDEX(RealeAngajați[],MATCH(INDEX(DiferențăAngajați[],ROW()-ROW(DiferențăAngajați[[#Headers],[Iul]]),1),INDEX(Planif.Angajați[],,1),0),MATCH(DiferențăAngajați[[#Headers],[Iul]],RealeAngajați[#Headers],0))</f>
        <v>23625</v>
      </c>
      <c r="J7" s="111">
        <f>INDEX(Planif.Angajați[],MATCH(INDEX(DiferențăAngajați[],ROW()-ROW(DiferențăAngajați[[#Headers],[Aug]]),1),INDEX(Planif.Angajați[],,1),0),MATCH(DiferențăAngajați[[#Headers],[Aug]],Planif.Angajați[#Headers],0))-INDEX(RealeAngajați[],MATCH(INDEX(DiferențăAngajați[],ROW()-ROW(DiferențăAngajați[[#Headers],[Aug]]),1),INDEX(Planif.Angajați[],,1),0),MATCH(DiferențăAngajați[[#Headers],[Aug]],RealeAngajați[#Headers],0))</f>
        <v>24948</v>
      </c>
      <c r="K7" s="111">
        <f>INDEX(Planif.Angajați[],MATCH(INDEX(DiferențăAngajați[],ROW()-ROW(DiferențăAngajați[[#Headers],[Sep]]),1),INDEX(Planif.Angajați[],,1),0),MATCH(DiferențăAngajați[[#Headers],[Sep]],Planif.Angajați[#Headers],0))-INDEX(RealeAngajați[],MATCH(INDEX(DiferențăAngajați[],ROW()-ROW(DiferențăAngajați[[#Headers],[Sep]]),1),INDEX(Planif.Angajați[],,1),0),MATCH(DiferențăAngajați[[#Headers],[Sep]],RealeAngajați[#Headers],0))</f>
        <v>24948</v>
      </c>
      <c r="L7" s="111">
        <f>INDEX(Planif.Angajați[],MATCH(INDEX(DiferențăAngajați[],ROW()-ROW(DiferențăAngajați[[#Headers],[Oct]]),1),INDEX(Planif.Angajați[],,1),0),MATCH(DiferențăAngajați[[#Headers],[Oct]],Planif.Angajați[#Headers],0))-INDEX(RealeAngajați[],MATCH(INDEX(DiferențăAngajați[],ROW()-ROW(DiferențăAngajați[[#Headers],[Oct]]),1),INDEX(Planif.Angajați[],,1),0),MATCH(DiferențăAngajați[[#Headers],[Oct]],RealeAngajați[#Headers],0))</f>
        <v>24948</v>
      </c>
      <c r="M7" s="111">
        <f>INDEX(Planif.Angajați[],MATCH(INDEX(DiferențăAngajați[],ROW()-ROW(DiferențăAngajați[[#Headers],[Nov]]),1),INDEX(Planif.Angajați[],,1),0),MATCH(DiferențăAngajați[[#Headers],[Nov]],Planif.Angajați[#Headers],0))-INDEX(RealeAngajați[],MATCH(INDEX(DiferențăAngajați[],ROW()-ROW(DiferențăAngajați[[#Headers],[Nov]]),1),INDEX(Planif.Angajați[],,1),0),MATCH(DiferențăAngajați[[#Headers],[Nov]],RealeAngajați[#Headers],0))</f>
        <v>24948</v>
      </c>
      <c r="N7" s="111">
        <f>INDEX(Planif.Angajați[],MATCH(INDEX(DiferențăAngajați[],ROW()-ROW(DiferențăAngajați[[#Headers],[Dec]]),1),INDEX(Planif.Angajați[],,1),0),MATCH(DiferențăAngajați[[#Headers],[Dec]],Planif.Angajați[#Headers],0))-INDEX(RealeAngajați[],MATCH(INDEX(DiferențăAngajați[],ROW()-ROW(DiferențăAngajați[[#Headers],[Dec]]),1),INDEX(Planif.Angajați[],,1),0),MATCH(DiferențăAngajați[[#Headers],[Dec]],RealeAngajați[#Headers],0))</f>
        <v>24948</v>
      </c>
      <c r="O7" s="112">
        <f>SUM(DiferențăAngajați[[#This Row],[Ian]:[Dec]])</f>
        <v>147960</v>
      </c>
    </row>
    <row r="8" spans="1:16" ht="24.95" customHeight="1" x14ac:dyDescent="0.3">
      <c r="A8" s="26"/>
      <c r="B8" s="71" t="s">
        <v>16</v>
      </c>
      <c r="C8" s="118">
        <f>SUBTOTAL(109,DiferențăAngajați[Ian])</f>
        <v>0</v>
      </c>
      <c r="D8" s="118">
        <f>SUBTOTAL(109,DiferențăAngajați[Feb])</f>
        <v>0</v>
      </c>
      <c r="E8" s="118">
        <f>SUBTOTAL(109,DiferențăAngajați[Mar])</f>
        <v>0</v>
      </c>
      <c r="F8" s="118">
        <f>SUBTOTAL(109,DiferențăAngajați[Apr])</f>
        <v>-635</v>
      </c>
      <c r="G8" s="118">
        <f>SUBTOTAL(109,DiferențăAngajați[Mai])</f>
        <v>-635</v>
      </c>
      <c r="H8" s="118">
        <f>SUBTOTAL(109,DiferențăAngajați[Iun])</f>
        <v>-635</v>
      </c>
      <c r="I8" s="118">
        <f>SUBTOTAL(109,DiferențăAngajați[Iul])</f>
        <v>111125</v>
      </c>
      <c r="J8" s="118">
        <f>SUBTOTAL(109,DiferențăAngajați[Aug])</f>
        <v>117348</v>
      </c>
      <c r="K8" s="118">
        <f>SUBTOTAL(109,DiferențăAngajați[Sep])</f>
        <v>117348</v>
      </c>
      <c r="L8" s="118">
        <f>SUBTOTAL(109,DiferențăAngajați[Oct])</f>
        <v>117348</v>
      </c>
      <c r="M8" s="118">
        <f>SUBTOTAL(109,DiferențăAngajați[Nov])</f>
        <v>117348</v>
      </c>
      <c r="N8" s="118">
        <f>SUBTOTAL(109,DiferențăAngajați[Dec])</f>
        <v>117348</v>
      </c>
      <c r="O8" s="119">
        <f>SUBTOTAL(109,DiferențăAngajați[AN])</f>
        <v>695960</v>
      </c>
    </row>
    <row r="9" spans="1:16" ht="21" customHeight="1" x14ac:dyDescent="0.3">
      <c r="A9" s="26"/>
      <c r="B9" s="92"/>
      <c r="C9" s="92"/>
      <c r="D9" s="130"/>
      <c r="E9" s="130"/>
      <c r="F9" s="130"/>
      <c r="G9" s="130"/>
      <c r="H9" s="130"/>
      <c r="I9" s="130"/>
      <c r="J9" s="130"/>
      <c r="K9" s="130"/>
      <c r="L9" s="130"/>
      <c r="M9" s="130"/>
      <c r="N9" s="130"/>
      <c r="O9" s="131"/>
    </row>
    <row r="10" spans="1:16" ht="24.95" customHeight="1" thickBot="1" x14ac:dyDescent="0.35">
      <c r="A10" s="26" t="s">
        <v>102</v>
      </c>
      <c r="B10" s="44" t="s">
        <v>17</v>
      </c>
      <c r="C10" s="60" t="s">
        <v>39</v>
      </c>
      <c r="D10" s="60" t="s">
        <v>41</v>
      </c>
      <c r="E10" s="81" t="s">
        <v>43</v>
      </c>
      <c r="F10" s="60" t="s">
        <v>45</v>
      </c>
      <c r="G10" s="60" t="s">
        <v>47</v>
      </c>
      <c r="H10" s="60" t="s">
        <v>49</v>
      </c>
      <c r="I10" s="60" t="s">
        <v>51</v>
      </c>
      <c r="J10" s="60" t="s">
        <v>53</v>
      </c>
      <c r="K10" s="60" t="s">
        <v>57</v>
      </c>
      <c r="L10" s="60" t="s">
        <v>59</v>
      </c>
      <c r="M10" s="60" t="s">
        <v>61</v>
      </c>
      <c r="N10" s="60" t="s">
        <v>64</v>
      </c>
      <c r="O10" s="61" t="s">
        <v>65</v>
      </c>
    </row>
    <row r="11" spans="1:16" ht="24.95" customHeight="1" thickBot="1" x14ac:dyDescent="0.35">
      <c r="A11" s="26"/>
      <c r="B11" s="62" t="s">
        <v>18</v>
      </c>
      <c r="C11"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0</v>
      </c>
      <c r="D11"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0</v>
      </c>
      <c r="E11"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0</v>
      </c>
      <c r="F11"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0</v>
      </c>
      <c r="G11"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0</v>
      </c>
      <c r="H11"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0</v>
      </c>
      <c r="I11"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9800</v>
      </c>
      <c r="J11"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9800</v>
      </c>
      <c r="K11"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9800</v>
      </c>
      <c r="L11"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9800</v>
      </c>
      <c r="M11"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9800</v>
      </c>
      <c r="N11"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9800</v>
      </c>
      <c r="O11" s="112">
        <f>SUM(DiferențăBirou[[#This Row],[Ian]:[Dec]])</f>
        <v>58800</v>
      </c>
    </row>
    <row r="12" spans="1:16" ht="24.95" customHeight="1" thickBot="1" x14ac:dyDescent="0.35">
      <c r="A12" s="26"/>
      <c r="B12" s="62" t="s">
        <v>19</v>
      </c>
      <c r="C12"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-4</v>
      </c>
      <c r="D12"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-30</v>
      </c>
      <c r="E12"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15</v>
      </c>
      <c r="F12"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-130</v>
      </c>
      <c r="G12"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13</v>
      </c>
      <c r="H12"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12</v>
      </c>
      <c r="I12"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100</v>
      </c>
      <c r="J12"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100</v>
      </c>
      <c r="K12"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100</v>
      </c>
      <c r="L12"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100</v>
      </c>
      <c r="M12"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400</v>
      </c>
      <c r="N12"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400</v>
      </c>
      <c r="O12" s="112">
        <f>SUM(DiferențăBirou[[#This Row],[Ian]:[Dec]])</f>
        <v>1076</v>
      </c>
    </row>
    <row r="13" spans="1:16" ht="24.95" customHeight="1" thickBot="1" x14ac:dyDescent="0.35">
      <c r="A13" s="26"/>
      <c r="B13" s="62" t="s">
        <v>20</v>
      </c>
      <c r="C13"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12</v>
      </c>
      <c r="D13"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22</v>
      </c>
      <c r="E13"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32</v>
      </c>
      <c r="F13"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1</v>
      </c>
      <c r="G13"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-6</v>
      </c>
      <c r="H13"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10</v>
      </c>
      <c r="I13"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300</v>
      </c>
      <c r="J13"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300</v>
      </c>
      <c r="K13"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300</v>
      </c>
      <c r="L13"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300</v>
      </c>
      <c r="M13"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300</v>
      </c>
      <c r="N13"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300</v>
      </c>
      <c r="O13" s="112">
        <f>SUM(DiferențăBirou[[#This Row],[Ian]:[Dec]])</f>
        <v>1871</v>
      </c>
    </row>
    <row r="14" spans="1:16" ht="24.95" customHeight="1" thickBot="1" x14ac:dyDescent="0.35">
      <c r="A14" s="26"/>
      <c r="B14" s="62" t="s">
        <v>21</v>
      </c>
      <c r="C14"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5</v>
      </c>
      <c r="D14"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7</v>
      </c>
      <c r="E14"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6</v>
      </c>
      <c r="F14"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4</v>
      </c>
      <c r="G14"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6</v>
      </c>
      <c r="H14"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4</v>
      </c>
      <c r="I14"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40</v>
      </c>
      <c r="J14"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40</v>
      </c>
      <c r="K14"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40</v>
      </c>
      <c r="L14"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40</v>
      </c>
      <c r="M14"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40</v>
      </c>
      <c r="N14"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40</v>
      </c>
      <c r="O14" s="112">
        <f>SUM(DiferențăBirou[[#This Row],[Ian]:[Dec]])</f>
        <v>272</v>
      </c>
    </row>
    <row r="15" spans="1:16" ht="24.95" customHeight="1" thickBot="1" x14ac:dyDescent="0.35">
      <c r="A15" s="26"/>
      <c r="B15" s="62" t="s">
        <v>22</v>
      </c>
      <c r="C15"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26</v>
      </c>
      <c r="D15"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15</v>
      </c>
      <c r="E15"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-15</v>
      </c>
      <c r="F15"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5</v>
      </c>
      <c r="G15"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5</v>
      </c>
      <c r="H15"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30</v>
      </c>
      <c r="I15"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250</v>
      </c>
      <c r="J15"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250</v>
      </c>
      <c r="K15"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250</v>
      </c>
      <c r="L15"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250</v>
      </c>
      <c r="M15"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250</v>
      </c>
      <c r="N15"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250</v>
      </c>
      <c r="O15" s="112">
        <f>SUM(DiferențăBirou[[#This Row],[Ian]:[Dec]])</f>
        <v>1566</v>
      </c>
    </row>
    <row r="16" spans="1:16" ht="24.95" customHeight="1" thickBot="1" x14ac:dyDescent="0.35">
      <c r="A16" s="26"/>
      <c r="B16" s="62" t="s">
        <v>23</v>
      </c>
      <c r="C16"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0</v>
      </c>
      <c r="D16"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0</v>
      </c>
      <c r="E16"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0</v>
      </c>
      <c r="F16"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0</v>
      </c>
      <c r="G16"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0</v>
      </c>
      <c r="H16"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0</v>
      </c>
      <c r="I16"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180</v>
      </c>
      <c r="J16"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180</v>
      </c>
      <c r="K16"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180</v>
      </c>
      <c r="L16"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180</v>
      </c>
      <c r="M16"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180</v>
      </c>
      <c r="N16"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180</v>
      </c>
      <c r="O16" s="112">
        <f>SUM(DiferențăBirou[[#This Row],[Ian]:[Dec]])</f>
        <v>1080</v>
      </c>
    </row>
    <row r="17" spans="1:15" ht="24.95" customHeight="1" thickBot="1" x14ac:dyDescent="0.35">
      <c r="A17" s="26"/>
      <c r="B17" s="62" t="s">
        <v>24</v>
      </c>
      <c r="C17"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-56</v>
      </c>
      <c r="D17"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58</v>
      </c>
      <c r="E17"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40</v>
      </c>
      <c r="F17"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-21</v>
      </c>
      <c r="G17"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-56</v>
      </c>
      <c r="H17"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-40</v>
      </c>
      <c r="I17"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200</v>
      </c>
      <c r="J17"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200</v>
      </c>
      <c r="K17"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200</v>
      </c>
      <c r="L17"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200</v>
      </c>
      <c r="M17"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200</v>
      </c>
      <c r="N17"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200</v>
      </c>
      <c r="O17" s="112">
        <f>SUM(DiferențăBirou[[#This Row],[Ian]:[Dec]])</f>
        <v>1125</v>
      </c>
    </row>
    <row r="18" spans="1:15" ht="24.95" customHeight="1" thickBot="1" x14ac:dyDescent="0.35">
      <c r="A18" s="26"/>
      <c r="B18" s="62" t="s">
        <v>25</v>
      </c>
      <c r="C18" s="111">
        <f>INDEX(Planif.Birou[],MATCH(INDEX(DiferențăBirou[],ROW()-ROW(DiferențăBirou[[#Headers],[Ian]]),1),INDEX(Planif.Birou[],,1),0),MATCH(DiferențăBirou[[#Headers],[Ian]],Planif.Birou[#Headers],0))-INDEX(RealeBirou[],MATCH(INDEX(DiferențăBirou[],ROW()-ROW(DiferențăBirou[[#Headers],[Ian]]),1),INDEX(Planif.Birou[],,1),0),MATCH(DiferențăBirou[[#Headers],[Ian]],RealeBirou[#Headers],0))</f>
        <v>0</v>
      </c>
      <c r="D18" s="111">
        <f>INDEX(Planif.Birou[],MATCH(INDEX(DiferențăBirou[],ROW()-ROW(DiferențăBirou[[#Headers],[Feb]]),1),INDEX(Planif.Birou[],,1),0),MATCH(DiferențăBirou[[#Headers],[Feb]],Planif.Birou[#Headers],0))-INDEX(RealeBirou[],MATCH(INDEX(DiferențăBirou[],ROW()-ROW(DiferențăBirou[[#Headers],[Feb]]),1),INDEX(Planif.Birou[],,1),0),MATCH(DiferențăBirou[[#Headers],[Feb]],RealeBirou[#Headers],0))</f>
        <v>0</v>
      </c>
      <c r="E18" s="111">
        <f>INDEX(Planif.Birou[],MATCH(INDEX(DiferențăBirou[],ROW()-ROW(DiferențăBirou[[#Headers],[Mar]]),1),INDEX(Planif.Birou[],,1),0),MATCH(DiferențăBirou[[#Headers],[Mar]],Planif.Birou[#Headers],0))-INDEX(RealeBirou[],MATCH(INDEX(DiferențăBirou[],ROW()-ROW(DiferențăBirou[[#Headers],[Mar]]),1),INDEX(Planif.Birou[],,1),0),MATCH(DiferențăBirou[[#Headers],[Mar]],RealeBirou[#Headers],0))</f>
        <v>0</v>
      </c>
      <c r="F18" s="111">
        <f>INDEX(Planif.Birou[],MATCH(INDEX(DiferențăBirou[],ROW()-ROW(DiferențăBirou[[#Headers],[Apr]]),1),INDEX(Planif.Birou[],,1),0),MATCH(DiferențăBirou[[#Headers],[Apr]],Planif.Birou[#Headers],0))-INDEX(RealeBirou[],MATCH(INDEX(DiferențăBirou[],ROW()-ROW(DiferențăBirou[[#Headers],[Apr]]),1),INDEX(Planif.Birou[],,1),0),MATCH(DiferențăBirou[[#Headers],[Apr]],RealeBirou[#Headers],0))</f>
        <v>0</v>
      </c>
      <c r="G18" s="111">
        <f>INDEX(Planif.Birou[],MATCH(INDEX(DiferențăBirou[],ROW()-ROW(DiferențăBirou[[#Headers],[Mai]]),1),INDEX(Planif.Birou[],,1),0),MATCH(DiferențăBirou[[#Headers],[Mai]],Planif.Birou[#Headers],0))-INDEX(RealeBirou[],MATCH(INDEX(DiferențăBirou[],ROW()-ROW(DiferențăBirou[[#Headers],[Mai]]),1),INDEX(Planif.Birou[],,1),0),MATCH(DiferențăBirou[[#Headers],[Mai]],RealeBirou[#Headers],0))</f>
        <v>0</v>
      </c>
      <c r="H18" s="111">
        <f>INDEX(Planif.Birou[],MATCH(INDEX(DiferențăBirou[],ROW()-ROW(DiferențăBirou[[#Headers],[Iun]]),1),INDEX(Planif.Birou[],,1),0),MATCH(DiferențăBirou[[#Headers],[Iun]],Planif.Birou[#Headers],0))-INDEX(RealeBirou[],MATCH(INDEX(DiferențăBirou[],ROW()-ROW(DiferențăBirou[[#Headers],[Iun]]),1),INDEX(Planif.Birou[],,1),0),MATCH(DiferențăBirou[[#Headers],[Iun]],RealeBirou[#Headers],0))</f>
        <v>0</v>
      </c>
      <c r="I18" s="111">
        <f>INDEX(Planif.Birou[],MATCH(INDEX(DiferențăBirou[],ROW()-ROW(DiferențăBirou[[#Headers],[Iul]]),1),INDEX(Planif.Birou[],,1),0),MATCH(DiferențăBirou[[#Headers],[Iul]],Planif.Birou[#Headers],0))-INDEX(RealeBirou[],MATCH(INDEX(DiferențăBirou[],ROW()-ROW(DiferențăBirou[[#Headers],[Iul]]),1),INDEX(Planif.Birou[],,1),0),MATCH(DiferențăBirou[[#Headers],[Iul]],RealeBirou[#Headers],0))</f>
        <v>600</v>
      </c>
      <c r="J18" s="111">
        <f>INDEX(Planif.Birou[],MATCH(INDEX(DiferențăBirou[],ROW()-ROW(DiferențăBirou[[#Headers],[Aug]]),1),INDEX(Planif.Birou[],,1),0),MATCH(DiferențăBirou[[#Headers],[Aug]],Planif.Birou[#Headers],0))-INDEX(RealeBirou[],MATCH(INDEX(DiferențăBirou[],ROW()-ROW(DiferențăBirou[[#Headers],[Aug]]),1),INDEX(Planif.Birou[],,1),0),MATCH(DiferențăBirou[[#Headers],[Aug]],RealeBirou[#Headers],0))</f>
        <v>600</v>
      </c>
      <c r="K18" s="111">
        <f>INDEX(Planif.Birou[],MATCH(INDEX(DiferențăBirou[],ROW()-ROW(DiferențăBirou[[#Headers],[Sep]]),1),INDEX(Planif.Birou[],,1),0),MATCH(DiferențăBirou[[#Headers],[Sep]],Planif.Birou[#Headers],0))-INDEX(RealeBirou[],MATCH(INDEX(DiferențăBirou[],ROW()-ROW(DiferențăBirou[[#Headers],[Sep]]),1),INDEX(Planif.Birou[],,1),0),MATCH(DiferențăBirou[[#Headers],[Sep]],RealeBirou[#Headers],0))</f>
        <v>600</v>
      </c>
      <c r="L18" s="111">
        <f>INDEX(Planif.Birou[],MATCH(INDEX(DiferențăBirou[],ROW()-ROW(DiferențăBirou[[#Headers],[Oct]]),1),INDEX(Planif.Birou[],,1),0),MATCH(DiferențăBirou[[#Headers],[Oct]],Planif.Birou[#Headers],0))-INDEX(RealeBirou[],MATCH(INDEX(DiferențăBirou[],ROW()-ROW(DiferențăBirou[[#Headers],[Oct]]),1),INDEX(Planif.Birou[],,1),0),MATCH(DiferențăBirou[[#Headers],[Oct]],RealeBirou[#Headers],0))</f>
        <v>600</v>
      </c>
      <c r="M18" s="111">
        <f>INDEX(Planif.Birou[],MATCH(INDEX(DiferențăBirou[],ROW()-ROW(DiferențăBirou[[#Headers],[Nov]]),1),INDEX(Planif.Birou[],,1),0),MATCH(DiferențăBirou[[#Headers],[Nov]],Planif.Birou[#Headers],0))-INDEX(RealeBirou[],MATCH(INDEX(DiferențăBirou[],ROW()-ROW(DiferențăBirou[[#Headers],[Nov]]),1),INDEX(Planif.Birou[],,1),0),MATCH(DiferențăBirou[[#Headers],[Nov]],RealeBirou[#Headers],0))</f>
        <v>600</v>
      </c>
      <c r="N18" s="111">
        <f>INDEX(Planif.Birou[],MATCH(INDEX(DiferențăBirou[],ROW()-ROW(DiferențăBirou[[#Headers],[Dec]]),1),INDEX(Planif.Birou[],,1),0),MATCH(DiferențăBirou[[#Headers],[Dec]],Planif.Birou[#Headers],0))-INDEX(RealeBirou[],MATCH(INDEX(DiferențăBirou[],ROW()-ROW(DiferențăBirou[[#Headers],[Dec]]),1),INDEX(Planif.Birou[],,1),0),MATCH(DiferențăBirou[[#Headers],[Dec]],RealeBirou[#Headers],0))</f>
        <v>600</v>
      </c>
      <c r="O18" s="112">
        <f>SUM(DiferențăBirou[[#This Row],[Ian]:[Dec]])</f>
        <v>3600</v>
      </c>
    </row>
    <row r="19" spans="1:15" ht="24.95" customHeight="1" x14ac:dyDescent="0.3">
      <c r="A19" s="26"/>
      <c r="B19" s="73" t="s">
        <v>16</v>
      </c>
      <c r="C19" s="120">
        <f>SUBTOTAL(109,DiferențăBirou[Ian])</f>
        <v>-17</v>
      </c>
      <c r="D19" s="118">
        <f>SUBTOTAL(109,DiferențăBirou[Feb])</f>
        <v>72</v>
      </c>
      <c r="E19" s="118">
        <f>SUBTOTAL(109,DiferențăBirou[Mar])</f>
        <v>78</v>
      </c>
      <c r="F19" s="118">
        <f>SUBTOTAL(109,DiferențăBirou[Apr])</f>
        <v>-141</v>
      </c>
      <c r="G19" s="118">
        <f>SUBTOTAL(109,DiferențăBirou[Mai])</f>
        <v>-38</v>
      </c>
      <c r="H19" s="118">
        <f>SUBTOTAL(109,DiferențăBirou[Iun])</f>
        <v>16</v>
      </c>
      <c r="I19" s="118">
        <f>SUBTOTAL(109,DiferențăBirou[Iul])</f>
        <v>11470</v>
      </c>
      <c r="J19" s="118">
        <f>SUBTOTAL(109,DiferențăBirou[Aug])</f>
        <v>11470</v>
      </c>
      <c r="K19" s="118">
        <f>SUBTOTAL(109,DiferențăBirou[Sep])</f>
        <v>11470</v>
      </c>
      <c r="L19" s="118">
        <f>SUBTOTAL(109,DiferențăBirou[Oct])</f>
        <v>11470</v>
      </c>
      <c r="M19" s="118">
        <f>SUBTOTAL(109,DiferențăBirou[Nov])</f>
        <v>11770</v>
      </c>
      <c r="N19" s="118">
        <f>SUBTOTAL(109,DiferențăBirou[Dec])</f>
        <v>11770</v>
      </c>
      <c r="O19" s="119">
        <f>SUBTOTAL(109,DiferențăBirou[AN])</f>
        <v>69390</v>
      </c>
    </row>
    <row r="20" spans="1:15" ht="21" customHeight="1" x14ac:dyDescent="0.3">
      <c r="A20" s="26"/>
      <c r="B20" s="93"/>
      <c r="C20" s="93"/>
      <c r="D20" s="130"/>
      <c r="E20" s="130"/>
      <c r="F20" s="132"/>
      <c r="G20" s="132"/>
      <c r="H20" s="132"/>
      <c r="I20" s="132"/>
      <c r="J20" s="132"/>
      <c r="K20" s="132"/>
      <c r="L20" s="132"/>
      <c r="M20" s="132"/>
      <c r="N20" s="132"/>
      <c r="O20" s="131"/>
    </row>
    <row r="21" spans="1:15" ht="24.95" customHeight="1" thickBot="1" x14ac:dyDescent="0.35">
      <c r="A21" s="26" t="s">
        <v>103</v>
      </c>
      <c r="B21" s="52" t="s">
        <v>26</v>
      </c>
      <c r="C21" s="60" t="s">
        <v>39</v>
      </c>
      <c r="D21" s="60" t="s">
        <v>41</v>
      </c>
      <c r="E21" s="81" t="s">
        <v>43</v>
      </c>
      <c r="F21" s="60" t="s">
        <v>45</v>
      </c>
      <c r="G21" s="60" t="s">
        <v>47</v>
      </c>
      <c r="H21" s="60" t="s">
        <v>49</v>
      </c>
      <c r="I21" s="60" t="s">
        <v>51</v>
      </c>
      <c r="J21" s="60" t="s">
        <v>53</v>
      </c>
      <c r="K21" s="60" t="s">
        <v>57</v>
      </c>
      <c r="L21" s="60" t="s">
        <v>59</v>
      </c>
      <c r="M21" s="60" t="s">
        <v>61</v>
      </c>
      <c r="N21" s="60" t="s">
        <v>64</v>
      </c>
      <c r="O21" s="61" t="s">
        <v>65</v>
      </c>
    </row>
    <row r="22" spans="1:15" ht="24.95" customHeight="1" thickBot="1" x14ac:dyDescent="0.35">
      <c r="A22" s="26"/>
      <c r="B22" s="62" t="s">
        <v>27</v>
      </c>
      <c r="C22" s="111">
        <f>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f>
        <v>0</v>
      </c>
      <c r="D22" s="111">
        <f>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f>
        <v>0</v>
      </c>
      <c r="E22" s="111">
        <f>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f>
        <v>0</v>
      </c>
      <c r="F22" s="111">
        <f>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f>
        <v>0</v>
      </c>
      <c r="G22" s="111">
        <f>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f>
        <v>0</v>
      </c>
      <c r="H22" s="111">
        <f>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f>
        <v>0</v>
      </c>
      <c r="I22" s="111">
        <f>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f>
        <v>500</v>
      </c>
      <c r="J22" s="111">
        <f>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f>
        <v>500</v>
      </c>
      <c r="K22" s="111">
        <f>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f>
        <v>500</v>
      </c>
      <c r="L22" s="111">
        <f>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f>
        <v>500</v>
      </c>
      <c r="M22" s="111">
        <f>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f>
        <v>500</v>
      </c>
      <c r="N22" s="111">
        <f>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f>
        <v>500</v>
      </c>
      <c r="O22" s="112">
        <f>SUM(DiferențăMarketing[[#This Row],[Ian]:[Dec]])</f>
        <v>3000</v>
      </c>
    </row>
    <row r="23" spans="1:15" ht="24.95" customHeight="1" thickBot="1" x14ac:dyDescent="0.35">
      <c r="A23" s="26"/>
      <c r="B23" s="62" t="s">
        <v>28</v>
      </c>
      <c r="C23" s="111">
        <f>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f>
        <v>0</v>
      </c>
      <c r="D23" s="111">
        <f>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f>
        <v>0</v>
      </c>
      <c r="E23" s="111">
        <f>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f>
        <v>0</v>
      </c>
      <c r="F23" s="111">
        <f>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f>
        <v>0</v>
      </c>
      <c r="G23" s="111">
        <f>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f>
        <v>0</v>
      </c>
      <c r="H23" s="111">
        <f>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f>
        <v>-500</v>
      </c>
      <c r="I23" s="111">
        <f>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f>
        <v>200</v>
      </c>
      <c r="J23" s="111">
        <f>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f>
        <v>200</v>
      </c>
      <c r="K23" s="111">
        <f>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f>
        <v>200</v>
      </c>
      <c r="L23" s="111">
        <f>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f>
        <v>200</v>
      </c>
      <c r="M23" s="111">
        <f>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f>
        <v>200</v>
      </c>
      <c r="N23" s="111">
        <f>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f>
        <v>1000</v>
      </c>
      <c r="O23" s="112">
        <f>SUM(DiferențăMarketing[[#This Row],[Ian]:[Dec]])</f>
        <v>1500</v>
      </c>
    </row>
    <row r="24" spans="1:15" ht="24.95" customHeight="1" thickBot="1" x14ac:dyDescent="0.35">
      <c r="A24" s="26"/>
      <c r="B24" s="62" t="s">
        <v>29</v>
      </c>
      <c r="C24" s="111">
        <f>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f>
        <v>200</v>
      </c>
      <c r="D24" s="111">
        <f>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f>
        <v>0</v>
      </c>
      <c r="E24" s="111">
        <f>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f>
        <v>0</v>
      </c>
      <c r="F24" s="111">
        <f>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f>
        <v>-500</v>
      </c>
      <c r="G24" s="111">
        <f>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f>
        <v>0</v>
      </c>
      <c r="H24" s="111">
        <f>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f>
        <v>0</v>
      </c>
      <c r="I24" s="111">
        <f>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f>
        <v>5000</v>
      </c>
      <c r="J24" s="111">
        <f>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f>
        <v>0</v>
      </c>
      <c r="K24" s="111">
        <f>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f>
        <v>0</v>
      </c>
      <c r="L24" s="111">
        <f>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f>
        <v>5000</v>
      </c>
      <c r="M24" s="111">
        <f>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f>
        <v>0</v>
      </c>
      <c r="N24" s="111">
        <f>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f>
        <v>0</v>
      </c>
      <c r="O24" s="112">
        <f>SUM(DiferențăMarketing[[#This Row],[Ian]:[Dec]])</f>
        <v>9700</v>
      </c>
    </row>
    <row r="25" spans="1:15" ht="24.95" customHeight="1" thickBot="1" x14ac:dyDescent="0.35">
      <c r="A25" s="26"/>
      <c r="B25" s="62" t="s">
        <v>30</v>
      </c>
      <c r="C25" s="111">
        <f>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f>
        <v>100</v>
      </c>
      <c r="D25" s="111">
        <f>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f>
        <v>-300</v>
      </c>
      <c r="E25" s="111">
        <f>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f>
        <v>100</v>
      </c>
      <c r="F25" s="111">
        <f>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f>
        <v>100</v>
      </c>
      <c r="G25" s="111">
        <f>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f>
        <v>-400</v>
      </c>
      <c r="H25" s="111">
        <f>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f>
        <v>20</v>
      </c>
      <c r="I25" s="111">
        <f>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f>
        <v>200</v>
      </c>
      <c r="J25" s="111">
        <f>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f>
        <v>200</v>
      </c>
      <c r="K25" s="111">
        <f>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f>
        <v>200</v>
      </c>
      <c r="L25" s="111">
        <f>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f>
        <v>200</v>
      </c>
      <c r="M25" s="111">
        <f>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f>
        <v>200</v>
      </c>
      <c r="N25" s="111">
        <f>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f>
        <v>200</v>
      </c>
      <c r="O25" s="112">
        <f>SUM(DiferențăMarketing[[#This Row],[Ian]:[Dec]])</f>
        <v>820</v>
      </c>
    </row>
    <row r="26" spans="1:15" ht="24.95" customHeight="1" thickBot="1" x14ac:dyDescent="0.35">
      <c r="A26" s="26"/>
      <c r="B26" s="62" t="s">
        <v>31</v>
      </c>
      <c r="C26" s="111">
        <f>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f>
        <v>200</v>
      </c>
      <c r="D26" s="111">
        <f>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f>
        <v>-200</v>
      </c>
      <c r="E26" s="111">
        <f>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f>
        <v>-200</v>
      </c>
      <c r="F26" s="111">
        <f>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f>
        <v>300</v>
      </c>
      <c r="G26" s="111">
        <f>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f>
        <v>500</v>
      </c>
      <c r="H26" s="111">
        <f>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f>
        <v>-300</v>
      </c>
      <c r="I26" s="111">
        <f>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f>
        <v>2000</v>
      </c>
      <c r="J26" s="111">
        <f>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f>
        <v>5000</v>
      </c>
      <c r="K26" s="111">
        <f>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f>
        <v>2000</v>
      </c>
      <c r="L26" s="111">
        <f>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f>
        <v>2000</v>
      </c>
      <c r="M26" s="111">
        <f>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f>
        <v>2000</v>
      </c>
      <c r="N26" s="111">
        <f>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f>
        <v>5000</v>
      </c>
      <c r="O26" s="112">
        <f>SUM(DiferențăMarketing[[#This Row],[Ian]:[Dec]])</f>
        <v>18300</v>
      </c>
    </row>
    <row r="27" spans="1:15" ht="24.95" customHeight="1" thickBot="1" x14ac:dyDescent="0.35">
      <c r="A27" s="26"/>
      <c r="B27" s="62" t="s">
        <v>32</v>
      </c>
      <c r="C27" s="111">
        <f>INDEX(Planif.Marketing[],MATCH(INDEX(DiferențăMarketing[],ROW()-ROW(DiferențăMarketing[[#Headers],[Ian]]),1),INDEX(Planif.Marketing[],,1),0),MATCH(DiferențăMarketing[[#Headers],[Ian]],Planif.Marketing[#Headers],0))-INDEX(RealeMarketing[],MATCH(INDEX(DiferențăMarketing[],ROW()-ROW(DiferențăMarketing[[#Headers],[Ian]]),1),INDEX(Planif.Marketing[],,1),0),MATCH(DiferențăMarketing[[#Headers],[Ian]],RealeMarketing[#Headers],0))</f>
        <v>55</v>
      </c>
      <c r="D27" s="111">
        <f>INDEX(Planif.Marketing[],MATCH(INDEX(DiferențăMarketing[],ROW()-ROW(DiferențăMarketing[[#Headers],[Feb]]),1),INDEX(Planif.Marketing[],,1),0),MATCH(DiferențăMarketing[[#Headers],[Feb]],Planif.Marketing[#Headers],0))-INDEX(RealeMarketing[],MATCH(INDEX(DiferențăMarketing[],ROW()-ROW(DiferențăMarketing[[#Headers],[Feb]]),1),INDEX(Planif.Marketing[],,1),0),MATCH(DiferențăMarketing[[#Headers],[Feb]],RealeMarketing[#Headers],0))</f>
        <v>44</v>
      </c>
      <c r="E27" s="111">
        <f>INDEX(Planif.Marketing[],MATCH(INDEX(DiferențăMarketing[],ROW()-ROW(DiferențăMarketing[[#Headers],[Mar]]),1),INDEX(Planif.Marketing[],,1),0),MATCH(DiferențăMarketing[[#Headers],[Mar]],Planif.Marketing[#Headers],0))-INDEX(RealeMarketing[],MATCH(INDEX(DiferențăMarketing[],ROW()-ROW(DiferențăMarketing[[#Headers],[Mar]]),1),INDEX(Planif.Marketing[],,1),0),MATCH(DiferențăMarketing[[#Headers],[Mar]],RealeMarketing[#Headers],0))</f>
        <v>77</v>
      </c>
      <c r="F27" s="111">
        <f>INDEX(Planif.Marketing[],MATCH(INDEX(DiferențăMarketing[],ROW()-ROW(DiferențăMarketing[[#Headers],[Apr]]),1),INDEX(Planif.Marketing[],,1),0),MATCH(DiferențăMarketing[[#Headers],[Apr]],Planif.Marketing[#Headers],0))-INDEX(RealeMarketing[],MATCH(INDEX(DiferențăMarketing[],ROW()-ROW(DiferențăMarketing[[#Headers],[Apr]]),1),INDEX(Planif.Marketing[],,1),0),MATCH(DiferențăMarketing[[#Headers],[Apr]],RealeMarketing[#Headers],0))</f>
        <v>-23</v>
      </c>
      <c r="G27" s="111">
        <f>INDEX(Planif.Marketing[],MATCH(INDEX(DiferențăMarketing[],ROW()-ROW(DiferențăMarketing[[#Headers],[Mai]]),1),INDEX(Planif.Marketing[],,1),0),MATCH(DiferențăMarketing[[#Headers],[Mai]],Planif.Marketing[#Headers],0))-INDEX(RealeMarketing[],MATCH(INDEX(DiferențăMarketing[],ROW()-ROW(DiferențăMarketing[[#Headers],[Mai]]),1),INDEX(Planif.Marketing[],,1),0),MATCH(DiferențăMarketing[[#Headers],[Mai]],RealeMarketing[#Headers],0))</f>
        <v>13</v>
      </c>
      <c r="H27" s="111">
        <f>INDEX(Planif.Marketing[],MATCH(INDEX(DiferențăMarketing[],ROW()-ROW(DiferențăMarketing[[#Headers],[Iun]]),1),INDEX(Planif.Marketing[],,1),0),MATCH(DiferențăMarketing[[#Headers],[Iun]],Planif.Marketing[#Headers],0))-INDEX(RealeMarketing[],MATCH(INDEX(DiferențăMarketing[],ROW()-ROW(DiferențăMarketing[[#Headers],[Iun]]),1),INDEX(Planif.Marketing[],,1),0),MATCH(DiferențăMarketing[[#Headers],[Iun]],RealeMarketing[#Headers],0))</f>
        <v>-45</v>
      </c>
      <c r="I27" s="111">
        <f>INDEX(Planif.Marketing[],MATCH(INDEX(DiferențăMarketing[],ROW()-ROW(DiferențăMarketing[[#Headers],[Iul]]),1),INDEX(Planif.Marketing[],,1),0),MATCH(DiferențăMarketing[[#Headers],[Iul]],Planif.Marketing[#Headers],0))-INDEX(RealeMarketing[],MATCH(INDEX(DiferențăMarketing[],ROW()-ROW(DiferențăMarketing[[#Headers],[Iul]]),1),INDEX(Planif.Marketing[],,1),0),MATCH(DiferențăMarketing[[#Headers],[Iul]],RealeMarketing[#Headers],0))</f>
        <v>200</v>
      </c>
      <c r="J27" s="111">
        <f>INDEX(Planif.Marketing[],MATCH(INDEX(DiferențăMarketing[],ROW()-ROW(DiferențăMarketing[[#Headers],[Aug]]),1),INDEX(Planif.Marketing[],,1),0),MATCH(DiferențăMarketing[[#Headers],[Aug]],Planif.Marketing[#Headers],0))-INDEX(RealeMarketing[],MATCH(INDEX(DiferențăMarketing[],ROW()-ROW(DiferențăMarketing[[#Headers],[Aug]]),1),INDEX(Planif.Marketing[],,1),0),MATCH(DiferențăMarketing[[#Headers],[Aug]],RealeMarketing[#Headers],0))</f>
        <v>200</v>
      </c>
      <c r="K27" s="111">
        <f>INDEX(Planif.Marketing[],MATCH(INDEX(DiferențăMarketing[],ROW()-ROW(DiferențăMarketing[[#Headers],[Sep]]),1),INDEX(Planif.Marketing[],,1),0),MATCH(DiferențăMarketing[[#Headers],[Sep]],Planif.Marketing[#Headers],0))-INDEX(RealeMarketing[],MATCH(INDEX(DiferențăMarketing[],ROW()-ROW(DiferențăMarketing[[#Headers],[Sep]]),1),INDEX(Planif.Marketing[],,1),0),MATCH(DiferențăMarketing[[#Headers],[Sep]],RealeMarketing[#Headers],0))</f>
        <v>200</v>
      </c>
      <c r="L27" s="111">
        <f>INDEX(Planif.Marketing[],MATCH(INDEX(DiferențăMarketing[],ROW()-ROW(DiferențăMarketing[[#Headers],[Oct]]),1),INDEX(Planif.Marketing[],,1),0),MATCH(DiferențăMarketing[[#Headers],[Oct]],Planif.Marketing[#Headers],0))-INDEX(RealeMarketing[],MATCH(INDEX(DiferențăMarketing[],ROW()-ROW(DiferențăMarketing[[#Headers],[Oct]]),1),INDEX(Planif.Marketing[],,1),0),MATCH(DiferențăMarketing[[#Headers],[Oct]],RealeMarketing[#Headers],0))</f>
        <v>200</v>
      </c>
      <c r="M27" s="111">
        <f>INDEX(Planif.Marketing[],MATCH(INDEX(DiferențăMarketing[],ROW()-ROW(DiferențăMarketing[[#Headers],[Nov]]),1),INDEX(Planif.Marketing[],,1),0),MATCH(DiferențăMarketing[[#Headers],[Nov]],Planif.Marketing[#Headers],0))-INDEX(RealeMarketing[],MATCH(INDEX(DiferențăMarketing[],ROW()-ROW(DiferențăMarketing[[#Headers],[Nov]]),1),INDEX(Planif.Marketing[],,1),0),MATCH(DiferențăMarketing[[#Headers],[Nov]],RealeMarketing[#Headers],0))</f>
        <v>200</v>
      </c>
      <c r="N27" s="111">
        <f>INDEX(Planif.Marketing[],MATCH(INDEX(DiferențăMarketing[],ROW()-ROW(DiferențăMarketing[[#Headers],[Dec]]),1),INDEX(Planif.Marketing[],,1),0),MATCH(DiferențăMarketing[[#Headers],[Dec]],Planif.Marketing[#Headers],0))-INDEX(RealeMarketing[],MATCH(INDEX(DiferențăMarketing[],ROW()-ROW(DiferențăMarketing[[#Headers],[Dec]]),1),INDEX(Planif.Marketing[],,1),0),MATCH(DiferențăMarketing[[#Headers],[Dec]],RealeMarketing[#Headers],0))</f>
        <v>200</v>
      </c>
      <c r="O27" s="112">
        <f>SUM(DiferențăMarketing[[#This Row],[Ian]:[Dec]])</f>
        <v>1321</v>
      </c>
    </row>
    <row r="28" spans="1:15" ht="24.95" customHeight="1" x14ac:dyDescent="0.3">
      <c r="A28" s="26"/>
      <c r="B28" s="72" t="s">
        <v>16</v>
      </c>
      <c r="C28" s="118">
        <f>SUBTOTAL(109,DiferențăMarketing[Ian])</f>
        <v>555</v>
      </c>
      <c r="D28" s="118">
        <f>SUBTOTAL(109,DiferențăMarketing[Feb])</f>
        <v>-456</v>
      </c>
      <c r="E28" s="118">
        <f>SUBTOTAL(109,DiferențăMarketing[Mar])</f>
        <v>-23</v>
      </c>
      <c r="F28" s="118">
        <f>SUBTOTAL(109,DiferențăMarketing[Apr])</f>
        <v>-123</v>
      </c>
      <c r="G28" s="118">
        <f>SUBTOTAL(109,DiferențăMarketing[Mai])</f>
        <v>113</v>
      </c>
      <c r="H28" s="118">
        <f>SUBTOTAL(109,DiferențăMarketing[Iun])</f>
        <v>-825</v>
      </c>
      <c r="I28" s="118">
        <f>SUBTOTAL(109,DiferențăMarketing[Iul])</f>
        <v>8100</v>
      </c>
      <c r="J28" s="118">
        <f>SUBTOTAL(109,DiferențăMarketing[Aug])</f>
        <v>6100</v>
      </c>
      <c r="K28" s="118">
        <f>SUBTOTAL(109,DiferențăMarketing[Sep])</f>
        <v>3100</v>
      </c>
      <c r="L28" s="118">
        <f>SUBTOTAL(109,DiferențăMarketing[Oct])</f>
        <v>8100</v>
      </c>
      <c r="M28" s="118">
        <f>SUBTOTAL(109,DiferențăMarketing[Nov])</f>
        <v>3100</v>
      </c>
      <c r="N28" s="118">
        <f>SUBTOTAL(109,DiferențăMarketing[Dec])</f>
        <v>6900</v>
      </c>
      <c r="O28" s="119">
        <f>SUBTOTAL(109,DiferențăMarketing[AN])</f>
        <v>34641</v>
      </c>
    </row>
    <row r="29" spans="1:15" ht="21" customHeight="1" x14ac:dyDescent="0.3">
      <c r="A29" s="26"/>
      <c r="B29" s="92"/>
      <c r="C29" s="92"/>
      <c r="D29" s="132"/>
      <c r="E29" s="132"/>
      <c r="F29" s="132"/>
      <c r="G29" s="132"/>
      <c r="H29" s="132"/>
      <c r="I29" s="132"/>
      <c r="J29" s="132"/>
      <c r="K29" s="132"/>
      <c r="L29" s="132"/>
      <c r="M29" s="132"/>
      <c r="N29" s="132"/>
      <c r="O29" s="131"/>
    </row>
    <row r="30" spans="1:15" ht="24.95" customHeight="1" thickBot="1" x14ac:dyDescent="0.35">
      <c r="A30" s="26" t="s">
        <v>76</v>
      </c>
      <c r="B30" s="53" t="s">
        <v>33</v>
      </c>
      <c r="C30" s="60" t="s">
        <v>39</v>
      </c>
      <c r="D30" s="60" t="s">
        <v>41</v>
      </c>
      <c r="E30" s="81" t="s">
        <v>43</v>
      </c>
      <c r="F30" s="60" t="s">
        <v>45</v>
      </c>
      <c r="G30" s="60" t="s">
        <v>47</v>
      </c>
      <c r="H30" s="60" t="s">
        <v>49</v>
      </c>
      <c r="I30" s="60" t="s">
        <v>51</v>
      </c>
      <c r="J30" s="60" t="s">
        <v>53</v>
      </c>
      <c r="K30" s="60" t="s">
        <v>57</v>
      </c>
      <c r="L30" s="60" t="s">
        <v>59</v>
      </c>
      <c r="M30" s="60" t="s">
        <v>61</v>
      </c>
      <c r="N30" s="60" t="s">
        <v>64</v>
      </c>
      <c r="O30" s="61" t="s">
        <v>65</v>
      </c>
    </row>
    <row r="31" spans="1:15" ht="24.95" customHeight="1" thickBot="1" x14ac:dyDescent="0.35">
      <c r="A31" s="26"/>
      <c r="B31" s="62" t="s">
        <v>34</v>
      </c>
      <c r="C31" s="111">
        <f>INDEX(Planif.InstruireȘiDeplasare[],MATCH(INDEX(DiferențăInstruireȘiDeplasare[],ROW()-ROW(DiferențăInstruireȘiDeplasare[[#Headers],[Ian]]),1),INDEX(Planif.InstruireȘiDeplasare[],,1),0),MATCH(DiferențăInstruireȘiDeplasare[[#Headers],[Ian]],Planif.InstruireȘiDeplasare[#Headers],0))-INDEX(RealeInstruireȘiDeplasare[],MATCH(INDEX(DiferențăInstruireȘiDeplasare[],ROW()-ROW(DiferențăInstruireȘiDeplasare[[#Headers],[Ian]]),1),INDEX(Planif.InstruireȘiDeplasare[],,1),0),MATCH(DiferențăInstruireȘiDeplasare[[#Headers],[Ian]],RealeInstruireȘiDeplasare[#Headers],0))</f>
        <v>400</v>
      </c>
      <c r="D31" s="111">
        <f>INDEX(Planif.InstruireȘiDeplasare[],MATCH(INDEX(DiferențăInstruireȘiDeplasare[],ROW()-ROW(DiferențăInstruireȘiDeplasare[[#Headers],[Feb]]),1),INDEX(Planif.InstruireȘiDeplasare[],,1),0),MATCH(DiferențăInstruireȘiDeplasare[[#Headers],[Feb]],Planif.InstruireȘiDeplasare[#Headers],0))-INDEX(RealeInstruireȘiDeplasare[],MATCH(INDEX(DiferențăInstruireȘiDeplasare[],ROW()-ROW(DiferențăInstruireȘiDeplasare[[#Headers],[Feb]]),1),INDEX(Planif.InstruireȘiDeplasare[],,1),0),MATCH(DiferențăInstruireȘiDeplasare[[#Headers],[Feb]],RealeInstruireȘiDeplasare[#Headers],0))</f>
        <v>-400</v>
      </c>
      <c r="E31" s="111">
        <f>INDEX(Planif.InstruireȘiDeplasare[],MATCH(INDEX(DiferențăInstruireȘiDeplasare[],ROW()-ROW(DiferențăInstruireȘiDeplasare[[#Headers],[Mar]]),1),INDEX(Planif.InstruireȘiDeplasare[],,1),0),MATCH(DiferențăInstruireȘiDeplasare[[#Headers],[Mar]],Planif.InstruireȘiDeplasare[#Headers],0))-INDEX(RealeInstruireȘiDeplasare[],MATCH(INDEX(DiferențăInstruireȘiDeplasare[],ROW()-ROW(DiferențăInstruireȘiDeplasare[[#Headers],[Mar]]),1),INDEX(Planif.InstruireȘiDeplasare[],,1),0),MATCH(DiferențăInstruireȘiDeplasare[[#Headers],[Mar]],RealeInstruireȘiDeplasare[#Headers],0))</f>
        <v>600</v>
      </c>
      <c r="F31" s="111">
        <f>INDEX(Planif.InstruireȘiDeplasare[],MATCH(INDEX(DiferențăInstruireȘiDeplasare[],ROW()-ROW(DiferențăInstruireȘiDeplasare[[#Headers],[Apr]]),1),INDEX(Planif.InstruireȘiDeplasare[],,1),0),MATCH(DiferențăInstruireȘiDeplasare[[#Headers],[Apr]],Planif.InstruireȘiDeplasare[#Headers],0))-INDEX(RealeInstruireȘiDeplasare[],MATCH(INDEX(DiferențăInstruireȘiDeplasare[],ROW()-ROW(DiferențăInstruireȘiDeplasare[[#Headers],[Apr]]),1),INDEX(Planif.InstruireȘiDeplasare[],,1),0),MATCH(DiferențăInstruireȘiDeplasare[[#Headers],[Apr]],RealeInstruireȘiDeplasare[#Headers],0))</f>
        <v>400</v>
      </c>
      <c r="G31" s="111">
        <f>INDEX(Planif.InstruireȘiDeplasare[],MATCH(INDEX(DiferențăInstruireȘiDeplasare[],ROW()-ROW(DiferențăInstruireȘiDeplasare[[#Headers],[Mai]]),1),INDEX(Planif.InstruireȘiDeplasare[],,1),0),MATCH(DiferențăInstruireȘiDeplasare[[#Headers],[Mai]],Planif.InstruireȘiDeplasare[#Headers],0))-INDEX(RealeInstruireȘiDeplasare[],MATCH(INDEX(DiferențăInstruireȘiDeplasare[],ROW()-ROW(DiferențăInstruireȘiDeplasare[[#Headers],[Mai]]),1),INDEX(Planif.InstruireȘiDeplasare[],,1),0),MATCH(DiferențăInstruireȘiDeplasare[[#Headers],[Mai]],RealeInstruireȘiDeplasare[#Headers],0))</f>
        <v>800</v>
      </c>
      <c r="H31" s="111">
        <f>INDEX(Planif.InstruireȘiDeplasare[],MATCH(INDEX(DiferențăInstruireȘiDeplasare[],ROW()-ROW(DiferențăInstruireȘiDeplasare[[#Headers],[Iun]]),1),INDEX(Planif.InstruireȘiDeplasare[],,1),0),MATCH(DiferențăInstruireȘiDeplasare[[#Headers],[Iun]],Planif.InstruireȘiDeplasare[#Headers],0))-INDEX(RealeInstruireȘiDeplasare[],MATCH(INDEX(DiferențăInstruireȘiDeplasare[],ROW()-ROW(DiferențăInstruireȘiDeplasare[[#Headers],[Iun]]),1),INDEX(Planif.InstruireȘiDeplasare[],,1),0),MATCH(DiferențăInstruireȘiDeplasare[[#Headers],[Iun]],RealeInstruireȘiDeplasare[#Headers],0))</f>
        <v>-800</v>
      </c>
      <c r="I31" s="111">
        <f>INDEX(Planif.InstruireȘiDeplasare[],MATCH(INDEX(DiferențăInstruireȘiDeplasare[],ROW()-ROW(DiferențăInstruireȘiDeplasare[[#Headers],[Iul]]),1),INDEX(Planif.InstruireȘiDeplasare[],,1),0),MATCH(DiferențăInstruireȘiDeplasare[[#Headers],[Iul]],Planif.InstruireȘiDeplasare[#Headers],0))-INDEX(RealeInstruireȘiDeplasare[],MATCH(INDEX(DiferențăInstruireȘiDeplasare[],ROW()-ROW(DiferențăInstruireȘiDeplasare[[#Headers],[Iul]]),1),INDEX(Planif.InstruireȘiDeplasare[],,1),0),MATCH(DiferențăInstruireȘiDeplasare[[#Headers],[Iul]],RealeInstruireȘiDeplasare[#Headers],0))</f>
        <v>2000</v>
      </c>
      <c r="J31" s="111">
        <f>INDEX(Planif.InstruireȘiDeplasare[],MATCH(INDEX(DiferențăInstruireȘiDeplasare[],ROW()-ROW(DiferențăInstruireȘiDeplasare[[#Headers],[Aug]]),1),INDEX(Planif.InstruireȘiDeplasare[],,1),0),MATCH(DiferențăInstruireȘiDeplasare[[#Headers],[Aug]],Planif.InstruireȘiDeplasare[#Headers],0))-INDEX(RealeInstruireȘiDeplasare[],MATCH(INDEX(DiferențăInstruireȘiDeplasare[],ROW()-ROW(DiferențăInstruireȘiDeplasare[[#Headers],[Aug]]),1),INDEX(Planif.InstruireȘiDeplasare[],,1),0),MATCH(DiferențăInstruireȘiDeplasare[[#Headers],[Aug]],RealeInstruireȘiDeplasare[#Headers],0))</f>
        <v>2000</v>
      </c>
      <c r="K31" s="111">
        <f>INDEX(Planif.InstruireȘiDeplasare[],MATCH(INDEX(DiferențăInstruireȘiDeplasare[],ROW()-ROW(DiferențăInstruireȘiDeplasare[[#Headers],[Sep]]),1),INDEX(Planif.InstruireȘiDeplasare[],,1),0),MATCH(DiferențăInstruireȘiDeplasare[[#Headers],[Sep]],Planif.InstruireȘiDeplasare[#Headers],0))-INDEX(RealeInstruireȘiDeplasare[],MATCH(INDEX(DiferențăInstruireȘiDeplasare[],ROW()-ROW(DiferențăInstruireȘiDeplasare[[#Headers],[Sep]]),1),INDEX(Planif.InstruireȘiDeplasare[],,1),0),MATCH(DiferențăInstruireȘiDeplasare[[#Headers],[Sep]],RealeInstruireȘiDeplasare[#Headers],0))</f>
        <v>2000</v>
      </c>
      <c r="L31" s="111">
        <f>INDEX(Planif.InstruireȘiDeplasare[],MATCH(INDEX(DiferențăInstruireȘiDeplasare[],ROW()-ROW(DiferențăInstruireȘiDeplasare[[#Headers],[Oct]]),1),INDEX(Planif.InstruireȘiDeplasare[],,1),0),MATCH(DiferențăInstruireȘiDeplasare[[#Headers],[Oct]],Planif.InstruireȘiDeplasare[#Headers],0))-INDEX(RealeInstruireȘiDeplasare[],MATCH(INDEX(DiferențăInstruireȘiDeplasare[],ROW()-ROW(DiferențăInstruireȘiDeplasare[[#Headers],[Oct]]),1),INDEX(Planif.InstruireȘiDeplasare[],,1),0),MATCH(DiferențăInstruireȘiDeplasare[[#Headers],[Oct]],RealeInstruireȘiDeplasare[#Headers],0))</f>
        <v>2000</v>
      </c>
      <c r="M31" s="111">
        <f>INDEX(Planif.InstruireȘiDeplasare[],MATCH(INDEX(DiferențăInstruireȘiDeplasare[],ROW()-ROW(DiferențăInstruireȘiDeplasare[[#Headers],[Nov]]),1),INDEX(Planif.InstruireȘiDeplasare[],,1),0),MATCH(DiferențăInstruireȘiDeplasare[[#Headers],[Nov]],Planif.InstruireȘiDeplasare[#Headers],0))-INDEX(RealeInstruireȘiDeplasare[],MATCH(INDEX(DiferențăInstruireȘiDeplasare[],ROW()-ROW(DiferențăInstruireȘiDeplasare[[#Headers],[Nov]]),1),INDEX(Planif.InstruireȘiDeplasare[],,1),0),MATCH(DiferențăInstruireȘiDeplasare[[#Headers],[Nov]],RealeInstruireȘiDeplasare[#Headers],0))</f>
        <v>2000</v>
      </c>
      <c r="N31" s="111">
        <f>INDEX(Planif.InstruireȘiDeplasare[],MATCH(INDEX(DiferențăInstruireȘiDeplasare[],ROW()-ROW(DiferențăInstruireȘiDeplasare[[#Headers],[Dec]]),1),INDEX(Planif.InstruireȘiDeplasare[],,1),0),MATCH(DiferențăInstruireȘiDeplasare[[#Headers],[Dec]],Planif.InstruireȘiDeplasare[#Headers],0))-INDEX(RealeInstruireȘiDeplasare[],MATCH(INDEX(DiferențăInstruireȘiDeplasare[],ROW()-ROW(DiferențăInstruireȘiDeplasare[[#Headers],[Dec]]),1),INDEX(Planif.InstruireȘiDeplasare[],,1),0),MATCH(DiferențăInstruireȘiDeplasare[[#Headers],[Dec]],RealeInstruireȘiDeplasare[#Headers],0))</f>
        <v>2000</v>
      </c>
      <c r="O31" s="112">
        <f>SUM(DiferențăInstruireȘiDeplasare[[#This Row],[Ian]:[Dec]])</f>
        <v>13000</v>
      </c>
    </row>
    <row r="32" spans="1:15" ht="24.95" customHeight="1" thickBot="1" x14ac:dyDescent="0.35">
      <c r="A32" s="26"/>
      <c r="B32" s="62" t="s">
        <v>35</v>
      </c>
      <c r="C32" s="111">
        <f>INDEX(Planif.InstruireȘiDeplasare[],MATCH(INDEX(DiferențăInstruireȘiDeplasare[],ROW()-ROW(DiferențăInstruireȘiDeplasare[[#Headers],[Ian]]),1),INDEX(Planif.InstruireȘiDeplasare[],,1),0),MATCH(DiferențăInstruireȘiDeplasare[[#Headers],[Ian]],Planif.InstruireȘiDeplasare[#Headers],0))-INDEX(RealeInstruireȘiDeplasare[],MATCH(INDEX(DiferențăInstruireȘiDeplasare[],ROW()-ROW(DiferențăInstruireȘiDeplasare[[#Headers],[Ian]]),1),INDEX(Planif.InstruireȘiDeplasare[],,1),0),MATCH(DiferențăInstruireȘiDeplasare[[#Headers],[Ian]],RealeInstruireȘiDeplasare[#Headers],0))</f>
        <v>800</v>
      </c>
      <c r="D32" s="111">
        <f>INDEX(Planif.InstruireȘiDeplasare[],MATCH(INDEX(DiferențăInstruireȘiDeplasare[],ROW()-ROW(DiferențăInstruireȘiDeplasare[[#Headers],[Feb]]),1),INDEX(Planif.InstruireȘiDeplasare[],,1),0),MATCH(DiferențăInstruireȘiDeplasare[[#Headers],[Feb]],Planif.InstruireȘiDeplasare[#Headers],0))-INDEX(RealeInstruireȘiDeplasare[],MATCH(INDEX(DiferențăInstruireȘiDeplasare[],ROW()-ROW(DiferențăInstruireȘiDeplasare[[#Headers],[Feb]]),1),INDEX(Planif.InstruireȘiDeplasare[],,1),0),MATCH(DiferențăInstruireȘiDeplasare[[#Headers],[Feb]],RealeInstruireȘiDeplasare[#Headers],0))</f>
        <v>-200</v>
      </c>
      <c r="E32" s="111">
        <f>INDEX(Planif.InstruireȘiDeplasare[],MATCH(INDEX(DiferențăInstruireȘiDeplasare[],ROW()-ROW(DiferențăInstruireȘiDeplasare[[#Headers],[Mar]]),1),INDEX(Planif.InstruireȘiDeplasare[],,1),0),MATCH(DiferențăInstruireȘiDeplasare[[#Headers],[Mar]],Planif.InstruireȘiDeplasare[#Headers],0))-INDEX(RealeInstruireȘiDeplasare[],MATCH(INDEX(DiferențăInstruireȘiDeplasare[],ROW()-ROW(DiferențăInstruireȘiDeplasare[[#Headers],[Mar]]),1),INDEX(Planif.InstruireȘiDeplasare[],,1),0),MATCH(DiferențăInstruireȘiDeplasare[[#Headers],[Mar]],RealeInstruireȘiDeplasare[#Headers],0))</f>
        <v>600</v>
      </c>
      <c r="F32" s="111">
        <f>INDEX(Planif.InstruireȘiDeplasare[],MATCH(INDEX(DiferențăInstruireȘiDeplasare[],ROW()-ROW(DiferențăInstruireȘiDeplasare[[#Headers],[Apr]]),1),INDEX(Planif.InstruireȘiDeplasare[],,1),0),MATCH(DiferențăInstruireȘiDeplasare[[#Headers],[Apr]],Planif.InstruireȘiDeplasare[#Headers],0))-INDEX(RealeInstruireȘiDeplasare[],MATCH(INDEX(DiferențăInstruireȘiDeplasare[],ROW()-ROW(DiferențăInstruireȘiDeplasare[[#Headers],[Apr]]),1),INDEX(Planif.InstruireȘiDeplasare[],,1),0),MATCH(DiferențăInstruireȘiDeplasare[[#Headers],[Apr]],RealeInstruireȘiDeplasare[#Headers],0))</f>
        <v>800</v>
      </c>
      <c r="G32" s="111">
        <f>INDEX(Planif.InstruireȘiDeplasare[],MATCH(INDEX(DiferențăInstruireȘiDeplasare[],ROW()-ROW(DiferențăInstruireȘiDeplasare[[#Headers],[Mai]]),1),INDEX(Planif.InstruireȘiDeplasare[],,1),0),MATCH(DiferențăInstruireȘiDeplasare[[#Headers],[Mai]],Planif.InstruireȘiDeplasare[#Headers],0))-INDEX(RealeInstruireȘiDeplasare[],MATCH(INDEX(DiferențăInstruireȘiDeplasare[],ROW()-ROW(DiferențăInstruireȘiDeplasare[[#Headers],[Mai]]),1),INDEX(Planif.InstruireȘiDeplasare[],,1),0),MATCH(DiferențăInstruireȘiDeplasare[[#Headers],[Mai]],RealeInstruireȘiDeplasare[#Headers],0))</f>
        <v>1200</v>
      </c>
      <c r="H32" s="111">
        <f>INDEX(Planif.InstruireȘiDeplasare[],MATCH(INDEX(DiferențăInstruireȘiDeplasare[],ROW()-ROW(DiferențăInstruireȘiDeplasare[[#Headers],[Iun]]),1),INDEX(Planif.InstruireȘiDeplasare[],,1),0),MATCH(DiferențăInstruireȘiDeplasare[[#Headers],[Iun]],Planif.InstruireȘiDeplasare[#Headers],0))-INDEX(RealeInstruireȘiDeplasare[],MATCH(INDEX(DiferențăInstruireȘiDeplasare[],ROW()-ROW(DiferențăInstruireȘiDeplasare[[#Headers],[Iun]]),1),INDEX(Planif.InstruireȘiDeplasare[],,1),0),MATCH(DiferențăInstruireȘiDeplasare[[#Headers],[Iun]],RealeInstruireȘiDeplasare[#Headers],0))</f>
        <v>-1500</v>
      </c>
      <c r="I32" s="111">
        <f>INDEX(Planif.InstruireȘiDeplasare[],MATCH(INDEX(DiferențăInstruireȘiDeplasare[],ROW()-ROW(DiferențăInstruireȘiDeplasare[[#Headers],[Iul]]),1),INDEX(Planif.InstruireȘiDeplasare[],,1),0),MATCH(DiferențăInstruireȘiDeplasare[[#Headers],[Iul]],Planif.InstruireȘiDeplasare[#Headers],0))-INDEX(RealeInstruireȘiDeplasare[],MATCH(INDEX(DiferențăInstruireȘiDeplasare[],ROW()-ROW(DiferențăInstruireȘiDeplasare[[#Headers],[Iul]]),1),INDEX(Planif.InstruireȘiDeplasare[],,1),0),MATCH(DiferențăInstruireȘiDeplasare[[#Headers],[Iul]],RealeInstruireȘiDeplasare[#Headers],0))</f>
        <v>2000</v>
      </c>
      <c r="J32" s="111">
        <f>INDEX(Planif.InstruireȘiDeplasare[],MATCH(INDEX(DiferențăInstruireȘiDeplasare[],ROW()-ROW(DiferențăInstruireȘiDeplasare[[#Headers],[Aug]]),1),INDEX(Planif.InstruireȘiDeplasare[],,1),0),MATCH(DiferențăInstruireȘiDeplasare[[#Headers],[Aug]],Planif.InstruireȘiDeplasare[#Headers],0))-INDEX(RealeInstruireȘiDeplasare[],MATCH(INDEX(DiferențăInstruireȘiDeplasare[],ROW()-ROW(DiferențăInstruireȘiDeplasare[[#Headers],[Aug]]),1),INDEX(Planif.InstruireȘiDeplasare[],,1),0),MATCH(DiferențăInstruireȘiDeplasare[[#Headers],[Aug]],RealeInstruireȘiDeplasare[#Headers],0))</f>
        <v>2000</v>
      </c>
      <c r="K32" s="111">
        <f>INDEX(Planif.InstruireȘiDeplasare[],MATCH(INDEX(DiferențăInstruireȘiDeplasare[],ROW()-ROW(DiferențăInstruireȘiDeplasare[[#Headers],[Sep]]),1),INDEX(Planif.InstruireȘiDeplasare[],,1),0),MATCH(DiferențăInstruireȘiDeplasare[[#Headers],[Sep]],Planif.InstruireȘiDeplasare[#Headers],0))-INDEX(RealeInstruireȘiDeplasare[],MATCH(INDEX(DiferențăInstruireȘiDeplasare[],ROW()-ROW(DiferențăInstruireȘiDeplasare[[#Headers],[Sep]]),1),INDEX(Planif.InstruireȘiDeplasare[],,1),0),MATCH(DiferențăInstruireȘiDeplasare[[#Headers],[Sep]],RealeInstruireȘiDeplasare[#Headers],0))</f>
        <v>2000</v>
      </c>
      <c r="L32" s="111">
        <f>INDEX(Planif.InstruireȘiDeplasare[],MATCH(INDEX(DiferențăInstruireȘiDeplasare[],ROW()-ROW(DiferențăInstruireȘiDeplasare[[#Headers],[Oct]]),1),INDEX(Planif.InstruireȘiDeplasare[],,1),0),MATCH(DiferențăInstruireȘiDeplasare[[#Headers],[Oct]],Planif.InstruireȘiDeplasare[#Headers],0))-INDEX(RealeInstruireȘiDeplasare[],MATCH(INDEX(DiferențăInstruireȘiDeplasare[],ROW()-ROW(DiferențăInstruireȘiDeplasare[[#Headers],[Oct]]),1),INDEX(Planif.InstruireȘiDeplasare[],,1),0),MATCH(DiferențăInstruireȘiDeplasare[[#Headers],[Oct]],RealeInstruireȘiDeplasare[#Headers],0))</f>
        <v>2000</v>
      </c>
      <c r="M32" s="111">
        <f>INDEX(Planif.InstruireȘiDeplasare[],MATCH(INDEX(DiferențăInstruireȘiDeplasare[],ROW()-ROW(DiferențăInstruireȘiDeplasare[[#Headers],[Nov]]),1),INDEX(Planif.InstruireȘiDeplasare[],,1),0),MATCH(DiferențăInstruireȘiDeplasare[[#Headers],[Nov]],Planif.InstruireȘiDeplasare[#Headers],0))-INDEX(RealeInstruireȘiDeplasare[],MATCH(INDEX(DiferențăInstruireȘiDeplasare[],ROW()-ROW(DiferențăInstruireȘiDeplasare[[#Headers],[Nov]]),1),INDEX(Planif.InstruireȘiDeplasare[],,1),0),MATCH(DiferențăInstruireȘiDeplasare[[#Headers],[Nov]],RealeInstruireȘiDeplasare[#Headers],0))</f>
        <v>2000</v>
      </c>
      <c r="N32" s="111">
        <f>INDEX(Planif.InstruireȘiDeplasare[],MATCH(INDEX(DiferențăInstruireȘiDeplasare[],ROW()-ROW(DiferențăInstruireȘiDeplasare[[#Headers],[Dec]]),1),INDEX(Planif.InstruireȘiDeplasare[],,1),0),MATCH(DiferențăInstruireȘiDeplasare[[#Headers],[Dec]],Planif.InstruireȘiDeplasare[#Headers],0))-INDEX(RealeInstruireȘiDeplasare[],MATCH(INDEX(DiferențăInstruireȘiDeplasare[],ROW()-ROW(DiferențăInstruireȘiDeplasare[[#Headers],[Dec]]),1),INDEX(Planif.InstruireȘiDeplasare[],,1),0),MATCH(DiferențăInstruireȘiDeplasare[[#Headers],[Dec]],RealeInstruireȘiDeplasare[#Headers],0))</f>
        <v>2000</v>
      </c>
      <c r="O32" s="112">
        <f>SUM(DiferențăInstruireȘiDeplasare[[#This Row],[Ian]:[Dec]])</f>
        <v>13700</v>
      </c>
    </row>
    <row r="33" spans="1:15" ht="24.95" customHeight="1" x14ac:dyDescent="0.3">
      <c r="A33" s="26"/>
      <c r="B33" s="74" t="s">
        <v>16</v>
      </c>
      <c r="C33" s="118">
        <f>SUBTOTAL(109,DiferențăInstruireȘiDeplasare[Ian])</f>
        <v>1200</v>
      </c>
      <c r="D33" s="118">
        <f>SUBTOTAL(109,DiferențăInstruireȘiDeplasare[Feb])</f>
        <v>-600</v>
      </c>
      <c r="E33" s="118">
        <f>SUBTOTAL(109,DiferențăInstruireȘiDeplasare[Mar])</f>
        <v>1200</v>
      </c>
      <c r="F33" s="118">
        <f>SUBTOTAL(109,DiferențăInstruireȘiDeplasare[Apr])</f>
        <v>1200</v>
      </c>
      <c r="G33" s="118">
        <f>SUBTOTAL(109,DiferențăInstruireȘiDeplasare[Mai])</f>
        <v>2000</v>
      </c>
      <c r="H33" s="118">
        <f>SUBTOTAL(109,DiferențăInstruireȘiDeplasare[Iun])</f>
        <v>-2300</v>
      </c>
      <c r="I33" s="118">
        <f>SUBTOTAL(109,DiferențăInstruireȘiDeplasare[Iul])</f>
        <v>4000</v>
      </c>
      <c r="J33" s="118">
        <f>SUBTOTAL(109,DiferențăInstruireȘiDeplasare[Aug])</f>
        <v>4000</v>
      </c>
      <c r="K33" s="118">
        <f>SUBTOTAL(109,DiferențăInstruireȘiDeplasare[Sep])</f>
        <v>4000</v>
      </c>
      <c r="L33" s="118">
        <f>SUBTOTAL(109,DiferențăInstruireȘiDeplasare[Oct])</f>
        <v>4000</v>
      </c>
      <c r="M33" s="118">
        <f>SUBTOTAL(109,DiferențăInstruireȘiDeplasare[Nov])</f>
        <v>4000</v>
      </c>
      <c r="N33" s="118">
        <f>SUBTOTAL(109,DiferențăInstruireȘiDeplasare[Dec])</f>
        <v>4000</v>
      </c>
      <c r="O33" s="119">
        <f>SUBTOTAL(109,DiferențăInstruireȘiDeplasare[AN])</f>
        <v>26700</v>
      </c>
    </row>
    <row r="34" spans="1:15" ht="21" customHeight="1" x14ac:dyDescent="0.3">
      <c r="A34" s="26"/>
      <c r="B34" s="92"/>
      <c r="C34" s="92"/>
      <c r="D34" s="131"/>
      <c r="E34" s="131"/>
      <c r="F34" s="131"/>
      <c r="G34" s="131"/>
      <c r="H34" s="131"/>
      <c r="I34" s="131"/>
      <c r="J34" s="131"/>
      <c r="K34" s="131"/>
      <c r="L34" s="131"/>
      <c r="M34" s="131"/>
      <c r="N34" s="131"/>
      <c r="O34" s="131"/>
    </row>
    <row r="35" spans="1:15" ht="24.95" customHeight="1" thickBot="1" x14ac:dyDescent="0.35">
      <c r="A35" s="36" t="s">
        <v>104</v>
      </c>
      <c r="B35" s="144" t="s">
        <v>89</v>
      </c>
      <c r="C35" s="142" t="s">
        <v>39</v>
      </c>
      <c r="D35" s="142" t="s">
        <v>41</v>
      </c>
      <c r="E35" s="142" t="s">
        <v>43</v>
      </c>
      <c r="F35" s="142" t="s">
        <v>45</v>
      </c>
      <c r="G35" s="142" t="s">
        <v>47</v>
      </c>
      <c r="H35" s="142" t="s">
        <v>49</v>
      </c>
      <c r="I35" s="142" t="s">
        <v>51</v>
      </c>
      <c r="J35" s="142" t="s">
        <v>53</v>
      </c>
      <c r="K35" s="142" t="s">
        <v>57</v>
      </c>
      <c r="L35" s="142" t="s">
        <v>59</v>
      </c>
      <c r="M35" s="142" t="s">
        <v>61</v>
      </c>
      <c r="N35" s="142" t="s">
        <v>64</v>
      </c>
      <c r="O35" s="142" t="s">
        <v>66</v>
      </c>
    </row>
    <row r="36" spans="1:15" ht="24.95" customHeight="1" thickBot="1" x14ac:dyDescent="0.35">
      <c r="A36" s="26"/>
      <c r="B36" s="12" t="s">
        <v>73</v>
      </c>
      <c r="C36" s="121">
        <f>DiferențăInstruireȘiDeplasare[[#Totals],[Ian]]+DiferențăMarketing[[#Totals],[Ian]]+DiferențăBirou[[#Totals],[Ian]]+DiferențăAngajați[[#Totals],[Ian]]</f>
        <v>1738</v>
      </c>
      <c r="D36" s="121">
        <f>DiferențăInstruireȘiDeplasare[[#Totals],[Feb]]+DiferențăMarketing[[#Totals],[Feb]]+DiferențăBirou[[#Totals],[Feb]]+DiferențăAngajați[[#Totals],[Feb]]</f>
        <v>-984</v>
      </c>
      <c r="E36" s="121">
        <f>DiferențăInstruireȘiDeplasare[[#Totals],[Mar]]+DiferențăMarketing[[#Totals],[Mar]]+DiferențăBirou[[#Totals],[Mar]]+DiferențăAngajați[[#Totals],[Mar]]</f>
        <v>1255</v>
      </c>
      <c r="F36" s="121">
        <f>DiferențăInstruireȘiDeplasare[[#Totals],[Apr]]+DiferențăMarketing[[#Totals],[Apr]]+DiferențăBirou[[#Totals],[Apr]]+DiferențăAngajați[[#Totals],[Apr]]</f>
        <v>301</v>
      </c>
      <c r="G36" s="121">
        <f>DiferențăInstruireȘiDeplasare[[#Totals],[Mai]]+DiferențăMarketing[[#Totals],[Mai]]+DiferențăBirou[[#Totals],[Mai]]+DiferențăAngajați[[#Totals],[Mai]]</f>
        <v>1440</v>
      </c>
      <c r="H36" s="121">
        <f>DiferențăInstruireȘiDeplasare[[#Totals],[Iun]]+DiferențăMarketing[[#Totals],[Iun]]+DiferențăBirou[[#Totals],[Iun]]+DiferențăAngajați[[#Totals],[Iun]]</f>
        <v>-3744</v>
      </c>
      <c r="I36" s="121">
        <f>DiferențăInstruireȘiDeplasare[[#Totals],[Iul]]+DiferențăMarketing[[#Totals],[Iul]]+DiferențăBirou[[#Totals],[Iul]]+DiferențăAngajați[[#Totals],[Iul]]</f>
        <v>134695</v>
      </c>
      <c r="J36" s="121">
        <f>DiferențăInstruireȘiDeplasare[[#Totals],[Aug]]+DiferențăMarketing[[#Totals],[Aug]]+DiferențăBirou[[#Totals],[Aug]]+DiferențăAngajați[[#Totals],[Aug]]</f>
        <v>138918</v>
      </c>
      <c r="K36" s="121">
        <f>DiferențăInstruireȘiDeplasare[[#Totals],[Sep]]+DiferențăMarketing[[#Totals],[Sep]]+DiferențăBirou[[#Totals],[Sep]]+DiferențăAngajați[[#Totals],[Sep]]</f>
        <v>135918</v>
      </c>
      <c r="L36" s="121">
        <f>DiferențăInstruireȘiDeplasare[[#Totals],[Oct]]+DiferențăMarketing[[#Totals],[Oct]]+DiferențăBirou[[#Totals],[Oct]]+DiferențăAngajați[[#Totals],[Oct]]</f>
        <v>140918</v>
      </c>
      <c r="M36" s="121">
        <f>DiferențăInstruireȘiDeplasare[[#Totals],[Nov]]+DiferențăMarketing[[#Totals],[Nov]]+DiferențăBirou[[#Totals],[Nov]]+DiferențăAngajați[[#Totals],[Nov]]</f>
        <v>136218</v>
      </c>
      <c r="N36" s="121">
        <f>DiferențăInstruireȘiDeplasare[[#Totals],[Dec]]+DiferențăMarketing[[#Totals],[Dec]]+DiferențăBirou[[#Totals],[Dec]]+DiferențăAngajați[[#Totals],[Dec]]</f>
        <v>140018</v>
      </c>
      <c r="O36" s="121">
        <f>DiferențăInstruireȘiDeplasare[[#Totals],[AN]]+DiferențăMarketing[[#Totals],[AN]]+DiferențăBirou[[#Totals],[AN]]+DiferențăAngajați[[#Totals],[AN]]</f>
        <v>826691</v>
      </c>
    </row>
    <row r="37" spans="1:15" ht="24.95" customHeight="1" thickBot="1" x14ac:dyDescent="0.35">
      <c r="A37" s="26"/>
      <c r="B37" s="12" t="s">
        <v>74</v>
      </c>
      <c r="C37" s="122">
        <f>SUM($C$36:C36)</f>
        <v>1738</v>
      </c>
      <c r="D37" s="122">
        <f>SUM($C$36:D36)</f>
        <v>754</v>
      </c>
      <c r="E37" s="122">
        <f>SUM($C$36:E36)</f>
        <v>2009</v>
      </c>
      <c r="F37" s="122">
        <f>SUM($C$36:F36)</f>
        <v>2310</v>
      </c>
      <c r="G37" s="122">
        <f>SUM($C$36:G36)</f>
        <v>3750</v>
      </c>
      <c r="H37" s="122">
        <f>SUM($C$36:H36)</f>
        <v>6</v>
      </c>
      <c r="I37" s="122">
        <f>SUM($C$36:I36)</f>
        <v>134701</v>
      </c>
      <c r="J37" s="122">
        <f>SUM($C$36:J36)</f>
        <v>273619</v>
      </c>
      <c r="K37" s="122">
        <f>SUM($C$36:K36)</f>
        <v>409537</v>
      </c>
      <c r="L37" s="122">
        <f>SUM($C$36:L36)</f>
        <v>550455</v>
      </c>
      <c r="M37" s="122">
        <f>SUM($C$36:M36)</f>
        <v>686673</v>
      </c>
      <c r="N37" s="122">
        <f>SUM($C$36:N36)</f>
        <v>826691</v>
      </c>
      <c r="O37" s="122"/>
    </row>
    <row r="38" spans="1:15" ht="21" customHeight="1" x14ac:dyDescent="0.3">
      <c r="A38" s="26"/>
      <c r="B38" s="2"/>
      <c r="C38" s="2"/>
      <c r="D38" s="13"/>
      <c r="E38" s="2"/>
      <c r="F38" s="2"/>
      <c r="G38" s="2"/>
      <c r="H38" s="2"/>
      <c r="I38" s="2"/>
      <c r="J38" s="2"/>
      <c r="K38" s="2"/>
      <c r="L38" s="2"/>
      <c r="M38" s="2"/>
      <c r="N38" s="2"/>
      <c r="O38" s="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workbookViewId="0"/>
  </sheetViews>
  <sheetFormatPr defaultColWidth="9.140625" defaultRowHeight="18.75" x14ac:dyDescent="0.3"/>
  <cols>
    <col min="1" max="1" width="4.7109375" style="32" customWidth="1"/>
    <col min="2" max="2" width="26.28515625" style="4" customWidth="1"/>
    <col min="3" max="3" width="23.28515625" style="4" customWidth="1"/>
    <col min="4" max="4" width="24.28515625" style="4" customWidth="1"/>
    <col min="5" max="5" width="23" style="4" customWidth="1"/>
    <col min="6" max="6" width="24.5703125" style="4" customWidth="1"/>
    <col min="7" max="7" width="4.7109375" style="1" customWidth="1"/>
    <col min="8" max="8" width="8.85546875" customWidth="1"/>
    <col min="9" max="16384" width="9.140625" style="4"/>
  </cols>
  <sheetData>
    <row r="1" spans="1:16" s="1" customFormat="1" ht="24" customHeight="1" x14ac:dyDescent="0.3">
      <c r="A1" s="29" t="s">
        <v>105</v>
      </c>
      <c r="B1" s="10"/>
      <c r="C1" s="10"/>
      <c r="D1" s="10"/>
      <c r="E1" s="7"/>
      <c r="F1" s="7"/>
      <c r="G1" s="59" t="s">
        <v>67</v>
      </c>
      <c r="I1"/>
      <c r="J1"/>
      <c r="K1"/>
      <c r="L1"/>
      <c r="M1"/>
      <c r="N1"/>
      <c r="O1"/>
      <c r="P1" t="s">
        <v>67</v>
      </c>
    </row>
    <row r="2" spans="1:16" s="1" customFormat="1" ht="45" customHeight="1" x14ac:dyDescent="0.35">
      <c r="A2" s="29" t="s">
        <v>78</v>
      </c>
      <c r="B2" s="135" t="str">
        <f>'CHELTUIELI PLANIFICATE'!B2:D3</f>
        <v>Numele firmei</v>
      </c>
      <c r="C2" s="89"/>
      <c r="D2" s="89"/>
      <c r="E2" s="145"/>
      <c r="F2" s="146" t="s">
        <v>62</v>
      </c>
      <c r="G2" s="100"/>
      <c r="I2"/>
      <c r="J2"/>
      <c r="K2"/>
      <c r="L2"/>
      <c r="M2"/>
      <c r="N2"/>
      <c r="O2"/>
      <c r="P2"/>
    </row>
    <row r="3" spans="1:16" s="1" customFormat="1" ht="30" customHeight="1" x14ac:dyDescent="0.3">
      <c r="A3" s="29" t="s">
        <v>79</v>
      </c>
      <c r="B3" s="89"/>
      <c r="C3" s="89"/>
      <c r="D3" s="89"/>
      <c r="E3" s="147" t="str">
        <f>titlu_foaie_de_lucru</f>
        <v>Estimări detaliate cheltuieli</v>
      </c>
      <c r="F3" s="99"/>
      <c r="G3" s="99"/>
      <c r="I3"/>
      <c r="J3"/>
      <c r="K3"/>
      <c r="L3"/>
      <c r="M3"/>
      <c r="N3"/>
      <c r="O3"/>
      <c r="P3"/>
    </row>
    <row r="4" spans="1:16" customFormat="1" ht="18.75" customHeight="1" x14ac:dyDescent="0.2">
      <c r="A4" s="22"/>
    </row>
    <row r="5" spans="1:16" ht="24.95" customHeight="1" thickBot="1" x14ac:dyDescent="0.35">
      <c r="A5" s="30" t="s">
        <v>106</v>
      </c>
      <c r="B5" s="14" t="s">
        <v>81</v>
      </c>
      <c r="C5" s="15" t="s">
        <v>83</v>
      </c>
      <c r="D5" s="16" t="s">
        <v>84</v>
      </c>
      <c r="E5" s="14" t="s">
        <v>86</v>
      </c>
      <c r="F5" s="17" t="s">
        <v>87</v>
      </c>
      <c r="G5" s="11"/>
      <c r="I5"/>
      <c r="J5"/>
      <c r="K5"/>
      <c r="L5"/>
      <c r="M5"/>
      <c r="N5"/>
      <c r="O5"/>
      <c r="P5"/>
    </row>
    <row r="6" spans="1:16" ht="24.95" customHeight="1" thickBot="1" x14ac:dyDescent="0.35">
      <c r="A6" s="31"/>
      <c r="B6" s="75" t="s">
        <v>13</v>
      </c>
      <c r="C6" s="133">
        <f>Planif.Angajați[[#Totals],[AN]]</f>
        <v>1355090</v>
      </c>
      <c r="D6" s="133">
        <f>RealeAngajați[[#Totals],[AN]]</f>
        <v>659130</v>
      </c>
      <c r="E6" s="133">
        <f>C6-D6</f>
        <v>695960</v>
      </c>
      <c r="F6" s="19">
        <f>E6/C6</f>
        <v>0.5135895032802249</v>
      </c>
      <c r="G6" s="3"/>
    </row>
    <row r="7" spans="1:16" ht="24.95" customHeight="1" thickBot="1" x14ac:dyDescent="0.35">
      <c r="A7" s="30"/>
      <c r="B7" s="75" t="str">
        <f>'CHELTUIELI PLANIFICATE'!B10</f>
        <v>Costuri cu biroul</v>
      </c>
      <c r="C7" s="133">
        <f>Planif.Birou[[#Totals],[AN]]</f>
        <v>138740</v>
      </c>
      <c r="D7" s="133">
        <f>RealeBirou[[#Totals],[AN]]</f>
        <v>69350</v>
      </c>
      <c r="E7" s="133">
        <f>C7-D7</f>
        <v>69390</v>
      </c>
      <c r="F7" s="19">
        <f>E7/C7</f>
        <v>0.50014415453366012</v>
      </c>
    </row>
    <row r="8" spans="1:16" ht="24.95" customHeight="1" thickBot="1" x14ac:dyDescent="0.35">
      <c r="A8" s="30"/>
      <c r="B8" s="18" t="str">
        <f>'CHELTUIELI PLANIFICATE'!B21</f>
        <v>Costuri de marketing</v>
      </c>
      <c r="C8" s="133">
        <f>Planif.Marketing[[#Totals],[AN]]</f>
        <v>67800</v>
      </c>
      <c r="D8" s="133">
        <f>RealeMarketing[[#Totals],[AN]]</f>
        <v>33159</v>
      </c>
      <c r="E8" s="133">
        <f>C8-D8</f>
        <v>34641</v>
      </c>
      <c r="F8" s="19">
        <f>E8/C8</f>
        <v>0.51092920353982296</v>
      </c>
    </row>
    <row r="9" spans="1:16" ht="24.95" customHeight="1" thickBot="1" x14ac:dyDescent="0.35">
      <c r="A9" s="30"/>
      <c r="B9" s="18" t="str">
        <f>'CHELTUIELI PLANIFICATE'!B30</f>
        <v>Instruire/deplasare</v>
      </c>
      <c r="C9" s="133">
        <f>Planif.InstruireȘiDeplasare[[#Totals],[AN]]</f>
        <v>48000</v>
      </c>
      <c r="D9" s="133">
        <f>RealeInstruireȘiDeplasare[[#Totals],[AN]]</f>
        <v>21300</v>
      </c>
      <c r="E9" s="133">
        <f>C9-D9</f>
        <v>26700</v>
      </c>
      <c r="F9" s="19">
        <f>E9/C9</f>
        <v>0.55625000000000002</v>
      </c>
    </row>
    <row r="10" spans="1:16" ht="24.95" customHeight="1" x14ac:dyDescent="0.3">
      <c r="A10" s="30"/>
      <c r="B10" s="33" t="str">
        <f>'CHELTUIELI PLANIFICATE'!B35</f>
        <v>TOTAL</v>
      </c>
      <c r="C10" s="134">
        <f>'CHELTUIELI PLANIFICATE'!O36</f>
        <v>1609630</v>
      </c>
      <c r="D10" s="134">
        <f>'CHELTUIELI REALE'!O36</f>
        <v>782939</v>
      </c>
      <c r="E10" s="134">
        <f>C10-D10</f>
        <v>826691</v>
      </c>
      <c r="F10" s="34">
        <f>E10/C10</f>
        <v>0.51359070096854553</v>
      </c>
    </row>
    <row r="11" spans="1:16" x14ac:dyDescent="0.3">
      <c r="A11" s="30"/>
      <c r="B11" s="77"/>
      <c r="C11" s="82"/>
      <c r="D11" s="82"/>
      <c r="E11" s="82"/>
      <c r="F11" s="6"/>
    </row>
    <row r="12" spans="1:16" ht="300" customHeight="1" x14ac:dyDescent="0.3">
      <c r="A12" s="30" t="s">
        <v>80</v>
      </c>
      <c r="B12" s="95" t="s">
        <v>82</v>
      </c>
      <c r="C12" s="94"/>
      <c r="D12" s="94" t="s">
        <v>85</v>
      </c>
      <c r="E12" s="94"/>
      <c r="F12" s="94"/>
      <c r="G12"/>
    </row>
    <row r="13" spans="1:16" ht="18.75" customHeight="1" x14ac:dyDescent="0.3">
      <c r="A13" s="30"/>
      <c r="B13" s="78"/>
    </row>
    <row r="14" spans="1:16" ht="409.5" x14ac:dyDescent="0.3">
      <c r="A14" s="30" t="s">
        <v>107</v>
      </c>
      <c r="B14" s="96"/>
      <c r="C14" s="97"/>
      <c r="D14" s="97"/>
      <c r="E14" s="97"/>
      <c r="F14" s="97"/>
    </row>
    <row r="15" spans="1:16" x14ac:dyDescent="0.3">
      <c r="A15" s="30"/>
      <c r="B15" s="96"/>
      <c r="C15" s="97"/>
      <c r="D15" s="97"/>
      <c r="E15" s="97"/>
      <c r="F15" s="97"/>
    </row>
    <row r="16" spans="1:16" x14ac:dyDescent="0.3">
      <c r="A16" s="30"/>
      <c r="B16" s="96"/>
      <c r="C16" s="97"/>
      <c r="D16" s="97"/>
      <c r="E16" s="97"/>
      <c r="F16" s="97"/>
    </row>
    <row r="17" spans="1:6" x14ac:dyDescent="0.3">
      <c r="A17" s="30"/>
      <c r="B17" s="96"/>
      <c r="C17" s="97"/>
      <c r="D17" s="97"/>
      <c r="E17" s="97"/>
      <c r="F17" s="97"/>
    </row>
    <row r="18" spans="1:6" x14ac:dyDescent="0.3">
      <c r="A18" s="30"/>
      <c r="B18" s="96"/>
      <c r="C18" s="97"/>
      <c r="D18" s="97"/>
      <c r="E18" s="97"/>
      <c r="F18" s="97"/>
    </row>
    <row r="19" spans="1:6" x14ac:dyDescent="0.3">
      <c r="A19" s="30"/>
      <c r="B19" s="97"/>
      <c r="C19" s="97"/>
      <c r="D19" s="97"/>
      <c r="E19" s="97"/>
      <c r="F19" s="97"/>
    </row>
    <row r="20" spans="1:6" x14ac:dyDescent="0.3">
      <c r="A20" s="30"/>
      <c r="B20" s="97"/>
      <c r="C20" s="97"/>
      <c r="D20" s="97"/>
      <c r="E20" s="97"/>
      <c r="F20" s="97"/>
    </row>
    <row r="21" spans="1:6" x14ac:dyDescent="0.3">
      <c r="A21" s="30"/>
      <c r="B21" s="97"/>
      <c r="C21" s="97"/>
      <c r="D21" s="97"/>
      <c r="E21" s="97"/>
      <c r="F21" s="97"/>
    </row>
    <row r="22" spans="1:6" x14ac:dyDescent="0.3">
      <c r="A22" s="30"/>
      <c r="B22" s="96"/>
      <c r="C22" s="97"/>
      <c r="D22" s="97"/>
      <c r="E22" s="97"/>
      <c r="F22" s="97"/>
    </row>
    <row r="23" spans="1:6" x14ac:dyDescent="0.3">
      <c r="A23" s="30"/>
      <c r="B23" s="96"/>
      <c r="C23" s="97"/>
      <c r="D23" s="97"/>
      <c r="E23" s="97"/>
      <c r="F23" s="97"/>
    </row>
    <row r="24" spans="1:6" x14ac:dyDescent="0.3">
      <c r="A24" s="30"/>
      <c r="B24" s="96"/>
      <c r="C24" s="97"/>
      <c r="D24" s="97"/>
      <c r="E24" s="97"/>
      <c r="F24" s="97"/>
    </row>
    <row r="25" spans="1:6" x14ac:dyDescent="0.3">
      <c r="A25" s="30"/>
      <c r="B25" s="96"/>
      <c r="C25" s="97"/>
      <c r="D25" s="97"/>
      <c r="E25" s="97"/>
      <c r="F25" s="97"/>
    </row>
    <row r="26" spans="1:6" x14ac:dyDescent="0.3">
      <c r="A26" s="30"/>
      <c r="B26" s="96"/>
      <c r="C26" s="97"/>
      <c r="D26" s="97"/>
      <c r="E26" s="97"/>
      <c r="F26" s="97"/>
    </row>
    <row r="27" spans="1:6" x14ac:dyDescent="0.3">
      <c r="A27" s="30"/>
      <c r="B27" s="96"/>
      <c r="C27" s="97"/>
      <c r="D27" s="97"/>
      <c r="E27" s="97"/>
      <c r="F27" s="97"/>
    </row>
    <row r="28" spans="1:6" x14ac:dyDescent="0.3">
      <c r="A28" s="30"/>
      <c r="B28" s="97"/>
      <c r="C28" s="97"/>
      <c r="D28" s="97"/>
      <c r="E28" s="97"/>
      <c r="F28" s="97"/>
    </row>
    <row r="29" spans="1:6" x14ac:dyDescent="0.3">
      <c r="A29" s="30"/>
      <c r="B29" s="97"/>
      <c r="C29" s="97"/>
      <c r="D29" s="97"/>
      <c r="E29" s="97"/>
      <c r="F29" s="97"/>
    </row>
    <row r="30" spans="1:6" x14ac:dyDescent="0.3">
      <c r="A30" s="30"/>
      <c r="B30" s="97"/>
      <c r="C30" s="97"/>
      <c r="D30" s="97"/>
      <c r="E30" s="97"/>
      <c r="F30" s="97"/>
    </row>
    <row r="31" spans="1:6" x14ac:dyDescent="0.3">
      <c r="A31" s="30"/>
      <c r="B31" s="96"/>
      <c r="C31" s="97"/>
      <c r="D31" s="97"/>
      <c r="E31" s="97"/>
      <c r="F31" s="97"/>
    </row>
    <row r="32" spans="1:6" x14ac:dyDescent="0.3">
      <c r="A32" s="30"/>
      <c r="B32" s="96"/>
      <c r="C32" s="97"/>
      <c r="D32" s="97"/>
      <c r="E32" s="97"/>
      <c r="F32" s="97"/>
    </row>
    <row r="33" spans="1:6" x14ac:dyDescent="0.3">
      <c r="A33" s="30"/>
      <c r="B33" s="97"/>
      <c r="C33" s="97"/>
      <c r="D33" s="97"/>
      <c r="E33" s="97"/>
      <c r="F33" s="97"/>
    </row>
    <row r="34" spans="1:6" x14ac:dyDescent="0.3">
      <c r="A34" s="30"/>
      <c r="B34" s="97"/>
      <c r="C34" s="97"/>
      <c r="D34" s="97"/>
      <c r="E34" s="97"/>
      <c r="F34" s="97"/>
    </row>
    <row r="35" spans="1:6" x14ac:dyDescent="0.3">
      <c r="A35" s="30"/>
      <c r="B35" s="97"/>
      <c r="C35" s="97"/>
      <c r="D35" s="97"/>
      <c r="E35" s="97"/>
      <c r="F35" s="97"/>
    </row>
    <row r="36" spans="1:6" x14ac:dyDescent="0.3">
      <c r="A36" s="30"/>
      <c r="B36" s="98"/>
      <c r="C36" s="97"/>
      <c r="D36" s="97"/>
      <c r="E36" s="97"/>
      <c r="F36" s="97"/>
    </row>
    <row r="37" spans="1:6" x14ac:dyDescent="0.3">
      <c r="A37" s="30"/>
      <c r="B37" s="98"/>
      <c r="C37" s="97"/>
      <c r="D37" s="97"/>
      <c r="E37" s="97"/>
      <c r="F37" s="97"/>
    </row>
    <row r="38" spans="1:6" x14ac:dyDescent="0.3">
      <c r="A38" s="30"/>
    </row>
    <row r="39" spans="1:6" x14ac:dyDescent="0.3">
      <c r="A39" s="30"/>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5</vt:i4>
      </vt:variant>
      <vt:variant>
        <vt:lpstr>Zone denumite</vt:lpstr>
      </vt:variant>
      <vt:variant>
        <vt:i4>1</vt:i4>
      </vt:variant>
    </vt:vector>
  </HeadingPairs>
  <TitlesOfParts>
    <vt:vector size="6" baseType="lpstr">
      <vt:lpstr>ÎNCEPUT</vt:lpstr>
      <vt:lpstr>CHELTUIELI PLANIFICATE</vt:lpstr>
      <vt:lpstr>CHELTUIELI REALE</vt:lpstr>
      <vt:lpstr>DIFERENȚA CHELTUIELILOR</vt:lpstr>
      <vt:lpstr>ANALIZA CHELTUIELILOR</vt:lpstr>
      <vt:lpstr>titlu_foaie_de_lucru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2018-05-30T05:56:59Z</dcterms:created>
  <dcterms:modified xsi:type="dcterms:W3CDTF">2018-09-20T08:01:53Z</dcterms:modified>
</cp:coreProperties>
</file>

<file path=docProps/custom.xml><?xml version="1.0" encoding="utf-8"?>
<Properties xmlns="http://schemas.openxmlformats.org/officeDocument/2006/custom-properties" xmlns:vt="http://schemas.openxmlformats.org/officeDocument/2006/docPropsVTypes"/>
</file>