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16"/>
  <workbookPr/>
  <mc:AlternateContent xmlns:mc="http://schemas.openxmlformats.org/markup-compatibility/2006">
    <mc:Choice Requires="x15">
      <x15ac:absPath xmlns:x15ac="http://schemas.microsoft.com/office/spreadsheetml/2010/11/ac" url="C:\Users\admin\OneDrive - BCS Loc Test 5\WordTech_20190719_Excel_Word_Win32_Q1_P2\04_PreDTP_Done\ro-RO\"/>
    </mc:Choice>
  </mc:AlternateContent>
  <xr:revisionPtr revIDLastSave="0" documentId="13_ncr:3_{35726F62-4251-40F0-87F2-72875FC5EBE9}" xr6:coauthVersionLast="43" xr6:coauthVersionMax="43" xr10:uidLastSave="{00000000-0000-0000-0000-000000000000}"/>
  <bookViews>
    <workbookView xWindow="-120" yWindow="-120" windowWidth="28740" windowHeight="14400" tabRatio="686" xr2:uid="{00000000-000D-0000-FFFF-FFFF00000000}"/>
  </bookViews>
  <sheets>
    <sheet name="Februarie" sheetId="5" r:id="rId1"/>
    <sheet name="Ianuarie" sheetId="4" r:id="rId2"/>
    <sheet name="Martie" sheetId="17" r:id="rId3"/>
    <sheet name="Aprilie" sheetId="18" r:id="rId4"/>
    <sheet name="Mai" sheetId="19" r:id="rId5"/>
    <sheet name="Iunie" sheetId="20" r:id="rId6"/>
    <sheet name="Iulie" sheetId="21" r:id="rId7"/>
    <sheet name="August" sheetId="22" r:id="rId8"/>
    <sheet name="Septembrie" sheetId="23" r:id="rId9"/>
    <sheet name="Octombrie" sheetId="24" r:id="rId10"/>
    <sheet name="Noiembrie" sheetId="25" r:id="rId11"/>
    <sheet name="Decembrie" sheetId="15" r:id="rId12"/>
    <sheet name="Nume angajați" sheetId="16" r:id="rId13"/>
  </sheets>
  <definedNames>
    <definedName name="CalendarYear">Ianuarie!$AH$4</definedName>
    <definedName name="CheieConcediuMedical">Ianuarie!$K$2</definedName>
    <definedName name="CheieParticularizată1">Ianuarie!$N$2</definedName>
    <definedName name="CheieParticularizată2">Ianuarie!$R$2</definedName>
    <definedName name="CheiePersonal">Ianuarie!$G$2</definedName>
    <definedName name="CheieVacanță">Ianuarie!$C$2</definedName>
    <definedName name="EtichetăCheieConcediuMedical">Ianuarie!$L$2</definedName>
    <definedName name="EtichetăCheieParticularizată1">Ianuarie!$O$2</definedName>
    <definedName name="EtichetăCheieParticularizată2">Ianuarie!$S$2</definedName>
    <definedName name="EtichetăCheiePersonal">Ianuarie!$H$2</definedName>
    <definedName name="EtichetăCheieVacanță">Ianuarie!$D$2</definedName>
    <definedName name="_xlnm.Print_Titles" localSheetId="3">Aprilie!$4:$6</definedName>
    <definedName name="_xlnm.Print_Titles" localSheetId="7">August!$4:$6</definedName>
    <definedName name="_xlnm.Print_Titles" localSheetId="11">Decembrie!$4:$6</definedName>
    <definedName name="_xlnm.Print_Titles" localSheetId="0">Februarie!$4:$6</definedName>
    <definedName name="_xlnm.Print_Titles" localSheetId="1">Ianuarie!$4:$6</definedName>
    <definedName name="_xlnm.Print_Titles" localSheetId="6">Iulie!$4:$6</definedName>
    <definedName name="_xlnm.Print_Titles" localSheetId="5">Iunie!$4:$6</definedName>
    <definedName name="_xlnm.Print_Titles" localSheetId="4">Mai!$4:$6</definedName>
    <definedName name="_xlnm.Print_Titles" localSheetId="2">Martie!$4:$6</definedName>
    <definedName name="_xlnm.Print_Titles" localSheetId="10">Noiembrie!$4:$6</definedName>
    <definedName name="_xlnm.Print_Titles" localSheetId="9">Octombrie!$4:$6</definedName>
    <definedName name="_xlnm.Print_Titles" localSheetId="8">Septembrie!$4:$6</definedName>
    <definedName name="Nume_cheie">Ianuarie!$B$2</definedName>
    <definedName name="NumeLună" localSheetId="3">Aprilie!$B$4</definedName>
    <definedName name="NumeLună" localSheetId="7">August!$B$4</definedName>
    <definedName name="NumeLună" localSheetId="11">Decembrie!$B$4</definedName>
    <definedName name="NumeLună" localSheetId="0">Februarie!$B$4</definedName>
    <definedName name="NumeLună" localSheetId="1">Ianuarie!$B$4</definedName>
    <definedName name="NumeLună" localSheetId="6">Iulie!$B$4</definedName>
    <definedName name="NumeLună" localSheetId="5">Iunie!$B$4</definedName>
    <definedName name="NumeLună" localSheetId="4">Mai!$B$4</definedName>
    <definedName name="NumeLună" localSheetId="2">Martie!$B$4</definedName>
    <definedName name="NumeLună" localSheetId="10">Noiembrie!$B$4</definedName>
    <definedName name="NumeLună" localSheetId="9">Octombrie!$B$4</definedName>
    <definedName name="NumeLună" localSheetId="8">Septembrie!$B$4</definedName>
    <definedName name="Titlu_Absență_Angajat">Ianuarie!$B$1</definedName>
    <definedName name="Titlu3">Martie[[#Headers],[Nume angajat]]</definedName>
    <definedName name="Titlu4">Aprilie[[#Headers],[Nume angajat]]</definedName>
    <definedName name="Titlu5">Mai[[#Headers],[Nume angajat]]</definedName>
    <definedName name="TitluColoană13">NumeAngajat[[#Headers],[Nume angajați]]</definedName>
    <definedName name="Titlul1">Ianuarie[[#Headers],[Nume angajat]]</definedName>
    <definedName name="Titlul10">Octombrie[[#Headers],[Nume angajat]]</definedName>
    <definedName name="Titlul11">Noiembrie[[#Headers],[Nume angajat]]</definedName>
    <definedName name="Titlul12">Decembrie[[#Headers],[Nume angajat]]</definedName>
    <definedName name="Titlul2">Februarie[[#Headers],[Nume angajat]]</definedName>
    <definedName name="Titlul6">Iunie[[#Headers],[Nume angajat]]</definedName>
    <definedName name="Titlul7">Iulie[[#Headers],[Nume angajat]]</definedName>
    <definedName name="Titlul8">August[[#Headers],[Nume angajat]]</definedName>
    <definedName name="Titlul9">Septembrie[[#Headers],[Nume angajat]]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7" i="25" l="1"/>
  <c r="AH8" i="25"/>
  <c r="AH9" i="25"/>
  <c r="AH10" i="25"/>
  <c r="AH11" i="25"/>
  <c r="AH7" i="23"/>
  <c r="AH8" i="23"/>
  <c r="AH9" i="23"/>
  <c r="AH10" i="23"/>
  <c r="AH11" i="23"/>
  <c r="AH7" i="20"/>
  <c r="AH8" i="20"/>
  <c r="AH9" i="20"/>
  <c r="AH10" i="20"/>
  <c r="AH11" i="20"/>
  <c r="AH7" i="18"/>
  <c r="AH8" i="18"/>
  <c r="AH9" i="18"/>
  <c r="AH10" i="18"/>
  <c r="AH11" i="18"/>
  <c r="AD12" i="15"/>
  <c r="AE12" i="15"/>
  <c r="AF12" i="15"/>
  <c r="AG12" i="15"/>
  <c r="AE12" i="25"/>
  <c r="AF12" i="25"/>
  <c r="AG12" i="25"/>
  <c r="AE12" i="24"/>
  <c r="AF12" i="24"/>
  <c r="AG12" i="24"/>
  <c r="AE12" i="23"/>
  <c r="AF12" i="23"/>
  <c r="AG12" i="23"/>
  <c r="AF12" i="22"/>
  <c r="AG12" i="22"/>
  <c r="AF12" i="21"/>
  <c r="AG12" i="21"/>
  <c r="AF12" i="20"/>
  <c r="AG12" i="20"/>
  <c r="AF12" i="19"/>
  <c r="AG12" i="19"/>
  <c r="AG12" i="18"/>
  <c r="AF12" i="18"/>
  <c r="AF12" i="17"/>
  <c r="AG12" i="17"/>
  <c r="AH9" i="4" l="1"/>
  <c r="AH10" i="4"/>
  <c r="B12" i="23" l="1"/>
  <c r="AF5" i="25"/>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H4" i="25"/>
  <c r="B1" i="25"/>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H11" i="24"/>
  <c r="AH10" i="24"/>
  <c r="AH9" i="24"/>
  <c r="AH8" i="24"/>
  <c r="AH7" i="24"/>
  <c r="AH4" i="24"/>
  <c r="B1" i="24"/>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AH12" i="23"/>
  <c r="AH4" i="23"/>
  <c r="B1"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H11" i="22"/>
  <c r="AH10" i="22"/>
  <c r="AH9" i="22"/>
  <c r="AH8" i="22"/>
  <c r="AH7" i="22"/>
  <c r="AH4" i="22"/>
  <c r="B1" i="22"/>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B12" i="21"/>
  <c r="AH11" i="21"/>
  <c r="AH10" i="21"/>
  <c r="AH9" i="21"/>
  <c r="AH8" i="21"/>
  <c r="AH7" i="21"/>
  <c r="AH4" i="21"/>
  <c r="B1" i="21"/>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H4" i="20"/>
  <c r="B1" i="20"/>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H11" i="19"/>
  <c r="AH10" i="19"/>
  <c r="AH9" i="19"/>
  <c r="AH8" i="19"/>
  <c r="AH7" i="19"/>
  <c r="AH4" i="19"/>
  <c r="B1" i="19"/>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C5"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B12" i="18"/>
  <c r="AH12" i="18"/>
  <c r="AH4" i="18"/>
  <c r="B1" i="18"/>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AH11" i="17"/>
  <c r="AH10" i="17"/>
  <c r="AH9" i="17"/>
  <c r="AH8" i="17"/>
  <c r="AH7" i="17"/>
  <c r="AH12" i="17" s="1"/>
  <c r="AH4" i="17"/>
  <c r="B1" i="17"/>
  <c r="B1" i="15"/>
  <c r="B1" i="5"/>
  <c r="AH12" i="21" l="1"/>
  <c r="AH12" i="22"/>
  <c r="AH12" i="25"/>
  <c r="AH12" i="20"/>
  <c r="AH12" i="19"/>
  <c r="AH12" i="24"/>
  <c r="AB5" i="5"/>
  <c r="AH4" i="5" l="1"/>
  <c r="AH4" i="15" l="1"/>
  <c r="C12" i="4" l="1"/>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7" i="15" l="1"/>
  <c r="AH8" i="15"/>
  <c r="AH9" i="15"/>
  <c r="AH10" i="15"/>
  <c r="AH11" i="15"/>
  <c r="AH12" i="15" l="1"/>
  <c r="C12" i="15"/>
  <c r="D12"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B12" i="15" l="1"/>
  <c r="B12" i="5"/>
  <c r="B12" i="4"/>
  <c r="AG5" i="15" l="1"/>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AH11" i="5" l="1"/>
  <c r="AH10" i="5"/>
  <c r="AH9" i="5"/>
  <c r="AH11" i="4"/>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AH8" i="5"/>
  <c r="AH7" i="5"/>
  <c r="AE5" i="5"/>
  <c r="AD5" i="5"/>
  <c r="AC5" i="5"/>
  <c r="AA5" i="5"/>
  <c r="Z5" i="5"/>
  <c r="Y5" i="5"/>
  <c r="X5" i="5"/>
  <c r="W5" i="5"/>
  <c r="V5" i="5"/>
  <c r="U5" i="5"/>
  <c r="T5" i="5"/>
  <c r="S5" i="5"/>
  <c r="R5" i="5"/>
  <c r="Q5" i="5"/>
  <c r="P5" i="5"/>
  <c r="O5" i="5"/>
  <c r="N5" i="5"/>
  <c r="M5" i="5"/>
  <c r="L5" i="5"/>
  <c r="K5" i="5"/>
  <c r="J5" i="5"/>
  <c r="I5" i="5"/>
  <c r="H5" i="5"/>
  <c r="G5" i="5"/>
  <c r="F5" i="5"/>
  <c r="E5" i="5"/>
  <c r="D5" i="5"/>
  <c r="C5" i="5"/>
  <c r="AH12" i="5" l="1"/>
  <c r="AH7" i="4"/>
  <c r="AH8" i="4"/>
  <c r="AH12" i="4" l="1"/>
  <c r="AE5" i="4"/>
  <c r="AA5" i="4"/>
  <c r="W5" i="4"/>
  <c r="O5" i="4"/>
  <c r="G5" i="4"/>
  <c r="AD5" i="4"/>
  <c r="Z5" i="4"/>
  <c r="R5" i="4"/>
  <c r="N5" i="4"/>
  <c r="F5" i="4"/>
  <c r="M5" i="4"/>
  <c r="AG5" i="4"/>
  <c r="AC5" i="4"/>
  <c r="Y5" i="4"/>
  <c r="S5" i="4"/>
  <c r="K5" i="4"/>
  <c r="E5" i="4"/>
  <c r="AF5" i="4"/>
  <c r="AB5" i="4"/>
  <c r="X5" i="4"/>
  <c r="T5" i="4"/>
  <c r="P5" i="4"/>
  <c r="L5" i="4"/>
  <c r="H5" i="4"/>
  <c r="D5" i="4"/>
  <c r="Q5" i="4"/>
  <c r="I5" i="4"/>
  <c r="C5" i="4"/>
  <c r="V5" i="4"/>
  <c r="J5" i="4"/>
  <c r="U5" i="4"/>
</calcChain>
</file>

<file path=xl/sharedStrings.xml><?xml version="1.0" encoding="utf-8"?>
<sst xmlns="http://schemas.openxmlformats.org/spreadsheetml/2006/main" count="643" uniqueCount="65">
  <si>
    <t>Planificarea absențelor angajaților</t>
  </si>
  <si>
    <t>Cheie tip de absență</t>
  </si>
  <si>
    <t>Ianuarie</t>
  </si>
  <si>
    <t>Nume angajat</t>
  </si>
  <si>
    <t>Angajat 1</t>
  </si>
  <si>
    <t>Angajat 2</t>
  </si>
  <si>
    <t>Angajat 3</t>
  </si>
  <si>
    <t>Angajat 4</t>
  </si>
  <si>
    <t>Angajat 5</t>
  </si>
  <si>
    <t>V</t>
  </si>
  <si>
    <t>Datele de absență</t>
  </si>
  <si>
    <t>1</t>
  </si>
  <si>
    <t>Vacanță</t>
  </si>
  <si>
    <t>2</t>
  </si>
  <si>
    <t>3</t>
  </si>
  <si>
    <t>P</t>
  </si>
  <si>
    <t>4</t>
  </si>
  <si>
    <t>M</t>
  </si>
  <si>
    <t>5</t>
  </si>
  <si>
    <t>Personal</t>
  </si>
  <si>
    <t>6</t>
  </si>
  <si>
    <t>7</t>
  </si>
  <si>
    <t>8</t>
  </si>
  <si>
    <t>9</t>
  </si>
  <si>
    <t>Concediu medical</t>
  </si>
  <si>
    <t>10</t>
  </si>
  <si>
    <t>11</t>
  </si>
  <si>
    <t>12</t>
  </si>
  <si>
    <t>Particularizat 1</t>
  </si>
  <si>
    <t>13</t>
  </si>
  <si>
    <t>14</t>
  </si>
  <si>
    <t>15</t>
  </si>
  <si>
    <t>16</t>
  </si>
  <si>
    <t>Particularizat 2</t>
  </si>
  <si>
    <t>17</t>
  </si>
  <si>
    <t>18</t>
  </si>
  <si>
    <t>19</t>
  </si>
  <si>
    <t>20</t>
  </si>
  <si>
    <t>21</t>
  </si>
  <si>
    <t>22</t>
  </si>
  <si>
    <t>23</t>
  </si>
  <si>
    <t>24</t>
  </si>
  <si>
    <t>25</t>
  </si>
  <si>
    <t>26</t>
  </si>
  <si>
    <t>27</t>
  </si>
  <si>
    <t>28</t>
  </si>
  <si>
    <t>29</t>
  </si>
  <si>
    <t>30</t>
  </si>
  <si>
    <t>31</t>
  </si>
  <si>
    <t>Introduceți anul:</t>
  </si>
  <si>
    <t>Total zile</t>
  </si>
  <si>
    <t>Februarie</t>
  </si>
  <si>
    <t xml:space="preserve"> </t>
  </si>
  <si>
    <t xml:space="preserve">  </t>
  </si>
  <si>
    <t>Martie</t>
  </si>
  <si>
    <t>Aprilie</t>
  </si>
  <si>
    <t>Mai</t>
  </si>
  <si>
    <t>Iunie</t>
  </si>
  <si>
    <t>Iulie</t>
  </si>
  <si>
    <t>August</t>
  </si>
  <si>
    <t>Septembrie</t>
  </si>
  <si>
    <t>Octombrie</t>
  </si>
  <si>
    <t>Noiembrie</t>
  </si>
  <si>
    <t>Decembrie</t>
  </si>
  <si>
    <t>Nume angajați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</si>
</sst>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lei&quot;_-;\-* #,##0\ &quot;lei&quot;_-;_-* &quot;-&quot;\ &quot;lei&quot;_-;_-@_-"/>
    <numFmt numFmtId="44" formatCode="_-* #,##0.00\ &quot;lei&quot;_-;\-* #,##0.00\ &quot;lei&quot;_-;_-* &quot;-&quot;??\ &quot;lei&quot;_-;_-@_-"/>
    <numFmt numFmtId="164" formatCode="_(* #,##0_);_(* \(#,##0\);_(* &quot;-&quot;_);_(@_)"/>
    <numFmt numFmtId="165" formatCode="_(* #,##0.00_);_(* \(#,##0.00\);_(* &quot;-&quot;??_);_(@_)"/>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6"/>
      <color theme="3" tint="-0.24994659260841701"/>
      <name val="Calibri"/>
      <family val="2"/>
      <scheme val="major"/>
    </font>
    <font>
      <b/>
      <sz val="18"/>
      <color theme="4" tint="-0.24994659260841701"/>
      <name val="Calibri"/>
      <family val="2"/>
      <scheme val="minor"/>
    </font>
    <font>
      <b/>
      <sz val="26"/>
      <color theme="3"/>
      <name val="Calibri"/>
      <family val="2"/>
      <scheme val="minor"/>
    </font>
    <font>
      <sz val="11"/>
      <color theme="4" tint="-0.499984740745262"/>
      <name val="Calibri"/>
      <family val="2"/>
      <scheme val="minor"/>
    </font>
    <font>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3">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tint="0.79998168889431442"/>
        <bgColor indexed="65"/>
      </patternFill>
    </fill>
    <fill>
      <patternFill patternType="solid">
        <fgColor theme="5"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horizontal="left" vertical="center"/>
    </xf>
    <xf numFmtId="0" fontId="6" fillId="0" borderId="0" applyNumberFormat="0" applyFill="0" applyBorder="0" applyProtection="0">
      <alignment vertical="top"/>
    </xf>
    <xf numFmtId="0" fontId="4" fillId="0" borderId="0" applyNumberFormat="0" applyFill="0" applyBorder="0" applyProtection="0">
      <alignment vertical="top"/>
    </xf>
    <xf numFmtId="0" fontId="5" fillId="2" borderId="0" applyNumberFormat="0" applyBorder="0" applyProtection="0">
      <alignment horizontal="center" vertical="center"/>
    </xf>
    <xf numFmtId="0" fontId="2" fillId="20" borderId="0" applyNumberFormat="0" applyProtection="0">
      <alignment horizontal="right" vertical="center" indent="1"/>
    </xf>
    <xf numFmtId="0" fontId="1" fillId="0" borderId="0" applyNumberFormat="0" applyFill="0" applyBorder="0" applyProtection="0">
      <alignment horizontal="left" vertical="center" indent="2"/>
    </xf>
    <xf numFmtId="0" fontId="3"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3"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3"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2" fillId="10" borderId="0" applyNumberFormat="0" applyBorder="0" applyAlignment="0" applyProtection="0"/>
    <xf numFmtId="0" fontId="3"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7" fillId="0" borderId="0">
      <alignment horizontal="center"/>
    </xf>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9" fillId="21"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xf numFmtId="0" fontId="12" fillId="24" borderId="1" applyNumberFormat="0" applyAlignment="0" applyProtection="0"/>
    <xf numFmtId="0" fontId="13" fillId="25" borderId="2" applyNumberFormat="0" applyAlignment="0" applyProtection="0"/>
    <xf numFmtId="0" fontId="14" fillId="25" borderId="1" applyNumberFormat="0" applyAlignment="0" applyProtection="0"/>
    <xf numFmtId="0" fontId="15" fillId="0" borderId="3" applyNumberFormat="0" applyFill="0" applyAlignment="0" applyProtection="0"/>
    <xf numFmtId="0" fontId="16" fillId="26" borderId="4" applyNumberFormat="0" applyAlignment="0" applyProtection="0"/>
    <xf numFmtId="0" fontId="17" fillId="0" borderId="0" applyNumberFormat="0" applyFill="0" applyBorder="0" applyAlignment="0" applyProtection="0"/>
    <xf numFmtId="0" fontId="1" fillId="27" borderId="5" applyNumberFormat="0" applyFont="0" applyAlignment="0" applyProtection="0"/>
    <xf numFmtId="0" fontId="18" fillId="0" borderId="0" applyNumberForma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alignment horizontal="left" vertical="center"/>
    </xf>
    <xf numFmtId="0" fontId="1" fillId="0" borderId="0" xfId="26">
      <alignment horizontal="left" vertical="center" wrapText="1" indent="2"/>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xf>
    <xf numFmtId="0" fontId="2" fillId="15" borderId="0" xfId="12" applyAlignment="1" applyProtection="1">
      <alignment horizontal="center" vertical="center"/>
    </xf>
    <xf numFmtId="0" fontId="2" fillId="10" borderId="0" xfId="19" applyAlignment="1" applyProtection="1">
      <alignment horizontal="center" vertical="center"/>
    </xf>
    <xf numFmtId="0" fontId="2" fillId="13" borderId="0" xfId="23" applyFont="1" applyAlignment="1" applyProtection="1">
      <alignment horizontal="center" vertical="center"/>
    </xf>
    <xf numFmtId="166" fontId="2" fillId="9" borderId="0" xfId="8" applyNumberFormat="1" applyFont="1" applyAlignment="1" applyProtection="1">
      <alignment horizontal="center" vertical="center"/>
    </xf>
    <xf numFmtId="166" fontId="2" fillId="14" borderId="0" xfId="24" applyNumberFormat="1" applyFont="1" applyAlignment="1" applyProtection="1">
      <alignment horizontal="center" vertical="center"/>
    </xf>
    <xf numFmtId="0" fontId="1" fillId="0" borderId="0" xfId="26" applyFill="1" applyBorder="1">
      <alignment horizontal="left" vertical="center" wrapText="1" indent="2"/>
    </xf>
    <xf numFmtId="1" fontId="1" fillId="0" borderId="0" xfId="25" applyFill="1" applyBorder="1" applyProtection="1">
      <alignment horizontal="center" vertical="center"/>
    </xf>
    <xf numFmtId="0" fontId="0" fillId="0" borderId="0" xfId="0" applyProtection="1">
      <alignment horizontal="left" vertical="center"/>
    </xf>
    <xf numFmtId="0" fontId="5" fillId="2" borderId="0" xfId="3" applyProtection="1">
      <alignment horizontal="center" vertical="center"/>
    </xf>
    <xf numFmtId="166" fontId="0" fillId="0" borderId="0" xfId="0" applyNumberFormat="1" applyFont="1" applyFill="1" applyBorder="1" applyAlignment="1" applyProtection="1">
      <alignment horizontal="center" vertical="center"/>
    </xf>
    <xf numFmtId="0" fontId="6" fillId="0" borderId="0" xfId="1" applyAlignment="1" applyProtection="1">
      <alignment vertical="top"/>
    </xf>
    <xf numFmtId="0" fontId="1" fillId="2" borderId="0" xfId="21" applyBorder="1" applyAlignment="1" applyProtection="1">
      <alignment horizontal="left" vertical="center" indent="1"/>
    </xf>
    <xf numFmtId="0" fontId="0" fillId="0" borderId="0" xfId="21" applyFont="1" applyFill="1" applyBorder="1" applyAlignment="1" applyProtection="1">
      <alignment horizontal="center" vertical="center"/>
    </xf>
    <xf numFmtId="0" fontId="1" fillId="0" borderId="0" xfId="26" applyFill="1" applyBorder="1" applyProtection="1">
      <alignment horizontal="left" vertical="center" wrapText="1" indent="2"/>
    </xf>
    <xf numFmtId="0" fontId="0" fillId="0" borderId="0" xfId="0" applyAlignment="1" applyProtection="1">
      <alignment horizontal="left" vertical="center" wrapText="1"/>
    </xf>
    <xf numFmtId="0" fontId="2" fillId="20" borderId="0" xfId="4" applyProtection="1">
      <alignment horizontal="right" vertical="center" indent="1"/>
    </xf>
    <xf numFmtId="0" fontId="7" fillId="0" borderId="0" xfId="27" applyProtection="1">
      <alignment horizontal="center"/>
    </xf>
    <xf numFmtId="0" fontId="0" fillId="0" borderId="0" xfId="0" applyFont="1" applyFill="1" applyBorder="1" applyAlignment="1" applyProtection="1">
      <alignment horizontal="left" vertical="center" indent="1"/>
    </xf>
    <xf numFmtId="0" fontId="6" fillId="0" borderId="0" xfId="1">
      <alignment vertical="top"/>
    </xf>
    <xf numFmtId="0" fontId="8" fillId="0" borderId="0" xfId="0" applyFont="1" applyFill="1" applyBorder="1" applyAlignment="1" applyProtection="1">
      <alignment horizontal="center" vertical="center"/>
    </xf>
    <xf numFmtId="0" fontId="5" fillId="2" borderId="0" xfId="3" applyProtection="1">
      <alignment horizontal="center" vertical="center"/>
    </xf>
    <xf numFmtId="0" fontId="1" fillId="2" borderId="0" xfId="21" applyAlignment="1" applyProtection="1">
      <alignment horizontal="left" vertical="center"/>
    </xf>
  </cellXfs>
  <cellStyles count="49">
    <cellStyle name="20% - Accent1" xfId="15" builtinId="30" customBuiltin="1"/>
    <cellStyle name="20% - Accent2" xfId="44" builtinId="34" customBuiltin="1"/>
    <cellStyle name="20% - Accent3" xfId="21" builtinId="38" customBuiltin="1"/>
    <cellStyle name="20% - Accent4" xfId="7" builtinId="42" customBuiltin="1"/>
    <cellStyle name="20% - Accent5" xfId="47" builtinId="46"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2" xfId="45" builtinId="36" customBuiltin="1"/>
    <cellStyle name="60% - Accent3" xfId="23" builtinId="40" customBuiltin="1"/>
    <cellStyle name="60% - Accent4" xfId="9" builtinId="44" customBuiltin="1"/>
    <cellStyle name="60% - Accent5" xfId="48" builtinId="48"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5" xfId="46" builtinId="45" customBuiltin="1"/>
    <cellStyle name="Accent6" xfId="10" builtinId="49" customBuiltin="1"/>
    <cellStyle name="Angajat" xfId="26" xr:uid="{00000000-0005-0000-0000-000013000000}"/>
    <cellStyle name="Bun" xfId="33" builtinId="26" customBuiltin="1"/>
    <cellStyle name="Calcul" xfId="38" builtinId="22" customBuiltin="1"/>
    <cellStyle name="Celulă legată" xfId="39" builtinId="24" customBuiltin="1"/>
    <cellStyle name="Eronat" xfId="34" builtinId="27" customBuiltin="1"/>
    <cellStyle name="Etichetă" xfId="27" xr:uid="{00000000-0005-0000-0000-000018000000}"/>
    <cellStyle name="Ieșire" xfId="37" builtinId="21" customBuiltin="1"/>
    <cellStyle name="Intrare" xfId="36" builtinId="20" customBuiltin="1"/>
    <cellStyle name="Monedă" xfId="30" builtinId="4" customBuiltin="1"/>
    <cellStyle name="Monedă [0]" xfId="31" builtinId="7" customBuiltin="1"/>
    <cellStyle name="Neutru" xfId="35" builtinId="28" customBuiltin="1"/>
    <cellStyle name="Normal" xfId="0" builtinId="0" customBuiltin="1"/>
    <cellStyle name="Notă" xfId="42" builtinId="10" customBuiltin="1"/>
    <cellStyle name="Procent" xfId="32" builtinId="5" customBuiltin="1"/>
    <cellStyle name="Text avertisment" xfId="41" builtinId="11" customBuiltin="1"/>
    <cellStyle name="Text explicativ" xfId="43" builtinId="53" customBuiltin="1"/>
    <cellStyle name="Titlu" xfId="1" builtinId="15" customBuiltin="1"/>
    <cellStyle name="Titlu 1" xfId="2" builtinId="16" customBuiltin="1"/>
    <cellStyle name="Titlu 2" xfId="3" builtinId="17" customBuiltin="1"/>
    <cellStyle name="Titlu 3" xfId="4" builtinId="18" customBuiltin="1"/>
    <cellStyle name="Titlu 4" xfId="5" builtinId="19" customBuiltin="1"/>
    <cellStyle name="Total" xfId="25" builtinId="25" customBuiltin="1"/>
    <cellStyle name="Verificare celulă" xfId="40" builtinId="23" customBuiltin="1"/>
    <cellStyle name="Virgulă" xfId="28" builtinId="3" customBuiltin="1"/>
    <cellStyle name="Virgulă [0]" xfId="29" builtinId="6" customBuiltin="1"/>
  </cellStyles>
  <dxfs count="902">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0"/>
      </font>
      <border>
        <vertical/>
        <horizontal/>
      </border>
    </dxf>
    <dxf>
      <font>
        <b val="0"/>
        <i val="0"/>
        <color theme="3"/>
      </font>
      <border>
        <vertical/>
        <horizontal/>
      </border>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 formatCode="0"/>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 formatCode="0"/>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 formatCode="0"/>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 formatCode="0"/>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ill>
        <patternFill patternType="none">
          <fgColor indexed="64"/>
          <bgColor indexed="65"/>
        </patternFill>
      </fill>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scheme val="minor"/>
      </font>
      <numFmt numFmtId="166" formatCode="0;0;"/>
      <fill>
        <patternFill patternType="none">
          <fgColor indexed="64"/>
          <bgColor indexed="65"/>
        </patternFill>
      </fill>
      <alignment horizontal="center"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ill>
        <patternFill patternType="none">
          <fgColor indexed="64"/>
          <bgColor indexed="65"/>
        </patternFill>
      </fill>
    </dxf>
    <dxf>
      <protection locked="1" hidden="0"/>
    </dxf>
    <dxf>
      <protection locked="1" hidden="0"/>
    </dxf>
    <dxf>
      <protection locked="1" hidden="0"/>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PivotStyle="PivotStyleLight16">
    <tableStyle name="Tabelul absențelor angajaților" pivot="0" count="13" xr9:uid="{00000000-0011-0000-FFFF-FFFF00000000}">
      <tableStyleElement type="wholeTable" dxfId="901"/>
      <tableStyleElement type="headerRow" dxfId="900"/>
      <tableStyleElement type="totalRow" dxfId="899"/>
      <tableStyleElement type="firstColumn" dxfId="898"/>
      <tableStyleElement type="lastColumn" dxfId="897"/>
      <tableStyleElement type="firstRowStripe" dxfId="896"/>
      <tableStyleElement type="secondRowStripe" dxfId="895"/>
      <tableStyleElement type="firstColumnStripe" dxfId="894"/>
      <tableStyleElement type="secondColumnStripe" dxfId="893"/>
      <tableStyleElement type="firstHeaderCell" dxfId="892"/>
      <tableStyleElement type="lastHeaderCell" dxfId="891"/>
      <tableStyleElement type="firstTotalCell" dxfId="890"/>
      <tableStyleElement type="lastTotalCell" dxfId="88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ie" displayName="Februarie" ref="B6:AH12" totalsRowCount="1" headerRowDxfId="820" dataDxfId="819" totalsRowDxfId="818">
  <tableColumns count="33">
    <tableColumn id="1" xr3:uid="{00000000-0010-0000-0100-000001000000}" name="Nume angajat" totalsRowFunction="custom" dataDxfId="817" totalsRowDxfId="816" dataCellStyle="Angajat">
      <totalsRowFormula>NumeLună&amp;" Total"</totalsRowFormula>
    </tableColumn>
    <tableColumn id="2" xr3:uid="{00000000-0010-0000-0100-000002000000}" name="1" totalsRowFunction="count" dataDxfId="815" totalsRowDxfId="814"/>
    <tableColumn id="3" xr3:uid="{00000000-0010-0000-0100-000003000000}" name="2" totalsRowFunction="count" dataDxfId="813" totalsRowDxfId="812"/>
    <tableColumn id="4" xr3:uid="{00000000-0010-0000-0100-000004000000}" name="3" totalsRowFunction="count" dataDxfId="811" totalsRowDxfId="810"/>
    <tableColumn id="5" xr3:uid="{00000000-0010-0000-0100-000005000000}" name="4" totalsRowFunction="count" dataDxfId="809" totalsRowDxfId="808"/>
    <tableColumn id="6" xr3:uid="{00000000-0010-0000-0100-000006000000}" name="5" totalsRowFunction="count" dataDxfId="807" totalsRowDxfId="806"/>
    <tableColumn id="7" xr3:uid="{00000000-0010-0000-0100-000007000000}" name="6" totalsRowFunction="count" dataDxfId="805" totalsRowDxfId="804"/>
    <tableColumn id="8" xr3:uid="{00000000-0010-0000-0100-000008000000}" name="7" totalsRowFunction="count" dataDxfId="803" totalsRowDxfId="802"/>
    <tableColumn id="9" xr3:uid="{00000000-0010-0000-0100-000009000000}" name="8" totalsRowFunction="count" dataDxfId="801" totalsRowDxfId="800"/>
    <tableColumn id="10" xr3:uid="{00000000-0010-0000-0100-00000A000000}" name="9" totalsRowFunction="count" dataDxfId="799" totalsRowDxfId="798"/>
    <tableColumn id="11" xr3:uid="{00000000-0010-0000-0100-00000B000000}" name="10" totalsRowFunction="count" dataDxfId="797" totalsRowDxfId="796"/>
    <tableColumn id="12" xr3:uid="{00000000-0010-0000-0100-00000C000000}" name="11" totalsRowFunction="count" dataDxfId="795" totalsRowDxfId="794"/>
    <tableColumn id="13" xr3:uid="{00000000-0010-0000-0100-00000D000000}" name="12" totalsRowFunction="count" dataDxfId="793" totalsRowDxfId="792"/>
    <tableColumn id="14" xr3:uid="{00000000-0010-0000-0100-00000E000000}" name="13" totalsRowFunction="count" dataDxfId="791" totalsRowDxfId="790"/>
    <tableColumn id="15" xr3:uid="{00000000-0010-0000-0100-00000F000000}" name="14" totalsRowFunction="count" dataDxfId="789" totalsRowDxfId="788"/>
    <tableColumn id="16" xr3:uid="{00000000-0010-0000-0100-000010000000}" name="15" totalsRowFunction="count" dataDxfId="787" totalsRowDxfId="786"/>
    <tableColumn id="17" xr3:uid="{00000000-0010-0000-0100-000011000000}" name="16" totalsRowFunction="count" dataDxfId="785" totalsRowDxfId="784"/>
    <tableColumn id="18" xr3:uid="{00000000-0010-0000-0100-000012000000}" name="17" totalsRowFunction="count" dataDxfId="783" totalsRowDxfId="782"/>
    <tableColumn id="19" xr3:uid="{00000000-0010-0000-0100-000013000000}" name="18" totalsRowFunction="count" dataDxfId="781" totalsRowDxfId="780"/>
    <tableColumn id="20" xr3:uid="{00000000-0010-0000-0100-000014000000}" name="19" totalsRowFunction="count" dataDxfId="779" totalsRowDxfId="778"/>
    <tableColumn id="21" xr3:uid="{00000000-0010-0000-0100-000015000000}" name="20" totalsRowFunction="count" dataDxfId="777" totalsRowDxfId="776"/>
    <tableColumn id="22" xr3:uid="{00000000-0010-0000-0100-000016000000}" name="21" totalsRowFunction="count" dataDxfId="775" totalsRowDxfId="774"/>
    <tableColumn id="23" xr3:uid="{00000000-0010-0000-0100-000017000000}" name="22" totalsRowFunction="count" dataDxfId="773" totalsRowDxfId="772"/>
    <tableColumn id="24" xr3:uid="{00000000-0010-0000-0100-000018000000}" name="23" totalsRowFunction="count" dataDxfId="771" totalsRowDxfId="770"/>
    <tableColumn id="25" xr3:uid="{00000000-0010-0000-0100-000019000000}" name="24" totalsRowFunction="count" dataDxfId="769" totalsRowDxfId="768"/>
    <tableColumn id="26" xr3:uid="{00000000-0010-0000-0100-00001A000000}" name="25" totalsRowFunction="count" dataDxfId="767" totalsRowDxfId="766"/>
    <tableColumn id="27" xr3:uid="{00000000-0010-0000-0100-00001B000000}" name="26" totalsRowFunction="count" dataDxfId="765" totalsRowDxfId="764"/>
    <tableColumn id="28" xr3:uid="{00000000-0010-0000-0100-00001C000000}" name="27" totalsRowFunction="count" dataDxfId="763" totalsRowDxfId="762"/>
    <tableColumn id="29" xr3:uid="{00000000-0010-0000-0100-00001D000000}" name="28" totalsRowFunction="count" dataDxfId="761" totalsRowDxfId="760"/>
    <tableColumn id="30" xr3:uid="{00000000-0010-0000-0100-00001E000000}" name="29" totalsRowFunction="count" dataDxfId="759" totalsRowDxfId="758"/>
    <tableColumn id="31" xr3:uid="{00000000-0010-0000-0100-00001F000000}" name=" " dataDxfId="757" totalsRowDxfId="756"/>
    <tableColumn id="32" xr3:uid="{00000000-0010-0000-0100-000020000000}" name="  " dataDxfId="755" totalsRowDxfId="754"/>
    <tableColumn id="33" xr3:uid="{00000000-0010-0000-0100-000021000000}" name="Total zile" totalsRowFunction="sum" dataDxfId="753" totalsRowDxfId="752">
      <calculatedColumnFormula>COUNTA(Februarie[[#This Row],[1]:[29]])</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Octombrie" displayName="Octombrie" ref="B6:AH12" totalsRowCount="1" headerRowDxfId="268" dataDxfId="267" totalsRowDxfId="266">
  <tableColumns count="33">
    <tableColumn id="1" xr3:uid="{00000000-0010-0000-0900-000001000000}" name="Nume angajat" totalsRowFunction="custom" dataDxfId="265" totalsRowDxfId="264" dataCellStyle="Angajat">
      <totalsRowFormula>NumeLună&amp;" Total"</totalsRowFormula>
    </tableColumn>
    <tableColumn id="2" xr3:uid="{00000000-0010-0000-0900-000002000000}" name="1" totalsRowFunction="count" dataDxfId="263" totalsRowDxfId="262"/>
    <tableColumn id="3" xr3:uid="{00000000-0010-0000-0900-000003000000}" name="2" totalsRowFunction="count" dataDxfId="261" totalsRowDxfId="260"/>
    <tableColumn id="4" xr3:uid="{00000000-0010-0000-0900-000004000000}" name="3" totalsRowFunction="count" dataDxfId="259" totalsRowDxfId="258"/>
    <tableColumn id="5" xr3:uid="{00000000-0010-0000-0900-000005000000}" name="4" totalsRowFunction="count" dataDxfId="257" totalsRowDxfId="256"/>
    <tableColumn id="6" xr3:uid="{00000000-0010-0000-0900-000006000000}" name="5" totalsRowFunction="count" dataDxfId="255" totalsRowDxfId="254"/>
    <tableColumn id="7" xr3:uid="{00000000-0010-0000-0900-000007000000}" name="6" totalsRowFunction="count" dataDxfId="253" totalsRowDxfId="252"/>
    <tableColumn id="8" xr3:uid="{00000000-0010-0000-0900-000008000000}" name="7" totalsRowFunction="count" dataDxfId="251" totalsRowDxfId="250"/>
    <tableColumn id="9" xr3:uid="{00000000-0010-0000-0900-000009000000}" name="8" totalsRowFunction="count" dataDxfId="249" totalsRowDxfId="248"/>
    <tableColumn id="10" xr3:uid="{00000000-0010-0000-0900-00000A000000}" name="9" totalsRowFunction="count" dataDxfId="247" totalsRowDxfId="246"/>
    <tableColumn id="11" xr3:uid="{00000000-0010-0000-0900-00000B000000}" name="10" totalsRowFunction="count" dataDxfId="245" totalsRowDxfId="244"/>
    <tableColumn id="12" xr3:uid="{00000000-0010-0000-0900-00000C000000}" name="11" totalsRowFunction="count" dataDxfId="243" totalsRowDxfId="242"/>
    <tableColumn id="13" xr3:uid="{00000000-0010-0000-0900-00000D000000}" name="12" totalsRowFunction="count" dataDxfId="241" totalsRowDxfId="240"/>
    <tableColumn id="14" xr3:uid="{00000000-0010-0000-0900-00000E000000}" name="13" totalsRowFunction="count" dataDxfId="239" totalsRowDxfId="238"/>
    <tableColumn id="15" xr3:uid="{00000000-0010-0000-0900-00000F000000}" name="14" totalsRowFunction="count" dataDxfId="237" totalsRowDxfId="236"/>
    <tableColumn id="16" xr3:uid="{00000000-0010-0000-0900-000010000000}" name="15" totalsRowFunction="count" dataDxfId="235" totalsRowDxfId="234"/>
    <tableColumn id="17" xr3:uid="{00000000-0010-0000-0900-000011000000}" name="16" totalsRowFunction="count" dataDxfId="233" totalsRowDxfId="232"/>
    <tableColumn id="18" xr3:uid="{00000000-0010-0000-0900-000012000000}" name="17" totalsRowFunction="count" dataDxfId="231" totalsRowDxfId="230"/>
    <tableColumn id="19" xr3:uid="{00000000-0010-0000-0900-000013000000}" name="18" totalsRowFunction="count" dataDxfId="229" totalsRowDxfId="228"/>
    <tableColumn id="20" xr3:uid="{00000000-0010-0000-0900-000014000000}" name="19" totalsRowFunction="count" dataDxfId="227" totalsRowDxfId="226"/>
    <tableColumn id="21" xr3:uid="{00000000-0010-0000-0900-000015000000}" name="20" totalsRowFunction="count" dataDxfId="225" totalsRowDxfId="224"/>
    <tableColumn id="22" xr3:uid="{00000000-0010-0000-0900-000016000000}" name="21" totalsRowFunction="count" dataDxfId="223" totalsRowDxfId="222"/>
    <tableColumn id="23" xr3:uid="{00000000-0010-0000-0900-000017000000}" name="22" totalsRowFunction="count" dataDxfId="221" totalsRowDxfId="220"/>
    <tableColumn id="24" xr3:uid="{00000000-0010-0000-0900-000018000000}" name="23" totalsRowFunction="count" dataDxfId="219" totalsRowDxfId="218"/>
    <tableColumn id="25" xr3:uid="{00000000-0010-0000-0900-000019000000}" name="24" totalsRowFunction="count" dataDxfId="217" totalsRowDxfId="216"/>
    <tableColumn id="26" xr3:uid="{00000000-0010-0000-0900-00001A000000}" name="25" totalsRowFunction="count" dataDxfId="215" totalsRowDxfId="214"/>
    <tableColumn id="27" xr3:uid="{00000000-0010-0000-0900-00001B000000}" name="26" totalsRowFunction="count" dataDxfId="213" totalsRowDxfId="212"/>
    <tableColumn id="28" xr3:uid="{00000000-0010-0000-0900-00001C000000}" name="27" totalsRowFunction="count" dataDxfId="211" totalsRowDxfId="210"/>
    <tableColumn id="29" xr3:uid="{00000000-0010-0000-0900-00001D000000}" name="28" totalsRowFunction="count" dataDxfId="209" totalsRowDxfId="208"/>
    <tableColumn id="30" xr3:uid="{00000000-0010-0000-0900-00001E000000}" name="29" totalsRowFunction="count" dataDxfId="207" totalsRowDxfId="206"/>
    <tableColumn id="31" xr3:uid="{00000000-0010-0000-0900-00001F000000}" name="30" totalsRowFunction="count" dataDxfId="205" totalsRowDxfId="204"/>
    <tableColumn id="32" xr3:uid="{00000000-0010-0000-0900-000020000000}" name="31" totalsRowFunction="count" dataDxfId="203" totalsRowDxfId="202"/>
    <tableColumn id="33" xr3:uid="{00000000-0010-0000-0900-000021000000}" name="Total zile" totalsRowFunction="sum" dataDxfId="201" totalsRowDxfId="200">
      <calculatedColumnFormula>COUNTA(Octombrie[[#This Row],[1]:[31]])</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Noiembrie" displayName="Noiembrie" ref="B6:AH12" totalsRowCount="1" headerRowDxfId="199" dataDxfId="198" totalsRowDxfId="197">
  <tableColumns count="33">
    <tableColumn id="1" xr3:uid="{00000000-0010-0000-0A00-000001000000}" name="Nume angajat" totalsRowFunction="custom" dataDxfId="196" totalsRowDxfId="195" dataCellStyle="Angajat">
      <totalsRowFormula>NumeLună&amp;" Total"</totalsRowFormula>
    </tableColumn>
    <tableColumn id="2" xr3:uid="{00000000-0010-0000-0A00-000002000000}" name="1" totalsRowFunction="count" dataDxfId="194" totalsRowDxfId="193"/>
    <tableColumn id="3" xr3:uid="{00000000-0010-0000-0A00-000003000000}" name="2" totalsRowFunction="count" dataDxfId="192" totalsRowDxfId="191"/>
    <tableColumn id="4" xr3:uid="{00000000-0010-0000-0A00-000004000000}" name="3" totalsRowFunction="count" dataDxfId="190" totalsRowDxfId="189"/>
    <tableColumn id="5" xr3:uid="{00000000-0010-0000-0A00-000005000000}" name="4" totalsRowFunction="count" dataDxfId="188" totalsRowDxfId="187"/>
    <tableColumn id="6" xr3:uid="{00000000-0010-0000-0A00-000006000000}" name="5" totalsRowFunction="count" dataDxfId="186" totalsRowDxfId="185"/>
    <tableColumn id="7" xr3:uid="{00000000-0010-0000-0A00-000007000000}" name="6" totalsRowFunction="count" dataDxfId="184" totalsRowDxfId="183"/>
    <tableColumn id="8" xr3:uid="{00000000-0010-0000-0A00-000008000000}" name="7" totalsRowFunction="count" dataDxfId="182" totalsRowDxfId="181"/>
    <tableColumn id="9" xr3:uid="{00000000-0010-0000-0A00-000009000000}" name="8" totalsRowFunction="count" dataDxfId="180" totalsRowDxfId="179"/>
    <tableColumn id="10" xr3:uid="{00000000-0010-0000-0A00-00000A000000}" name="9" totalsRowFunction="count" dataDxfId="178" totalsRowDxfId="177"/>
    <tableColumn id="11" xr3:uid="{00000000-0010-0000-0A00-00000B000000}" name="10" totalsRowFunction="count" dataDxfId="176" totalsRowDxfId="175"/>
    <tableColumn id="12" xr3:uid="{00000000-0010-0000-0A00-00000C000000}" name="11" totalsRowFunction="count" dataDxfId="174" totalsRowDxfId="173"/>
    <tableColumn id="13" xr3:uid="{00000000-0010-0000-0A00-00000D000000}" name="12" totalsRowFunction="count" dataDxfId="172" totalsRowDxfId="171"/>
    <tableColumn id="14" xr3:uid="{00000000-0010-0000-0A00-00000E000000}" name="13" totalsRowFunction="count" dataDxfId="170" totalsRowDxfId="169"/>
    <tableColumn id="15" xr3:uid="{00000000-0010-0000-0A00-00000F000000}" name="14" totalsRowFunction="count" dataDxfId="168" totalsRowDxfId="167"/>
    <tableColumn id="16" xr3:uid="{00000000-0010-0000-0A00-000010000000}" name="15" totalsRowFunction="count" dataDxfId="166" totalsRowDxfId="165"/>
    <tableColumn id="17" xr3:uid="{00000000-0010-0000-0A00-000011000000}" name="16" totalsRowFunction="count" dataDxfId="164" totalsRowDxfId="163"/>
    <tableColumn id="18" xr3:uid="{00000000-0010-0000-0A00-000012000000}" name="17" totalsRowFunction="count" dataDxfId="162" totalsRowDxfId="161"/>
    <tableColumn id="19" xr3:uid="{00000000-0010-0000-0A00-000013000000}" name="18" totalsRowFunction="count" dataDxfId="160" totalsRowDxfId="159"/>
    <tableColumn id="20" xr3:uid="{00000000-0010-0000-0A00-000014000000}" name="19" totalsRowFunction="count" dataDxfId="158" totalsRowDxfId="157"/>
    <tableColumn id="21" xr3:uid="{00000000-0010-0000-0A00-000015000000}" name="20" totalsRowFunction="count" dataDxfId="156" totalsRowDxfId="155"/>
    <tableColumn id="22" xr3:uid="{00000000-0010-0000-0A00-000016000000}" name="21" totalsRowFunction="count" dataDxfId="154" totalsRowDxfId="153"/>
    <tableColumn id="23" xr3:uid="{00000000-0010-0000-0A00-000017000000}" name="22" totalsRowFunction="count" dataDxfId="152" totalsRowDxfId="151"/>
    <tableColumn id="24" xr3:uid="{00000000-0010-0000-0A00-000018000000}" name="23" totalsRowFunction="count" dataDxfId="150" totalsRowDxfId="149"/>
    <tableColumn id="25" xr3:uid="{00000000-0010-0000-0A00-000019000000}" name="24" totalsRowFunction="count" dataDxfId="148" totalsRowDxfId="147"/>
    <tableColumn id="26" xr3:uid="{00000000-0010-0000-0A00-00001A000000}" name="25" totalsRowFunction="count" dataDxfId="146" totalsRowDxfId="145"/>
    <tableColumn id="27" xr3:uid="{00000000-0010-0000-0A00-00001B000000}" name="26" totalsRowFunction="count" dataDxfId="144" totalsRowDxfId="143"/>
    <tableColumn id="28" xr3:uid="{00000000-0010-0000-0A00-00001C000000}" name="27" totalsRowFunction="count" dataDxfId="142" totalsRowDxfId="141"/>
    <tableColumn id="29" xr3:uid="{00000000-0010-0000-0A00-00001D000000}" name="28" totalsRowFunction="count" dataDxfId="140" totalsRowDxfId="139"/>
    <tableColumn id="30" xr3:uid="{00000000-0010-0000-0A00-00001E000000}" name="29" totalsRowFunction="count" dataDxfId="138" totalsRowDxfId="137"/>
    <tableColumn id="31" xr3:uid="{00000000-0010-0000-0A00-00001F000000}" name="30" totalsRowFunction="count" dataDxfId="136" totalsRowDxfId="135"/>
    <tableColumn id="32" xr3:uid="{00000000-0010-0000-0A00-000020000000}" name=" " totalsRowFunction="count" dataDxfId="134" totalsRowDxfId="133"/>
    <tableColumn id="33" xr3:uid="{00000000-0010-0000-0A00-000021000000}" name="Total zile" totalsRowFunction="sum" dataDxfId="132" totalsRowDxfId="131">
      <calculatedColumnFormula>COUNTA(Noiembrie[[#This Row],[1]:[30]])</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ecembrie" displayName="Decembrie" ref="B6:AH12" totalsRowCount="1" headerRowDxfId="130" dataDxfId="129" totalsRowDxfId="128">
  <tableColumns count="33">
    <tableColumn id="1" xr3:uid="{00000000-0010-0000-0B00-000001000000}" name="Nume angajat" totalsRowFunction="custom" dataDxfId="127" totalsRowDxfId="126" dataCellStyle="Angajat">
      <totalsRowFormula>NumeLună&amp;" Total"</totalsRowFormula>
    </tableColumn>
    <tableColumn id="2" xr3:uid="{00000000-0010-0000-0B00-000002000000}" name="1" totalsRowFunction="count" dataDxfId="125" totalsRowDxfId="124"/>
    <tableColumn id="3" xr3:uid="{00000000-0010-0000-0B00-000003000000}" name="2" totalsRowFunction="count" dataDxfId="123" totalsRowDxfId="122"/>
    <tableColumn id="4" xr3:uid="{00000000-0010-0000-0B00-000004000000}" name="3" totalsRowFunction="count" dataDxfId="121" totalsRowDxfId="120"/>
    <tableColumn id="5" xr3:uid="{00000000-0010-0000-0B00-000005000000}" name="4" totalsRowFunction="count" dataDxfId="119" totalsRowDxfId="118"/>
    <tableColumn id="6" xr3:uid="{00000000-0010-0000-0B00-000006000000}" name="5" totalsRowFunction="count" dataDxfId="117" totalsRowDxfId="116"/>
    <tableColumn id="7" xr3:uid="{00000000-0010-0000-0B00-000007000000}" name="6" totalsRowFunction="count" dataDxfId="115" totalsRowDxfId="114"/>
    <tableColumn id="8" xr3:uid="{00000000-0010-0000-0B00-000008000000}" name="7" totalsRowFunction="count" dataDxfId="113" totalsRowDxfId="112"/>
    <tableColumn id="9" xr3:uid="{00000000-0010-0000-0B00-000009000000}" name="8" totalsRowFunction="count" dataDxfId="111" totalsRowDxfId="110"/>
    <tableColumn id="10" xr3:uid="{00000000-0010-0000-0B00-00000A000000}" name="9" totalsRowFunction="count" dataDxfId="109" totalsRowDxfId="108"/>
    <tableColumn id="11" xr3:uid="{00000000-0010-0000-0B00-00000B000000}" name="10" totalsRowFunction="count" dataDxfId="107" totalsRowDxfId="106"/>
    <tableColumn id="12" xr3:uid="{00000000-0010-0000-0B00-00000C000000}" name="11" totalsRowFunction="count" dataDxfId="105" totalsRowDxfId="104"/>
    <tableColumn id="13" xr3:uid="{00000000-0010-0000-0B00-00000D000000}" name="12" totalsRowFunction="count" dataDxfId="103" totalsRowDxfId="102"/>
    <tableColumn id="14" xr3:uid="{00000000-0010-0000-0B00-00000E000000}" name="13" totalsRowFunction="count" dataDxfId="101" totalsRowDxfId="100"/>
    <tableColumn id="15" xr3:uid="{00000000-0010-0000-0B00-00000F000000}" name="14" totalsRowFunction="count" dataDxfId="99" totalsRowDxfId="98"/>
    <tableColumn id="16" xr3:uid="{00000000-0010-0000-0B00-000010000000}" name="15" totalsRowFunction="count" dataDxfId="97" totalsRowDxfId="96"/>
    <tableColumn id="17" xr3:uid="{00000000-0010-0000-0B00-000011000000}" name="16" totalsRowFunction="count" dataDxfId="95" totalsRowDxfId="94"/>
    <tableColumn id="18" xr3:uid="{00000000-0010-0000-0B00-000012000000}" name="17" totalsRowFunction="count" dataDxfId="93" totalsRowDxfId="92"/>
    <tableColumn id="19" xr3:uid="{00000000-0010-0000-0B00-000013000000}" name="18" totalsRowFunction="count" dataDxfId="91" totalsRowDxfId="90"/>
    <tableColumn id="20" xr3:uid="{00000000-0010-0000-0B00-000014000000}" name="19" totalsRowFunction="count" dataDxfId="89" totalsRowDxfId="88"/>
    <tableColumn id="21" xr3:uid="{00000000-0010-0000-0B00-000015000000}" name="20" totalsRowFunction="count" dataDxfId="87" totalsRowDxfId="86"/>
    <tableColumn id="22" xr3:uid="{00000000-0010-0000-0B00-000016000000}" name="21" totalsRowFunction="count" dataDxfId="85" totalsRowDxfId="84"/>
    <tableColumn id="23" xr3:uid="{00000000-0010-0000-0B00-000017000000}" name="22" totalsRowFunction="count" dataDxfId="83" totalsRowDxfId="82"/>
    <tableColumn id="24" xr3:uid="{00000000-0010-0000-0B00-000018000000}" name="23" totalsRowFunction="count" dataDxfId="81" totalsRowDxfId="80"/>
    <tableColumn id="25" xr3:uid="{00000000-0010-0000-0B00-000019000000}" name="24" totalsRowFunction="count" dataDxfId="79" totalsRowDxfId="78"/>
    <tableColumn id="26" xr3:uid="{00000000-0010-0000-0B00-00001A000000}" name="25" totalsRowFunction="count" dataDxfId="77" totalsRowDxfId="76"/>
    <tableColumn id="27" xr3:uid="{00000000-0010-0000-0B00-00001B000000}" name="26" totalsRowFunction="count" dataDxfId="75" totalsRowDxfId="74"/>
    <tableColumn id="28" xr3:uid="{00000000-0010-0000-0B00-00001C000000}" name="27" totalsRowFunction="count" dataDxfId="73" totalsRowDxfId="72"/>
    <tableColumn id="29" xr3:uid="{00000000-0010-0000-0B00-00001D000000}" name="28" totalsRowFunction="count" dataDxfId="71" totalsRowDxfId="70"/>
    <tableColumn id="30" xr3:uid="{00000000-0010-0000-0B00-00001E000000}" name="29" totalsRowFunction="count" dataDxfId="69" totalsRowDxfId="68"/>
    <tableColumn id="31" xr3:uid="{00000000-0010-0000-0B00-00001F000000}" name="30" totalsRowFunction="count" dataDxfId="67" totalsRowDxfId="66"/>
    <tableColumn id="32" xr3:uid="{00000000-0010-0000-0B00-000020000000}" name="31" totalsRowFunction="count" dataDxfId="65" totalsRowDxfId="64"/>
    <tableColumn id="33" xr3:uid="{00000000-0010-0000-0B00-000021000000}" name="Total zile" totalsRowFunction="sum" dataDxfId="63" totalsRowDxfId="62">
      <calculatedColumnFormula>COUNTA(Decembrie[[#This Row],[1]:[31]])</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Oferă o listă cu nume și date din calendar pentru înregistrarea absențelor angajaților și a tipurilor specifice de absențe, cum ar fi V=Vacanță, M=Medical, P=Personal și doi substituenți pentru intrări particularizat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NumeAngajat" displayName="NumeAngajat" ref="B3:B8" totalsRowShown="0">
  <autoFilter ref="B3:B8" xr:uid="{00000000-0009-0000-0100-00000D000000}"/>
  <tableColumns count="1">
    <tableColumn id="1" xr3:uid="{00000000-0010-0000-0C00-000001000000}" name="Nume angajați" dataCellStyle="Angajat"/>
  </tableColumns>
  <tableStyleInfo name="Tabelul absențelor angajaților" showFirstColumn="1" showLastColumn="1" showRowStripes="1" showColumnStripes="0"/>
  <extLst>
    <ext xmlns:x14="http://schemas.microsoft.com/office/spreadsheetml/2009/9/main" uri="{504A1905-F514-4f6f-8877-14C23A59335A}">
      <x14:table altTextSummary="Introduceți numele angajaților în acest tabel. Aceste nume sunt utilizate ca opțiuni în coloana B a planificării absențelor din fiecare lună"/>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anuarie" displayName="Ianuarie" ref="B6:AH12" totalsRowCount="1" headerRowDxfId="888" dataDxfId="887" totalsRowDxfId="886">
  <autoFilter ref="B6:AH1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000-000001000000}" name="Nume angajat" totalsRowFunction="custom" dataDxfId="885" totalsRowDxfId="884" dataCellStyle="Angajat">
      <totalsRowFormula>NumeLună&amp;" Total"</totalsRowFormula>
    </tableColumn>
    <tableColumn id="2" xr3:uid="{00000000-0010-0000-0000-000002000000}" name="1" totalsRowFunction="custom" dataDxfId="883" totalsRowDxfId="882">
      <totalsRowFormula>SUBTOTAL(103,Ianuarie!$C$7:$C$11)</totalsRowFormula>
    </tableColumn>
    <tableColumn id="3" xr3:uid="{00000000-0010-0000-0000-000003000000}" name="2" totalsRowFunction="custom" dataDxfId="881" totalsRowDxfId="880">
      <totalsRowFormula>SUBTOTAL(103,Ianuarie!$D$7:$D$11)</totalsRowFormula>
    </tableColumn>
    <tableColumn id="4" xr3:uid="{00000000-0010-0000-0000-000004000000}" name="3" totalsRowFunction="custom" dataDxfId="879" totalsRowDxfId="878">
      <totalsRowFormula>SUBTOTAL(103,Ianuarie!$E$7:$E$11)</totalsRowFormula>
    </tableColumn>
    <tableColumn id="5" xr3:uid="{00000000-0010-0000-0000-000005000000}" name="4" totalsRowFunction="custom" dataDxfId="877" totalsRowDxfId="876">
      <totalsRowFormula>SUBTOTAL(103,Ianuarie!$F$7:$F$11)</totalsRowFormula>
    </tableColumn>
    <tableColumn id="6" xr3:uid="{00000000-0010-0000-0000-000006000000}" name="5" totalsRowFunction="custom" totalsRowDxfId="875">
      <totalsRowFormula>SUBTOTAL(103,Ianuarie!$G$7:$G$11)</totalsRowFormula>
    </tableColumn>
    <tableColumn id="7" xr3:uid="{00000000-0010-0000-0000-000007000000}" name="6" totalsRowFunction="custom" dataDxfId="874" totalsRowDxfId="873">
      <totalsRowFormula>SUBTOTAL(103,Ianuarie!$H$7:$H$11)</totalsRowFormula>
    </tableColumn>
    <tableColumn id="8" xr3:uid="{00000000-0010-0000-0000-000008000000}" name="7" totalsRowFunction="custom" dataDxfId="872" totalsRowDxfId="871">
      <totalsRowFormula>SUBTOTAL(103,Ianuarie!$I$7:$I$11)</totalsRowFormula>
    </tableColumn>
    <tableColumn id="9" xr3:uid="{00000000-0010-0000-0000-000009000000}" name="8" totalsRowFunction="custom" dataDxfId="870" totalsRowDxfId="869">
      <totalsRowFormula>SUBTOTAL(103,Ianuarie!$J$7:$J$11)</totalsRowFormula>
    </tableColumn>
    <tableColumn id="10" xr3:uid="{00000000-0010-0000-0000-00000A000000}" name="9" totalsRowFunction="custom" dataDxfId="868" totalsRowDxfId="867">
      <totalsRowFormula>SUBTOTAL(103,Ianuarie!$K$7:$K$11)</totalsRowFormula>
    </tableColumn>
    <tableColumn id="11" xr3:uid="{00000000-0010-0000-0000-00000B000000}" name="10" totalsRowFunction="custom" dataDxfId="866" totalsRowDxfId="865">
      <totalsRowFormula>SUBTOTAL(103,Ianuarie!$L$7:$L$11)</totalsRowFormula>
    </tableColumn>
    <tableColumn id="12" xr3:uid="{00000000-0010-0000-0000-00000C000000}" name="11" totalsRowFunction="custom" dataDxfId="864" totalsRowDxfId="863">
      <totalsRowFormula>SUBTOTAL(103,Ianuarie!$M$7:$M$11)</totalsRowFormula>
    </tableColumn>
    <tableColumn id="13" xr3:uid="{00000000-0010-0000-0000-00000D000000}" name="12" totalsRowFunction="custom" dataDxfId="862" totalsRowDxfId="861">
      <totalsRowFormula>SUBTOTAL(103,Ianuarie!$N$7:$N$11)</totalsRowFormula>
    </tableColumn>
    <tableColumn id="14" xr3:uid="{00000000-0010-0000-0000-00000E000000}" name="13" totalsRowFunction="custom" dataDxfId="860" totalsRowDxfId="859">
      <totalsRowFormula>SUBTOTAL(103,Ianuarie!$O$7:$O$11)</totalsRowFormula>
    </tableColumn>
    <tableColumn id="15" xr3:uid="{00000000-0010-0000-0000-00000F000000}" name="14" totalsRowFunction="custom" dataDxfId="858" totalsRowDxfId="857">
      <totalsRowFormula>SUBTOTAL(103,Ianuarie!$P$7:$P$11)</totalsRowFormula>
    </tableColumn>
    <tableColumn id="16" xr3:uid="{00000000-0010-0000-0000-000010000000}" name="15" totalsRowFunction="custom" dataDxfId="856" totalsRowDxfId="855">
      <totalsRowFormula>SUBTOTAL(103,Ianuarie!$Q$7:$Q$11)</totalsRowFormula>
    </tableColumn>
    <tableColumn id="17" xr3:uid="{00000000-0010-0000-0000-000011000000}" name="16" totalsRowFunction="custom" dataDxfId="854" totalsRowDxfId="853">
      <totalsRowFormula>SUBTOTAL(103,Ianuarie!$R$7:$R$11)</totalsRowFormula>
    </tableColumn>
    <tableColumn id="18" xr3:uid="{00000000-0010-0000-0000-000012000000}" name="17" totalsRowFunction="custom" dataDxfId="852" totalsRowDxfId="851">
      <totalsRowFormula>SUBTOTAL(103,Ianuarie!$S$7:$S$11)</totalsRowFormula>
    </tableColumn>
    <tableColumn id="19" xr3:uid="{00000000-0010-0000-0000-000013000000}" name="18" totalsRowFunction="custom" dataDxfId="850" totalsRowDxfId="849">
      <totalsRowFormula>SUBTOTAL(103,Ianuarie!$T$7:$T$11)</totalsRowFormula>
    </tableColumn>
    <tableColumn id="20" xr3:uid="{00000000-0010-0000-0000-000014000000}" name="19" totalsRowFunction="custom" dataDxfId="848" totalsRowDxfId="847">
      <totalsRowFormula>SUBTOTAL(103,Ianuarie!$U$7:$U$11)</totalsRowFormula>
    </tableColumn>
    <tableColumn id="21" xr3:uid="{00000000-0010-0000-0000-000015000000}" name="20" totalsRowFunction="custom" dataDxfId="846" totalsRowDxfId="845">
      <totalsRowFormula>SUBTOTAL(103,Ianuarie!$V$7:$V$11)</totalsRowFormula>
    </tableColumn>
    <tableColumn id="22" xr3:uid="{00000000-0010-0000-0000-000016000000}" name="21" totalsRowFunction="custom" dataDxfId="844" totalsRowDxfId="843">
      <totalsRowFormula>SUBTOTAL(103,Ianuarie!$W$7:$W$11)</totalsRowFormula>
    </tableColumn>
    <tableColumn id="23" xr3:uid="{00000000-0010-0000-0000-000017000000}" name="22" totalsRowFunction="custom" dataDxfId="842" totalsRowDxfId="841">
      <totalsRowFormula>SUBTOTAL(103,Ianuarie!$X$7:$X$11)</totalsRowFormula>
    </tableColumn>
    <tableColumn id="24" xr3:uid="{00000000-0010-0000-0000-000018000000}" name="23" totalsRowFunction="custom" dataDxfId="840" totalsRowDxfId="839">
      <totalsRowFormula>SUBTOTAL(103,Ianuarie!$Y$7:$Y$11)</totalsRowFormula>
    </tableColumn>
    <tableColumn id="25" xr3:uid="{00000000-0010-0000-0000-000019000000}" name="24" totalsRowFunction="custom" dataDxfId="838" totalsRowDxfId="837">
      <totalsRowFormula>SUBTOTAL(103,Ianuarie!$Z$7:$Z$11)</totalsRowFormula>
    </tableColumn>
    <tableColumn id="26" xr3:uid="{00000000-0010-0000-0000-00001A000000}" name="25" totalsRowFunction="custom" dataDxfId="836" totalsRowDxfId="835">
      <totalsRowFormula>SUBTOTAL(103,Ianuarie!$AA$7:$AA$11)</totalsRowFormula>
    </tableColumn>
    <tableColumn id="27" xr3:uid="{00000000-0010-0000-0000-00001B000000}" name="26" totalsRowFunction="custom" dataDxfId="834" totalsRowDxfId="833">
      <totalsRowFormula>SUBTOTAL(103,Ianuarie!$AB$7:$AB$11)</totalsRowFormula>
    </tableColumn>
    <tableColumn id="28" xr3:uid="{00000000-0010-0000-0000-00001C000000}" name="27" totalsRowFunction="custom" dataDxfId="832" totalsRowDxfId="831">
      <totalsRowFormula>SUBTOTAL(103,Ianuarie!$AC$7:$AC$11)</totalsRowFormula>
    </tableColumn>
    <tableColumn id="29" xr3:uid="{00000000-0010-0000-0000-00001D000000}" name="28" totalsRowFunction="custom" dataDxfId="830" totalsRowDxfId="829">
      <totalsRowFormula>SUBTOTAL(103,Ianuarie!$AD$7:$AD$11)</totalsRowFormula>
    </tableColumn>
    <tableColumn id="30" xr3:uid="{00000000-0010-0000-0000-00001E000000}" name="29" totalsRowFunction="custom" dataDxfId="828" totalsRowDxfId="827">
      <totalsRowFormula>SUBTOTAL(103,Ianuarie!$AE$7:$AE$11)</totalsRowFormula>
    </tableColumn>
    <tableColumn id="31" xr3:uid="{00000000-0010-0000-0000-00001F000000}" name="30" totalsRowFunction="custom" dataDxfId="826" totalsRowDxfId="825">
      <totalsRowFormula>SUBTOTAL(103,Ianuarie!$AF$7:$AF$11)</totalsRowFormula>
    </tableColumn>
    <tableColumn id="32" xr3:uid="{00000000-0010-0000-0000-000020000000}" name="31" totalsRowFunction="custom" dataDxfId="824" totalsRowDxfId="823">
      <totalsRowFormula>SUBTOTAL(103,Ianuarie!$AG$7:$AG$11)</totalsRowFormula>
    </tableColumn>
    <tableColumn id="33" xr3:uid="{00000000-0010-0000-0000-000021000000}" name="Total zile" totalsRowFunction="sum" dataDxfId="822" totalsRowDxfId="821">
      <calculatedColumnFormula>COUNTA(Ianuarie!$C7:$AG7)</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Martie" displayName="Martie" ref="B6:AH12" totalsRowCount="1" headerRowDxfId="751" dataDxfId="750" totalsRowDxfId="749">
  <tableColumns count="33">
    <tableColumn id="1" xr3:uid="{00000000-0010-0000-0200-000001000000}" name="Nume angajat" totalsRowFunction="custom" dataDxfId="748" totalsRowDxfId="747" dataCellStyle="Angajat">
      <totalsRowFormula>NumeLună&amp;" Total"</totalsRowFormula>
    </tableColumn>
    <tableColumn id="2" xr3:uid="{00000000-0010-0000-0200-000002000000}" name="1" totalsRowFunction="count" dataDxfId="746" totalsRowDxfId="745"/>
    <tableColumn id="3" xr3:uid="{00000000-0010-0000-0200-000003000000}" name="2" totalsRowFunction="count" dataDxfId="744" totalsRowDxfId="743"/>
    <tableColumn id="4" xr3:uid="{00000000-0010-0000-0200-000004000000}" name="3" totalsRowFunction="count" dataDxfId="742" totalsRowDxfId="741"/>
    <tableColumn id="5" xr3:uid="{00000000-0010-0000-0200-000005000000}" name="4" totalsRowFunction="count" dataDxfId="740" totalsRowDxfId="739"/>
    <tableColumn id="6" xr3:uid="{00000000-0010-0000-0200-000006000000}" name="5" totalsRowFunction="count" dataDxfId="738" totalsRowDxfId="737"/>
    <tableColumn id="7" xr3:uid="{00000000-0010-0000-0200-000007000000}" name="6" totalsRowFunction="count" dataDxfId="736" totalsRowDxfId="735"/>
    <tableColumn id="8" xr3:uid="{00000000-0010-0000-0200-000008000000}" name="7" totalsRowFunction="count" dataDxfId="734" totalsRowDxfId="733"/>
    <tableColumn id="9" xr3:uid="{00000000-0010-0000-0200-000009000000}" name="8" totalsRowFunction="count" dataDxfId="732" totalsRowDxfId="731"/>
    <tableColumn id="10" xr3:uid="{00000000-0010-0000-0200-00000A000000}" name="9" totalsRowFunction="count" dataDxfId="730" totalsRowDxfId="729"/>
    <tableColumn id="11" xr3:uid="{00000000-0010-0000-0200-00000B000000}" name="10" totalsRowFunction="count" dataDxfId="728" totalsRowDxfId="727"/>
    <tableColumn id="12" xr3:uid="{00000000-0010-0000-0200-00000C000000}" name="11" totalsRowFunction="count" dataDxfId="726" totalsRowDxfId="725"/>
    <tableColumn id="13" xr3:uid="{00000000-0010-0000-0200-00000D000000}" name="12" totalsRowFunction="count" dataDxfId="724" totalsRowDxfId="723"/>
    <tableColumn id="14" xr3:uid="{00000000-0010-0000-0200-00000E000000}" name="13" totalsRowFunction="count" dataDxfId="722" totalsRowDxfId="721"/>
    <tableColumn id="15" xr3:uid="{00000000-0010-0000-0200-00000F000000}" name="14" totalsRowFunction="count" dataDxfId="720" totalsRowDxfId="719"/>
    <tableColumn id="16" xr3:uid="{00000000-0010-0000-0200-000010000000}" name="15" totalsRowFunction="count" dataDxfId="718" totalsRowDxfId="717"/>
    <tableColumn id="17" xr3:uid="{00000000-0010-0000-0200-000011000000}" name="16" totalsRowFunction="count" dataDxfId="716" totalsRowDxfId="715"/>
    <tableColumn id="18" xr3:uid="{00000000-0010-0000-0200-000012000000}" name="17" totalsRowFunction="count" dataDxfId="714" totalsRowDxfId="713"/>
    <tableColumn id="19" xr3:uid="{00000000-0010-0000-0200-000013000000}" name="18" totalsRowFunction="count" dataDxfId="712" totalsRowDxfId="711"/>
    <tableColumn id="20" xr3:uid="{00000000-0010-0000-0200-000014000000}" name="19" totalsRowFunction="count" dataDxfId="710" totalsRowDxfId="709"/>
    <tableColumn id="21" xr3:uid="{00000000-0010-0000-0200-000015000000}" name="20" totalsRowFunction="count" dataDxfId="708" totalsRowDxfId="707"/>
    <tableColumn id="22" xr3:uid="{00000000-0010-0000-0200-000016000000}" name="21" totalsRowFunction="count" dataDxfId="706" totalsRowDxfId="705"/>
    <tableColumn id="23" xr3:uid="{00000000-0010-0000-0200-000017000000}" name="22" totalsRowFunction="count" dataDxfId="704" totalsRowDxfId="703"/>
    <tableColumn id="24" xr3:uid="{00000000-0010-0000-0200-000018000000}" name="23" totalsRowFunction="count" dataDxfId="702" totalsRowDxfId="701"/>
    <tableColumn id="25" xr3:uid="{00000000-0010-0000-0200-000019000000}" name="24" totalsRowFunction="count" dataDxfId="700" totalsRowDxfId="699"/>
    <tableColumn id="26" xr3:uid="{00000000-0010-0000-0200-00001A000000}" name="25" totalsRowFunction="count" dataDxfId="698" totalsRowDxfId="697"/>
    <tableColumn id="27" xr3:uid="{00000000-0010-0000-0200-00001B000000}" name="26" totalsRowFunction="count" dataDxfId="696" totalsRowDxfId="695"/>
    <tableColumn id="28" xr3:uid="{00000000-0010-0000-0200-00001C000000}" name="27" totalsRowFunction="count" dataDxfId="694" totalsRowDxfId="693"/>
    <tableColumn id="29" xr3:uid="{00000000-0010-0000-0200-00001D000000}" name="28" totalsRowFunction="count" dataDxfId="692" totalsRowDxfId="691"/>
    <tableColumn id="30" xr3:uid="{00000000-0010-0000-0200-00001E000000}" name="29" totalsRowFunction="count" dataDxfId="690" totalsRowDxfId="689"/>
    <tableColumn id="31" xr3:uid="{00000000-0010-0000-0200-00001F000000}" name="30" totalsRowFunction="count" dataDxfId="688" totalsRowDxfId="687"/>
    <tableColumn id="32" xr3:uid="{00000000-0010-0000-0200-000020000000}" name="31" totalsRowFunction="count" dataDxfId="686" totalsRowDxfId="685"/>
    <tableColumn id="33" xr3:uid="{00000000-0010-0000-0200-000021000000}" name="Total zile" totalsRowFunction="sum" dataDxfId="684" totalsRowDxfId="683">
      <calculatedColumnFormula>COUNTA(Martie[[#This Row],[1]:[31]])</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Aprilie" displayName="Aprilie" ref="B6:AH12" totalsRowCount="1" headerRowDxfId="682" dataDxfId="681" totalsRowDxfId="680">
  <tableColumns count="33">
    <tableColumn id="1" xr3:uid="{00000000-0010-0000-0300-000001000000}" name="Nume angajat" totalsRowFunction="custom" dataDxfId="679" totalsRowDxfId="678" dataCellStyle="Angajat">
      <totalsRowFormula>NumeLună&amp;" Total"</totalsRowFormula>
    </tableColumn>
    <tableColumn id="2" xr3:uid="{00000000-0010-0000-0300-000002000000}" name="1" totalsRowFunction="count" dataDxfId="677" totalsRowDxfId="676"/>
    <tableColumn id="3" xr3:uid="{00000000-0010-0000-0300-000003000000}" name="2" totalsRowFunction="count" dataDxfId="675" totalsRowDxfId="674"/>
    <tableColumn id="4" xr3:uid="{00000000-0010-0000-0300-000004000000}" name="3" totalsRowFunction="count" dataDxfId="673" totalsRowDxfId="672"/>
    <tableColumn id="5" xr3:uid="{00000000-0010-0000-0300-000005000000}" name="4" totalsRowFunction="count" dataDxfId="671" totalsRowDxfId="670"/>
    <tableColumn id="6" xr3:uid="{00000000-0010-0000-0300-000006000000}" name="5" totalsRowFunction="count" dataDxfId="669" totalsRowDxfId="668"/>
    <tableColumn id="7" xr3:uid="{00000000-0010-0000-0300-000007000000}" name="6" totalsRowFunction="count" dataDxfId="667" totalsRowDxfId="666"/>
    <tableColumn id="8" xr3:uid="{00000000-0010-0000-0300-000008000000}" name="7" totalsRowFunction="count" dataDxfId="665" totalsRowDxfId="664"/>
    <tableColumn id="9" xr3:uid="{00000000-0010-0000-0300-000009000000}" name="8" totalsRowFunction="count" dataDxfId="663" totalsRowDxfId="662"/>
    <tableColumn id="10" xr3:uid="{00000000-0010-0000-0300-00000A000000}" name="9" totalsRowFunction="count" dataDxfId="661" totalsRowDxfId="660"/>
    <tableColumn id="11" xr3:uid="{00000000-0010-0000-0300-00000B000000}" name="10" totalsRowFunction="count" dataDxfId="659" totalsRowDxfId="658"/>
    <tableColumn id="12" xr3:uid="{00000000-0010-0000-0300-00000C000000}" name="11" totalsRowFunction="count" dataDxfId="657" totalsRowDxfId="656"/>
    <tableColumn id="13" xr3:uid="{00000000-0010-0000-0300-00000D000000}" name="12" totalsRowFunction="count" dataDxfId="655" totalsRowDxfId="654"/>
    <tableColumn id="14" xr3:uid="{00000000-0010-0000-0300-00000E000000}" name="13" totalsRowFunction="count" dataDxfId="653" totalsRowDxfId="652"/>
    <tableColumn id="15" xr3:uid="{00000000-0010-0000-0300-00000F000000}" name="14" totalsRowFunction="count" dataDxfId="651" totalsRowDxfId="650"/>
    <tableColumn id="16" xr3:uid="{00000000-0010-0000-0300-000010000000}" name="15" totalsRowFunction="count" dataDxfId="649" totalsRowDxfId="648"/>
    <tableColumn id="17" xr3:uid="{00000000-0010-0000-0300-000011000000}" name="16" totalsRowFunction="count" dataDxfId="647" totalsRowDxfId="646"/>
    <tableColumn id="18" xr3:uid="{00000000-0010-0000-0300-000012000000}" name="17" totalsRowFunction="count" dataDxfId="645" totalsRowDxfId="644"/>
    <tableColumn id="19" xr3:uid="{00000000-0010-0000-0300-000013000000}" name="18" totalsRowFunction="count" dataDxfId="643" totalsRowDxfId="642"/>
    <tableColumn id="20" xr3:uid="{00000000-0010-0000-0300-000014000000}" name="19" totalsRowFunction="count" dataDxfId="641" totalsRowDxfId="640"/>
    <tableColumn id="21" xr3:uid="{00000000-0010-0000-0300-000015000000}" name="20" totalsRowFunction="count" dataDxfId="639" totalsRowDxfId="638"/>
    <tableColumn id="22" xr3:uid="{00000000-0010-0000-0300-000016000000}" name="21" totalsRowFunction="count" dataDxfId="637" totalsRowDxfId="636"/>
    <tableColumn id="23" xr3:uid="{00000000-0010-0000-0300-000017000000}" name="22" totalsRowFunction="count" dataDxfId="635" totalsRowDxfId="634"/>
    <tableColumn id="24" xr3:uid="{00000000-0010-0000-0300-000018000000}" name="23" totalsRowFunction="count" dataDxfId="633" totalsRowDxfId="632"/>
    <tableColumn id="25" xr3:uid="{00000000-0010-0000-0300-000019000000}" name="24" totalsRowFunction="count" dataDxfId="631" totalsRowDxfId="630"/>
    <tableColumn id="26" xr3:uid="{00000000-0010-0000-0300-00001A000000}" name="25" totalsRowFunction="count" dataDxfId="629" totalsRowDxfId="628"/>
    <tableColumn id="27" xr3:uid="{00000000-0010-0000-0300-00001B000000}" name="26" totalsRowFunction="count" dataDxfId="627" totalsRowDxfId="626"/>
    <tableColumn id="28" xr3:uid="{00000000-0010-0000-0300-00001C000000}" name="27" totalsRowFunction="count" dataDxfId="625" totalsRowDxfId="624"/>
    <tableColumn id="29" xr3:uid="{00000000-0010-0000-0300-00001D000000}" name="28" totalsRowFunction="count" dataDxfId="623" totalsRowDxfId="622"/>
    <tableColumn id="30" xr3:uid="{00000000-0010-0000-0300-00001E000000}" name="29" totalsRowFunction="count" dataDxfId="621" totalsRowDxfId="620"/>
    <tableColumn id="31" xr3:uid="{00000000-0010-0000-0300-00001F000000}" name="30" totalsRowFunction="count" dataDxfId="619" totalsRowDxfId="618"/>
    <tableColumn id="32" xr3:uid="{00000000-0010-0000-0300-000020000000}" name=" " totalsRowFunction="custom" dataDxfId="617" totalsRowDxfId="616">
      <totalsRowFormula>SUBTOTAL(103,Aprilie[30])</totalsRowFormula>
    </tableColumn>
    <tableColumn id="33" xr3:uid="{00000000-0010-0000-0300-000021000000}" name="Total zile" totalsRowFunction="sum" dataDxfId="615" totalsRowDxfId="614">
      <calculatedColumnFormula>COUNTA(Aprilie[[#This Row],[1]:[30]])</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Mai" displayName="Mai" ref="B6:AH12" totalsRowCount="1" headerRowDxfId="613" dataDxfId="612" totalsRowDxfId="611">
  <tableColumns count="33">
    <tableColumn id="1" xr3:uid="{00000000-0010-0000-0400-000001000000}" name="Nume angajat" totalsRowFunction="custom" dataDxfId="610" totalsRowDxfId="609" dataCellStyle="Angajat">
      <totalsRowFormula>NumeLună&amp;" Total"</totalsRowFormula>
    </tableColumn>
    <tableColumn id="2" xr3:uid="{00000000-0010-0000-0400-000002000000}" name="1" totalsRowFunction="count" dataDxfId="608" totalsRowDxfId="607"/>
    <tableColumn id="3" xr3:uid="{00000000-0010-0000-0400-000003000000}" name="2" totalsRowFunction="count" dataDxfId="606" totalsRowDxfId="605"/>
    <tableColumn id="4" xr3:uid="{00000000-0010-0000-0400-000004000000}" name="3" totalsRowFunction="count" dataDxfId="604" totalsRowDxfId="603"/>
    <tableColumn id="5" xr3:uid="{00000000-0010-0000-0400-000005000000}" name="4" totalsRowFunction="count" dataDxfId="602" totalsRowDxfId="601"/>
    <tableColumn id="6" xr3:uid="{00000000-0010-0000-0400-000006000000}" name="5" totalsRowFunction="count" dataDxfId="600" totalsRowDxfId="599"/>
    <tableColumn id="7" xr3:uid="{00000000-0010-0000-0400-000007000000}" name="6" totalsRowFunction="count" dataDxfId="598" totalsRowDxfId="597"/>
    <tableColumn id="8" xr3:uid="{00000000-0010-0000-0400-000008000000}" name="7" totalsRowFunction="count" dataDxfId="596" totalsRowDxfId="595"/>
    <tableColumn id="9" xr3:uid="{00000000-0010-0000-0400-000009000000}" name="8" totalsRowFunction="count" dataDxfId="594" totalsRowDxfId="593"/>
    <tableColumn id="10" xr3:uid="{00000000-0010-0000-0400-00000A000000}" name="9" totalsRowFunction="count" dataDxfId="592" totalsRowDxfId="591"/>
    <tableColumn id="11" xr3:uid="{00000000-0010-0000-0400-00000B000000}" name="10" totalsRowFunction="count" dataDxfId="590" totalsRowDxfId="589"/>
    <tableColumn id="12" xr3:uid="{00000000-0010-0000-0400-00000C000000}" name="11" totalsRowFunction="count" dataDxfId="588" totalsRowDxfId="587"/>
    <tableColumn id="13" xr3:uid="{00000000-0010-0000-0400-00000D000000}" name="12" totalsRowFunction="count" dataDxfId="586" totalsRowDxfId="585"/>
    <tableColumn id="14" xr3:uid="{00000000-0010-0000-0400-00000E000000}" name="13" totalsRowFunction="count" dataDxfId="584" totalsRowDxfId="583"/>
    <tableColumn id="15" xr3:uid="{00000000-0010-0000-0400-00000F000000}" name="14" totalsRowFunction="count" dataDxfId="582" totalsRowDxfId="581"/>
    <tableColumn id="16" xr3:uid="{00000000-0010-0000-0400-000010000000}" name="15" totalsRowFunction="count" dataDxfId="580" totalsRowDxfId="579"/>
    <tableColumn id="17" xr3:uid="{00000000-0010-0000-0400-000011000000}" name="16" totalsRowFunction="count" dataDxfId="578" totalsRowDxfId="577"/>
    <tableColumn id="18" xr3:uid="{00000000-0010-0000-0400-000012000000}" name="17" totalsRowFunction="count" dataDxfId="576" totalsRowDxfId="575"/>
    <tableColumn id="19" xr3:uid="{00000000-0010-0000-0400-000013000000}" name="18" totalsRowFunction="count" dataDxfId="574" totalsRowDxfId="573"/>
    <tableColumn id="20" xr3:uid="{00000000-0010-0000-0400-000014000000}" name="19" totalsRowFunction="count" dataDxfId="572" totalsRowDxfId="571"/>
    <tableColumn id="21" xr3:uid="{00000000-0010-0000-0400-000015000000}" name="20" totalsRowFunction="count" dataDxfId="570" totalsRowDxfId="569"/>
    <tableColumn id="22" xr3:uid="{00000000-0010-0000-0400-000016000000}" name="21" totalsRowFunction="count" dataDxfId="568" totalsRowDxfId="567"/>
    <tableColumn id="23" xr3:uid="{00000000-0010-0000-0400-000017000000}" name="22" totalsRowFunction="count" dataDxfId="566" totalsRowDxfId="565"/>
    <tableColumn id="24" xr3:uid="{00000000-0010-0000-0400-000018000000}" name="23" totalsRowFunction="count" dataDxfId="564" totalsRowDxfId="563"/>
    <tableColumn id="25" xr3:uid="{00000000-0010-0000-0400-000019000000}" name="24" totalsRowFunction="count" dataDxfId="562" totalsRowDxfId="561"/>
    <tableColumn id="26" xr3:uid="{00000000-0010-0000-0400-00001A000000}" name="25" totalsRowFunction="count" dataDxfId="560" totalsRowDxfId="559"/>
    <tableColumn id="27" xr3:uid="{00000000-0010-0000-0400-00001B000000}" name="26" totalsRowFunction="count" dataDxfId="558" totalsRowDxfId="557"/>
    <tableColumn id="28" xr3:uid="{00000000-0010-0000-0400-00001C000000}" name="27" totalsRowFunction="count" dataDxfId="556" totalsRowDxfId="555"/>
    <tableColumn id="29" xr3:uid="{00000000-0010-0000-0400-00001D000000}" name="28" totalsRowFunction="count" dataDxfId="554" totalsRowDxfId="553"/>
    <tableColumn id="30" xr3:uid="{00000000-0010-0000-0400-00001E000000}" name="29" totalsRowFunction="count" dataDxfId="552" totalsRowDxfId="551"/>
    <tableColumn id="31" xr3:uid="{00000000-0010-0000-0400-00001F000000}" name="30" totalsRowFunction="count" dataDxfId="550" totalsRowDxfId="549"/>
    <tableColumn id="32" xr3:uid="{00000000-0010-0000-0400-000020000000}" name="31" totalsRowFunction="count" dataDxfId="548" totalsRowDxfId="547"/>
    <tableColumn id="33" xr3:uid="{00000000-0010-0000-0400-000021000000}" name="Total zile" totalsRowFunction="sum" dataDxfId="546" totalsRowDxfId="545">
      <calculatedColumnFormula>COUNTA(Mai[[#This Row],[1]:[31]])</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Iunie" displayName="Iunie" ref="B6:AH12" totalsRowCount="1" headerRowDxfId="544" dataDxfId="543" totalsRowDxfId="542">
  <tableColumns count="33">
    <tableColumn id="1" xr3:uid="{00000000-0010-0000-0500-000001000000}" name="Nume angajat" totalsRowFunction="custom" dataDxfId="541" totalsRowDxfId="540" dataCellStyle="Angajat">
      <totalsRowFormula>NumeLună&amp;" Total"</totalsRowFormula>
    </tableColumn>
    <tableColumn id="2" xr3:uid="{00000000-0010-0000-0500-000002000000}" name="1" totalsRowFunction="count" dataDxfId="539" totalsRowDxfId="538"/>
    <tableColumn id="3" xr3:uid="{00000000-0010-0000-0500-000003000000}" name="2" totalsRowFunction="count" dataDxfId="537" totalsRowDxfId="536"/>
    <tableColumn id="4" xr3:uid="{00000000-0010-0000-0500-000004000000}" name="3" totalsRowFunction="count" dataDxfId="535" totalsRowDxfId="534"/>
    <tableColumn id="5" xr3:uid="{00000000-0010-0000-0500-000005000000}" name="4" totalsRowFunction="count" dataDxfId="533" totalsRowDxfId="532"/>
    <tableColumn id="6" xr3:uid="{00000000-0010-0000-0500-000006000000}" name="5" totalsRowFunction="count" dataDxfId="531" totalsRowDxfId="530"/>
    <tableColumn id="7" xr3:uid="{00000000-0010-0000-0500-000007000000}" name="6" totalsRowFunction="count" dataDxfId="529" totalsRowDxfId="528"/>
    <tableColumn id="8" xr3:uid="{00000000-0010-0000-0500-000008000000}" name="7" totalsRowFunction="count" dataDxfId="527" totalsRowDxfId="526"/>
    <tableColumn id="9" xr3:uid="{00000000-0010-0000-0500-000009000000}" name="8" totalsRowFunction="count" dataDxfId="525" totalsRowDxfId="524"/>
    <tableColumn id="10" xr3:uid="{00000000-0010-0000-0500-00000A000000}" name="9" totalsRowFunction="count" dataDxfId="523" totalsRowDxfId="522"/>
    <tableColumn id="11" xr3:uid="{00000000-0010-0000-0500-00000B000000}" name="10" totalsRowFunction="count" dataDxfId="521" totalsRowDxfId="520"/>
    <tableColumn id="12" xr3:uid="{00000000-0010-0000-0500-00000C000000}" name="11" totalsRowFunction="count" dataDxfId="519" totalsRowDxfId="518"/>
    <tableColumn id="13" xr3:uid="{00000000-0010-0000-0500-00000D000000}" name="12" totalsRowFunction="count" dataDxfId="517" totalsRowDxfId="516"/>
    <tableColumn id="14" xr3:uid="{00000000-0010-0000-0500-00000E000000}" name="13" totalsRowFunction="count" dataDxfId="515" totalsRowDxfId="514"/>
    <tableColumn id="15" xr3:uid="{00000000-0010-0000-0500-00000F000000}" name="14" totalsRowFunction="count" dataDxfId="513" totalsRowDxfId="512"/>
    <tableColumn id="16" xr3:uid="{00000000-0010-0000-0500-000010000000}" name="15" totalsRowFunction="count" dataDxfId="511" totalsRowDxfId="510"/>
    <tableColumn id="17" xr3:uid="{00000000-0010-0000-0500-000011000000}" name="16" totalsRowFunction="count" dataDxfId="509" totalsRowDxfId="508"/>
    <tableColumn id="18" xr3:uid="{00000000-0010-0000-0500-000012000000}" name="17" totalsRowFunction="count" dataDxfId="507" totalsRowDxfId="506"/>
    <tableColumn id="19" xr3:uid="{00000000-0010-0000-0500-000013000000}" name="18" totalsRowFunction="count" dataDxfId="505" totalsRowDxfId="504"/>
    <tableColumn id="20" xr3:uid="{00000000-0010-0000-0500-000014000000}" name="19" totalsRowFunction="count" dataDxfId="503" totalsRowDxfId="502"/>
    <tableColumn id="21" xr3:uid="{00000000-0010-0000-0500-000015000000}" name="20" totalsRowFunction="count" dataDxfId="501" totalsRowDxfId="500"/>
    <tableColumn id="22" xr3:uid="{00000000-0010-0000-0500-000016000000}" name="21" totalsRowFunction="count" dataDxfId="499" totalsRowDxfId="498"/>
    <tableColumn id="23" xr3:uid="{00000000-0010-0000-0500-000017000000}" name="22" totalsRowFunction="count" dataDxfId="497" totalsRowDxfId="496"/>
    <tableColumn id="24" xr3:uid="{00000000-0010-0000-0500-000018000000}" name="23" totalsRowFunction="count" dataDxfId="495" totalsRowDxfId="494"/>
    <tableColumn id="25" xr3:uid="{00000000-0010-0000-0500-000019000000}" name="24" totalsRowFunction="count" dataDxfId="493" totalsRowDxfId="492"/>
    <tableColumn id="26" xr3:uid="{00000000-0010-0000-0500-00001A000000}" name="25" totalsRowFunction="count" dataDxfId="491" totalsRowDxfId="490"/>
    <tableColumn id="27" xr3:uid="{00000000-0010-0000-0500-00001B000000}" name="26" totalsRowFunction="count" dataDxfId="489" totalsRowDxfId="488"/>
    <tableColumn id="28" xr3:uid="{00000000-0010-0000-0500-00001C000000}" name="27" totalsRowFunction="count" dataDxfId="487" totalsRowDxfId="486"/>
    <tableColumn id="29" xr3:uid="{00000000-0010-0000-0500-00001D000000}" name="28" totalsRowFunction="count" dataDxfId="485" totalsRowDxfId="484"/>
    <tableColumn id="30" xr3:uid="{00000000-0010-0000-0500-00001E000000}" name="29" totalsRowFunction="count" dataDxfId="483" totalsRowDxfId="482"/>
    <tableColumn id="31" xr3:uid="{00000000-0010-0000-0500-00001F000000}" name="30" totalsRowFunction="count" dataDxfId="481" totalsRowDxfId="480"/>
    <tableColumn id="32" xr3:uid="{00000000-0010-0000-0500-000020000000}" name=" " totalsRowFunction="count" dataDxfId="479" totalsRowDxfId="478"/>
    <tableColumn id="33" xr3:uid="{00000000-0010-0000-0500-000021000000}" name="Total zile" totalsRowFunction="sum" dataDxfId="477" totalsRowDxfId="476">
      <calculatedColumnFormula>COUNTA(Iunie[[#This Row],[1]:[30]])</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6000000}" name="Iulie" displayName="Iulie" ref="B6:AH12" totalsRowCount="1" headerRowDxfId="475" dataDxfId="474" totalsRowDxfId="473">
  <tableColumns count="33">
    <tableColumn id="1" xr3:uid="{00000000-0010-0000-0600-000001000000}" name="Nume angajat" totalsRowFunction="custom" dataDxfId="472" totalsRowDxfId="471" dataCellStyle="Angajat">
      <totalsRowFormula>NumeLună&amp;" Total"</totalsRowFormula>
    </tableColumn>
    <tableColumn id="2" xr3:uid="{00000000-0010-0000-0600-000002000000}" name="1" totalsRowFunction="count" dataDxfId="470" totalsRowDxfId="469"/>
    <tableColumn id="3" xr3:uid="{00000000-0010-0000-0600-000003000000}" name="2" totalsRowFunction="count" dataDxfId="468" totalsRowDxfId="467"/>
    <tableColumn id="4" xr3:uid="{00000000-0010-0000-0600-000004000000}" name="3" totalsRowFunction="count" dataDxfId="466" totalsRowDxfId="465"/>
    <tableColumn id="5" xr3:uid="{00000000-0010-0000-0600-000005000000}" name="4" totalsRowFunction="count" dataDxfId="464" totalsRowDxfId="463"/>
    <tableColumn id="6" xr3:uid="{00000000-0010-0000-0600-000006000000}" name="5" totalsRowFunction="count" dataDxfId="462" totalsRowDxfId="461"/>
    <tableColumn id="7" xr3:uid="{00000000-0010-0000-0600-000007000000}" name="6" totalsRowFunction="count" dataDxfId="460" totalsRowDxfId="459"/>
    <tableColumn id="8" xr3:uid="{00000000-0010-0000-0600-000008000000}" name="7" totalsRowFunction="count" dataDxfId="458" totalsRowDxfId="457"/>
    <tableColumn id="9" xr3:uid="{00000000-0010-0000-0600-000009000000}" name="8" totalsRowFunction="count" dataDxfId="456" totalsRowDxfId="455"/>
    <tableColumn id="10" xr3:uid="{00000000-0010-0000-0600-00000A000000}" name="9" totalsRowFunction="count" dataDxfId="454" totalsRowDxfId="453"/>
    <tableColumn id="11" xr3:uid="{00000000-0010-0000-0600-00000B000000}" name="10" totalsRowFunction="count" dataDxfId="452" totalsRowDxfId="451"/>
    <tableColumn id="12" xr3:uid="{00000000-0010-0000-0600-00000C000000}" name="11" totalsRowFunction="count" dataDxfId="450" totalsRowDxfId="449"/>
    <tableColumn id="13" xr3:uid="{00000000-0010-0000-0600-00000D000000}" name="12" totalsRowFunction="count" dataDxfId="448" totalsRowDxfId="447"/>
    <tableColumn id="14" xr3:uid="{00000000-0010-0000-0600-00000E000000}" name="13" totalsRowFunction="count" dataDxfId="446" totalsRowDxfId="445"/>
    <tableColumn id="15" xr3:uid="{00000000-0010-0000-0600-00000F000000}" name="14" totalsRowFunction="count" dataDxfId="444" totalsRowDxfId="443"/>
    <tableColumn id="16" xr3:uid="{00000000-0010-0000-0600-000010000000}" name="15" totalsRowFunction="count" dataDxfId="442" totalsRowDxfId="441"/>
    <tableColumn id="17" xr3:uid="{00000000-0010-0000-0600-000011000000}" name="16" totalsRowFunction="count" dataDxfId="440" totalsRowDxfId="439"/>
    <tableColumn id="18" xr3:uid="{00000000-0010-0000-0600-000012000000}" name="17" totalsRowFunction="count" dataDxfId="438" totalsRowDxfId="437"/>
    <tableColumn id="19" xr3:uid="{00000000-0010-0000-0600-000013000000}" name="18" totalsRowFunction="count" dataDxfId="436" totalsRowDxfId="435"/>
    <tableColumn id="20" xr3:uid="{00000000-0010-0000-0600-000014000000}" name="19" totalsRowFunction="count" dataDxfId="434" totalsRowDxfId="433"/>
    <tableColumn id="21" xr3:uid="{00000000-0010-0000-0600-000015000000}" name="20" totalsRowFunction="count" dataDxfId="432" totalsRowDxfId="431"/>
    <tableColumn id="22" xr3:uid="{00000000-0010-0000-0600-000016000000}" name="21" totalsRowFunction="count" dataDxfId="430" totalsRowDxfId="429"/>
    <tableColumn id="23" xr3:uid="{00000000-0010-0000-0600-000017000000}" name="22" totalsRowFunction="count" dataDxfId="428" totalsRowDxfId="427"/>
    <tableColumn id="24" xr3:uid="{00000000-0010-0000-0600-000018000000}" name="23" totalsRowFunction="count" dataDxfId="426" totalsRowDxfId="425"/>
    <tableColumn id="25" xr3:uid="{00000000-0010-0000-0600-000019000000}" name="24" totalsRowFunction="count" dataDxfId="424" totalsRowDxfId="423"/>
    <tableColumn id="26" xr3:uid="{00000000-0010-0000-0600-00001A000000}" name="25" totalsRowFunction="count" dataDxfId="422" totalsRowDxfId="421"/>
    <tableColumn id="27" xr3:uid="{00000000-0010-0000-0600-00001B000000}" name="26" totalsRowFunction="count" dataDxfId="420" totalsRowDxfId="419"/>
    <tableColumn id="28" xr3:uid="{00000000-0010-0000-0600-00001C000000}" name="27" totalsRowFunction="count" dataDxfId="418" totalsRowDxfId="417"/>
    <tableColumn id="29" xr3:uid="{00000000-0010-0000-0600-00001D000000}" name="28" totalsRowFunction="count" dataDxfId="416" totalsRowDxfId="415"/>
    <tableColumn id="30" xr3:uid="{00000000-0010-0000-0600-00001E000000}" name="29" totalsRowFunction="count" dataDxfId="414" totalsRowDxfId="413"/>
    <tableColumn id="31" xr3:uid="{00000000-0010-0000-0600-00001F000000}" name="30" totalsRowFunction="count" dataDxfId="412" totalsRowDxfId="411"/>
    <tableColumn id="32" xr3:uid="{00000000-0010-0000-0600-000020000000}" name="31" totalsRowFunction="count" dataDxfId="410" totalsRowDxfId="409"/>
    <tableColumn id="33" xr3:uid="{00000000-0010-0000-0600-000021000000}" name="Total zile" totalsRowFunction="sum" dataDxfId="408" totalsRowDxfId="407">
      <calculatedColumnFormula>COUNTA(Iulie[[#This Row],[1]:[31]])</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7000000}" name="August" displayName="August" ref="B6:AH12" totalsRowCount="1" headerRowDxfId="406" dataDxfId="405" totalsRowDxfId="404">
  <tableColumns count="33">
    <tableColumn id="1" xr3:uid="{00000000-0010-0000-0700-000001000000}" name="Nume angajat" totalsRowFunction="custom" dataDxfId="403" totalsRowDxfId="402" dataCellStyle="Angajat">
      <totalsRowFormula>NumeLună&amp;" Total"</totalsRowFormula>
    </tableColumn>
    <tableColumn id="2" xr3:uid="{00000000-0010-0000-0700-000002000000}" name="1" totalsRowFunction="count" dataDxfId="401" totalsRowDxfId="400"/>
    <tableColumn id="3" xr3:uid="{00000000-0010-0000-0700-000003000000}" name="2" totalsRowFunction="count" dataDxfId="399" totalsRowDxfId="398"/>
    <tableColumn id="4" xr3:uid="{00000000-0010-0000-0700-000004000000}" name="3" totalsRowFunction="count" dataDxfId="397" totalsRowDxfId="396"/>
    <tableColumn id="5" xr3:uid="{00000000-0010-0000-0700-000005000000}" name="4" totalsRowFunction="count" dataDxfId="395" totalsRowDxfId="394"/>
    <tableColumn id="6" xr3:uid="{00000000-0010-0000-0700-000006000000}" name="5" totalsRowFunction="count" dataDxfId="393" totalsRowDxfId="392"/>
    <tableColumn id="7" xr3:uid="{00000000-0010-0000-0700-000007000000}" name="6" totalsRowFunction="count" dataDxfId="391" totalsRowDxfId="390"/>
    <tableColumn id="8" xr3:uid="{00000000-0010-0000-0700-000008000000}" name="7" totalsRowFunction="count" dataDxfId="389" totalsRowDxfId="388"/>
    <tableColumn id="9" xr3:uid="{00000000-0010-0000-0700-000009000000}" name="8" totalsRowFunction="count" dataDxfId="387" totalsRowDxfId="386"/>
    <tableColumn id="10" xr3:uid="{00000000-0010-0000-0700-00000A000000}" name="9" totalsRowFunction="count" dataDxfId="385" totalsRowDxfId="384"/>
    <tableColumn id="11" xr3:uid="{00000000-0010-0000-0700-00000B000000}" name="10" totalsRowFunction="count" dataDxfId="383" totalsRowDxfId="382"/>
    <tableColumn id="12" xr3:uid="{00000000-0010-0000-0700-00000C000000}" name="11" totalsRowFunction="count" dataDxfId="381" totalsRowDxfId="380"/>
    <tableColumn id="13" xr3:uid="{00000000-0010-0000-0700-00000D000000}" name="12" totalsRowFunction="count" dataDxfId="379" totalsRowDxfId="378"/>
    <tableColumn id="14" xr3:uid="{00000000-0010-0000-0700-00000E000000}" name="13" totalsRowFunction="count" dataDxfId="377" totalsRowDxfId="376"/>
    <tableColumn id="15" xr3:uid="{00000000-0010-0000-0700-00000F000000}" name="14" totalsRowFunction="count" dataDxfId="375" totalsRowDxfId="374"/>
    <tableColumn id="16" xr3:uid="{00000000-0010-0000-0700-000010000000}" name="15" totalsRowFunction="count" dataDxfId="373" totalsRowDxfId="372"/>
    <tableColumn id="17" xr3:uid="{00000000-0010-0000-0700-000011000000}" name="16" totalsRowFunction="count" dataDxfId="371" totalsRowDxfId="370"/>
    <tableColumn id="18" xr3:uid="{00000000-0010-0000-0700-000012000000}" name="17" totalsRowFunction="count" dataDxfId="369" totalsRowDxfId="368"/>
    <tableColumn id="19" xr3:uid="{00000000-0010-0000-0700-000013000000}" name="18" totalsRowFunction="count" dataDxfId="367" totalsRowDxfId="366"/>
    <tableColumn id="20" xr3:uid="{00000000-0010-0000-0700-000014000000}" name="19" totalsRowFunction="count" dataDxfId="365" totalsRowDxfId="364"/>
    <tableColumn id="21" xr3:uid="{00000000-0010-0000-0700-000015000000}" name="20" totalsRowFunction="count" dataDxfId="363" totalsRowDxfId="362"/>
    <tableColumn id="22" xr3:uid="{00000000-0010-0000-0700-000016000000}" name="21" totalsRowFunction="count" dataDxfId="361" totalsRowDxfId="360"/>
    <tableColumn id="23" xr3:uid="{00000000-0010-0000-0700-000017000000}" name="22" totalsRowFunction="count" dataDxfId="359" totalsRowDxfId="358"/>
    <tableColumn id="24" xr3:uid="{00000000-0010-0000-0700-000018000000}" name="23" totalsRowFunction="count" dataDxfId="357" totalsRowDxfId="356"/>
    <tableColumn id="25" xr3:uid="{00000000-0010-0000-0700-000019000000}" name="24" totalsRowFunction="count" dataDxfId="355" totalsRowDxfId="354"/>
    <tableColumn id="26" xr3:uid="{00000000-0010-0000-0700-00001A000000}" name="25" totalsRowFunction="count" dataDxfId="353" totalsRowDxfId="352"/>
    <tableColumn id="27" xr3:uid="{00000000-0010-0000-0700-00001B000000}" name="26" totalsRowFunction="count" dataDxfId="351" totalsRowDxfId="350"/>
    <tableColumn id="28" xr3:uid="{00000000-0010-0000-0700-00001C000000}" name="27" totalsRowFunction="count" dataDxfId="349" totalsRowDxfId="348"/>
    <tableColumn id="29" xr3:uid="{00000000-0010-0000-0700-00001D000000}" name="28" totalsRowFunction="count" dataDxfId="347" totalsRowDxfId="346"/>
    <tableColumn id="30" xr3:uid="{00000000-0010-0000-0700-00001E000000}" name="29" totalsRowFunction="count" dataDxfId="345" totalsRowDxfId="344"/>
    <tableColumn id="31" xr3:uid="{00000000-0010-0000-0700-00001F000000}" name="30" totalsRowFunction="count" dataDxfId="343" totalsRowDxfId="342"/>
    <tableColumn id="32" xr3:uid="{00000000-0010-0000-0700-000020000000}" name="31" totalsRowFunction="count" dataDxfId="341" totalsRowDxfId="340"/>
    <tableColumn id="33" xr3:uid="{00000000-0010-0000-0700-000021000000}" name="Total zile" totalsRowFunction="sum" dataDxfId="339" totalsRowDxfId="338">
      <calculatedColumnFormula>COUNTA(August[[#This Row],[1]:[31]])</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Septembrie" displayName="Septembrie" ref="B6:AH12" totalsRowCount="1" headerRowDxfId="337" dataDxfId="336" totalsRowDxfId="335">
  <tableColumns count="33">
    <tableColumn id="1" xr3:uid="{00000000-0010-0000-0800-000001000000}" name="Nume angajat" totalsRowFunction="custom" dataDxfId="334" totalsRowDxfId="333" dataCellStyle="Angajat">
      <totalsRowFormula>NumeLună&amp;" Total"</totalsRowFormula>
    </tableColumn>
    <tableColumn id="2" xr3:uid="{00000000-0010-0000-0800-000002000000}" name="1" totalsRowFunction="count" dataDxfId="332" totalsRowDxfId="331"/>
    <tableColumn id="3" xr3:uid="{00000000-0010-0000-0800-000003000000}" name="2" totalsRowFunction="count" dataDxfId="330" totalsRowDxfId="329"/>
    <tableColumn id="4" xr3:uid="{00000000-0010-0000-0800-000004000000}" name="3" totalsRowFunction="count" dataDxfId="328" totalsRowDxfId="327"/>
    <tableColumn id="5" xr3:uid="{00000000-0010-0000-0800-000005000000}" name="4" totalsRowFunction="count" dataDxfId="326" totalsRowDxfId="325"/>
    <tableColumn id="6" xr3:uid="{00000000-0010-0000-0800-000006000000}" name="5" totalsRowFunction="count" dataDxfId="324" totalsRowDxfId="323"/>
    <tableColumn id="7" xr3:uid="{00000000-0010-0000-0800-000007000000}" name="6" totalsRowFunction="count" dataDxfId="322" totalsRowDxfId="321"/>
    <tableColumn id="8" xr3:uid="{00000000-0010-0000-0800-000008000000}" name="7" totalsRowFunction="count" dataDxfId="320" totalsRowDxfId="319"/>
    <tableColumn id="9" xr3:uid="{00000000-0010-0000-0800-000009000000}" name="8" totalsRowFunction="count" dataDxfId="318" totalsRowDxfId="317"/>
    <tableColumn id="10" xr3:uid="{00000000-0010-0000-0800-00000A000000}" name="9" totalsRowFunction="count" dataDxfId="316" totalsRowDxfId="315"/>
    <tableColumn id="11" xr3:uid="{00000000-0010-0000-0800-00000B000000}" name="10" totalsRowFunction="count" dataDxfId="314" totalsRowDxfId="313"/>
    <tableColumn id="12" xr3:uid="{00000000-0010-0000-0800-00000C000000}" name="11" totalsRowFunction="count" dataDxfId="312" totalsRowDxfId="311"/>
    <tableColumn id="13" xr3:uid="{00000000-0010-0000-0800-00000D000000}" name="12" totalsRowFunction="count" dataDxfId="310" totalsRowDxfId="309"/>
    <tableColumn id="14" xr3:uid="{00000000-0010-0000-0800-00000E000000}" name="13" totalsRowFunction="count" dataDxfId="308" totalsRowDxfId="307"/>
    <tableColumn id="15" xr3:uid="{00000000-0010-0000-0800-00000F000000}" name="14" totalsRowFunction="count" dataDxfId="306" totalsRowDxfId="305"/>
    <tableColumn id="16" xr3:uid="{00000000-0010-0000-0800-000010000000}" name="15" totalsRowFunction="count" dataDxfId="304" totalsRowDxfId="303"/>
    <tableColumn id="17" xr3:uid="{00000000-0010-0000-0800-000011000000}" name="16" totalsRowFunction="count" dataDxfId="302" totalsRowDxfId="301"/>
    <tableColumn id="18" xr3:uid="{00000000-0010-0000-0800-000012000000}" name="17" totalsRowFunction="count" dataDxfId="300" totalsRowDxfId="299"/>
    <tableColumn id="19" xr3:uid="{00000000-0010-0000-0800-000013000000}" name="18" totalsRowFunction="count" dataDxfId="298" totalsRowDxfId="297"/>
    <tableColumn id="20" xr3:uid="{00000000-0010-0000-0800-000014000000}" name="19" totalsRowFunction="count" dataDxfId="296" totalsRowDxfId="295"/>
    <tableColumn id="21" xr3:uid="{00000000-0010-0000-0800-000015000000}" name="20" totalsRowFunction="count" dataDxfId="294" totalsRowDxfId="293"/>
    <tableColumn id="22" xr3:uid="{00000000-0010-0000-0800-000016000000}" name="21" totalsRowFunction="count" dataDxfId="292" totalsRowDxfId="291"/>
    <tableColumn id="23" xr3:uid="{00000000-0010-0000-0800-000017000000}" name="22" totalsRowFunction="count" dataDxfId="290" totalsRowDxfId="289"/>
    <tableColumn id="24" xr3:uid="{00000000-0010-0000-0800-000018000000}" name="23" totalsRowFunction="count" dataDxfId="288" totalsRowDxfId="287"/>
    <tableColumn id="25" xr3:uid="{00000000-0010-0000-0800-000019000000}" name="24" totalsRowFunction="count" dataDxfId="286" totalsRowDxfId="285"/>
    <tableColumn id="26" xr3:uid="{00000000-0010-0000-0800-00001A000000}" name="25" totalsRowFunction="count" dataDxfId="284" totalsRowDxfId="283"/>
    <tableColumn id="27" xr3:uid="{00000000-0010-0000-0800-00001B000000}" name="26" totalsRowFunction="count" dataDxfId="282" totalsRowDxfId="281"/>
    <tableColumn id="28" xr3:uid="{00000000-0010-0000-0800-00001C000000}" name="27" totalsRowFunction="count" dataDxfId="280" totalsRowDxfId="279"/>
    <tableColumn id="29" xr3:uid="{00000000-0010-0000-0800-00001D000000}" name="28" totalsRowFunction="count" dataDxfId="278" totalsRowDxfId="277"/>
    <tableColumn id="30" xr3:uid="{00000000-0010-0000-0800-00001E000000}" name="29" totalsRowFunction="count" dataDxfId="276" totalsRowDxfId="275"/>
    <tableColumn id="31" xr3:uid="{00000000-0010-0000-0800-00001F000000}" name="30" totalsRowFunction="count" dataDxfId="274" totalsRowDxfId="273"/>
    <tableColumn id="32" xr3:uid="{00000000-0010-0000-0800-000020000000}" name=" " totalsRowFunction="count" dataDxfId="272" totalsRowDxfId="271"/>
    <tableColumn id="33" xr3:uid="{00000000-0010-0000-0800-000021000000}" name="Total zile" totalsRowFunction="sum" dataDxfId="270" totalsRowDxfId="269">
      <calculatedColumnFormula>COUNTA(Septembrie[[#This Row],[1]:[30]])</calculatedColumnFormula>
    </tableColumn>
  </tableColumns>
  <tableStyleInfo name="Tabelul absențelor angajaților" showFirstColumn="1" showLastColumn="1" showRowStripes="1" showColumnStripes="0"/>
  <extLst>
    <ext xmlns:x14="http://schemas.microsoft.com/office/spreadsheetml/2009/9/main" uri="{504A1905-F514-4f6f-8877-14C23A59335A}">
      <x14:table altTextSummary="Furnizați numele angajaților și datele absenței. Înregistrați tipului de absență pentru fiecare tastă din rândul 12: V=vacanta, M=medical, P=personal și doi substituenți pentru intrările particularizate"/>
    </ext>
  </extLst>
</table>
</file>

<file path=xl/theme/theme1.xml><?xml version="1.0" encoding="utf-8"?>
<a:theme xmlns:a="http://schemas.openxmlformats.org/drawingml/2006/main" name="Office Theme">
  <a:themeElements>
    <a:clrScheme name="Employee Absens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AH12"/>
  <sheetViews>
    <sheetView showGridLines="0" tabSelected="1" zoomScaleNormal="100" workbookViewId="0"/>
  </sheetViews>
  <sheetFormatPr defaultColWidth="9.140625"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row>
    <row r="4" spans="2:34" ht="30" customHeight="1" x14ac:dyDescent="0.25">
      <c r="B4" s="12" t="s">
        <v>51</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TEXT(WEEKDAY(DATE(CalendarYear,2,1),1),"aaa")</f>
        <v>vin</v>
      </c>
      <c r="D5" s="2" t="str">
        <f>TEXT(WEEKDAY(DATE(CalendarYear,2,2),1),"aaa")</f>
        <v>sâm</v>
      </c>
      <c r="E5" s="2" t="str">
        <f>TEXT(WEEKDAY(DATE(CalendarYear,2,3),1),"aaa")</f>
        <v>dum</v>
      </c>
      <c r="F5" s="2" t="str">
        <f>TEXT(WEEKDAY(DATE(CalendarYear,2,4),1),"aaa")</f>
        <v>lun</v>
      </c>
      <c r="G5" s="2" t="str">
        <f>TEXT(WEEKDAY(DATE(CalendarYear,2,5),1),"aaa")</f>
        <v>mar</v>
      </c>
      <c r="H5" s="2" t="str">
        <f>TEXT(WEEKDAY(DATE(CalendarYear,2,6),1),"aaa")</f>
        <v>mie</v>
      </c>
      <c r="I5" s="2" t="str">
        <f>TEXT(WEEKDAY(DATE(CalendarYear,2,7),1),"aaa")</f>
        <v>joi</v>
      </c>
      <c r="J5" s="2" t="str">
        <f>TEXT(WEEKDAY(DATE(CalendarYear,2,8),1),"aaa")</f>
        <v>vin</v>
      </c>
      <c r="K5" s="2" t="str">
        <f>TEXT(WEEKDAY(DATE(CalendarYear,2,9),1),"aaa")</f>
        <v>sâm</v>
      </c>
      <c r="L5" s="2" t="str">
        <f>TEXT(WEEKDAY(DATE(CalendarYear,2,10),1),"aaa")</f>
        <v>dum</v>
      </c>
      <c r="M5" s="2" t="str">
        <f>TEXT(WEEKDAY(DATE(CalendarYear,2,11),1),"aaa")</f>
        <v>lun</v>
      </c>
      <c r="N5" s="2" t="str">
        <f>TEXT(WEEKDAY(DATE(CalendarYear,2,12),1),"aaa")</f>
        <v>mar</v>
      </c>
      <c r="O5" s="2" t="str">
        <f>TEXT(WEEKDAY(DATE(CalendarYear,2,13),1),"aaa")</f>
        <v>mie</v>
      </c>
      <c r="P5" s="2" t="str">
        <f>TEXT(WEEKDAY(DATE(CalendarYear,2,14),1),"aaa")</f>
        <v>joi</v>
      </c>
      <c r="Q5" s="2" t="str">
        <f>TEXT(WEEKDAY(DATE(CalendarYear,2,15),1),"aaa")</f>
        <v>vin</v>
      </c>
      <c r="R5" s="2" t="str">
        <f>TEXT(WEEKDAY(DATE(CalendarYear,2,16),1),"aaa")</f>
        <v>sâm</v>
      </c>
      <c r="S5" s="2" t="str">
        <f>TEXT(WEEKDAY(DATE(CalendarYear,2,17),1),"aaa")</f>
        <v>dum</v>
      </c>
      <c r="T5" s="2" t="str">
        <f>TEXT(WEEKDAY(DATE(CalendarYear,2,18),1),"aaa")</f>
        <v>lun</v>
      </c>
      <c r="U5" s="2" t="str">
        <f>TEXT(WEEKDAY(DATE(CalendarYear,2,19),1),"aaa")</f>
        <v>mar</v>
      </c>
      <c r="V5" s="2" t="str">
        <f>TEXT(WEEKDAY(DATE(CalendarYear,2,20),1),"aaa")</f>
        <v>mie</v>
      </c>
      <c r="W5" s="2" t="str">
        <f>TEXT(WEEKDAY(DATE(CalendarYear,2,21),1),"aaa")</f>
        <v>joi</v>
      </c>
      <c r="X5" s="2" t="str">
        <f>TEXT(WEEKDAY(DATE(CalendarYear,2,22),1),"aaa")</f>
        <v>vin</v>
      </c>
      <c r="Y5" s="2" t="str">
        <f>TEXT(WEEKDAY(DATE(CalendarYear,2,23),1),"aaa")</f>
        <v>sâm</v>
      </c>
      <c r="Z5" s="2" t="str">
        <f>TEXT(WEEKDAY(DATE(CalendarYear,2,24),1),"aaa")</f>
        <v>dum</v>
      </c>
      <c r="AA5" s="2" t="str">
        <f>TEXT(WEEKDAY(DATE(CalendarYear,2,25),1),"aaa")</f>
        <v>lun</v>
      </c>
      <c r="AB5" s="2" t="str">
        <f>TEXT(WEEKDAY(DATE(CalendarYear,2,26),1),"aaa")</f>
        <v>mar</v>
      </c>
      <c r="AC5" s="2" t="str">
        <f>TEXT(WEEKDAY(DATE(CalendarYear,2,27),1),"aaa")</f>
        <v>mie</v>
      </c>
      <c r="AD5" s="2" t="str">
        <f>TEXT(WEEKDAY(DATE(CalendarYear,2,28),1),"aaa")</f>
        <v>joi</v>
      </c>
      <c r="AE5" s="2" t="str">
        <f>TEXT(WEEKDAY(DATE(CalendarYear,2,29),1),"aaa")</f>
        <v>vin</v>
      </c>
      <c r="AF5" s="2"/>
      <c r="AG5" s="2"/>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52</v>
      </c>
      <c r="AG6" s="3" t="s">
        <v>53</v>
      </c>
      <c r="AH6" s="16" t="s">
        <v>50</v>
      </c>
    </row>
    <row r="7" spans="2:34" ht="30" customHeight="1" x14ac:dyDescent="0.25">
      <c r="B7" s="17" t="s">
        <v>4</v>
      </c>
      <c r="C7" s="3"/>
      <c r="D7" s="3"/>
      <c r="E7" s="3" t="s">
        <v>9</v>
      </c>
      <c r="F7" s="3" t="s">
        <v>9</v>
      </c>
      <c r="G7" s="3" t="s">
        <v>9</v>
      </c>
      <c r="H7" s="3" t="s">
        <v>9</v>
      </c>
      <c r="I7" s="3"/>
      <c r="J7" s="3"/>
      <c r="K7" s="3"/>
      <c r="L7" s="3"/>
      <c r="M7" s="3"/>
      <c r="N7" s="3"/>
      <c r="O7" s="3" t="s">
        <v>9</v>
      </c>
      <c r="P7" s="3"/>
      <c r="Q7" s="3"/>
      <c r="R7" s="3"/>
      <c r="S7" s="3"/>
      <c r="T7" s="3"/>
      <c r="U7" s="3"/>
      <c r="V7" s="3"/>
      <c r="W7" s="3"/>
      <c r="X7" s="3"/>
      <c r="Y7" s="3"/>
      <c r="Z7" s="3"/>
      <c r="AA7" s="3"/>
      <c r="AB7" s="3"/>
      <c r="AC7" s="3"/>
      <c r="AD7" s="3"/>
      <c r="AE7" s="3"/>
      <c r="AF7" s="3"/>
      <c r="AG7" s="3"/>
      <c r="AH7" s="10">
        <f>COUNTA(Februarie[[#This Row],[1]:[29]])</f>
        <v>5</v>
      </c>
    </row>
    <row r="8" spans="2:34" ht="30" customHeight="1" x14ac:dyDescent="0.25">
      <c r="B8" s="17" t="s">
        <v>5</v>
      </c>
      <c r="C8" s="3"/>
      <c r="D8" s="3"/>
      <c r="E8" s="3"/>
      <c r="F8" s="3"/>
      <c r="G8" s="3" t="s">
        <v>17</v>
      </c>
      <c r="H8" s="3" t="s">
        <v>17</v>
      </c>
      <c r="I8" s="3"/>
      <c r="J8" s="3"/>
      <c r="K8" s="3"/>
      <c r="L8" s="3"/>
      <c r="M8" s="3" t="s">
        <v>15</v>
      </c>
      <c r="N8" s="3"/>
      <c r="O8" s="3"/>
      <c r="P8" s="3"/>
      <c r="Q8" s="3"/>
      <c r="R8" s="3"/>
      <c r="S8" s="3"/>
      <c r="T8" s="3"/>
      <c r="U8" s="3"/>
      <c r="V8" s="3" t="s">
        <v>17</v>
      </c>
      <c r="W8" s="3"/>
      <c r="X8" s="3"/>
      <c r="Y8" s="3"/>
      <c r="Z8" s="3"/>
      <c r="AA8" s="3" t="s">
        <v>9</v>
      </c>
      <c r="AB8" s="3" t="s">
        <v>9</v>
      </c>
      <c r="AC8" s="3" t="s">
        <v>9</v>
      </c>
      <c r="AD8" s="3"/>
      <c r="AE8" s="3"/>
      <c r="AF8" s="3"/>
      <c r="AG8" s="3"/>
      <c r="AH8" s="10">
        <f>COUNTA(Februarie[[#This Row],[1]:[29]])</f>
        <v>7</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COUNTA(Februarie[[#This Row],[1]:[29]])</f>
        <v>0</v>
      </c>
    </row>
    <row r="10" spans="2:34" ht="30" customHeight="1" x14ac:dyDescent="0.25">
      <c r="B10" s="17" t="s">
        <v>7</v>
      </c>
      <c r="C10" s="3"/>
      <c r="D10" s="3"/>
      <c r="E10" s="3" t="s">
        <v>17</v>
      </c>
      <c r="F10" s="3"/>
      <c r="G10" s="3"/>
      <c r="H10" s="3"/>
      <c r="I10" s="3"/>
      <c r="J10" s="3"/>
      <c r="K10" s="3"/>
      <c r="L10" s="3"/>
      <c r="M10" s="3"/>
      <c r="N10" s="3"/>
      <c r="O10" s="3"/>
      <c r="P10" s="3" t="s">
        <v>17</v>
      </c>
      <c r="Q10" s="3"/>
      <c r="R10" s="3"/>
      <c r="S10" s="3"/>
      <c r="T10" s="3" t="s">
        <v>15</v>
      </c>
      <c r="U10" s="3"/>
      <c r="V10" s="3"/>
      <c r="W10" s="3"/>
      <c r="X10" s="3"/>
      <c r="Y10" s="3"/>
      <c r="Z10" s="3"/>
      <c r="AA10" s="3"/>
      <c r="AB10" s="3"/>
      <c r="AC10" s="3"/>
      <c r="AD10" s="3" t="s">
        <v>17</v>
      </c>
      <c r="AE10" s="3"/>
      <c r="AF10" s="3"/>
      <c r="AG10" s="3"/>
      <c r="AH10" s="10">
        <f>COUNTA(Februarie[[#This Row],[1]:[29]])</f>
        <v>4</v>
      </c>
    </row>
    <row r="11" spans="2:34" ht="30" customHeight="1" x14ac:dyDescent="0.25">
      <c r="B11" s="17" t="s">
        <v>8</v>
      </c>
      <c r="C11" s="3"/>
      <c r="D11" s="3"/>
      <c r="E11" s="3"/>
      <c r="F11" s="3"/>
      <c r="G11" s="3"/>
      <c r="H11" s="3"/>
      <c r="I11" s="3"/>
      <c r="J11" s="3" t="s">
        <v>9</v>
      </c>
      <c r="K11" s="3" t="s">
        <v>9</v>
      </c>
      <c r="L11" s="3" t="s">
        <v>9</v>
      </c>
      <c r="M11" s="3" t="s">
        <v>9</v>
      </c>
      <c r="N11" s="3"/>
      <c r="O11" s="3"/>
      <c r="P11" s="3"/>
      <c r="Q11" s="3"/>
      <c r="R11" s="3"/>
      <c r="S11" s="3"/>
      <c r="T11" s="3"/>
      <c r="U11" s="3"/>
      <c r="V11" s="3"/>
      <c r="W11" s="3"/>
      <c r="X11" s="3"/>
      <c r="Y11" s="3"/>
      <c r="Z11" s="3" t="s">
        <v>17</v>
      </c>
      <c r="AA11" s="3"/>
      <c r="AB11" s="3"/>
      <c r="AC11" s="3"/>
      <c r="AD11" s="3"/>
      <c r="AE11" s="3"/>
      <c r="AF11" s="3"/>
      <c r="AG11" s="3"/>
      <c r="AH11" s="10">
        <f>COUNTA(Februarie[[#This Row],[1]:[29]])</f>
        <v>5</v>
      </c>
    </row>
    <row r="12" spans="2:34" ht="30" customHeight="1" x14ac:dyDescent="0.25">
      <c r="B12" s="21" t="str">
        <f>NumeLună&amp;" Total"</f>
        <v>Februarie Total</v>
      </c>
      <c r="C12" s="13">
        <f>SUBTOTAL(103,Februarie[1])</f>
        <v>0</v>
      </c>
      <c r="D12" s="13">
        <f>SUBTOTAL(103,Februarie[2])</f>
        <v>0</v>
      </c>
      <c r="E12" s="13">
        <f>SUBTOTAL(103,Februarie[3])</f>
        <v>2</v>
      </c>
      <c r="F12" s="13">
        <f>SUBTOTAL(103,Februarie[4])</f>
        <v>1</v>
      </c>
      <c r="G12" s="13">
        <f>SUBTOTAL(103,Februarie[5])</f>
        <v>2</v>
      </c>
      <c r="H12" s="13">
        <f>SUBTOTAL(103,Februarie[6])</f>
        <v>2</v>
      </c>
      <c r="I12" s="13">
        <f>SUBTOTAL(103,Februarie[7])</f>
        <v>0</v>
      </c>
      <c r="J12" s="13">
        <f>SUBTOTAL(103,Februarie[8])</f>
        <v>1</v>
      </c>
      <c r="K12" s="13">
        <f>SUBTOTAL(103,Februarie[9])</f>
        <v>1</v>
      </c>
      <c r="L12" s="13">
        <f>SUBTOTAL(103,Februarie[10])</f>
        <v>1</v>
      </c>
      <c r="M12" s="13">
        <f>SUBTOTAL(103,Februarie[11])</f>
        <v>2</v>
      </c>
      <c r="N12" s="13">
        <f>SUBTOTAL(103,Februarie[12])</f>
        <v>0</v>
      </c>
      <c r="O12" s="13">
        <f>SUBTOTAL(103,Februarie[13])</f>
        <v>1</v>
      </c>
      <c r="P12" s="13">
        <f>SUBTOTAL(103,Februarie[14])</f>
        <v>1</v>
      </c>
      <c r="Q12" s="13">
        <f>SUBTOTAL(103,Februarie[15])</f>
        <v>0</v>
      </c>
      <c r="R12" s="13">
        <f>SUBTOTAL(103,Februarie[16])</f>
        <v>0</v>
      </c>
      <c r="S12" s="13">
        <f>SUBTOTAL(103,Februarie[17])</f>
        <v>0</v>
      </c>
      <c r="T12" s="13">
        <f>SUBTOTAL(103,Februarie[18])</f>
        <v>1</v>
      </c>
      <c r="U12" s="13">
        <f>SUBTOTAL(103,Februarie[19])</f>
        <v>0</v>
      </c>
      <c r="V12" s="13">
        <f>SUBTOTAL(103,Februarie[20])</f>
        <v>1</v>
      </c>
      <c r="W12" s="13">
        <f>SUBTOTAL(103,Februarie[21])</f>
        <v>0</v>
      </c>
      <c r="X12" s="13">
        <f>SUBTOTAL(103,Februarie[22])</f>
        <v>0</v>
      </c>
      <c r="Y12" s="13">
        <f>SUBTOTAL(103,Februarie[23])</f>
        <v>0</v>
      </c>
      <c r="Z12" s="13">
        <f>SUBTOTAL(103,Februarie[24])</f>
        <v>1</v>
      </c>
      <c r="AA12" s="13">
        <f>SUBTOTAL(103,Februarie[25])</f>
        <v>1</v>
      </c>
      <c r="AB12" s="13">
        <f>SUBTOTAL(103,Februarie[26])</f>
        <v>1</v>
      </c>
      <c r="AC12" s="13">
        <f>SUBTOTAL(103,Februarie[27])</f>
        <v>1</v>
      </c>
      <c r="AD12" s="13">
        <f>SUBTOTAL(103,Februarie[28])</f>
        <v>1</v>
      </c>
      <c r="AE12" s="13">
        <f>SUBTOTAL(103,Februarie[29])</f>
        <v>0</v>
      </c>
      <c r="AF12" s="13"/>
      <c r="AG12" s="13"/>
      <c r="AH12" s="13">
        <f>SUBTOTAL(109,Februarie[Total zile])</f>
        <v>21</v>
      </c>
    </row>
  </sheetData>
  <mergeCells count="6">
    <mergeCell ref="C4:AG4"/>
    <mergeCell ref="D2:F2"/>
    <mergeCell ref="H2:J2"/>
    <mergeCell ref="L2:M2"/>
    <mergeCell ref="O2:Q2"/>
    <mergeCell ref="S2:U2"/>
  </mergeCells>
  <conditionalFormatting sqref="AE6">
    <cfRule type="expression" dxfId="56" priority="16">
      <formula>MONTH(DATE(CalendarYear,2,29))&lt;&gt;2</formula>
    </cfRule>
  </conditionalFormatting>
  <conditionalFormatting sqref="AE5">
    <cfRule type="expression" dxfId="55" priority="15">
      <formula>MONTH(DATE(CalendarYear,2,29))&lt;&gt;2</formula>
    </cfRule>
  </conditionalFormatting>
  <conditionalFormatting sqref="C7:AG11">
    <cfRule type="expression" priority="2" stopIfTrue="1">
      <formula>C7=""</formula>
    </cfRule>
    <cfRule type="expression" dxfId="54" priority="3" stopIfTrue="1">
      <formula>C7=CheieParticularizată2</formula>
    </cfRule>
  </conditionalFormatting>
  <conditionalFormatting sqref="C7:AG11">
    <cfRule type="expression" dxfId="53" priority="5" stopIfTrue="1">
      <formula>C7=CheieParticularizată1</formula>
    </cfRule>
    <cfRule type="expression" dxfId="52" priority="6" stopIfTrue="1">
      <formula>C7=CheieConcediuMedical</formula>
    </cfRule>
    <cfRule type="expression" dxfId="51" priority="7" stopIfTrue="1">
      <formula>C7=CheiePersonal</formula>
    </cfRule>
    <cfRule type="expression" dxfId="50" priority="8" stopIfTrue="1">
      <formula>C7=CheieVacanță</formula>
    </cfRule>
  </conditionalFormatting>
  <conditionalFormatting sqref="AH7:AH11">
    <cfRule type="dataBar" priority="153">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dataValidations disablePrompts="1" xWindow="232" yWindow="365" count="14">
    <dataValidation allowBlank="1" showInputMessage="1" showErrorMessage="1" prompt="Anul actualizat automat pe baza anului introdus în foaia de lucru Ianuarie" sqref="AH4" xr:uid="{00000000-0002-0000-0100-000000000000}"/>
    <dataValidation allowBlank="1" showInputMessage="1" showErrorMessage="1" prompt="Urmăriți absențele din luna februarie în această foaie de lucru" sqref="A1" xr:uid="{00000000-0002-0000-0100-000001000000}"/>
    <dataValidation allowBlank="1" showInputMessage="1" showErrorMessage="1" prompt="În această coloană, calculează automat numărul total de zile în care un angajat a fost absent în luna respectivă" sqref="AH6" xr:uid="{00000000-0002-0000-0100-000002000000}"/>
    <dataValidation allowBlank="1" showInputMessage="1" showErrorMessage="1" prompt="Titlul actualizat automat se află în această celulă. Pentru a modifica titlul, actualizați B1 în foaia de lucru Ianuarie" sqref="B1" xr:uid="{00000000-0002-0000-0100-000003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100-000004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100-000005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100-000006000000}"/>
    <dataValidation allowBlank="1" showInputMessage="1" showErrorMessage="1" prompt="Introduceți o etichetă pentru a descrie cheia particularizată din partea stângă" sqref="O2:Q2 S2:U2" xr:uid="{00000000-0002-0000-0100-000007000000}"/>
    <dataValidation allowBlank="1" showInputMessage="1" showErrorMessage="1" prompt="Introduceți o literă și particularizați eticheta din dreapta pentru a adăuga un alt element cheie" sqref="N2 R2" xr:uid="{00000000-0002-0000-0100-000008000000}"/>
    <dataValidation allowBlank="1" showInputMessage="1" showErrorMessage="1" prompt="Litera „M” indică o absență din motive medicale" sqref="K2" xr:uid="{00000000-0002-0000-0100-000009000000}"/>
    <dataValidation allowBlank="1" showInputMessage="1" showErrorMessage="1" prompt="Litera „P” indică o absență din motive personale" sqref="G2" xr:uid="{00000000-0002-0000-0100-00000A000000}"/>
    <dataValidation allowBlank="1" showInputMessage="1" showErrorMessage="1" prompt="Litera „V” indică o absență pe motiv de vacanță" sqref="C2" xr:uid="{00000000-0002-0000-0100-00000B000000}"/>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100-00000C000000}"/>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1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disablePrompts="1" xWindow="232" yWindow="365" count="1">
        <x14:dataValidation type="list" allowBlank="1" showInputMessage="1" showErrorMessage="1" xr:uid="{00000000-0002-0000-0100-00000E000000}">
          <x14:formula1>
            <xm:f>'Nume angajați'!$B$4:$B$8</xm:f>
          </x14:formula1>
          <xm:sqref>B7:B11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s="14"/>
    </row>
    <row r="4" spans="2:34" ht="30" customHeight="1" x14ac:dyDescent="0.25">
      <c r="B4" s="12" t="s">
        <v>61</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TEXT(WEEKDAY(DATE(CalendarYear,10,1),1),"aaa")</f>
        <v>mar</v>
      </c>
      <c r="D5" s="2" t="str">
        <f>TEXT(WEEKDAY(DATE(CalendarYear,10,2),1),"aaa")</f>
        <v>mie</v>
      </c>
      <c r="E5" s="2" t="str">
        <f>TEXT(WEEKDAY(DATE(CalendarYear,10,3),1),"aaa")</f>
        <v>joi</v>
      </c>
      <c r="F5" s="2" t="str">
        <f>TEXT(WEEKDAY(DATE(CalendarYear,10,4),1),"aaa")</f>
        <v>vin</v>
      </c>
      <c r="G5" s="2" t="str">
        <f>TEXT(WEEKDAY(DATE(CalendarYear,10,5),1),"aaa")</f>
        <v>sâm</v>
      </c>
      <c r="H5" s="2" t="str">
        <f>TEXT(WEEKDAY(DATE(CalendarYear,10,6),1),"aaa")</f>
        <v>dum</v>
      </c>
      <c r="I5" s="2" t="str">
        <f>TEXT(WEEKDAY(DATE(CalendarYear,10,7),1),"aaa")</f>
        <v>lun</v>
      </c>
      <c r="J5" s="2" t="str">
        <f>TEXT(WEEKDAY(DATE(CalendarYear,10,8),1),"aaa")</f>
        <v>mar</v>
      </c>
      <c r="K5" s="2" t="str">
        <f>TEXT(WEEKDAY(DATE(CalendarYear,10,9),1),"aaa")</f>
        <v>mie</v>
      </c>
      <c r="L5" s="2" t="str">
        <f>TEXT(WEEKDAY(DATE(CalendarYear,10,10),1),"aaa")</f>
        <v>joi</v>
      </c>
      <c r="M5" s="2" t="str">
        <f>TEXT(WEEKDAY(DATE(CalendarYear,10,11),1),"aaa")</f>
        <v>vin</v>
      </c>
      <c r="N5" s="2" t="str">
        <f>TEXT(WEEKDAY(DATE(CalendarYear,10,12),1),"aaa")</f>
        <v>sâm</v>
      </c>
      <c r="O5" s="2" t="str">
        <f>TEXT(WEEKDAY(DATE(CalendarYear,10,13),1),"aaa")</f>
        <v>dum</v>
      </c>
      <c r="P5" s="2" t="str">
        <f>TEXT(WEEKDAY(DATE(CalendarYear,10,14),1),"aaa")</f>
        <v>lun</v>
      </c>
      <c r="Q5" s="2" t="str">
        <f>TEXT(WEEKDAY(DATE(CalendarYear,10,15),1),"aaa")</f>
        <v>mar</v>
      </c>
      <c r="R5" s="2" t="str">
        <f>TEXT(WEEKDAY(DATE(CalendarYear,10,16),1),"aaa")</f>
        <v>mie</v>
      </c>
      <c r="S5" s="2" t="str">
        <f>TEXT(WEEKDAY(DATE(CalendarYear,10,17),1),"aaa")</f>
        <v>joi</v>
      </c>
      <c r="T5" s="2" t="str">
        <f>TEXT(WEEKDAY(DATE(CalendarYear,10,18),1),"aaa")</f>
        <v>vin</v>
      </c>
      <c r="U5" s="2" t="str">
        <f>TEXT(WEEKDAY(DATE(CalendarYear,10,19),1),"aaa")</f>
        <v>sâm</v>
      </c>
      <c r="V5" s="2" t="str">
        <f>TEXT(WEEKDAY(DATE(CalendarYear,10,20),1),"aaa")</f>
        <v>dum</v>
      </c>
      <c r="W5" s="2" t="str">
        <f>TEXT(WEEKDAY(DATE(CalendarYear,10,21),1),"aaa")</f>
        <v>lun</v>
      </c>
      <c r="X5" s="2" t="str">
        <f>TEXT(WEEKDAY(DATE(CalendarYear,10,22),1),"aaa")</f>
        <v>mar</v>
      </c>
      <c r="Y5" s="2" t="str">
        <f>TEXT(WEEKDAY(DATE(CalendarYear,10,23),1),"aaa")</f>
        <v>mie</v>
      </c>
      <c r="Z5" s="2" t="str">
        <f>TEXT(WEEKDAY(DATE(CalendarYear,10,24),1),"aaa")</f>
        <v>joi</v>
      </c>
      <c r="AA5" s="2" t="str">
        <f>TEXT(WEEKDAY(DATE(CalendarYear,10,25),1),"aaa")</f>
        <v>vin</v>
      </c>
      <c r="AB5" s="2" t="str">
        <f>TEXT(WEEKDAY(DATE(CalendarYear,10,26),1),"aaa")</f>
        <v>sâm</v>
      </c>
      <c r="AC5" s="2" t="str">
        <f>TEXT(WEEKDAY(DATE(CalendarYear,10,27),1),"aaa")</f>
        <v>dum</v>
      </c>
      <c r="AD5" s="2" t="str">
        <f>TEXT(WEEKDAY(DATE(CalendarYear,10,28),1),"aaa")</f>
        <v>lun</v>
      </c>
      <c r="AE5" s="2" t="str">
        <f>TEXT(WEEKDAY(DATE(CalendarYear,10,29),1),"aaa")</f>
        <v>mar</v>
      </c>
      <c r="AF5" s="2" t="str">
        <f>TEXT(WEEKDAY(DATE(CalendarYear,10,30),1),"aaa")</f>
        <v>mie</v>
      </c>
      <c r="AG5" s="2" t="str">
        <f>TEXT(WEEKDAY(DATE(CalendarYear,10,31),1),"aaa")</f>
        <v>joi</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COUNTA(Octombrie[[#This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COUNTA(Octombrie[[#This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COUNTA(Octombrie[[#This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COUNTA(Octombrie[[#This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COUNTA(Octombrie[[#This Row],[1]:[31]])</f>
        <v>0</v>
      </c>
    </row>
    <row r="12" spans="2:34" ht="30" customHeight="1" x14ac:dyDescent="0.25">
      <c r="B12" s="21" t="str">
        <f>NumeLună&amp;" Total"</f>
        <v>Octombrie Total</v>
      </c>
      <c r="C12" s="13">
        <f>SUBTOTAL(103,Octombrie[1])</f>
        <v>0</v>
      </c>
      <c r="D12" s="13">
        <f>SUBTOTAL(103,Octombrie[2])</f>
        <v>0</v>
      </c>
      <c r="E12" s="13">
        <f>SUBTOTAL(103,Octombrie[3])</f>
        <v>0</v>
      </c>
      <c r="F12" s="13">
        <f>SUBTOTAL(103,Octombrie[4])</f>
        <v>0</v>
      </c>
      <c r="G12" s="13">
        <f>SUBTOTAL(103,Octombrie[5])</f>
        <v>0</v>
      </c>
      <c r="H12" s="13">
        <f>SUBTOTAL(103,Octombrie[6])</f>
        <v>0</v>
      </c>
      <c r="I12" s="13">
        <f>SUBTOTAL(103,Octombrie[7])</f>
        <v>0</v>
      </c>
      <c r="J12" s="13">
        <f>SUBTOTAL(103,Octombrie[8])</f>
        <v>0</v>
      </c>
      <c r="K12" s="13">
        <f>SUBTOTAL(103,Octombrie[9])</f>
        <v>0</v>
      </c>
      <c r="L12" s="13">
        <f>SUBTOTAL(103,Octombrie[10])</f>
        <v>0</v>
      </c>
      <c r="M12" s="13">
        <f>SUBTOTAL(103,Octombrie[11])</f>
        <v>0</v>
      </c>
      <c r="N12" s="13">
        <f>SUBTOTAL(103,Octombrie[12])</f>
        <v>0</v>
      </c>
      <c r="O12" s="13">
        <f>SUBTOTAL(103,Octombrie[13])</f>
        <v>0</v>
      </c>
      <c r="P12" s="13">
        <f>SUBTOTAL(103,Octombrie[14])</f>
        <v>0</v>
      </c>
      <c r="Q12" s="13">
        <f>SUBTOTAL(103,Octombrie[15])</f>
        <v>0</v>
      </c>
      <c r="R12" s="13">
        <f>SUBTOTAL(103,Octombrie[16])</f>
        <v>0</v>
      </c>
      <c r="S12" s="13">
        <f>SUBTOTAL(103,Octombrie[17])</f>
        <v>0</v>
      </c>
      <c r="T12" s="13">
        <f>SUBTOTAL(103,Octombrie[18])</f>
        <v>0</v>
      </c>
      <c r="U12" s="13">
        <f>SUBTOTAL(103,Octombrie[19])</f>
        <v>0</v>
      </c>
      <c r="V12" s="13">
        <f>SUBTOTAL(103,Octombrie[20])</f>
        <v>0</v>
      </c>
      <c r="W12" s="13">
        <f>SUBTOTAL(103,Octombrie[21])</f>
        <v>0</v>
      </c>
      <c r="X12" s="13">
        <f>SUBTOTAL(103,Octombrie[22])</f>
        <v>0</v>
      </c>
      <c r="Y12" s="13">
        <f>SUBTOTAL(103,Octombrie[23])</f>
        <v>0</v>
      </c>
      <c r="Z12" s="13">
        <f>SUBTOTAL(103,Octombrie[24])</f>
        <v>0</v>
      </c>
      <c r="AA12" s="13">
        <f>SUBTOTAL(103,Octombrie[25])</f>
        <v>0</v>
      </c>
      <c r="AB12" s="13">
        <f>SUBTOTAL(103,Octombrie[26])</f>
        <v>0</v>
      </c>
      <c r="AC12" s="13">
        <f>SUBTOTAL(103,Octombrie[27])</f>
        <v>0</v>
      </c>
      <c r="AD12" s="13">
        <f>SUBTOTAL(103,Octombrie[28])</f>
        <v>0</v>
      </c>
      <c r="AE12" s="13">
        <f>SUBTOTAL(103,Octombrie[29])</f>
        <v>0</v>
      </c>
      <c r="AF12" s="13">
        <f>SUBTOTAL(103,Octombrie[30])</f>
        <v>0</v>
      </c>
      <c r="AG12" s="13">
        <f>SUBTOTAL(103,Octombrie[31])</f>
        <v>0</v>
      </c>
      <c r="AH12" s="13">
        <f>SUBTOTAL(109,Octombrie[Total zile])</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14" priority="2" stopIfTrue="1">
      <formula>C7=CheieParticularizată2</formula>
    </cfRule>
    <cfRule type="expression" dxfId="13" priority="3" stopIfTrue="1">
      <formula>C7=CheieParticularizată1</formula>
    </cfRule>
    <cfRule type="expression" dxfId="12" priority="4" stopIfTrue="1">
      <formula>C7=CheieConcediuMedical</formula>
    </cfRule>
    <cfRule type="expression" dxfId="11" priority="5" stopIfTrue="1">
      <formula>C7=CheiePersonal</formula>
    </cfRule>
    <cfRule type="expression" dxfId="10" priority="6" stopIfTrue="1">
      <formula>C7=CheieVacanță</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{F32A08EA-50E8-4B5F-AB1F-5A7739FBC16C}</x14:id>
        </ext>
      </extLst>
    </cfRule>
  </conditionalFormatting>
  <dataValidations count="14">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900-000000000000}"/>
    <dataValidation allowBlank="1" showInputMessage="1" showErrorMessage="1" prompt="Anul actualizat automat pe baza anului introdus în foaia de lucru Ianuarie" sqref="AH4" xr:uid="{00000000-0002-0000-0900-000001000000}"/>
    <dataValidation allowBlank="1" showInputMessage="1" showErrorMessage="1" prompt="În această coloană, calculează automat numărul total de zile în care un angajat a fost absent în luna respectivă" sqref="AH6" xr:uid="{00000000-0002-0000-0900-000002000000}"/>
    <dataValidation allowBlank="1" showInputMessage="1" showErrorMessage="1" prompt="Urmăriți absențele din luna octombrie în această foaie de lucru" sqref="A1" xr:uid="{00000000-0002-0000-0900-000003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900-000004000000}"/>
    <dataValidation allowBlank="1" showInputMessage="1" showErrorMessage="1" prompt="Titlul actualizat automat se află în această celulă. Pentru a modifica titlul, actualizați B1 în foaia de lucru Ianuarie" sqref="B1" xr:uid="{00000000-0002-0000-0900-000005000000}"/>
    <dataValidation allowBlank="1" showInputMessage="1" showErrorMessage="1" prompt="Litera „V” indică o absență pe motiv de vacanță" sqref="C2" xr:uid="{00000000-0002-0000-0900-000006000000}"/>
    <dataValidation allowBlank="1" showInputMessage="1" showErrorMessage="1" prompt="Litera „P” indică o absență din motive personale" sqref="G2" xr:uid="{00000000-0002-0000-0900-000007000000}"/>
    <dataValidation allowBlank="1" showInputMessage="1" showErrorMessage="1" prompt="Litera „M” indică o absență din motive medicale" sqref="K2" xr:uid="{00000000-0002-0000-0900-000008000000}"/>
    <dataValidation allowBlank="1" showInputMessage="1" showErrorMessage="1" prompt="Introduceți o literă și particularizați eticheta din dreapta pentru a adăuga un alt element cheie" sqref="N2 R2" xr:uid="{00000000-0002-0000-0900-000009000000}"/>
    <dataValidation allowBlank="1" showInputMessage="1" showErrorMessage="1" prompt="Introduceți o etichetă pentru a descrie cheia particularizată din partea stângă" sqref="O2:Q2 S2:U2" xr:uid="{00000000-0002-0000-0900-00000A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900-00000B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900-00000C000000}"/>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9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32A08EA-50E8-4B5F-AB1F-5A7739FBC16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E000000}">
          <x14:formula1>
            <xm:f>'Nume angajați'!$B$4:$B$8</xm:f>
          </x14:formula1>
          <xm:sqref>B7:B11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s="14"/>
    </row>
    <row r="4" spans="2:34" ht="30" customHeight="1" x14ac:dyDescent="0.25">
      <c r="B4" s="12" t="s">
        <v>62</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TEXT(WEEKDAY(DATE(CalendarYear,11,1),1),"aaa")</f>
        <v>vin</v>
      </c>
      <c r="D5" s="2" t="str">
        <f>TEXT(WEEKDAY(DATE(CalendarYear,11,2),1),"aaa")</f>
        <v>sâm</v>
      </c>
      <c r="E5" s="2" t="str">
        <f>TEXT(WEEKDAY(DATE(CalendarYear,11,3),1),"aaa")</f>
        <v>dum</v>
      </c>
      <c r="F5" s="2" t="str">
        <f>TEXT(WEEKDAY(DATE(CalendarYear,11,4),1),"aaa")</f>
        <v>lun</v>
      </c>
      <c r="G5" s="2" t="str">
        <f>TEXT(WEEKDAY(DATE(CalendarYear,11,5),1),"aaa")</f>
        <v>mar</v>
      </c>
      <c r="H5" s="2" t="str">
        <f>TEXT(WEEKDAY(DATE(CalendarYear,11,6),1),"aaa")</f>
        <v>mie</v>
      </c>
      <c r="I5" s="2" t="str">
        <f>TEXT(WEEKDAY(DATE(CalendarYear,11,7),1),"aaa")</f>
        <v>joi</v>
      </c>
      <c r="J5" s="2" t="str">
        <f>TEXT(WEEKDAY(DATE(CalendarYear,11,8),1),"aaa")</f>
        <v>vin</v>
      </c>
      <c r="K5" s="2" t="str">
        <f>TEXT(WEEKDAY(DATE(CalendarYear,11,9),1),"aaa")</f>
        <v>sâm</v>
      </c>
      <c r="L5" s="2" t="str">
        <f>TEXT(WEEKDAY(DATE(CalendarYear,11,10),1),"aaa")</f>
        <v>dum</v>
      </c>
      <c r="M5" s="2" t="str">
        <f>TEXT(WEEKDAY(DATE(CalendarYear,11,11),1),"aaa")</f>
        <v>lun</v>
      </c>
      <c r="N5" s="2" t="str">
        <f>TEXT(WEEKDAY(DATE(CalendarYear,11,12),1),"aaa")</f>
        <v>mar</v>
      </c>
      <c r="O5" s="2" t="str">
        <f>TEXT(WEEKDAY(DATE(CalendarYear,11,13),1),"aaa")</f>
        <v>mie</v>
      </c>
      <c r="P5" s="2" t="str">
        <f>TEXT(WEEKDAY(DATE(CalendarYear,11,14),1),"aaa")</f>
        <v>joi</v>
      </c>
      <c r="Q5" s="2" t="str">
        <f>TEXT(WEEKDAY(DATE(CalendarYear,11,15),1),"aaa")</f>
        <v>vin</v>
      </c>
      <c r="R5" s="2" t="str">
        <f>TEXT(WEEKDAY(DATE(CalendarYear,11,16),1),"aaa")</f>
        <v>sâm</v>
      </c>
      <c r="S5" s="2" t="str">
        <f>TEXT(WEEKDAY(DATE(CalendarYear,11,17),1),"aaa")</f>
        <v>dum</v>
      </c>
      <c r="T5" s="2" t="str">
        <f>TEXT(WEEKDAY(DATE(CalendarYear,11,18),1),"aaa")</f>
        <v>lun</v>
      </c>
      <c r="U5" s="2" t="str">
        <f>TEXT(WEEKDAY(DATE(CalendarYear,11,19),1),"aaa")</f>
        <v>mar</v>
      </c>
      <c r="V5" s="2" t="str">
        <f>TEXT(WEEKDAY(DATE(CalendarYear,11,20),1),"aaa")</f>
        <v>mie</v>
      </c>
      <c r="W5" s="2" t="str">
        <f>TEXT(WEEKDAY(DATE(CalendarYear,11,21),1),"aaa")</f>
        <v>joi</v>
      </c>
      <c r="X5" s="2" t="str">
        <f>TEXT(WEEKDAY(DATE(CalendarYear,11,22),1),"aaa")</f>
        <v>vin</v>
      </c>
      <c r="Y5" s="2" t="str">
        <f>TEXT(WEEKDAY(DATE(CalendarYear,11,23),1),"aaa")</f>
        <v>sâm</v>
      </c>
      <c r="Z5" s="2" t="str">
        <f>TEXT(WEEKDAY(DATE(CalendarYear,11,24),1),"aaa")</f>
        <v>dum</v>
      </c>
      <c r="AA5" s="2" t="str">
        <f>TEXT(WEEKDAY(DATE(CalendarYear,11,25),1),"aaa")</f>
        <v>lun</v>
      </c>
      <c r="AB5" s="2" t="str">
        <f>TEXT(WEEKDAY(DATE(CalendarYear,11,26),1),"aaa")</f>
        <v>mar</v>
      </c>
      <c r="AC5" s="2" t="str">
        <f>TEXT(WEEKDAY(DATE(CalendarYear,11,27),1),"aaa")</f>
        <v>mie</v>
      </c>
      <c r="AD5" s="2" t="str">
        <f>TEXT(WEEKDAY(DATE(CalendarYear,11,28),1),"aaa")</f>
        <v>joi</v>
      </c>
      <c r="AE5" s="2" t="str">
        <f>TEXT(WEEKDAY(DATE(CalendarYear,11,29),1),"aaa")</f>
        <v>vin</v>
      </c>
      <c r="AF5" s="2" t="str">
        <f>TEXT(WEEKDAY(DATE(CalendarYear,11,30),1),"aaa")</f>
        <v>sâm</v>
      </c>
      <c r="AG5" s="2"/>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52</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COUNTA(Noiembrie[[#This Row],[1]:[30]])</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COUNTA(Noiembrie[[#This Row],[1]:[30]])</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COUNTA(Noiembrie[[#This Row],[1]:[30]])</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COUNTA(Noiembrie[[#This Row],[1]:[30]])</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COUNTA(Noiembrie[[#This Row],[1]:[30]])</f>
        <v>0</v>
      </c>
    </row>
    <row r="12" spans="2:34" ht="30" customHeight="1" x14ac:dyDescent="0.25">
      <c r="B12" s="21" t="str">
        <f>NumeLună&amp;" Total"</f>
        <v>Noiembrie Total</v>
      </c>
      <c r="C12" s="13">
        <f>SUBTOTAL(103,Noiembrie[1])</f>
        <v>0</v>
      </c>
      <c r="D12" s="13">
        <f>SUBTOTAL(103,Noiembrie[2])</f>
        <v>0</v>
      </c>
      <c r="E12" s="13">
        <f>SUBTOTAL(103,Noiembrie[3])</f>
        <v>0</v>
      </c>
      <c r="F12" s="13">
        <f>SUBTOTAL(103,Noiembrie[4])</f>
        <v>0</v>
      </c>
      <c r="G12" s="13">
        <f>SUBTOTAL(103,Noiembrie[5])</f>
        <v>0</v>
      </c>
      <c r="H12" s="13">
        <f>SUBTOTAL(103,Noiembrie[6])</f>
        <v>0</v>
      </c>
      <c r="I12" s="13">
        <f>SUBTOTAL(103,Noiembrie[7])</f>
        <v>0</v>
      </c>
      <c r="J12" s="13">
        <f>SUBTOTAL(103,Noiembrie[8])</f>
        <v>0</v>
      </c>
      <c r="K12" s="13">
        <f>SUBTOTAL(103,Noiembrie[9])</f>
        <v>0</v>
      </c>
      <c r="L12" s="13">
        <f>SUBTOTAL(103,Noiembrie[10])</f>
        <v>0</v>
      </c>
      <c r="M12" s="13">
        <f>SUBTOTAL(103,Noiembrie[11])</f>
        <v>0</v>
      </c>
      <c r="N12" s="13">
        <f>SUBTOTAL(103,Noiembrie[12])</f>
        <v>0</v>
      </c>
      <c r="O12" s="13">
        <f>SUBTOTAL(103,Noiembrie[13])</f>
        <v>0</v>
      </c>
      <c r="P12" s="13">
        <f>SUBTOTAL(103,Noiembrie[14])</f>
        <v>0</v>
      </c>
      <c r="Q12" s="13">
        <f>SUBTOTAL(103,Noiembrie[15])</f>
        <v>0</v>
      </c>
      <c r="R12" s="13">
        <f>SUBTOTAL(103,Noiembrie[16])</f>
        <v>0</v>
      </c>
      <c r="S12" s="13">
        <f>SUBTOTAL(103,Noiembrie[17])</f>
        <v>0</v>
      </c>
      <c r="T12" s="13">
        <f>SUBTOTAL(103,Noiembrie[18])</f>
        <v>0</v>
      </c>
      <c r="U12" s="13">
        <f>SUBTOTAL(103,Noiembrie[19])</f>
        <v>0</v>
      </c>
      <c r="V12" s="13">
        <f>SUBTOTAL(103,Noiembrie[20])</f>
        <v>0</v>
      </c>
      <c r="W12" s="13">
        <f>SUBTOTAL(103,Noiembrie[21])</f>
        <v>0</v>
      </c>
      <c r="X12" s="13">
        <f>SUBTOTAL(103,Noiembrie[22])</f>
        <v>0</v>
      </c>
      <c r="Y12" s="13">
        <f>SUBTOTAL(103,Noiembrie[23])</f>
        <v>0</v>
      </c>
      <c r="Z12" s="13">
        <f>SUBTOTAL(103,Noiembrie[24])</f>
        <v>0</v>
      </c>
      <c r="AA12" s="13">
        <f>SUBTOTAL(103,Noiembrie[25])</f>
        <v>0</v>
      </c>
      <c r="AB12" s="13">
        <f>SUBTOTAL(103,Noiembrie[26])</f>
        <v>0</v>
      </c>
      <c r="AC12" s="13">
        <f>SUBTOTAL(103,Noiembrie[27])</f>
        <v>0</v>
      </c>
      <c r="AD12" s="13">
        <f>SUBTOTAL(103,Noiembrie[28])</f>
        <v>0</v>
      </c>
      <c r="AE12" s="13">
        <f>SUBTOTAL(103,Noiembrie[29])</f>
        <v>0</v>
      </c>
      <c r="AF12" s="13">
        <f>SUBTOTAL(103,Noiembrie[30])</f>
        <v>0</v>
      </c>
      <c r="AG12" s="13">
        <f>SUBTOTAL(103,Noiembrie[[ ]])</f>
        <v>0</v>
      </c>
      <c r="AH12" s="13">
        <f>SUBTOTAL(109,Noiembrie[Total zile])</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9" priority="2" stopIfTrue="1">
      <formula>C7=CheieParticularizată2</formula>
    </cfRule>
    <cfRule type="expression" dxfId="8" priority="3" stopIfTrue="1">
      <formula>C7=CheieParticularizată1</formula>
    </cfRule>
    <cfRule type="expression" dxfId="7" priority="4" stopIfTrue="1">
      <formula>C7=CheieConcediuMedical</formula>
    </cfRule>
    <cfRule type="expression" dxfId="6" priority="5" stopIfTrue="1">
      <formula>C7=CheiePersonal</formula>
    </cfRule>
    <cfRule type="expression" dxfId="5" priority="6" stopIfTrue="1">
      <formula>C7=CheieVacanță</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{27D92E49-5CF1-46DF-AD7A-3A5E92F274F3}</x14:id>
        </ext>
      </extLst>
    </cfRule>
  </conditionalFormatting>
  <dataValidations count="14">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A00-000000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A00-000001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A00-000002000000}"/>
    <dataValidation allowBlank="1" showInputMessage="1" showErrorMessage="1" prompt="Introduceți o etichetă pentru a descrie cheia particularizată din partea stângă" sqref="O2:Q2 S2:U2" xr:uid="{00000000-0002-0000-0A00-000003000000}"/>
    <dataValidation allowBlank="1" showInputMessage="1" showErrorMessage="1" prompt="Introduceți o literă și particularizați eticheta din dreapta pentru a adăuga un alt element cheie" sqref="N2 R2" xr:uid="{00000000-0002-0000-0A00-000004000000}"/>
    <dataValidation allowBlank="1" showInputMessage="1" showErrorMessage="1" prompt="Litera „M” indică o absență din motive medicale" sqref="K2" xr:uid="{00000000-0002-0000-0A00-000005000000}"/>
    <dataValidation allowBlank="1" showInputMessage="1" showErrorMessage="1" prompt="Litera „P” indică o absență din motive personale" sqref="G2" xr:uid="{00000000-0002-0000-0A00-000006000000}"/>
    <dataValidation allowBlank="1" showInputMessage="1" showErrorMessage="1" prompt="Litera „V” indică o absență pe motiv de vacanță" sqref="C2" xr:uid="{00000000-0002-0000-0A00-000007000000}"/>
    <dataValidation allowBlank="1" showInputMessage="1" showErrorMessage="1" prompt="Titlul actualizat automat se află în această celulă. Pentru a modifica titlul, actualizați B1 în foaia de lucru Ianuarie" sqref="B1" xr:uid="{00000000-0002-0000-0A00-000008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A00-000009000000}"/>
    <dataValidation allowBlank="1" showInputMessage="1" showErrorMessage="1" prompt="Urmăriți absențele din luna noiembrie în această foaie de lucru" sqref="A1" xr:uid="{00000000-0002-0000-0A00-00000A000000}"/>
    <dataValidation allowBlank="1" showInputMessage="1" showErrorMessage="1" prompt="În această coloană, calculează automat numărul total de zile în care un angajat a fost absent în luna respectivă" sqref="AH6" xr:uid="{00000000-0002-0000-0A00-00000B000000}"/>
    <dataValidation allowBlank="1" showInputMessage="1" showErrorMessage="1" prompt="Anul actualizat automat pe baza anului introdus în foaia de lucru Ianuarie" sqref="AH4" xr:uid="{00000000-0002-0000-0A00-00000C000000}"/>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A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D92E49-5CF1-46DF-AD7A-3A5E92F274F3}">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E000000}">
          <x14:formula1>
            <xm:f>'Nume angajați'!$B$4:$B$8</xm:f>
          </x14:formula1>
          <xm:sqref>B7:B11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s="14"/>
    </row>
    <row r="4" spans="2:34" ht="30" customHeight="1" x14ac:dyDescent="0.25">
      <c r="B4" s="12" t="s">
        <v>63</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TEXT(WEEKDAY(DATE(CalendarYear,12,1),1),"aaa")</f>
        <v>dum</v>
      </c>
      <c r="D5" s="2" t="str">
        <f>TEXT(WEEKDAY(DATE(CalendarYear,12,2),1),"aaa")</f>
        <v>lun</v>
      </c>
      <c r="E5" s="2" t="str">
        <f>TEXT(WEEKDAY(DATE(CalendarYear,12,3),1),"aaa")</f>
        <v>mar</v>
      </c>
      <c r="F5" s="2" t="str">
        <f>TEXT(WEEKDAY(DATE(CalendarYear,12,4),1),"aaa")</f>
        <v>mie</v>
      </c>
      <c r="G5" s="2" t="str">
        <f>TEXT(WEEKDAY(DATE(CalendarYear,12,5),1),"aaa")</f>
        <v>joi</v>
      </c>
      <c r="H5" s="2" t="str">
        <f>TEXT(WEEKDAY(DATE(CalendarYear,12,6),1),"aaa")</f>
        <v>vin</v>
      </c>
      <c r="I5" s="2" t="str">
        <f>TEXT(WEEKDAY(DATE(CalendarYear,12,7),1),"aaa")</f>
        <v>sâm</v>
      </c>
      <c r="J5" s="2" t="str">
        <f>TEXT(WEEKDAY(DATE(CalendarYear,12,8),1),"aaa")</f>
        <v>dum</v>
      </c>
      <c r="K5" s="2" t="str">
        <f>TEXT(WEEKDAY(DATE(CalendarYear,12,9),1),"aaa")</f>
        <v>lun</v>
      </c>
      <c r="L5" s="2" t="str">
        <f>TEXT(WEEKDAY(DATE(CalendarYear,12,10),1),"aaa")</f>
        <v>mar</v>
      </c>
      <c r="M5" s="2" t="str">
        <f>TEXT(WEEKDAY(DATE(CalendarYear,12,11),1),"aaa")</f>
        <v>mie</v>
      </c>
      <c r="N5" s="2" t="str">
        <f>TEXT(WEEKDAY(DATE(CalendarYear,12,12),1),"aaa")</f>
        <v>joi</v>
      </c>
      <c r="O5" s="2" t="str">
        <f>TEXT(WEEKDAY(DATE(CalendarYear,12,13),1),"aaa")</f>
        <v>vin</v>
      </c>
      <c r="P5" s="2" t="str">
        <f>TEXT(WEEKDAY(DATE(CalendarYear,12,14),1),"aaa")</f>
        <v>sâm</v>
      </c>
      <c r="Q5" s="2" t="str">
        <f>TEXT(WEEKDAY(DATE(CalendarYear,12,15),1),"aaa")</f>
        <v>dum</v>
      </c>
      <c r="R5" s="2" t="str">
        <f>TEXT(WEEKDAY(DATE(CalendarYear,12,16),1),"aaa")</f>
        <v>lun</v>
      </c>
      <c r="S5" s="2" t="str">
        <f>TEXT(WEEKDAY(DATE(CalendarYear,12,17),1),"aaa")</f>
        <v>mar</v>
      </c>
      <c r="T5" s="2" t="str">
        <f>TEXT(WEEKDAY(DATE(CalendarYear,12,18),1),"aaa")</f>
        <v>mie</v>
      </c>
      <c r="U5" s="2" t="str">
        <f>TEXT(WEEKDAY(DATE(CalendarYear,12,19),1),"aaa")</f>
        <v>joi</v>
      </c>
      <c r="V5" s="2" t="str">
        <f>TEXT(WEEKDAY(DATE(CalendarYear,12,20),1),"aaa")</f>
        <v>vin</v>
      </c>
      <c r="W5" s="2" t="str">
        <f>TEXT(WEEKDAY(DATE(CalendarYear,12,21),1),"aaa")</f>
        <v>sâm</v>
      </c>
      <c r="X5" s="2" t="str">
        <f>TEXT(WEEKDAY(DATE(CalendarYear,12,22),1),"aaa")</f>
        <v>dum</v>
      </c>
      <c r="Y5" s="2" t="str">
        <f>TEXT(WEEKDAY(DATE(CalendarYear,12,23),1),"aaa")</f>
        <v>lun</v>
      </c>
      <c r="Z5" s="2" t="str">
        <f>TEXT(WEEKDAY(DATE(CalendarYear,12,24),1),"aaa")</f>
        <v>mar</v>
      </c>
      <c r="AA5" s="2" t="str">
        <f>TEXT(WEEKDAY(DATE(CalendarYear,12,25),1),"aaa")</f>
        <v>mie</v>
      </c>
      <c r="AB5" s="2" t="str">
        <f>TEXT(WEEKDAY(DATE(CalendarYear,12,26),1),"aaa")</f>
        <v>joi</v>
      </c>
      <c r="AC5" s="2" t="str">
        <f>TEXT(WEEKDAY(DATE(CalendarYear,12,27),1),"aaa")</f>
        <v>vin</v>
      </c>
      <c r="AD5" s="2" t="str">
        <f>TEXT(WEEKDAY(DATE(CalendarYear,12,28),1),"aaa")</f>
        <v>sâm</v>
      </c>
      <c r="AE5" s="2" t="str">
        <f>TEXT(WEEKDAY(DATE(CalendarYear,12,29),1),"aaa")</f>
        <v>dum</v>
      </c>
      <c r="AF5" s="2" t="str">
        <f>TEXT(WEEKDAY(DATE(CalendarYear,12,30),1),"aaa")</f>
        <v>lun</v>
      </c>
      <c r="AG5" s="2" t="str">
        <f>TEXT(WEEKDAY(DATE(CalendarYear,12,31),1),"aaa")</f>
        <v>mar</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COUNTA(Decembrie[[#This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COUNTA(Decembrie[[#This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COUNTA(Decembrie[[#This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COUNTA(Decembrie[[#This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COUNTA(Decembrie[[#This Row],[1]:[31]])</f>
        <v>0</v>
      </c>
    </row>
    <row r="12" spans="2:34" ht="30" customHeight="1" x14ac:dyDescent="0.25">
      <c r="B12" s="21" t="str">
        <f>NumeLună&amp;" Total"</f>
        <v>Decembrie Total</v>
      </c>
      <c r="C12" s="13">
        <f>SUBTOTAL(103,Decembrie[1])</f>
        <v>0</v>
      </c>
      <c r="D12" s="13">
        <f>SUBTOTAL(103,Decembrie[2])</f>
        <v>0</v>
      </c>
      <c r="E12" s="13">
        <f>SUBTOTAL(103,Decembrie[3])</f>
        <v>0</v>
      </c>
      <c r="F12" s="13">
        <f>SUBTOTAL(103,Decembrie[4])</f>
        <v>0</v>
      </c>
      <c r="G12" s="13">
        <f>SUBTOTAL(103,Decembrie[5])</f>
        <v>0</v>
      </c>
      <c r="H12" s="13">
        <f>SUBTOTAL(103,Decembrie[6])</f>
        <v>0</v>
      </c>
      <c r="I12" s="13">
        <f>SUBTOTAL(103,Decembrie[7])</f>
        <v>0</v>
      </c>
      <c r="J12" s="13">
        <f>SUBTOTAL(103,Decembrie[8])</f>
        <v>0</v>
      </c>
      <c r="K12" s="13">
        <f>SUBTOTAL(103,Decembrie[9])</f>
        <v>0</v>
      </c>
      <c r="L12" s="13">
        <f>SUBTOTAL(103,Decembrie[10])</f>
        <v>0</v>
      </c>
      <c r="M12" s="13">
        <f>SUBTOTAL(103,Decembrie[11])</f>
        <v>0</v>
      </c>
      <c r="N12" s="13">
        <f>SUBTOTAL(103,Decembrie[12])</f>
        <v>0</v>
      </c>
      <c r="O12" s="13">
        <f>SUBTOTAL(103,Decembrie[13])</f>
        <v>0</v>
      </c>
      <c r="P12" s="13">
        <f>SUBTOTAL(103,Decembrie[14])</f>
        <v>0</v>
      </c>
      <c r="Q12" s="13">
        <f>SUBTOTAL(103,Decembrie[15])</f>
        <v>0</v>
      </c>
      <c r="R12" s="13">
        <f>SUBTOTAL(103,Decembrie[16])</f>
        <v>0</v>
      </c>
      <c r="S12" s="13">
        <f>SUBTOTAL(103,Decembrie[17])</f>
        <v>0</v>
      </c>
      <c r="T12" s="13">
        <f>SUBTOTAL(103,Decembrie[18])</f>
        <v>0</v>
      </c>
      <c r="U12" s="13">
        <f>SUBTOTAL(103,Decembrie[19])</f>
        <v>0</v>
      </c>
      <c r="V12" s="13">
        <f>SUBTOTAL(103,Decembrie[20])</f>
        <v>0</v>
      </c>
      <c r="W12" s="13">
        <f>SUBTOTAL(103,Decembrie[21])</f>
        <v>0</v>
      </c>
      <c r="X12" s="13">
        <f>SUBTOTAL(103,Decembrie[22])</f>
        <v>0</v>
      </c>
      <c r="Y12" s="13">
        <f>SUBTOTAL(103,Decembrie[23])</f>
        <v>0</v>
      </c>
      <c r="Z12" s="13">
        <f>SUBTOTAL(103,Decembrie[24])</f>
        <v>0</v>
      </c>
      <c r="AA12" s="13">
        <f>SUBTOTAL(103,Decembrie[25])</f>
        <v>0</v>
      </c>
      <c r="AB12" s="13">
        <f>SUBTOTAL(103,Decembrie[26])</f>
        <v>0</v>
      </c>
      <c r="AC12" s="13">
        <f>SUBTOTAL(103,Decembrie[27])</f>
        <v>0</v>
      </c>
      <c r="AD12" s="13">
        <f>SUBTOTAL(103,Decembrie[28])</f>
        <v>0</v>
      </c>
      <c r="AE12" s="13">
        <f>SUBTOTAL(103,Decembrie[29])</f>
        <v>0</v>
      </c>
      <c r="AF12" s="13">
        <f>SUBTOTAL(103,Decembrie[30])</f>
        <v>0</v>
      </c>
      <c r="AG12" s="13">
        <f>SUBTOTAL(103,Decembrie[31])</f>
        <v>0</v>
      </c>
      <c r="AH12" s="13">
        <f>SUBTOTAL(109,Decembrie[Total zile])</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4" priority="2" stopIfTrue="1">
      <formula>C7=CheieParticularizată2</formula>
    </cfRule>
    <cfRule type="expression" dxfId="3" priority="3" stopIfTrue="1">
      <formula>C7=CheieParticularizată1</formula>
    </cfRule>
    <cfRule type="expression" dxfId="2" priority="4" stopIfTrue="1">
      <formula>C7=CheieConcediuMedical</formula>
    </cfRule>
    <cfRule type="expression" dxfId="1" priority="5" stopIfTrue="1">
      <formula>C7=CheiePersonal</formula>
    </cfRule>
    <cfRule type="expression" dxfId="0" priority="6" stopIfTrue="1">
      <formula>C7=CheieVacanță</formula>
    </cfRule>
  </conditionalFormatting>
  <conditionalFormatting sqref="AH7:AH11">
    <cfRule type="dataBar" priority="30">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dataValidations count="14">
    <dataValidation allowBlank="1" showInputMessage="1" showErrorMessage="1" prompt="Anul actualizat automat pe baza anului introdus în foaia de lucru Ianuarie" sqref="AH4" xr:uid="{00000000-0002-0000-0B00-000000000000}"/>
    <dataValidation allowBlank="1" showInputMessage="1" showErrorMessage="1" prompt="În această coloană, calculează automat numărul total de zile în care un angajat a fost absent în luna respectivă" sqref="AH6" xr:uid="{00000000-0002-0000-0B00-000001000000}"/>
    <dataValidation allowBlank="1" showInputMessage="1" showErrorMessage="1" prompt="Urmăriți absențele din luna decembrie în această foaie de lucru" sqref="A1" xr:uid="{00000000-0002-0000-0B00-000002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B00-000003000000}"/>
    <dataValidation allowBlank="1" showInputMessage="1" showErrorMessage="1" prompt="Titlul actualizat automat se află în această celulă. Pentru a modifica titlul, actualizați B1 în foaia de lucru Ianuarie" sqref="B1" xr:uid="{00000000-0002-0000-0B00-000004000000}"/>
    <dataValidation allowBlank="1" showInputMessage="1" showErrorMessage="1" prompt="Litera „V” indică o absență pe motiv de vacanță" sqref="C2" xr:uid="{00000000-0002-0000-0B00-000005000000}"/>
    <dataValidation allowBlank="1" showInputMessage="1" showErrorMessage="1" prompt="Litera „P” indică o absență din motive personale" sqref="G2" xr:uid="{00000000-0002-0000-0B00-000006000000}"/>
    <dataValidation allowBlank="1" showInputMessage="1" showErrorMessage="1" prompt="Litera „M” indică o absență din motive medicale" sqref="K2" xr:uid="{00000000-0002-0000-0B00-000007000000}"/>
    <dataValidation allowBlank="1" showInputMessage="1" showErrorMessage="1" prompt="Introduceți o literă și particularizați eticheta din dreapta pentru a adăuga un alt element cheie" sqref="N2 R2" xr:uid="{00000000-0002-0000-0B00-000008000000}"/>
    <dataValidation allowBlank="1" showInputMessage="1" showErrorMessage="1" prompt="Introduceți o etichetă pentru a descrie cheia particularizată din partea stângă" sqref="O2:Q2 S2:U2" xr:uid="{00000000-0002-0000-0B00-000009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B00-00000A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B00-00000B000000}"/>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B00-00000C000000}"/>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B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E000000}">
          <x14:formula1>
            <xm:f>'Nume angajați'!$B$4:$B$8</xm:f>
          </x14:formula1>
          <xm:sqref>B7:B11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B1:B8"/>
  <sheetViews>
    <sheetView showGridLines="0" workbookViewId="0"/>
  </sheetViews>
  <sheetFormatPr defaultRowHeight="30" customHeight="1" x14ac:dyDescent="0.25"/>
  <cols>
    <col min="1" max="1" width="2.7109375" customWidth="1"/>
    <col min="2" max="2" width="36.5703125" customWidth="1"/>
    <col min="3" max="3" width="2.7109375" customWidth="1"/>
  </cols>
  <sheetData>
    <row r="1" spans="2:2" ht="50.1" customHeight="1" x14ac:dyDescent="0.25">
      <c r="B1" s="22" t="s">
        <v>64</v>
      </c>
    </row>
    <row r="2" spans="2:2" ht="15" customHeight="1" x14ac:dyDescent="0.25"/>
    <row r="3" spans="2:2" ht="30" customHeight="1" x14ac:dyDescent="0.25">
      <c r="B3" t="s">
        <v>64</v>
      </c>
    </row>
    <row r="4" spans="2:2" ht="30" customHeight="1" x14ac:dyDescent="0.25">
      <c r="B4" s="1" t="s">
        <v>4</v>
      </c>
    </row>
    <row r="5" spans="2:2" ht="30" customHeight="1" x14ac:dyDescent="0.25">
      <c r="B5" s="1" t="s">
        <v>5</v>
      </c>
    </row>
    <row r="6" spans="2:2" ht="30" customHeight="1" x14ac:dyDescent="0.25">
      <c r="B6" s="1" t="s">
        <v>6</v>
      </c>
    </row>
    <row r="7" spans="2:2" ht="30" customHeight="1" x14ac:dyDescent="0.25">
      <c r="B7" s="1" t="s">
        <v>7</v>
      </c>
    </row>
    <row r="8" spans="2:2" ht="30" customHeight="1" x14ac:dyDescent="0.25">
      <c r="B8" s="1" t="s">
        <v>8</v>
      </c>
    </row>
  </sheetData>
  <dataValidations count="3">
    <dataValidation allowBlank="1" showInputMessage="1" showErrorMessage="1" prompt="Titlu nume angajați" sqref="B1" xr:uid="{00000000-0002-0000-0C00-000000000000}"/>
    <dataValidation allowBlank="1" showInputMessage="1" showErrorMessage="1" prompt="Introduceți numele angajaților în tabelul Nume angajat din această foaie de lucru. Aceste nume sunt utilizate ca opțiuni în coloana B a tabelului de absențe din fiecare lună" sqref="A1" xr:uid="{00000000-0002-0000-0C00-000001000000}"/>
    <dataValidation allowBlank="1" showInputMessage="1" showErrorMessage="1" prompt="Introduceți numele angajaților în această coloană" sqref="B3" xr:uid="{00000000-0002-0000-0C00-000002000000}"/>
  </dataValidations>
  <pageMargins left="0.7" right="0.7" top="0.75" bottom="0.75" header="0.3" footer="0.3"/>
  <pageSetup paperSize="9"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89999084444715716"/>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1:34" ht="50.1" customHeight="1" x14ac:dyDescent="0.25">
      <c r="A1" s="18"/>
      <c r="B1" s="14" t="s">
        <v>0</v>
      </c>
    </row>
    <row r="2" spans="1: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1:34" ht="15" customHeight="1" x14ac:dyDescent="0.25">
      <c r="AH3" s="20" t="s">
        <v>49</v>
      </c>
    </row>
    <row r="4" spans="1:34" ht="30" customHeight="1" x14ac:dyDescent="0.25">
      <c r="B4" s="12" t="s">
        <v>2</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v>2019</v>
      </c>
    </row>
    <row r="5" spans="1:34" ht="15" customHeight="1" x14ac:dyDescent="0.25">
      <c r="B5" s="12"/>
      <c r="C5" s="2" t="str">
        <f>TEXT(WEEKDAY(DATE(CalendarYear,1,1),1),"aaa")</f>
        <v>mar</v>
      </c>
      <c r="D5" s="2" t="str">
        <f>TEXT(WEEKDAY(DATE(CalendarYear,1,2),1),"aaa")</f>
        <v>mie</v>
      </c>
      <c r="E5" s="2" t="str">
        <f>TEXT(WEEKDAY(DATE(CalendarYear,1,3),1),"aaa")</f>
        <v>joi</v>
      </c>
      <c r="F5" s="2" t="str">
        <f>TEXT(WEEKDAY(DATE(CalendarYear,1,4),1),"aaa")</f>
        <v>vin</v>
      </c>
      <c r="G5" s="2" t="str">
        <f>TEXT(WEEKDAY(DATE(CalendarYear,1,5),1),"aaa")</f>
        <v>sâm</v>
      </c>
      <c r="H5" s="2" t="str">
        <f>TEXT(WEEKDAY(DATE(CalendarYear,1,6),1),"aaa")</f>
        <v>dum</v>
      </c>
      <c r="I5" s="2" t="str">
        <f>TEXT(WEEKDAY(DATE(CalendarYear,1,7),1),"aaa")</f>
        <v>lun</v>
      </c>
      <c r="J5" s="2" t="str">
        <f>TEXT(WEEKDAY(DATE(CalendarYear,1,8),1),"aaa")</f>
        <v>mar</v>
      </c>
      <c r="K5" s="2" t="str">
        <f>TEXT(WEEKDAY(DATE(CalendarYear,1,9),1),"aaa")</f>
        <v>mie</v>
      </c>
      <c r="L5" s="2" t="str">
        <f>TEXT(WEEKDAY(DATE(CalendarYear,1,10),1),"aaa")</f>
        <v>joi</v>
      </c>
      <c r="M5" s="2" t="str">
        <f>TEXT(WEEKDAY(DATE(CalendarYear,1,11),1),"aaa")</f>
        <v>vin</v>
      </c>
      <c r="N5" s="2" t="str">
        <f>TEXT(WEEKDAY(DATE(CalendarYear,1,12),1),"aaa")</f>
        <v>sâm</v>
      </c>
      <c r="O5" s="2" t="str">
        <f>TEXT(WEEKDAY(DATE(CalendarYear,1,13),1),"aaa")</f>
        <v>dum</v>
      </c>
      <c r="P5" s="2" t="str">
        <f>TEXT(WEEKDAY(DATE(CalendarYear,1,14),1),"aaa")</f>
        <v>lun</v>
      </c>
      <c r="Q5" s="2" t="str">
        <f>TEXT(WEEKDAY(DATE(CalendarYear,1,15),1),"aaa")</f>
        <v>mar</v>
      </c>
      <c r="R5" s="2" t="str">
        <f>TEXT(WEEKDAY(DATE(CalendarYear,1,16),1),"aaa")</f>
        <v>mie</v>
      </c>
      <c r="S5" s="2" t="str">
        <f>TEXT(WEEKDAY(DATE(CalendarYear,1,17),1),"aaa")</f>
        <v>joi</v>
      </c>
      <c r="T5" s="2" t="str">
        <f>TEXT(WEEKDAY(DATE(CalendarYear,1,18),1),"aaa")</f>
        <v>vin</v>
      </c>
      <c r="U5" s="2" t="str">
        <f>TEXT(WEEKDAY(DATE(CalendarYear,1,19),1),"aaa")</f>
        <v>sâm</v>
      </c>
      <c r="V5" s="2" t="str">
        <f>TEXT(WEEKDAY(DATE(CalendarYear,1,20),1),"aaa")</f>
        <v>dum</v>
      </c>
      <c r="W5" s="2" t="str">
        <f>TEXT(WEEKDAY(DATE(CalendarYear,1,21),1),"aaa")</f>
        <v>lun</v>
      </c>
      <c r="X5" s="2" t="str">
        <f>TEXT(WEEKDAY(DATE(CalendarYear,1,22),1),"aaa")</f>
        <v>mar</v>
      </c>
      <c r="Y5" s="2" t="str">
        <f>TEXT(WEEKDAY(DATE(CalendarYear,1,23),1),"aaa")</f>
        <v>mie</v>
      </c>
      <c r="Z5" s="2" t="str">
        <f>TEXT(WEEKDAY(DATE(CalendarYear,1,24),1),"aaa")</f>
        <v>joi</v>
      </c>
      <c r="AA5" s="2" t="str">
        <f>TEXT(WEEKDAY(DATE(CalendarYear,1,25),1),"aaa")</f>
        <v>vin</v>
      </c>
      <c r="AB5" s="2" t="str">
        <f>TEXT(WEEKDAY(DATE(CalendarYear,1,26),1),"aaa")</f>
        <v>sâm</v>
      </c>
      <c r="AC5" s="2" t="str">
        <f>TEXT(WEEKDAY(DATE(CalendarYear,1,27),1),"aaa")</f>
        <v>dum</v>
      </c>
      <c r="AD5" s="2" t="str">
        <f>TEXT(WEEKDAY(DATE(CalendarYear,1,28),1),"aaa")</f>
        <v>lun</v>
      </c>
      <c r="AE5" s="2" t="str">
        <f>TEXT(WEEKDAY(DATE(CalendarYear,1,29),1),"aaa")</f>
        <v>mar</v>
      </c>
      <c r="AF5" s="2" t="str">
        <f>TEXT(WEEKDAY(DATE(CalendarYear,1,30),1),"aaa")</f>
        <v>mie</v>
      </c>
      <c r="AG5" s="2" t="str">
        <f>TEXT(WEEKDAY(DATE(CalendarYear,1,31),1),"aaa")</f>
        <v>joi</v>
      </c>
      <c r="AH5" s="12"/>
    </row>
    <row r="6" spans="1: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1:34" ht="30" customHeight="1" x14ac:dyDescent="0.25">
      <c r="B7" s="9" t="s">
        <v>4</v>
      </c>
      <c r="C7" s="3"/>
      <c r="D7" s="3"/>
      <c r="E7" s="3" t="s">
        <v>9</v>
      </c>
      <c r="F7" s="3" t="s">
        <v>9</v>
      </c>
      <c r="G7" s="3" t="s">
        <v>9</v>
      </c>
      <c r="H7" s="3" t="s">
        <v>9</v>
      </c>
      <c r="I7" s="3"/>
      <c r="J7" s="3"/>
      <c r="K7" s="3"/>
      <c r="L7" s="3"/>
      <c r="M7" s="3"/>
      <c r="N7" s="3"/>
      <c r="O7" s="3" t="s">
        <v>9</v>
      </c>
      <c r="P7" s="3"/>
      <c r="Q7" s="3"/>
      <c r="R7" s="3"/>
      <c r="S7" s="3"/>
      <c r="T7" s="3"/>
      <c r="U7" s="3"/>
      <c r="V7" s="3"/>
      <c r="W7" s="3"/>
      <c r="X7" s="3"/>
      <c r="Y7" s="3"/>
      <c r="Z7" s="3"/>
      <c r="AA7" s="3"/>
      <c r="AB7" s="3"/>
      <c r="AC7" s="3"/>
      <c r="AD7" s="3"/>
      <c r="AE7" s="3"/>
      <c r="AF7" s="3"/>
      <c r="AG7" s="3"/>
      <c r="AH7" s="10">
        <f>COUNTA(Ianuarie!$C7:$AG7)</f>
        <v>5</v>
      </c>
    </row>
    <row r="8" spans="1:34" ht="30" customHeight="1" x14ac:dyDescent="0.25">
      <c r="B8" s="9" t="s">
        <v>5</v>
      </c>
      <c r="C8" s="3"/>
      <c r="D8" s="3"/>
      <c r="E8" s="3"/>
      <c r="F8" s="3"/>
      <c r="G8" s="3" t="s">
        <v>17</v>
      </c>
      <c r="H8" s="3" t="s">
        <v>17</v>
      </c>
      <c r="I8" s="3"/>
      <c r="J8" s="3"/>
      <c r="K8" s="3"/>
      <c r="L8" s="3"/>
      <c r="M8" s="3" t="s">
        <v>15</v>
      </c>
      <c r="N8" s="3"/>
      <c r="O8" s="3"/>
      <c r="P8" s="3"/>
      <c r="Q8" s="3"/>
      <c r="R8" s="3"/>
      <c r="S8" s="3"/>
      <c r="T8" s="3"/>
      <c r="U8" s="3"/>
      <c r="V8" s="3" t="s">
        <v>17</v>
      </c>
      <c r="W8" s="3"/>
      <c r="X8" s="3"/>
      <c r="Y8" s="3"/>
      <c r="Z8" s="3"/>
      <c r="AA8" s="3" t="s">
        <v>9</v>
      </c>
      <c r="AB8" s="3" t="s">
        <v>9</v>
      </c>
      <c r="AC8" s="3" t="s">
        <v>9</v>
      </c>
      <c r="AD8" s="3"/>
      <c r="AE8" s="3"/>
      <c r="AF8" s="3"/>
      <c r="AG8" s="3"/>
      <c r="AH8" s="10">
        <f>COUNTA(Ianuarie!$C8:$AG8)</f>
        <v>7</v>
      </c>
    </row>
    <row r="9" spans="1:34" ht="30" customHeight="1" x14ac:dyDescent="0.25">
      <c r="B9" s="9" t="s">
        <v>6</v>
      </c>
      <c r="C9" s="3"/>
      <c r="D9" s="3"/>
      <c r="E9" s="3" t="s">
        <v>15</v>
      </c>
      <c r="F9" s="3"/>
      <c r="G9" s="3"/>
      <c r="H9" s="3"/>
      <c r="I9" s="3"/>
      <c r="J9" s="3"/>
      <c r="K9" s="3"/>
      <c r="L9" s="3"/>
      <c r="M9" s="3"/>
      <c r="N9" s="3"/>
      <c r="O9" s="3"/>
      <c r="P9" s="3" t="s">
        <v>17</v>
      </c>
      <c r="Q9" s="3"/>
      <c r="R9" s="3"/>
      <c r="S9" s="3"/>
      <c r="T9" s="3"/>
      <c r="U9" s="3"/>
      <c r="V9" s="3"/>
      <c r="W9" s="3"/>
      <c r="X9" s="3"/>
      <c r="Y9" s="3"/>
      <c r="Z9" s="3"/>
      <c r="AA9" s="3"/>
      <c r="AB9" s="3"/>
      <c r="AC9" s="3"/>
      <c r="AD9" s="3"/>
      <c r="AE9" s="3" t="s">
        <v>17</v>
      </c>
      <c r="AF9" s="3"/>
      <c r="AG9" s="3"/>
      <c r="AH9" s="10">
        <f>COUNTA(Ianuarie!$C9:$AG9)</f>
        <v>3</v>
      </c>
    </row>
    <row r="10" spans="1:34" ht="30" customHeight="1" x14ac:dyDescent="0.25">
      <c r="B10" s="9" t="s">
        <v>7</v>
      </c>
      <c r="C10" s="3"/>
      <c r="D10" s="3"/>
      <c r="E10" s="3"/>
      <c r="F10" s="3"/>
      <c r="G10" s="3"/>
      <c r="H10" s="3"/>
      <c r="I10" s="3" t="s">
        <v>15</v>
      </c>
      <c r="J10" s="3"/>
      <c r="K10" s="3"/>
      <c r="L10" s="3"/>
      <c r="M10" s="3"/>
      <c r="N10" s="3"/>
      <c r="O10" s="3"/>
      <c r="P10" s="3"/>
      <c r="Q10" s="3"/>
      <c r="R10" s="3"/>
      <c r="S10" s="3"/>
      <c r="T10" s="3"/>
      <c r="U10" s="3" t="s">
        <v>9</v>
      </c>
      <c r="V10" s="3" t="s">
        <v>9</v>
      </c>
      <c r="W10" s="3" t="s">
        <v>9</v>
      </c>
      <c r="X10" s="3"/>
      <c r="Y10" s="3"/>
      <c r="Z10" s="3"/>
      <c r="AA10" s="3"/>
      <c r="AB10" s="3"/>
      <c r="AC10" s="3"/>
      <c r="AD10" s="3"/>
      <c r="AE10" s="3"/>
      <c r="AF10" s="3"/>
      <c r="AG10" s="3"/>
      <c r="AH10" s="10">
        <f>COUNTA(Ianuarie!$C10:$AG10)</f>
        <v>4</v>
      </c>
    </row>
    <row r="11" spans="1:34" ht="30" customHeight="1" x14ac:dyDescent="0.25">
      <c r="B11" s="9" t="s">
        <v>8</v>
      </c>
      <c r="C11" s="3"/>
      <c r="D11" s="3"/>
      <c r="E11" s="3"/>
      <c r="F11" s="3" t="s">
        <v>17</v>
      </c>
      <c r="G11" s="3" t="s">
        <v>9</v>
      </c>
      <c r="H11" s="3" t="s">
        <v>9</v>
      </c>
      <c r="I11" s="3"/>
      <c r="J11" s="3"/>
      <c r="K11" s="3"/>
      <c r="L11" s="3"/>
      <c r="M11" s="3"/>
      <c r="N11" s="3"/>
      <c r="O11" s="3"/>
      <c r="P11" s="3"/>
      <c r="Q11" s="3"/>
      <c r="R11" s="3"/>
      <c r="S11" s="3" t="s">
        <v>17</v>
      </c>
      <c r="T11" s="3"/>
      <c r="U11" s="3"/>
      <c r="V11" s="3"/>
      <c r="W11" s="3"/>
      <c r="X11" s="3"/>
      <c r="Y11" s="3"/>
      <c r="Z11" s="3" t="s">
        <v>17</v>
      </c>
      <c r="AA11" s="3"/>
      <c r="AB11" s="3"/>
      <c r="AC11" s="3"/>
      <c r="AD11" s="3"/>
      <c r="AE11" s="3"/>
      <c r="AF11" s="3"/>
      <c r="AG11" s="3" t="s">
        <v>9</v>
      </c>
      <c r="AH11" s="10">
        <f>COUNTA(Ianuarie!$C11:$AG11)</f>
        <v>6</v>
      </c>
    </row>
    <row r="12" spans="1:34" ht="30" customHeight="1" x14ac:dyDescent="0.25">
      <c r="B12" s="21" t="str">
        <f>NumeLună&amp;" Total"</f>
        <v>Ianuarie Total</v>
      </c>
      <c r="C12" s="13">
        <f>SUBTOTAL(103,Ianuarie!$C$7:$C$11)</f>
        <v>0</v>
      </c>
      <c r="D12" s="13">
        <f>SUBTOTAL(103,Ianuarie!$D$7:$D$11)</f>
        <v>0</v>
      </c>
      <c r="E12" s="13">
        <f>SUBTOTAL(103,Ianuarie!$E$7:$E$11)</f>
        <v>2</v>
      </c>
      <c r="F12" s="13">
        <f>SUBTOTAL(103,Ianuarie!$F$7:$F$11)</f>
        <v>2</v>
      </c>
      <c r="G12" s="13">
        <f>SUBTOTAL(103,Ianuarie!$G$7:$G$11)</f>
        <v>3</v>
      </c>
      <c r="H12" s="13">
        <f>SUBTOTAL(103,Ianuarie!$H$7:$H$11)</f>
        <v>3</v>
      </c>
      <c r="I12" s="13">
        <f>SUBTOTAL(103,Ianuarie!$I$7:$I$11)</f>
        <v>1</v>
      </c>
      <c r="J12" s="13">
        <f>SUBTOTAL(103,Ianuarie!$J$7:$J$11)</f>
        <v>0</v>
      </c>
      <c r="K12" s="13">
        <f>SUBTOTAL(103,Ianuarie!$K$7:$K$11)</f>
        <v>0</v>
      </c>
      <c r="L12" s="13">
        <f>SUBTOTAL(103,Ianuarie!$L$7:$L$11)</f>
        <v>0</v>
      </c>
      <c r="M12" s="13">
        <f>SUBTOTAL(103,Ianuarie!$M$7:$M$11)</f>
        <v>1</v>
      </c>
      <c r="N12" s="13">
        <f>SUBTOTAL(103,Ianuarie!$N$7:$N$11)</f>
        <v>0</v>
      </c>
      <c r="O12" s="13">
        <f>SUBTOTAL(103,Ianuarie!$O$7:$O$11)</f>
        <v>1</v>
      </c>
      <c r="P12" s="13">
        <f>SUBTOTAL(103,Ianuarie!$P$7:$P$11)</f>
        <v>1</v>
      </c>
      <c r="Q12" s="13">
        <f>SUBTOTAL(103,Ianuarie!$Q$7:$Q$11)</f>
        <v>0</v>
      </c>
      <c r="R12" s="13">
        <f>SUBTOTAL(103,Ianuarie!$R$7:$R$11)</f>
        <v>0</v>
      </c>
      <c r="S12" s="13">
        <f>SUBTOTAL(103,Ianuarie!$S$7:$S$11)</f>
        <v>1</v>
      </c>
      <c r="T12" s="13">
        <f>SUBTOTAL(103,Ianuarie!$T$7:$T$11)</f>
        <v>0</v>
      </c>
      <c r="U12" s="13">
        <f>SUBTOTAL(103,Ianuarie!$U$7:$U$11)</f>
        <v>1</v>
      </c>
      <c r="V12" s="13">
        <f>SUBTOTAL(103,Ianuarie!$V$7:$V$11)</f>
        <v>2</v>
      </c>
      <c r="W12" s="13">
        <f>SUBTOTAL(103,Ianuarie!$W$7:$W$11)</f>
        <v>1</v>
      </c>
      <c r="X12" s="13">
        <f>SUBTOTAL(103,Ianuarie!$X$7:$X$11)</f>
        <v>0</v>
      </c>
      <c r="Y12" s="13">
        <f>SUBTOTAL(103,Ianuarie!$Y$7:$Y$11)</f>
        <v>0</v>
      </c>
      <c r="Z12" s="13">
        <f>SUBTOTAL(103,Ianuarie!$Z$7:$Z$11)</f>
        <v>1</v>
      </c>
      <c r="AA12" s="13">
        <f>SUBTOTAL(103,Ianuarie!$AA$7:$AA$11)</f>
        <v>1</v>
      </c>
      <c r="AB12" s="13">
        <f>SUBTOTAL(103,Ianuarie!$AB$7:$AB$11)</f>
        <v>1</v>
      </c>
      <c r="AC12" s="13">
        <f>SUBTOTAL(103,Ianuarie!$AC$7:$AC$11)</f>
        <v>1</v>
      </c>
      <c r="AD12" s="13">
        <f>SUBTOTAL(103,Ianuarie!$AD$7:$AD$11)</f>
        <v>0</v>
      </c>
      <c r="AE12" s="13">
        <f>SUBTOTAL(103,Ianuarie!$AE$7:$AE$11)</f>
        <v>1</v>
      </c>
      <c r="AF12" s="13">
        <f>SUBTOTAL(103,Ianuarie!$AF$7:$AF$11)</f>
        <v>0</v>
      </c>
      <c r="AG12" s="13">
        <f>SUBTOTAL(103,Ianuarie!$AG$7:$AG$11)</f>
        <v>1</v>
      </c>
      <c r="AH12" s="13">
        <f>SUBTOTAL(109,Ianuarie[Total zile])</f>
        <v>25</v>
      </c>
    </row>
  </sheetData>
  <mergeCells count="6">
    <mergeCell ref="C4:AG4"/>
    <mergeCell ref="D2:F2"/>
    <mergeCell ref="H2:J2"/>
    <mergeCell ref="L2:M2"/>
    <mergeCell ref="O2:Q2"/>
    <mergeCell ref="S2:U2"/>
  </mergeCells>
  <conditionalFormatting sqref="C7:AG11">
    <cfRule type="expression" priority="1" stopIfTrue="1">
      <formula>C7=""</formula>
    </cfRule>
    <cfRule type="expression" dxfId="61" priority="6" stopIfTrue="1">
      <formula>C7=CheieParticularizată2</formula>
    </cfRule>
    <cfRule type="expression" dxfId="60" priority="7" stopIfTrue="1">
      <formula>C7=CheieParticularizată1</formula>
    </cfRule>
    <cfRule type="expression" dxfId="59" priority="8" stopIfTrue="1">
      <formula>C7=CheieConcediuMedical</formula>
    </cfRule>
    <cfRule type="expression" dxfId="58" priority="9" stopIfTrue="1">
      <formula>C7=CheiePersonal</formula>
    </cfRule>
    <cfRule type="expression" dxfId="57" priority="10" stopIfTrue="1">
      <formula>C7=CheieVacanță</formula>
    </cfRule>
  </conditionalFormatting>
  <conditionalFormatting sqref="AH7:AH11">
    <cfRule type="dataBar" priority="168">
      <dataBar>
        <cfvo type="num" val="0"/>
        <cfvo type="num" val="31"/>
        <color theme="2" tint="-0.249977111117893"/>
      </dataBar>
      <extLst>
        <ext xmlns:x14="http://schemas.microsoft.com/office/spreadsheetml/2009/9/main" uri="{B025F937-C7B1-47D3-B67F-A62EFF666E3E}">
          <x14:id>{ECCE2C3C-1B01-4700-B60E-DAAAB19A9C1A}</x14:id>
        </ext>
      </extLst>
    </cfRule>
  </conditionalFormatting>
  <dataValidations count="15">
    <dataValidation allowBlank="1" showInputMessage="1" showErrorMessage="1" prompt="Introduceți anul în această celulă" sqref="AH4" xr:uid="{00000000-0002-0000-0000-000000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000-000001000000}"/>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000-000002000000}"/>
    <dataValidation allowBlank="1" showInputMessage="1" showErrorMessage="1" prompt="Zilele lucrătoare din acest rând sunt actualizate automat pentru luna în funcție de anul introdus în AH4. Fiecare zi a lunii este o coloană unde se notează absența unui angajat și tipul acesteia" sqref="C5" xr:uid="{00000000-0002-0000-0000-000003000000}"/>
    <dataValidation allowBlank="1" showInputMessage="1" showErrorMessage="1" prompt="Calculează automat numărul total de zile în care un angajat a fost absent în luna respectivă" sqref="AH6" xr:uid="{00000000-0002-0000-0000-000004000000}"/>
    <dataValidation allowBlank="1" showInputMessage="1" showErrorMessage="1" prompt="Titlul foii de lucru se află în această celulă. Actualizați titlul și fiecare foaie de lucru va moșteni automat modificarea" sqref="B1" xr:uid="{00000000-0002-0000-0000-000005000000}"/>
    <dataValidation allowBlank="1" showInputMessage="1" showErrorMessage="1" prompt="Luna acestui program de absență. Actualizați anul în celula AH4. Urmăriți totaluri după lună în ultima celulă a tabelului. Introduceți numele angajaților în coloana de tabel B" sqref="B4" xr:uid="{00000000-0002-0000-0000-000006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000-000007000000}"/>
    <dataValidation allowBlank="1" showInputMessage="1" showErrorMessage="1" prompt="Litera „V” indică o absență pe motiv de vacanță" sqref="C2" xr:uid="{00000000-0002-0000-0000-000008000000}"/>
    <dataValidation allowBlank="1" showInputMessage="1" showErrorMessage="1" prompt="Litera „P” indică o absență din motive personale" sqref="G2" xr:uid="{00000000-0002-0000-0000-000009000000}"/>
    <dataValidation allowBlank="1" showInputMessage="1" showErrorMessage="1" prompt="Litera „M” indică o absență din motive medicale" sqref="K2" xr:uid="{00000000-0002-0000-0000-00000A000000}"/>
    <dataValidation allowBlank="1" showInputMessage="1" showErrorMessage="1" prompt="Introduceți o literă și particularizați eticheta din dreapta pentru a adăuga un alt element cheie" sqref="N2 R2" xr:uid="{00000000-0002-0000-0000-00000B000000}"/>
    <dataValidation allowBlank="1" showInputMessage="1" showErrorMessage="1" prompt="Introduceți o etichetă pentru a descrie cheia particularizată din partea stângă" sqref="O2:Q2 S2:U2" xr:uid="{00000000-0002-0000-0000-00000C000000}"/>
    <dataValidation allowBlank="1" showInputMessage="1" showErrorMessage="1" prompt="Planificarea absenței angajaților urmărește absența angajaților în fiecare lună. Există 13 foi de lucru, 12 lunare și ultima pentru numele angajaților. Urmăriți absența din ianuarie în această foaie de lucru" sqref="A1" xr:uid="{00000000-0002-0000-0000-00000D000000}"/>
    <dataValidation allowBlank="1" showInputMessage="1" showErrorMessage="1" prompt="Introduceți anul în celula de mai jos" sqref="AH3" xr:uid="{00000000-0002-0000-0000-00000E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num">
                <xm:f>0</xm:f>
              </x14:cfvo>
              <x14:cfvo type="num">
                <xm:f>31</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F000000}">
          <x14:formula1>
            <xm:f>'Nume angajați'!$B$4:$B$8</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s="14"/>
    </row>
    <row r="4" spans="2:34" ht="30" customHeight="1" x14ac:dyDescent="0.25">
      <c r="B4" s="12" t="s">
        <v>54</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TEXT(WEEKDAY(DATE(CalendarYear,3,1),1),"aaa")</f>
        <v>vin</v>
      </c>
      <c r="D5" s="2" t="str">
        <f>TEXT(WEEKDAY(DATE(CalendarYear,3,2),1),"aaa")</f>
        <v>sâm</v>
      </c>
      <c r="E5" s="2" t="str">
        <f>TEXT(WEEKDAY(DATE(CalendarYear,3,3),1),"aaa")</f>
        <v>dum</v>
      </c>
      <c r="F5" s="2" t="str">
        <f>TEXT(WEEKDAY(DATE(CalendarYear,3,4),1),"aaa")</f>
        <v>lun</v>
      </c>
      <c r="G5" s="2" t="str">
        <f>TEXT(WEEKDAY(DATE(CalendarYear,3,5),1),"aaa")</f>
        <v>mar</v>
      </c>
      <c r="H5" s="2" t="str">
        <f>TEXT(WEEKDAY(DATE(CalendarYear,3,6),1),"aaa")</f>
        <v>mie</v>
      </c>
      <c r="I5" s="2" t="str">
        <f>TEXT(WEEKDAY(DATE(CalendarYear,3,7),1),"aaa")</f>
        <v>joi</v>
      </c>
      <c r="J5" s="2" t="str">
        <f>TEXT(WEEKDAY(DATE(CalendarYear,3,8),1),"aaa")</f>
        <v>vin</v>
      </c>
      <c r="K5" s="2" t="str">
        <f>TEXT(WEEKDAY(DATE(CalendarYear,3,9),1),"aaa")</f>
        <v>sâm</v>
      </c>
      <c r="L5" s="2" t="str">
        <f>TEXT(WEEKDAY(DATE(CalendarYear,3,10),1),"aaa")</f>
        <v>dum</v>
      </c>
      <c r="M5" s="2" t="str">
        <f>TEXT(WEEKDAY(DATE(CalendarYear,3,11),1),"aaa")</f>
        <v>lun</v>
      </c>
      <c r="N5" s="2" t="str">
        <f>TEXT(WEEKDAY(DATE(CalendarYear,3,12),1),"aaa")</f>
        <v>mar</v>
      </c>
      <c r="O5" s="2" t="str">
        <f>TEXT(WEEKDAY(DATE(CalendarYear,3,13),1),"aaa")</f>
        <v>mie</v>
      </c>
      <c r="P5" s="2" t="str">
        <f>TEXT(WEEKDAY(DATE(CalendarYear,3,14),1),"aaa")</f>
        <v>joi</v>
      </c>
      <c r="Q5" s="2" t="str">
        <f>TEXT(WEEKDAY(DATE(CalendarYear,3,15),1),"aaa")</f>
        <v>vin</v>
      </c>
      <c r="R5" s="2" t="str">
        <f>TEXT(WEEKDAY(DATE(CalendarYear,3,16),1),"aaa")</f>
        <v>sâm</v>
      </c>
      <c r="S5" s="2" t="str">
        <f>TEXT(WEEKDAY(DATE(CalendarYear,3,17),1),"aaa")</f>
        <v>dum</v>
      </c>
      <c r="T5" s="2" t="str">
        <f>TEXT(WEEKDAY(DATE(CalendarYear,3,18),1),"aaa")</f>
        <v>lun</v>
      </c>
      <c r="U5" s="2" t="str">
        <f>TEXT(WEEKDAY(DATE(CalendarYear,3,19),1),"aaa")</f>
        <v>mar</v>
      </c>
      <c r="V5" s="2" t="str">
        <f>TEXT(WEEKDAY(DATE(CalendarYear,3,20),1),"aaa")</f>
        <v>mie</v>
      </c>
      <c r="W5" s="2" t="str">
        <f>TEXT(WEEKDAY(DATE(CalendarYear,3,21),1),"aaa")</f>
        <v>joi</v>
      </c>
      <c r="X5" s="2" t="str">
        <f>TEXT(WEEKDAY(DATE(CalendarYear,3,22),1),"aaa")</f>
        <v>vin</v>
      </c>
      <c r="Y5" s="2" t="str">
        <f>TEXT(WEEKDAY(DATE(CalendarYear,3,23),1),"aaa")</f>
        <v>sâm</v>
      </c>
      <c r="Z5" s="2" t="str">
        <f>TEXT(WEEKDAY(DATE(CalendarYear,3,24),1),"aaa")</f>
        <v>dum</v>
      </c>
      <c r="AA5" s="2" t="str">
        <f>TEXT(WEEKDAY(DATE(CalendarYear,3,25),1),"aaa")</f>
        <v>lun</v>
      </c>
      <c r="AB5" s="2" t="str">
        <f>TEXT(WEEKDAY(DATE(CalendarYear,3,26),1),"aaa")</f>
        <v>mar</v>
      </c>
      <c r="AC5" s="2" t="str">
        <f>TEXT(WEEKDAY(DATE(CalendarYear,3,27),1),"aaa")</f>
        <v>mie</v>
      </c>
      <c r="AD5" s="2" t="str">
        <f>TEXT(WEEKDAY(DATE(CalendarYear,3,28),1),"aaa")</f>
        <v>joi</v>
      </c>
      <c r="AE5" s="2" t="str">
        <f>TEXT(WEEKDAY(DATE(CalendarYear,3,29),1),"aaa")</f>
        <v>vin</v>
      </c>
      <c r="AF5" s="2" t="str">
        <f>TEXT(WEEKDAY(DATE(CalendarYear,3,30),1),"aaa")</f>
        <v>sâm</v>
      </c>
      <c r="AG5" s="2" t="str">
        <f>TEXT(WEEKDAY(DATE(CalendarYear,3,31),1),"aaa")</f>
        <v>dum</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COUNTA(Martie[[#This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COUNTA(Martie[[#This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COUNTA(Martie[[#This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COUNTA(Martie[[#This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COUNTA(Martie[[#This Row],[1]:[31]])</f>
        <v>0</v>
      </c>
    </row>
    <row r="12" spans="2:34" ht="30" customHeight="1" x14ac:dyDescent="0.25">
      <c r="B12" s="21" t="str">
        <f>NumeLună&amp;" Total"</f>
        <v>Martie Total</v>
      </c>
      <c r="C12" s="13">
        <f>SUBTOTAL(103,Martie[1])</f>
        <v>0</v>
      </c>
      <c r="D12" s="13">
        <f>SUBTOTAL(103,Martie[2])</f>
        <v>0</v>
      </c>
      <c r="E12" s="13">
        <f>SUBTOTAL(103,Martie[3])</f>
        <v>0</v>
      </c>
      <c r="F12" s="13">
        <f>SUBTOTAL(103,Martie[4])</f>
        <v>0</v>
      </c>
      <c r="G12" s="13">
        <f>SUBTOTAL(103,Martie[5])</f>
        <v>0</v>
      </c>
      <c r="H12" s="13">
        <f>SUBTOTAL(103,Martie[6])</f>
        <v>0</v>
      </c>
      <c r="I12" s="13">
        <f>SUBTOTAL(103,Martie[7])</f>
        <v>0</v>
      </c>
      <c r="J12" s="13">
        <f>SUBTOTAL(103,Martie[8])</f>
        <v>0</v>
      </c>
      <c r="K12" s="13">
        <f>SUBTOTAL(103,Martie[9])</f>
        <v>0</v>
      </c>
      <c r="L12" s="13">
        <f>SUBTOTAL(103,Martie[10])</f>
        <v>0</v>
      </c>
      <c r="M12" s="13">
        <f>SUBTOTAL(103,Martie[11])</f>
        <v>0</v>
      </c>
      <c r="N12" s="13">
        <f>SUBTOTAL(103,Martie[12])</f>
        <v>0</v>
      </c>
      <c r="O12" s="13">
        <f>SUBTOTAL(103,Martie[13])</f>
        <v>0</v>
      </c>
      <c r="P12" s="13">
        <f>SUBTOTAL(103,Martie[14])</f>
        <v>0</v>
      </c>
      <c r="Q12" s="13">
        <f>SUBTOTAL(103,Martie[15])</f>
        <v>0</v>
      </c>
      <c r="R12" s="13">
        <f>SUBTOTAL(103,Martie[16])</f>
        <v>0</v>
      </c>
      <c r="S12" s="13">
        <f>SUBTOTAL(103,Martie[17])</f>
        <v>0</v>
      </c>
      <c r="T12" s="13">
        <f>SUBTOTAL(103,Martie[18])</f>
        <v>0</v>
      </c>
      <c r="U12" s="13">
        <f>SUBTOTAL(103,Martie[19])</f>
        <v>0</v>
      </c>
      <c r="V12" s="13">
        <f>SUBTOTAL(103,Martie[20])</f>
        <v>0</v>
      </c>
      <c r="W12" s="13">
        <f>SUBTOTAL(103,Martie[21])</f>
        <v>0</v>
      </c>
      <c r="X12" s="13">
        <f>SUBTOTAL(103,Martie[22])</f>
        <v>0</v>
      </c>
      <c r="Y12" s="13">
        <f>SUBTOTAL(103,Martie[23])</f>
        <v>0</v>
      </c>
      <c r="Z12" s="13">
        <f>SUBTOTAL(103,Martie[24])</f>
        <v>0</v>
      </c>
      <c r="AA12" s="13">
        <f>SUBTOTAL(103,Martie[25])</f>
        <v>0</v>
      </c>
      <c r="AB12" s="13">
        <f>SUBTOTAL(103,Martie[26])</f>
        <v>0</v>
      </c>
      <c r="AC12" s="13">
        <f>SUBTOTAL(103,Martie[27])</f>
        <v>0</v>
      </c>
      <c r="AD12" s="13">
        <f>SUBTOTAL(103,Martie[28])</f>
        <v>0</v>
      </c>
      <c r="AE12" s="13">
        <f>SUBTOTAL(103,Martie[29])</f>
        <v>0</v>
      </c>
      <c r="AF12" s="13">
        <f>SUBTOTAL(103,Martie[30])</f>
        <v>0</v>
      </c>
      <c r="AG12" s="13">
        <f>SUBTOTAL(103,Martie[31])</f>
        <v>0</v>
      </c>
      <c r="AH12" s="13">
        <f>SUBTOTAL(109,Martie[Total zile])</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49" priority="2" stopIfTrue="1">
      <formula>C7=CheieParticularizată2</formula>
    </cfRule>
    <cfRule type="expression" dxfId="48" priority="3" stopIfTrue="1">
      <formula>C7=CheieParticularizată1</formula>
    </cfRule>
    <cfRule type="expression" dxfId="47" priority="4" stopIfTrue="1">
      <formula>C7=CheieConcediuMedical</formula>
    </cfRule>
    <cfRule type="expression" dxfId="46" priority="5" stopIfTrue="1">
      <formula>C7=CheiePersonal</formula>
    </cfRule>
    <cfRule type="expression" dxfId="45" priority="6" stopIfTrue="1">
      <formula>C7=CheieVacanță</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{7C2B6C3E-666E-4369-8C57-FD32A7D03A3C}</x14:id>
        </ext>
      </extLst>
    </cfRule>
  </conditionalFormatting>
  <dataValidations count="14">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200-000000000000}"/>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200-000001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200-000002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200-000003000000}"/>
    <dataValidation allowBlank="1" showInputMessage="1" showErrorMessage="1" prompt="Introduceți o etichetă pentru a descrie cheia particularizată din partea stângă" sqref="O2:Q2 S2:U2" xr:uid="{00000000-0002-0000-0200-000004000000}"/>
    <dataValidation allowBlank="1" showInputMessage="1" showErrorMessage="1" prompt="Introduceți o literă și particularizați eticheta din dreapta pentru a adăuga un alt element cheie" sqref="N2 R2" xr:uid="{00000000-0002-0000-0200-000005000000}"/>
    <dataValidation allowBlank="1" showInputMessage="1" showErrorMessage="1" prompt="Litera „M” indică o absență din motive medicale" sqref="K2" xr:uid="{00000000-0002-0000-0200-000006000000}"/>
    <dataValidation allowBlank="1" showInputMessage="1" showErrorMessage="1" prompt="Litera „P” indică o absență din motive personale" sqref="G2" xr:uid="{00000000-0002-0000-0200-000007000000}"/>
    <dataValidation allowBlank="1" showInputMessage="1" showErrorMessage="1" prompt="Litera „V” indică o absență pe motiv de vacanță" sqref="C2" xr:uid="{00000000-0002-0000-0200-000008000000}"/>
    <dataValidation allowBlank="1" showInputMessage="1" showErrorMessage="1" prompt="Titlul actualizat automat se află în această celulă. Pentru a modifica titlul, actualizați B1 în foaia de lucru Ianuarie" sqref="B1" xr:uid="{00000000-0002-0000-0200-000009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200-00000A000000}"/>
    <dataValidation allowBlank="1" showInputMessage="1" showErrorMessage="1" prompt="Urmăriți absențele din luna martie în această foaie de lucru" sqref="A1" xr:uid="{00000000-0002-0000-0200-00000B000000}"/>
    <dataValidation allowBlank="1" showInputMessage="1" showErrorMessage="1" prompt="În această coloană, calculează automat numărul total de zile în care un angajat a fost absent în luna respectivă" sqref="AH6" xr:uid="{00000000-0002-0000-0200-00000C000000}"/>
    <dataValidation allowBlank="1" showInputMessage="1" showErrorMessage="1" prompt="Anul actualizat automat pe baza anului introdus în foaia de lucru Ianuarie" sqref="AH4" xr:uid="{00000000-0002-0000-02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2B6C3E-666E-4369-8C57-FD32A7D03A3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E000000}">
          <x14:formula1>
            <xm:f>'Nume angajați'!$B$4:$B$8</xm:f>
          </x14:formula1>
          <xm:sqref>B7:B11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s="14"/>
    </row>
    <row r="4" spans="2:34" ht="30" customHeight="1" x14ac:dyDescent="0.25">
      <c r="B4" s="12" t="s">
        <v>55</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TEXT(WEEKDAY(DATE(CalendarYear,4,1),1),"aaa")</f>
        <v>lun</v>
      </c>
      <c r="D5" s="2" t="str">
        <f>TEXT(WEEKDAY(DATE(CalendarYear,4,2),1),"aaa")</f>
        <v>mar</v>
      </c>
      <c r="E5" s="2" t="str">
        <f>TEXT(WEEKDAY(DATE(CalendarYear,4,3),1),"aaa")</f>
        <v>mie</v>
      </c>
      <c r="F5" s="2" t="str">
        <f>TEXT(WEEKDAY(DATE(CalendarYear,4,4),1),"aaa")</f>
        <v>joi</v>
      </c>
      <c r="G5" s="2" t="str">
        <f>TEXT(WEEKDAY(DATE(CalendarYear,4,5),1),"aaa")</f>
        <v>vin</v>
      </c>
      <c r="H5" s="2" t="str">
        <f>TEXT(WEEKDAY(DATE(CalendarYear,4,6),1),"aaa")</f>
        <v>sâm</v>
      </c>
      <c r="I5" s="2" t="str">
        <f>TEXT(WEEKDAY(DATE(CalendarYear,4,7),1),"aaa")</f>
        <v>dum</v>
      </c>
      <c r="J5" s="2" t="str">
        <f>TEXT(WEEKDAY(DATE(CalendarYear,4,8),1),"aaa")</f>
        <v>lun</v>
      </c>
      <c r="K5" s="2" t="str">
        <f>TEXT(WEEKDAY(DATE(CalendarYear,4,9),1),"aaa")</f>
        <v>mar</v>
      </c>
      <c r="L5" s="2" t="str">
        <f>TEXT(WEEKDAY(DATE(CalendarYear,4,10),1),"aaa")</f>
        <v>mie</v>
      </c>
      <c r="M5" s="2" t="str">
        <f>TEXT(WEEKDAY(DATE(CalendarYear,4,11),1),"aaa")</f>
        <v>joi</v>
      </c>
      <c r="N5" s="2" t="str">
        <f>TEXT(WEEKDAY(DATE(CalendarYear,4,12),1),"aaa")</f>
        <v>vin</v>
      </c>
      <c r="O5" s="2" t="str">
        <f>TEXT(WEEKDAY(DATE(CalendarYear,4,13),1),"aaa")</f>
        <v>sâm</v>
      </c>
      <c r="P5" s="2" t="str">
        <f>TEXT(WEEKDAY(DATE(CalendarYear,4,14),1),"aaa")</f>
        <v>dum</v>
      </c>
      <c r="Q5" s="2" t="str">
        <f>TEXT(WEEKDAY(DATE(CalendarYear,4,15),1),"aaa")</f>
        <v>lun</v>
      </c>
      <c r="R5" s="2" t="str">
        <f>TEXT(WEEKDAY(DATE(CalendarYear,4,16),1),"aaa")</f>
        <v>mar</v>
      </c>
      <c r="S5" s="2" t="str">
        <f>TEXT(WEEKDAY(DATE(CalendarYear,4,17),1),"aaa")</f>
        <v>mie</v>
      </c>
      <c r="T5" s="2" t="str">
        <f>TEXT(WEEKDAY(DATE(CalendarYear,4,18),1),"aaa")</f>
        <v>joi</v>
      </c>
      <c r="U5" s="2" t="str">
        <f>TEXT(WEEKDAY(DATE(CalendarYear,4,19),1),"aaa")</f>
        <v>vin</v>
      </c>
      <c r="V5" s="2" t="str">
        <f>TEXT(WEEKDAY(DATE(CalendarYear,4,20),1),"aaa")</f>
        <v>sâm</v>
      </c>
      <c r="W5" s="2" t="str">
        <f>TEXT(WEEKDAY(DATE(CalendarYear,4,21),1),"aaa")</f>
        <v>dum</v>
      </c>
      <c r="X5" s="2" t="str">
        <f>TEXT(WEEKDAY(DATE(CalendarYear,4,22),1),"aaa")</f>
        <v>lun</v>
      </c>
      <c r="Y5" s="2" t="str">
        <f>TEXT(WEEKDAY(DATE(CalendarYear,4,23),1),"aaa")</f>
        <v>mar</v>
      </c>
      <c r="Z5" s="2" t="str">
        <f>TEXT(WEEKDAY(DATE(CalendarYear,4,24),1),"aaa")</f>
        <v>mie</v>
      </c>
      <c r="AA5" s="2" t="str">
        <f>TEXT(WEEKDAY(DATE(CalendarYear,4,25),1),"aaa")</f>
        <v>joi</v>
      </c>
      <c r="AB5" s="2" t="str">
        <f>TEXT(WEEKDAY(DATE(CalendarYear,4,26),1),"aaa")</f>
        <v>vin</v>
      </c>
      <c r="AC5" s="2" t="str">
        <f>TEXT(WEEKDAY(DATE(CalendarYear,4,27),1),"aaa")</f>
        <v>sâm</v>
      </c>
      <c r="AD5" s="2" t="str">
        <f>TEXT(WEEKDAY(DATE(CalendarYear,4,28),1),"aaa")</f>
        <v>dum</v>
      </c>
      <c r="AE5" s="2" t="str">
        <f>TEXT(WEEKDAY(DATE(CalendarYear,4,29),1),"aaa")</f>
        <v>lun</v>
      </c>
      <c r="AF5" s="2" t="str">
        <f>TEXT(WEEKDAY(DATE(CalendarYear,4,30),1),"aaa")</f>
        <v>mar</v>
      </c>
      <c r="AG5" s="2"/>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23" t="s">
        <v>52</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COUNTA(Aprilie[[#This Row],[1]:[30]])</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COUNTA(Aprilie[[#This Row],[1]:[30]])</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COUNTA(Aprilie[[#This Row],[1]:[30]])</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COUNTA(Aprilie[[#This Row],[1]:[30]])</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COUNTA(Aprilie[[#This Row],[1]:[30]])</f>
        <v>0</v>
      </c>
    </row>
    <row r="12" spans="2:34" ht="30" customHeight="1" x14ac:dyDescent="0.25">
      <c r="B12" s="21" t="str">
        <f>NumeLună&amp;" Total"</f>
        <v>Aprilie Total</v>
      </c>
      <c r="C12" s="13">
        <f>SUBTOTAL(103,Aprilie[1])</f>
        <v>0</v>
      </c>
      <c r="D12" s="13">
        <f>SUBTOTAL(103,Aprilie[2])</f>
        <v>0</v>
      </c>
      <c r="E12" s="13">
        <f>SUBTOTAL(103,Aprilie[3])</f>
        <v>0</v>
      </c>
      <c r="F12" s="13">
        <f>SUBTOTAL(103,Aprilie[4])</f>
        <v>0</v>
      </c>
      <c r="G12" s="13">
        <f>SUBTOTAL(103,Aprilie[5])</f>
        <v>0</v>
      </c>
      <c r="H12" s="13">
        <f>SUBTOTAL(103,Aprilie[6])</f>
        <v>0</v>
      </c>
      <c r="I12" s="13">
        <f>SUBTOTAL(103,Aprilie[7])</f>
        <v>0</v>
      </c>
      <c r="J12" s="13">
        <f>SUBTOTAL(103,Aprilie[8])</f>
        <v>0</v>
      </c>
      <c r="K12" s="13">
        <f>SUBTOTAL(103,Aprilie[9])</f>
        <v>0</v>
      </c>
      <c r="L12" s="13">
        <f>SUBTOTAL(103,Aprilie[10])</f>
        <v>0</v>
      </c>
      <c r="M12" s="13">
        <f>SUBTOTAL(103,Aprilie[11])</f>
        <v>0</v>
      </c>
      <c r="N12" s="13">
        <f>SUBTOTAL(103,Aprilie[12])</f>
        <v>0</v>
      </c>
      <c r="O12" s="13">
        <f>SUBTOTAL(103,Aprilie[13])</f>
        <v>0</v>
      </c>
      <c r="P12" s="13">
        <f>SUBTOTAL(103,Aprilie[14])</f>
        <v>0</v>
      </c>
      <c r="Q12" s="13">
        <f>SUBTOTAL(103,Aprilie[15])</f>
        <v>0</v>
      </c>
      <c r="R12" s="13">
        <f>SUBTOTAL(103,Aprilie[16])</f>
        <v>0</v>
      </c>
      <c r="S12" s="13">
        <f>SUBTOTAL(103,Aprilie[17])</f>
        <v>0</v>
      </c>
      <c r="T12" s="13">
        <f>SUBTOTAL(103,Aprilie[18])</f>
        <v>0</v>
      </c>
      <c r="U12" s="13">
        <f>SUBTOTAL(103,Aprilie[19])</f>
        <v>0</v>
      </c>
      <c r="V12" s="13">
        <f>SUBTOTAL(103,Aprilie[20])</f>
        <v>0</v>
      </c>
      <c r="W12" s="13">
        <f>SUBTOTAL(103,Aprilie[21])</f>
        <v>0</v>
      </c>
      <c r="X12" s="13">
        <f>SUBTOTAL(103,Aprilie[22])</f>
        <v>0</v>
      </c>
      <c r="Y12" s="13">
        <f>SUBTOTAL(103,Aprilie[23])</f>
        <v>0</v>
      </c>
      <c r="Z12" s="13">
        <f>SUBTOTAL(103,Aprilie[24])</f>
        <v>0</v>
      </c>
      <c r="AA12" s="13">
        <f>SUBTOTAL(103,Aprilie[25])</f>
        <v>0</v>
      </c>
      <c r="AB12" s="13">
        <f>SUBTOTAL(103,Aprilie[26])</f>
        <v>0</v>
      </c>
      <c r="AC12" s="13">
        <f>SUBTOTAL(103,Aprilie[27])</f>
        <v>0</v>
      </c>
      <c r="AD12" s="13">
        <f>SUBTOTAL(103,Aprilie[28])</f>
        <v>0</v>
      </c>
      <c r="AE12" s="13">
        <f>SUBTOTAL(103,Aprilie[29])</f>
        <v>0</v>
      </c>
      <c r="AF12" s="13">
        <f>SUBTOTAL(103,Aprilie[30])</f>
        <v>0</v>
      </c>
      <c r="AG12" s="13">
        <f>SUBTOTAL(103,Aprilie[30])</f>
        <v>0</v>
      </c>
      <c r="AH12" s="13">
        <f>SUBTOTAL(109,Aprilie[Total zile])</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44" priority="2" stopIfTrue="1">
      <formula>C7=CheieParticularizată2</formula>
    </cfRule>
    <cfRule type="expression" dxfId="43" priority="3" stopIfTrue="1">
      <formula>C7=CheieParticularizată1</formula>
    </cfRule>
    <cfRule type="expression" dxfId="42" priority="4" stopIfTrue="1">
      <formula>C7=CheieConcediuMedical</formula>
    </cfRule>
    <cfRule type="expression" dxfId="41" priority="5" stopIfTrue="1">
      <formula>C7=CheiePersonal</formula>
    </cfRule>
    <cfRule type="expression" dxfId="40" priority="6" stopIfTrue="1">
      <formula>C7=CheieVacanță</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{0C86709F-D813-4066-A3F1-C30F11214F4B}</x14:id>
        </ext>
      </extLst>
    </cfRule>
  </conditionalFormatting>
  <dataValidations count="14">
    <dataValidation allowBlank="1" showInputMessage="1" showErrorMessage="1" prompt="Anul actualizat automat pe baza anului introdus în foaia de lucru Ianuarie" sqref="AH4" xr:uid="{00000000-0002-0000-0300-000000000000}"/>
    <dataValidation allowBlank="1" showInputMessage="1" showErrorMessage="1" prompt="În această coloană, calculează automat numărul total de zile în care un angajat a fost absent în luna respectivă" sqref="AH6" xr:uid="{00000000-0002-0000-0300-000001000000}"/>
    <dataValidation allowBlank="1" showInputMessage="1" showErrorMessage="1" prompt="Urmăriți absențele din luna aprilie în această foaie de lucru" sqref="A1" xr:uid="{00000000-0002-0000-0300-000002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300-000003000000}"/>
    <dataValidation allowBlank="1" showInputMessage="1" showErrorMessage="1" prompt="Titlul actualizat automat se află în această celulă. Pentru a modifica titlul, actualizați B1 în foaia de lucru Ianuarie" sqref="B1" xr:uid="{00000000-0002-0000-0300-000004000000}"/>
    <dataValidation allowBlank="1" showInputMessage="1" showErrorMessage="1" prompt="Litera „V” indică o absență pe motiv de vacanță" sqref="C2" xr:uid="{00000000-0002-0000-0300-000005000000}"/>
    <dataValidation allowBlank="1" showInputMessage="1" showErrorMessage="1" prompt="Litera „P” indică o absență din motive personale" sqref="G2" xr:uid="{00000000-0002-0000-0300-000006000000}"/>
    <dataValidation allowBlank="1" showInputMessage="1" showErrorMessage="1" prompt="Litera „M” indică o absență din motive medicale" sqref="K2" xr:uid="{00000000-0002-0000-0300-000007000000}"/>
    <dataValidation allowBlank="1" showInputMessage="1" showErrorMessage="1" prompt="Introduceți o literă și particularizați eticheta din dreapta pentru a adăuga un alt element cheie" sqref="N2 R2" xr:uid="{00000000-0002-0000-0300-000008000000}"/>
    <dataValidation allowBlank="1" showInputMessage="1" showErrorMessage="1" prompt="Introduceți o etichetă pentru a descrie cheia particularizată din partea stângă" sqref="O2:Q2 S2:U2" xr:uid="{00000000-0002-0000-0300-000009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300-00000A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300-00000B000000}"/>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300-00000C000000}"/>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3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86709F-D813-4066-A3F1-C30F11214F4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E000000}">
          <x14:formula1>
            <xm:f>'Nume angajați'!$B$4:$B$8</xm:f>
          </x14:formula1>
          <xm:sqref>B7:B11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s="14"/>
    </row>
    <row r="4" spans="2:34" ht="30" customHeight="1" x14ac:dyDescent="0.25">
      <c r="B4" s="12" t="s">
        <v>56</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TEXT(WEEKDAY(DATE(CalendarYear,5,1),1),"aaa")</f>
        <v>mie</v>
      </c>
      <c r="D5" s="2" t="str">
        <f>TEXT(WEEKDAY(DATE(CalendarYear,5,2),1),"aaa")</f>
        <v>joi</v>
      </c>
      <c r="E5" s="2" t="str">
        <f>TEXT(WEEKDAY(DATE(CalendarYear,5,3),1),"aaa")</f>
        <v>vin</v>
      </c>
      <c r="F5" s="2" t="str">
        <f>TEXT(WEEKDAY(DATE(CalendarYear,5,4),1),"aaa")</f>
        <v>sâm</v>
      </c>
      <c r="G5" s="2" t="str">
        <f>TEXT(WEEKDAY(DATE(CalendarYear,5,5),1),"aaa")</f>
        <v>dum</v>
      </c>
      <c r="H5" s="2" t="str">
        <f>TEXT(WEEKDAY(DATE(CalendarYear,5,6),1),"aaa")</f>
        <v>lun</v>
      </c>
      <c r="I5" s="2" t="str">
        <f>TEXT(WEEKDAY(DATE(CalendarYear,5,7),1),"aaa")</f>
        <v>mar</v>
      </c>
      <c r="J5" s="2" t="str">
        <f>TEXT(WEEKDAY(DATE(CalendarYear,5,8),1),"aaa")</f>
        <v>mie</v>
      </c>
      <c r="K5" s="2" t="str">
        <f>TEXT(WEEKDAY(DATE(CalendarYear,5,9),1),"aaa")</f>
        <v>joi</v>
      </c>
      <c r="L5" s="2" t="str">
        <f>TEXT(WEEKDAY(DATE(CalendarYear,5,10),1),"aaa")</f>
        <v>vin</v>
      </c>
      <c r="M5" s="2" t="str">
        <f>TEXT(WEEKDAY(DATE(CalendarYear,5,11),1),"aaa")</f>
        <v>sâm</v>
      </c>
      <c r="N5" s="2" t="str">
        <f>TEXT(WEEKDAY(DATE(CalendarYear,5,12),1),"aaa")</f>
        <v>dum</v>
      </c>
      <c r="O5" s="2" t="str">
        <f>TEXT(WEEKDAY(DATE(CalendarYear,5,13),1),"aaa")</f>
        <v>lun</v>
      </c>
      <c r="P5" s="2" t="str">
        <f>TEXT(WEEKDAY(DATE(CalendarYear,5,14),1),"aaa")</f>
        <v>mar</v>
      </c>
      <c r="Q5" s="2" t="str">
        <f>TEXT(WEEKDAY(DATE(CalendarYear,5,15),1),"aaa")</f>
        <v>mie</v>
      </c>
      <c r="R5" s="2" t="str">
        <f>TEXT(WEEKDAY(DATE(CalendarYear,5,16),1),"aaa")</f>
        <v>joi</v>
      </c>
      <c r="S5" s="2" t="str">
        <f>TEXT(WEEKDAY(DATE(CalendarYear,5,17),1),"aaa")</f>
        <v>vin</v>
      </c>
      <c r="T5" s="2" t="str">
        <f>TEXT(WEEKDAY(DATE(CalendarYear,5,18),1),"aaa")</f>
        <v>sâm</v>
      </c>
      <c r="U5" s="2" t="str">
        <f>TEXT(WEEKDAY(DATE(CalendarYear,5,19),1),"aaa")</f>
        <v>dum</v>
      </c>
      <c r="V5" s="2" t="str">
        <f>TEXT(WEEKDAY(DATE(CalendarYear,5,20),1),"aaa")</f>
        <v>lun</v>
      </c>
      <c r="W5" s="2" t="str">
        <f>TEXT(WEEKDAY(DATE(CalendarYear,5,21),1),"aaa")</f>
        <v>mar</v>
      </c>
      <c r="X5" s="2" t="str">
        <f>TEXT(WEEKDAY(DATE(CalendarYear,5,22),1),"aaa")</f>
        <v>mie</v>
      </c>
      <c r="Y5" s="2" t="str">
        <f>TEXT(WEEKDAY(DATE(CalendarYear,5,23),1),"aaa")</f>
        <v>joi</v>
      </c>
      <c r="Z5" s="2" t="str">
        <f>TEXT(WEEKDAY(DATE(CalendarYear,5,24),1),"aaa")</f>
        <v>vin</v>
      </c>
      <c r="AA5" s="2" t="str">
        <f>TEXT(WEEKDAY(DATE(CalendarYear,5,25),1),"aaa")</f>
        <v>sâm</v>
      </c>
      <c r="AB5" s="2" t="str">
        <f>TEXT(WEEKDAY(DATE(CalendarYear,5,26),1),"aaa")</f>
        <v>dum</v>
      </c>
      <c r="AC5" s="2" t="str">
        <f>TEXT(WEEKDAY(DATE(CalendarYear,5,27),1),"aaa")</f>
        <v>lun</v>
      </c>
      <c r="AD5" s="2" t="str">
        <f>TEXT(WEEKDAY(DATE(CalendarYear,5,28),1),"aaa")</f>
        <v>mar</v>
      </c>
      <c r="AE5" s="2" t="str">
        <f>TEXT(WEEKDAY(DATE(CalendarYear,5,29),1),"aaa")</f>
        <v>mie</v>
      </c>
      <c r="AF5" s="2" t="str">
        <f>TEXT(WEEKDAY(DATE(CalendarYear,5,30),1),"aaa")</f>
        <v>joi</v>
      </c>
      <c r="AG5" s="2" t="str">
        <f>TEXT(WEEKDAY(DATE(CalendarYear,5,31),1),"aaa")</f>
        <v>vin</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COUNTA(Mai[[#This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COUNTA(Mai[[#This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COUNTA(Mai[[#This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COUNTA(Mai[[#This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COUNTA(Mai[[#This Row],[1]:[31]])</f>
        <v>0</v>
      </c>
    </row>
    <row r="12" spans="2:34" ht="30" customHeight="1" x14ac:dyDescent="0.25">
      <c r="B12" s="21" t="str">
        <f>NumeLună&amp;" Total"</f>
        <v>Mai Total</v>
      </c>
      <c r="C12" s="13">
        <f>SUBTOTAL(103,Mai[1])</f>
        <v>0</v>
      </c>
      <c r="D12" s="13">
        <f>SUBTOTAL(103,Mai[2])</f>
        <v>0</v>
      </c>
      <c r="E12" s="13">
        <f>SUBTOTAL(103,Mai[3])</f>
        <v>0</v>
      </c>
      <c r="F12" s="13">
        <f>SUBTOTAL(103,Mai[4])</f>
        <v>0</v>
      </c>
      <c r="G12" s="13">
        <f>SUBTOTAL(103,Mai[5])</f>
        <v>0</v>
      </c>
      <c r="H12" s="13">
        <f>SUBTOTAL(103,Mai[6])</f>
        <v>0</v>
      </c>
      <c r="I12" s="13">
        <f>SUBTOTAL(103,Mai[7])</f>
        <v>0</v>
      </c>
      <c r="J12" s="13">
        <f>SUBTOTAL(103,Mai[8])</f>
        <v>0</v>
      </c>
      <c r="K12" s="13">
        <f>SUBTOTAL(103,Mai[9])</f>
        <v>0</v>
      </c>
      <c r="L12" s="13">
        <f>SUBTOTAL(103,Mai[10])</f>
        <v>0</v>
      </c>
      <c r="M12" s="13">
        <f>SUBTOTAL(103,Mai[11])</f>
        <v>0</v>
      </c>
      <c r="N12" s="13">
        <f>SUBTOTAL(103,Mai[12])</f>
        <v>0</v>
      </c>
      <c r="O12" s="13">
        <f>SUBTOTAL(103,Mai[13])</f>
        <v>0</v>
      </c>
      <c r="P12" s="13">
        <f>SUBTOTAL(103,Mai[14])</f>
        <v>0</v>
      </c>
      <c r="Q12" s="13">
        <f>SUBTOTAL(103,Mai[15])</f>
        <v>0</v>
      </c>
      <c r="R12" s="13">
        <f>SUBTOTAL(103,Mai[16])</f>
        <v>0</v>
      </c>
      <c r="S12" s="13">
        <f>SUBTOTAL(103,Mai[17])</f>
        <v>0</v>
      </c>
      <c r="T12" s="13">
        <f>SUBTOTAL(103,Mai[18])</f>
        <v>0</v>
      </c>
      <c r="U12" s="13">
        <f>SUBTOTAL(103,Mai[19])</f>
        <v>0</v>
      </c>
      <c r="V12" s="13">
        <f>SUBTOTAL(103,Mai[20])</f>
        <v>0</v>
      </c>
      <c r="W12" s="13">
        <f>SUBTOTAL(103,Mai[21])</f>
        <v>0</v>
      </c>
      <c r="X12" s="13">
        <f>SUBTOTAL(103,Mai[22])</f>
        <v>0</v>
      </c>
      <c r="Y12" s="13">
        <f>SUBTOTAL(103,Mai[23])</f>
        <v>0</v>
      </c>
      <c r="Z12" s="13">
        <f>SUBTOTAL(103,Mai[24])</f>
        <v>0</v>
      </c>
      <c r="AA12" s="13">
        <f>SUBTOTAL(103,Mai[25])</f>
        <v>0</v>
      </c>
      <c r="AB12" s="13">
        <f>SUBTOTAL(103,Mai[26])</f>
        <v>0</v>
      </c>
      <c r="AC12" s="13">
        <f>SUBTOTAL(103,Mai[27])</f>
        <v>0</v>
      </c>
      <c r="AD12" s="13">
        <f>SUBTOTAL(103,Mai[28])</f>
        <v>0</v>
      </c>
      <c r="AE12" s="13">
        <f>SUBTOTAL(103,Mai[29])</f>
        <v>0</v>
      </c>
      <c r="AF12" s="13">
        <f>SUBTOTAL(103,Mai[30])</f>
        <v>0</v>
      </c>
      <c r="AG12" s="13">
        <f>SUBTOTAL(103,Mai[31])</f>
        <v>0</v>
      </c>
      <c r="AH12" s="13">
        <f>SUBTOTAL(109,Mai[Total zile])</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39" priority="2" stopIfTrue="1">
      <formula>C7=CheieParticularizată2</formula>
    </cfRule>
    <cfRule type="expression" dxfId="38" priority="3" stopIfTrue="1">
      <formula>C7=CheieParticularizată1</formula>
    </cfRule>
    <cfRule type="expression" dxfId="37" priority="4" stopIfTrue="1">
      <formula>C7=CheieConcediuMedical</formula>
    </cfRule>
    <cfRule type="expression" dxfId="36" priority="5" stopIfTrue="1">
      <formula>C7=CheiePersonal</formula>
    </cfRule>
    <cfRule type="expression" dxfId="35" priority="6" stopIfTrue="1">
      <formula>C7=CheieVacanță</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{5670947F-8B3C-4A6C-A280-4F5E10811DCE}</x14:id>
        </ext>
      </extLst>
    </cfRule>
  </conditionalFormatting>
  <dataValidations count="14">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400-000000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400-000001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400-000002000000}"/>
    <dataValidation allowBlank="1" showInputMessage="1" showErrorMessage="1" prompt="Introduceți o etichetă pentru a descrie cheia particularizată din partea stângă" sqref="O2:Q2 S2:U2" xr:uid="{00000000-0002-0000-0400-000003000000}"/>
    <dataValidation allowBlank="1" showInputMessage="1" showErrorMessage="1" prompt="Introduceți o literă și particularizați eticheta din dreapta pentru a adăuga un alt element cheie" sqref="N2 R2" xr:uid="{00000000-0002-0000-0400-000004000000}"/>
    <dataValidation allowBlank="1" showInputMessage="1" showErrorMessage="1" prompt="Litera „M” indică o absență din motive medicale" sqref="K2" xr:uid="{00000000-0002-0000-0400-000005000000}"/>
    <dataValidation allowBlank="1" showInputMessage="1" showErrorMessage="1" prompt="Litera „P” indică o absență din motive personale" sqref="G2" xr:uid="{00000000-0002-0000-0400-000006000000}"/>
    <dataValidation allowBlank="1" showInputMessage="1" showErrorMessage="1" prompt="Litera „V” indică o absență pe motiv de vacanță" sqref="C2" xr:uid="{00000000-0002-0000-0400-000007000000}"/>
    <dataValidation allowBlank="1" showInputMessage="1" showErrorMessage="1" prompt="Titlul actualizat automat se află în această celulă. Pentru a modifica titlul, actualizați B1 în foaia de lucru Ianuarie" sqref="B1" xr:uid="{00000000-0002-0000-0400-000008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400-000009000000}"/>
    <dataValidation allowBlank="1" showInputMessage="1" showErrorMessage="1" prompt="Urmăriți absențele din luna mai în această foaie de lucru" sqref="A1" xr:uid="{00000000-0002-0000-0400-00000A000000}"/>
    <dataValidation allowBlank="1" showInputMessage="1" showErrorMessage="1" prompt="În această coloană, calculează automat numărul total de zile în care un angajat a fost absent în luna respectivă" sqref="AH6" xr:uid="{00000000-0002-0000-0400-00000B000000}"/>
    <dataValidation allowBlank="1" showInputMessage="1" showErrorMessage="1" prompt="Anul actualizat automat pe baza anului introdus în foaia de lucru Ianuarie" sqref="AH4" xr:uid="{00000000-0002-0000-0400-00000C000000}"/>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4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670947F-8B3C-4A6C-A280-4F5E10811DCE}">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E000000}">
          <x14:formula1>
            <xm:f>'Nume angajați'!$B$4:$B$8</xm:f>
          </x14:formula1>
          <xm:sqref>B7:B11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s="14"/>
    </row>
    <row r="4" spans="2:34" ht="30" customHeight="1" x14ac:dyDescent="0.25">
      <c r="B4" s="12" t="s">
        <v>57</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TEXT(WEEKDAY(DATE(CalendarYear,6,1),1),"aaa")</f>
        <v>sâm</v>
      </c>
      <c r="D5" s="2" t="str">
        <f>TEXT(WEEKDAY(DATE(CalendarYear,6,2),1),"aaa")</f>
        <v>dum</v>
      </c>
      <c r="E5" s="2" t="str">
        <f>TEXT(WEEKDAY(DATE(CalendarYear,6,3),1),"aaa")</f>
        <v>lun</v>
      </c>
      <c r="F5" s="2" t="str">
        <f>TEXT(WEEKDAY(DATE(CalendarYear,6,4),1),"aaa")</f>
        <v>mar</v>
      </c>
      <c r="G5" s="2" t="str">
        <f>TEXT(WEEKDAY(DATE(CalendarYear,6,5),1),"aaa")</f>
        <v>mie</v>
      </c>
      <c r="H5" s="2" t="str">
        <f>TEXT(WEEKDAY(DATE(CalendarYear,6,6),1),"aaa")</f>
        <v>joi</v>
      </c>
      <c r="I5" s="2" t="str">
        <f>TEXT(WEEKDAY(DATE(CalendarYear,6,7),1),"aaa")</f>
        <v>vin</v>
      </c>
      <c r="J5" s="2" t="str">
        <f>TEXT(WEEKDAY(DATE(CalendarYear,6,8),1),"aaa")</f>
        <v>sâm</v>
      </c>
      <c r="K5" s="2" t="str">
        <f>TEXT(WEEKDAY(DATE(CalendarYear,6,9),1),"aaa")</f>
        <v>dum</v>
      </c>
      <c r="L5" s="2" t="str">
        <f>TEXT(WEEKDAY(DATE(CalendarYear,6,10),1),"aaa")</f>
        <v>lun</v>
      </c>
      <c r="M5" s="2" t="str">
        <f>TEXT(WEEKDAY(DATE(CalendarYear,6,11),1),"aaa")</f>
        <v>mar</v>
      </c>
      <c r="N5" s="2" t="str">
        <f>TEXT(WEEKDAY(DATE(CalendarYear,6,12),1),"aaa")</f>
        <v>mie</v>
      </c>
      <c r="O5" s="2" t="str">
        <f>TEXT(WEEKDAY(DATE(CalendarYear,6,13),1),"aaa")</f>
        <v>joi</v>
      </c>
      <c r="P5" s="2" t="str">
        <f>TEXT(WEEKDAY(DATE(CalendarYear,6,14),1),"aaa")</f>
        <v>vin</v>
      </c>
      <c r="Q5" s="2" t="str">
        <f>TEXT(WEEKDAY(DATE(CalendarYear,6,15),1),"aaa")</f>
        <v>sâm</v>
      </c>
      <c r="R5" s="2" t="str">
        <f>TEXT(WEEKDAY(DATE(CalendarYear,6,16),1),"aaa")</f>
        <v>dum</v>
      </c>
      <c r="S5" s="2" t="str">
        <f>TEXT(WEEKDAY(DATE(CalendarYear,6,17),1),"aaa")</f>
        <v>lun</v>
      </c>
      <c r="T5" s="2" t="str">
        <f>TEXT(WEEKDAY(DATE(CalendarYear,6,18),1),"aaa")</f>
        <v>mar</v>
      </c>
      <c r="U5" s="2" t="str">
        <f>TEXT(WEEKDAY(DATE(CalendarYear,6,19),1),"aaa")</f>
        <v>mie</v>
      </c>
      <c r="V5" s="2" t="str">
        <f>TEXT(WEEKDAY(DATE(CalendarYear,6,20),1),"aaa")</f>
        <v>joi</v>
      </c>
      <c r="W5" s="2" t="str">
        <f>TEXT(WEEKDAY(DATE(CalendarYear,6,21),1),"aaa")</f>
        <v>vin</v>
      </c>
      <c r="X5" s="2" t="str">
        <f>TEXT(WEEKDAY(DATE(CalendarYear,6,22),1),"aaa")</f>
        <v>sâm</v>
      </c>
      <c r="Y5" s="2" t="str">
        <f>TEXT(WEEKDAY(DATE(CalendarYear,6,23),1),"aaa")</f>
        <v>dum</v>
      </c>
      <c r="Z5" s="2" t="str">
        <f>TEXT(WEEKDAY(DATE(CalendarYear,6,24),1),"aaa")</f>
        <v>lun</v>
      </c>
      <c r="AA5" s="2" t="str">
        <f>TEXT(WEEKDAY(DATE(CalendarYear,6,25),1),"aaa")</f>
        <v>mar</v>
      </c>
      <c r="AB5" s="2" t="str">
        <f>TEXT(WEEKDAY(DATE(CalendarYear,6,26),1),"aaa")</f>
        <v>mie</v>
      </c>
      <c r="AC5" s="2" t="str">
        <f>TEXT(WEEKDAY(DATE(CalendarYear,6,27),1),"aaa")</f>
        <v>joi</v>
      </c>
      <c r="AD5" s="2" t="str">
        <f>TEXT(WEEKDAY(DATE(CalendarYear,6,28),1),"aaa")</f>
        <v>vin</v>
      </c>
      <c r="AE5" s="2" t="str">
        <f>TEXT(WEEKDAY(DATE(CalendarYear,6,29),1),"aaa")</f>
        <v>sâm</v>
      </c>
      <c r="AF5" s="2" t="str">
        <f>TEXT(WEEKDAY(DATE(CalendarYear,6,30),1),"aaa")</f>
        <v>dum</v>
      </c>
      <c r="AG5" s="2"/>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52</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COUNTA(Iunie[[#This Row],[1]:[30]])</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COUNTA(Iunie[[#This Row],[1]:[30]])</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COUNTA(Iunie[[#This Row],[1]:[30]])</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COUNTA(Iunie[[#This Row],[1]:[30]])</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COUNTA(Iunie[[#This Row],[1]:[30]])</f>
        <v>0</v>
      </c>
    </row>
    <row r="12" spans="2:34" ht="30" customHeight="1" x14ac:dyDescent="0.25">
      <c r="B12" s="21" t="str">
        <f>NumeLună&amp;" Total"</f>
        <v>Iunie Total</v>
      </c>
      <c r="C12" s="13">
        <f>SUBTOTAL(103,Iunie[1])</f>
        <v>0</v>
      </c>
      <c r="D12" s="13">
        <f>SUBTOTAL(103,Iunie[2])</f>
        <v>0</v>
      </c>
      <c r="E12" s="13">
        <f>SUBTOTAL(103,Iunie[3])</f>
        <v>0</v>
      </c>
      <c r="F12" s="13">
        <f>SUBTOTAL(103,Iunie[4])</f>
        <v>0</v>
      </c>
      <c r="G12" s="13">
        <f>SUBTOTAL(103,Iunie[5])</f>
        <v>0</v>
      </c>
      <c r="H12" s="13">
        <f>SUBTOTAL(103,Iunie[6])</f>
        <v>0</v>
      </c>
      <c r="I12" s="13">
        <f>SUBTOTAL(103,Iunie[7])</f>
        <v>0</v>
      </c>
      <c r="J12" s="13">
        <f>SUBTOTAL(103,Iunie[8])</f>
        <v>0</v>
      </c>
      <c r="K12" s="13">
        <f>SUBTOTAL(103,Iunie[9])</f>
        <v>0</v>
      </c>
      <c r="L12" s="13">
        <f>SUBTOTAL(103,Iunie[10])</f>
        <v>0</v>
      </c>
      <c r="M12" s="13">
        <f>SUBTOTAL(103,Iunie[11])</f>
        <v>0</v>
      </c>
      <c r="N12" s="13">
        <f>SUBTOTAL(103,Iunie[12])</f>
        <v>0</v>
      </c>
      <c r="O12" s="13">
        <f>SUBTOTAL(103,Iunie[13])</f>
        <v>0</v>
      </c>
      <c r="P12" s="13">
        <f>SUBTOTAL(103,Iunie[14])</f>
        <v>0</v>
      </c>
      <c r="Q12" s="13">
        <f>SUBTOTAL(103,Iunie[15])</f>
        <v>0</v>
      </c>
      <c r="R12" s="13">
        <f>SUBTOTAL(103,Iunie[16])</f>
        <v>0</v>
      </c>
      <c r="S12" s="13">
        <f>SUBTOTAL(103,Iunie[17])</f>
        <v>0</v>
      </c>
      <c r="T12" s="13">
        <f>SUBTOTAL(103,Iunie[18])</f>
        <v>0</v>
      </c>
      <c r="U12" s="13">
        <f>SUBTOTAL(103,Iunie[19])</f>
        <v>0</v>
      </c>
      <c r="V12" s="13">
        <f>SUBTOTAL(103,Iunie[20])</f>
        <v>0</v>
      </c>
      <c r="W12" s="13">
        <f>SUBTOTAL(103,Iunie[21])</f>
        <v>0</v>
      </c>
      <c r="X12" s="13">
        <f>SUBTOTAL(103,Iunie[22])</f>
        <v>0</v>
      </c>
      <c r="Y12" s="13">
        <f>SUBTOTAL(103,Iunie[23])</f>
        <v>0</v>
      </c>
      <c r="Z12" s="13">
        <f>SUBTOTAL(103,Iunie[24])</f>
        <v>0</v>
      </c>
      <c r="AA12" s="13">
        <f>SUBTOTAL(103,Iunie[25])</f>
        <v>0</v>
      </c>
      <c r="AB12" s="13">
        <f>SUBTOTAL(103,Iunie[26])</f>
        <v>0</v>
      </c>
      <c r="AC12" s="13">
        <f>SUBTOTAL(103,Iunie[27])</f>
        <v>0</v>
      </c>
      <c r="AD12" s="13">
        <f>SUBTOTAL(103,Iunie[28])</f>
        <v>0</v>
      </c>
      <c r="AE12" s="13">
        <f>SUBTOTAL(103,Iunie[29])</f>
        <v>0</v>
      </c>
      <c r="AF12" s="13">
        <f>SUBTOTAL(103,Iunie[30])</f>
        <v>0</v>
      </c>
      <c r="AG12" s="13">
        <f>SUBTOTAL(103,Iunie[[ ]])</f>
        <v>0</v>
      </c>
      <c r="AH12" s="13">
        <f>SUBTOTAL(109,Iunie[Total zile])</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34" priority="2" stopIfTrue="1">
      <formula>C7=CheieParticularizată2</formula>
    </cfRule>
    <cfRule type="expression" dxfId="33" priority="3" stopIfTrue="1">
      <formula>C7=CheieParticularizată1</formula>
    </cfRule>
    <cfRule type="expression" dxfId="32" priority="4" stopIfTrue="1">
      <formula>C7=CheieConcediuMedical</formula>
    </cfRule>
    <cfRule type="expression" dxfId="31" priority="5" stopIfTrue="1">
      <formula>C7=CheiePersonal</formula>
    </cfRule>
    <cfRule type="expression" dxfId="30" priority="6" stopIfTrue="1">
      <formula>C7=CheieVacanță</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{5E94D469-7B22-408B-924D-8DC8A136AD3B}</x14:id>
        </ext>
      </extLst>
    </cfRule>
  </conditionalFormatting>
  <dataValidations count="14">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500-000000000000}"/>
    <dataValidation allowBlank="1" showInputMessage="1" showErrorMessage="1" prompt="Anul actualizat automat pe baza anului introdus în foaia de lucru Ianuarie" sqref="AH4" xr:uid="{00000000-0002-0000-0500-000001000000}"/>
    <dataValidation allowBlank="1" showInputMessage="1" showErrorMessage="1" prompt="În această coloană, calculează automat numărul total de zile în care un angajat a fost absent în luna respectivă" sqref="AH6" xr:uid="{00000000-0002-0000-0500-000002000000}"/>
    <dataValidation allowBlank="1" showInputMessage="1" showErrorMessage="1" prompt="Urmăriți absențele din luna iunie în această foaie de lucru" sqref="A1" xr:uid="{00000000-0002-0000-0500-000003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500-000004000000}"/>
    <dataValidation allowBlank="1" showInputMessage="1" showErrorMessage="1" prompt="Titlul actualizat automat se află în această celulă. Pentru a modifica titlul, actualizați B1 în foaia de lucru Ianuarie" sqref="B1" xr:uid="{00000000-0002-0000-0500-000005000000}"/>
    <dataValidation allowBlank="1" showInputMessage="1" showErrorMessage="1" prompt="Litera „V” indică o absență pe motiv de vacanță" sqref="C2" xr:uid="{00000000-0002-0000-0500-000006000000}"/>
    <dataValidation allowBlank="1" showInputMessage="1" showErrorMessage="1" prompt="Litera „P” indică o absență din motive personale" sqref="G2" xr:uid="{00000000-0002-0000-0500-000007000000}"/>
    <dataValidation allowBlank="1" showInputMessage="1" showErrorMessage="1" prompt="Litera „M” indică o absență din motive medicale" sqref="K2" xr:uid="{00000000-0002-0000-0500-000008000000}"/>
    <dataValidation allowBlank="1" showInputMessage="1" showErrorMessage="1" prompt="Introduceți o literă și particularizați eticheta din dreapta pentru a adăuga un alt element cheie" sqref="N2 R2" xr:uid="{00000000-0002-0000-0500-000009000000}"/>
    <dataValidation allowBlank="1" showInputMessage="1" showErrorMessage="1" prompt="Introduceți o etichetă pentru a descrie cheia particularizată din partea stângă" sqref="O2:Q2 S2:U2" xr:uid="{00000000-0002-0000-0500-00000A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500-00000B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500-00000C000000}"/>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5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E94D469-7B22-408B-924D-8DC8A136AD3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E000000}">
          <x14:formula1>
            <xm:f>'Nume angajați'!$B$4:$B$8</xm:f>
          </x14:formula1>
          <xm:sqref>B7:B11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s="14"/>
    </row>
    <row r="4" spans="2:34" ht="30" customHeight="1" x14ac:dyDescent="0.25">
      <c r="B4" s="12" t="s">
        <v>58</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TEXT(WEEKDAY(DATE(CalendarYear,7,1),1),"aaa")</f>
        <v>lun</v>
      </c>
      <c r="D5" s="2" t="str">
        <f>TEXT(WEEKDAY(DATE(CalendarYear,7,2),1),"aaa")</f>
        <v>mar</v>
      </c>
      <c r="E5" s="2" t="str">
        <f>TEXT(WEEKDAY(DATE(CalendarYear,7,3),1),"aaa")</f>
        <v>mie</v>
      </c>
      <c r="F5" s="2" t="str">
        <f>TEXT(WEEKDAY(DATE(CalendarYear,7,4),1),"aaa")</f>
        <v>joi</v>
      </c>
      <c r="G5" s="2" t="str">
        <f>TEXT(WEEKDAY(DATE(CalendarYear,7,5),1),"aaa")</f>
        <v>vin</v>
      </c>
      <c r="H5" s="2" t="str">
        <f>TEXT(WEEKDAY(DATE(CalendarYear,7,6),1),"aaa")</f>
        <v>sâm</v>
      </c>
      <c r="I5" s="2" t="str">
        <f>TEXT(WEEKDAY(DATE(CalendarYear,7,7),1),"aaa")</f>
        <v>dum</v>
      </c>
      <c r="J5" s="2" t="str">
        <f>TEXT(WEEKDAY(DATE(CalendarYear,7,8),1),"aaa")</f>
        <v>lun</v>
      </c>
      <c r="K5" s="2" t="str">
        <f>TEXT(WEEKDAY(DATE(CalendarYear,7,9),1),"aaa")</f>
        <v>mar</v>
      </c>
      <c r="L5" s="2" t="str">
        <f>TEXT(WEEKDAY(DATE(CalendarYear,7,10),1),"aaa")</f>
        <v>mie</v>
      </c>
      <c r="M5" s="2" t="str">
        <f>TEXT(WEEKDAY(DATE(CalendarYear,7,11),1),"aaa")</f>
        <v>joi</v>
      </c>
      <c r="N5" s="2" t="str">
        <f>TEXT(WEEKDAY(DATE(CalendarYear,7,12),1),"aaa")</f>
        <v>vin</v>
      </c>
      <c r="O5" s="2" t="str">
        <f>TEXT(WEEKDAY(DATE(CalendarYear,7,13),1),"aaa")</f>
        <v>sâm</v>
      </c>
      <c r="P5" s="2" t="str">
        <f>TEXT(WEEKDAY(DATE(CalendarYear,7,14),1),"aaa")</f>
        <v>dum</v>
      </c>
      <c r="Q5" s="2" t="str">
        <f>TEXT(WEEKDAY(DATE(CalendarYear,7,15),1),"aaa")</f>
        <v>lun</v>
      </c>
      <c r="R5" s="2" t="str">
        <f>TEXT(WEEKDAY(DATE(CalendarYear,7,16),1),"aaa")</f>
        <v>mar</v>
      </c>
      <c r="S5" s="2" t="str">
        <f>TEXT(WEEKDAY(DATE(CalendarYear,7,17),1),"aaa")</f>
        <v>mie</v>
      </c>
      <c r="T5" s="2" t="str">
        <f>TEXT(WEEKDAY(DATE(CalendarYear,7,18),1),"aaa")</f>
        <v>joi</v>
      </c>
      <c r="U5" s="2" t="str">
        <f>TEXT(WEEKDAY(DATE(CalendarYear,7,19),1),"aaa")</f>
        <v>vin</v>
      </c>
      <c r="V5" s="2" t="str">
        <f>TEXT(WEEKDAY(DATE(CalendarYear,7,20),1),"aaa")</f>
        <v>sâm</v>
      </c>
      <c r="W5" s="2" t="str">
        <f>TEXT(WEEKDAY(DATE(CalendarYear,7,21),1),"aaa")</f>
        <v>dum</v>
      </c>
      <c r="X5" s="2" t="str">
        <f>TEXT(WEEKDAY(DATE(CalendarYear,7,22),1),"aaa")</f>
        <v>lun</v>
      </c>
      <c r="Y5" s="2" t="str">
        <f>TEXT(WEEKDAY(DATE(CalendarYear,7,23),1),"aaa")</f>
        <v>mar</v>
      </c>
      <c r="Z5" s="2" t="str">
        <f>TEXT(WEEKDAY(DATE(CalendarYear,7,24),1),"aaa")</f>
        <v>mie</v>
      </c>
      <c r="AA5" s="2" t="str">
        <f>TEXT(WEEKDAY(DATE(CalendarYear,7,25),1),"aaa")</f>
        <v>joi</v>
      </c>
      <c r="AB5" s="2" t="str">
        <f>TEXT(WEEKDAY(DATE(CalendarYear,7,26),1),"aaa")</f>
        <v>vin</v>
      </c>
      <c r="AC5" s="2" t="str">
        <f>TEXT(WEEKDAY(DATE(CalendarYear,7,27),1),"aaa")</f>
        <v>sâm</v>
      </c>
      <c r="AD5" s="2" t="str">
        <f>TEXT(WEEKDAY(DATE(CalendarYear,7,28),1),"aaa")</f>
        <v>dum</v>
      </c>
      <c r="AE5" s="2" t="str">
        <f>TEXT(WEEKDAY(DATE(CalendarYear,7,29),1),"aaa")</f>
        <v>lun</v>
      </c>
      <c r="AF5" s="2" t="str">
        <f>TEXT(WEEKDAY(DATE(CalendarYear,7,30),1),"aaa")</f>
        <v>mar</v>
      </c>
      <c r="AG5" s="2" t="str">
        <f>TEXT(WEEKDAY(DATE(CalendarYear,7,31),1),"aaa")</f>
        <v>mie</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COUNTA(Iulie[[#This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COUNTA(Iulie[[#This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COUNTA(Iulie[[#This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COUNTA(Iulie[[#This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COUNTA(Iulie[[#This Row],[1]:[31]])</f>
        <v>0</v>
      </c>
    </row>
    <row r="12" spans="2:34" ht="30" customHeight="1" x14ac:dyDescent="0.25">
      <c r="B12" s="21" t="str">
        <f>NumeLună&amp;" Total"</f>
        <v>Iulie Total</v>
      </c>
      <c r="C12" s="13">
        <f>SUBTOTAL(103,Iulie[1])</f>
        <v>0</v>
      </c>
      <c r="D12" s="13">
        <f>SUBTOTAL(103,Iulie[2])</f>
        <v>0</v>
      </c>
      <c r="E12" s="13">
        <f>SUBTOTAL(103,Iulie[3])</f>
        <v>0</v>
      </c>
      <c r="F12" s="13">
        <f>SUBTOTAL(103,Iulie[4])</f>
        <v>0</v>
      </c>
      <c r="G12" s="13">
        <f>SUBTOTAL(103,Iulie[5])</f>
        <v>0</v>
      </c>
      <c r="H12" s="13">
        <f>SUBTOTAL(103,Iulie[6])</f>
        <v>0</v>
      </c>
      <c r="I12" s="13">
        <f>SUBTOTAL(103,Iulie[7])</f>
        <v>0</v>
      </c>
      <c r="J12" s="13">
        <f>SUBTOTAL(103,Iulie[8])</f>
        <v>0</v>
      </c>
      <c r="K12" s="13">
        <f>SUBTOTAL(103,Iulie[9])</f>
        <v>0</v>
      </c>
      <c r="L12" s="13">
        <f>SUBTOTAL(103,Iulie[10])</f>
        <v>0</v>
      </c>
      <c r="M12" s="13">
        <f>SUBTOTAL(103,Iulie[11])</f>
        <v>0</v>
      </c>
      <c r="N12" s="13">
        <f>SUBTOTAL(103,Iulie[12])</f>
        <v>0</v>
      </c>
      <c r="O12" s="13">
        <f>SUBTOTAL(103,Iulie[13])</f>
        <v>0</v>
      </c>
      <c r="P12" s="13">
        <f>SUBTOTAL(103,Iulie[14])</f>
        <v>0</v>
      </c>
      <c r="Q12" s="13">
        <f>SUBTOTAL(103,Iulie[15])</f>
        <v>0</v>
      </c>
      <c r="R12" s="13">
        <f>SUBTOTAL(103,Iulie[16])</f>
        <v>0</v>
      </c>
      <c r="S12" s="13">
        <f>SUBTOTAL(103,Iulie[17])</f>
        <v>0</v>
      </c>
      <c r="T12" s="13">
        <f>SUBTOTAL(103,Iulie[18])</f>
        <v>0</v>
      </c>
      <c r="U12" s="13">
        <f>SUBTOTAL(103,Iulie[19])</f>
        <v>0</v>
      </c>
      <c r="V12" s="13">
        <f>SUBTOTAL(103,Iulie[20])</f>
        <v>0</v>
      </c>
      <c r="W12" s="13">
        <f>SUBTOTAL(103,Iulie[21])</f>
        <v>0</v>
      </c>
      <c r="X12" s="13">
        <f>SUBTOTAL(103,Iulie[22])</f>
        <v>0</v>
      </c>
      <c r="Y12" s="13">
        <f>SUBTOTAL(103,Iulie[23])</f>
        <v>0</v>
      </c>
      <c r="Z12" s="13">
        <f>SUBTOTAL(103,Iulie[24])</f>
        <v>0</v>
      </c>
      <c r="AA12" s="13">
        <f>SUBTOTAL(103,Iulie[25])</f>
        <v>0</v>
      </c>
      <c r="AB12" s="13">
        <f>SUBTOTAL(103,Iulie[26])</f>
        <v>0</v>
      </c>
      <c r="AC12" s="13">
        <f>SUBTOTAL(103,Iulie[27])</f>
        <v>0</v>
      </c>
      <c r="AD12" s="13">
        <f>SUBTOTAL(103,Iulie[28])</f>
        <v>0</v>
      </c>
      <c r="AE12" s="13">
        <f>SUBTOTAL(103,Iulie[29])</f>
        <v>0</v>
      </c>
      <c r="AF12" s="13">
        <f>SUBTOTAL(103,Iulie[30])</f>
        <v>0</v>
      </c>
      <c r="AG12" s="13">
        <f>SUBTOTAL(103,Iulie[31])</f>
        <v>0</v>
      </c>
      <c r="AH12" s="13">
        <f>SUBTOTAL(109,Iulie[Total zile])</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29" priority="2" stopIfTrue="1">
      <formula>C7=CheieParticularizată2</formula>
    </cfRule>
    <cfRule type="expression" dxfId="28" priority="3" stopIfTrue="1">
      <formula>C7=CheieParticularizată1</formula>
    </cfRule>
    <cfRule type="expression" dxfId="27" priority="4" stopIfTrue="1">
      <formula>C7=CheieConcediuMedical</formula>
    </cfRule>
    <cfRule type="expression" dxfId="26" priority="5" stopIfTrue="1">
      <formula>C7=CheiePersonal</formula>
    </cfRule>
    <cfRule type="expression" dxfId="25" priority="6" stopIfTrue="1">
      <formula>C7=CheieVacanță</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{E0DCF129-9B2A-4CEB-9E56-27607F4BED20}</x14:id>
        </ext>
      </extLst>
    </cfRule>
  </conditionalFormatting>
  <dataValidations count="14">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600-000000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600-000001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600-000002000000}"/>
    <dataValidation allowBlank="1" showInputMessage="1" showErrorMessage="1" prompt="Introduceți o etichetă pentru a descrie cheia particularizată din partea stângă" sqref="O2:Q2 S2:U2" xr:uid="{00000000-0002-0000-0600-000003000000}"/>
    <dataValidation allowBlank="1" showInputMessage="1" showErrorMessage="1" prompt="Introduceți o literă și particularizați eticheta din dreapta pentru a adăuga un alt element cheie" sqref="N2 R2" xr:uid="{00000000-0002-0000-0600-000004000000}"/>
    <dataValidation allowBlank="1" showInputMessage="1" showErrorMessage="1" prompt="Litera „M” indică o absență din motive medicale" sqref="K2" xr:uid="{00000000-0002-0000-0600-000005000000}"/>
    <dataValidation allowBlank="1" showInputMessage="1" showErrorMessage="1" prompt="Litera „P” indică o absență din motive personale" sqref="G2" xr:uid="{00000000-0002-0000-0600-000006000000}"/>
    <dataValidation allowBlank="1" showInputMessage="1" showErrorMessage="1" prompt="Litera „V” indică o absență pe motiv de vacanță" sqref="C2" xr:uid="{00000000-0002-0000-0600-000007000000}"/>
    <dataValidation allowBlank="1" showInputMessage="1" showErrorMessage="1" prompt="Titlul actualizat automat se află în această celulă. Pentru a modifica titlul, actualizați B1 în foaia de lucru Ianuarie" sqref="B1" xr:uid="{00000000-0002-0000-0600-000008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600-000009000000}"/>
    <dataValidation allowBlank="1" showInputMessage="1" showErrorMessage="1" prompt="Urmăriți absențele din luna iulie în această foaie de lucru" sqref="A1" xr:uid="{00000000-0002-0000-0600-00000A000000}"/>
    <dataValidation allowBlank="1" showInputMessage="1" showErrorMessage="1" prompt="În această coloană, calculează automat numărul total de zile în care un angajat a fost absent în luna respectivă" sqref="AH6" xr:uid="{00000000-0002-0000-0600-00000B000000}"/>
    <dataValidation allowBlank="1" showInputMessage="1" showErrorMessage="1" prompt="Anul actualizat automat pe baza anului introdus în foaia de lucru Ianuarie" sqref="AH4" xr:uid="{00000000-0002-0000-0600-00000C000000}"/>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6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0DCF129-9B2A-4CEB-9E56-27607F4BED20}">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E000000}">
          <x14:formula1>
            <xm:f>'Nume angajați'!$B$4:$B$8</xm:f>
          </x14:formula1>
          <xm:sqref>B7:B11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749992370372631"/>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s="14"/>
    </row>
    <row r="4" spans="2:34" ht="30" customHeight="1" x14ac:dyDescent="0.25">
      <c r="B4" s="12" t="s">
        <v>59</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TEXT(WEEKDAY(DATE(CalendarYear,8,1),1),"aaa")</f>
        <v>joi</v>
      </c>
      <c r="D5" s="2" t="str">
        <f>TEXT(WEEKDAY(DATE(CalendarYear,8,2),1),"aaa")</f>
        <v>vin</v>
      </c>
      <c r="E5" s="2" t="str">
        <f>TEXT(WEEKDAY(DATE(CalendarYear,8,3),1),"aaa")</f>
        <v>sâm</v>
      </c>
      <c r="F5" s="2" t="str">
        <f>TEXT(WEEKDAY(DATE(CalendarYear,8,4),1),"aaa")</f>
        <v>dum</v>
      </c>
      <c r="G5" s="2" t="str">
        <f>TEXT(WEEKDAY(DATE(CalendarYear,8,5),1),"aaa")</f>
        <v>lun</v>
      </c>
      <c r="H5" s="2" t="str">
        <f>TEXT(WEEKDAY(DATE(CalendarYear,8,6),1),"aaa")</f>
        <v>mar</v>
      </c>
      <c r="I5" s="2" t="str">
        <f>TEXT(WEEKDAY(DATE(CalendarYear,8,7),1),"aaa")</f>
        <v>mie</v>
      </c>
      <c r="J5" s="2" t="str">
        <f>TEXT(WEEKDAY(DATE(CalendarYear,8,8),1),"aaa")</f>
        <v>joi</v>
      </c>
      <c r="K5" s="2" t="str">
        <f>TEXT(WEEKDAY(DATE(CalendarYear,8,9),1),"aaa")</f>
        <v>vin</v>
      </c>
      <c r="L5" s="2" t="str">
        <f>TEXT(WEEKDAY(DATE(CalendarYear,8,10),1),"aaa")</f>
        <v>sâm</v>
      </c>
      <c r="M5" s="2" t="str">
        <f>TEXT(WEEKDAY(DATE(CalendarYear,8,11),1),"aaa")</f>
        <v>dum</v>
      </c>
      <c r="N5" s="2" t="str">
        <f>TEXT(WEEKDAY(DATE(CalendarYear,8,12),1),"aaa")</f>
        <v>lun</v>
      </c>
      <c r="O5" s="2" t="str">
        <f>TEXT(WEEKDAY(DATE(CalendarYear,8,13),1),"aaa")</f>
        <v>mar</v>
      </c>
      <c r="P5" s="2" t="str">
        <f>TEXT(WEEKDAY(DATE(CalendarYear,8,14),1),"aaa")</f>
        <v>mie</v>
      </c>
      <c r="Q5" s="2" t="str">
        <f>TEXT(WEEKDAY(DATE(CalendarYear,8,15),1),"aaa")</f>
        <v>joi</v>
      </c>
      <c r="R5" s="2" t="str">
        <f>TEXT(WEEKDAY(DATE(CalendarYear,8,16),1),"aaa")</f>
        <v>vin</v>
      </c>
      <c r="S5" s="2" t="str">
        <f>TEXT(WEEKDAY(DATE(CalendarYear,8,17),1),"aaa")</f>
        <v>sâm</v>
      </c>
      <c r="T5" s="2" t="str">
        <f>TEXT(WEEKDAY(DATE(CalendarYear,8,18),1),"aaa")</f>
        <v>dum</v>
      </c>
      <c r="U5" s="2" t="str">
        <f>TEXT(WEEKDAY(DATE(CalendarYear,8,19),1),"aaa")</f>
        <v>lun</v>
      </c>
      <c r="V5" s="2" t="str">
        <f>TEXT(WEEKDAY(DATE(CalendarYear,8,20),1),"aaa")</f>
        <v>mar</v>
      </c>
      <c r="W5" s="2" t="str">
        <f>TEXT(WEEKDAY(DATE(CalendarYear,8,21),1),"aaa")</f>
        <v>mie</v>
      </c>
      <c r="X5" s="2" t="str">
        <f>TEXT(WEEKDAY(DATE(CalendarYear,8,22),1),"aaa")</f>
        <v>joi</v>
      </c>
      <c r="Y5" s="2" t="str">
        <f>TEXT(WEEKDAY(DATE(CalendarYear,8,23),1),"aaa")</f>
        <v>vin</v>
      </c>
      <c r="Z5" s="2" t="str">
        <f>TEXT(WEEKDAY(DATE(CalendarYear,8,24),1),"aaa")</f>
        <v>sâm</v>
      </c>
      <c r="AA5" s="2" t="str">
        <f>TEXT(WEEKDAY(DATE(CalendarYear,8,25),1),"aaa")</f>
        <v>dum</v>
      </c>
      <c r="AB5" s="2" t="str">
        <f>TEXT(WEEKDAY(DATE(CalendarYear,8,26),1),"aaa")</f>
        <v>lun</v>
      </c>
      <c r="AC5" s="2" t="str">
        <f>TEXT(WEEKDAY(DATE(CalendarYear,8,27),1),"aaa")</f>
        <v>mar</v>
      </c>
      <c r="AD5" s="2" t="str">
        <f>TEXT(WEEKDAY(DATE(CalendarYear,8,28),1),"aaa")</f>
        <v>mie</v>
      </c>
      <c r="AE5" s="2" t="str">
        <f>TEXT(WEEKDAY(DATE(CalendarYear,8,29),1),"aaa")</f>
        <v>joi</v>
      </c>
      <c r="AF5" s="2" t="str">
        <f>TEXT(WEEKDAY(DATE(CalendarYear,8,30),1),"aaa")</f>
        <v>vin</v>
      </c>
      <c r="AG5" s="2" t="str">
        <f>TEXT(WEEKDAY(DATE(CalendarYear,8,31),1),"aaa")</f>
        <v>sâm</v>
      </c>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48</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COUNTA(August[[#This Row],[1]:[31]])</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COUNTA(August[[#This Row],[1]:[31]])</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COUNTA(August[[#This Row],[1]:[31]])</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COUNTA(August[[#This Row],[1]:[31]])</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COUNTA(August[[#This Row],[1]:[31]])</f>
        <v>0</v>
      </c>
    </row>
    <row r="12" spans="2:34" ht="30" customHeight="1" x14ac:dyDescent="0.25">
      <c r="B12" s="21" t="str">
        <f>NumeLună&amp;" Total"</f>
        <v>August Total</v>
      </c>
      <c r="C12" s="13">
        <f>SUBTOTAL(103,August[1])</f>
        <v>0</v>
      </c>
      <c r="D12" s="13">
        <f>SUBTOTAL(103,August[2])</f>
        <v>0</v>
      </c>
      <c r="E12" s="13">
        <f>SUBTOTAL(103,August[3])</f>
        <v>0</v>
      </c>
      <c r="F12" s="13">
        <f>SUBTOTAL(103,August[4])</f>
        <v>0</v>
      </c>
      <c r="G12" s="13">
        <f>SUBTOTAL(103,August[5])</f>
        <v>0</v>
      </c>
      <c r="H12" s="13">
        <f>SUBTOTAL(103,August[6])</f>
        <v>0</v>
      </c>
      <c r="I12" s="13">
        <f>SUBTOTAL(103,August[7])</f>
        <v>0</v>
      </c>
      <c r="J12" s="13">
        <f>SUBTOTAL(103,August[8])</f>
        <v>0</v>
      </c>
      <c r="K12" s="13">
        <f>SUBTOTAL(103,August[9])</f>
        <v>0</v>
      </c>
      <c r="L12" s="13">
        <f>SUBTOTAL(103,August[10])</f>
        <v>0</v>
      </c>
      <c r="M12" s="13">
        <f>SUBTOTAL(103,August[11])</f>
        <v>0</v>
      </c>
      <c r="N12" s="13">
        <f>SUBTOTAL(103,August[12])</f>
        <v>0</v>
      </c>
      <c r="O12" s="13">
        <f>SUBTOTAL(103,August[13])</f>
        <v>0</v>
      </c>
      <c r="P12" s="13">
        <f>SUBTOTAL(103,August[14])</f>
        <v>0</v>
      </c>
      <c r="Q12" s="13">
        <f>SUBTOTAL(103,August[15])</f>
        <v>0</v>
      </c>
      <c r="R12" s="13">
        <f>SUBTOTAL(103,August[16])</f>
        <v>0</v>
      </c>
      <c r="S12" s="13">
        <f>SUBTOTAL(103,August[17])</f>
        <v>0</v>
      </c>
      <c r="T12" s="13">
        <f>SUBTOTAL(103,August[18])</f>
        <v>0</v>
      </c>
      <c r="U12" s="13">
        <f>SUBTOTAL(103,August[19])</f>
        <v>0</v>
      </c>
      <c r="V12" s="13">
        <f>SUBTOTAL(103,August[20])</f>
        <v>0</v>
      </c>
      <c r="W12" s="13">
        <f>SUBTOTAL(103,August[21])</f>
        <v>0</v>
      </c>
      <c r="X12" s="13">
        <f>SUBTOTAL(103,August[22])</f>
        <v>0</v>
      </c>
      <c r="Y12" s="13">
        <f>SUBTOTAL(103,August[23])</f>
        <v>0</v>
      </c>
      <c r="Z12" s="13">
        <f>SUBTOTAL(103,August[24])</f>
        <v>0</v>
      </c>
      <c r="AA12" s="13">
        <f>SUBTOTAL(103,August[25])</f>
        <v>0</v>
      </c>
      <c r="AB12" s="13">
        <f>SUBTOTAL(103,August[26])</f>
        <v>0</v>
      </c>
      <c r="AC12" s="13">
        <f>SUBTOTAL(103,August[27])</f>
        <v>0</v>
      </c>
      <c r="AD12" s="13">
        <f>SUBTOTAL(103,August[28])</f>
        <v>0</v>
      </c>
      <c r="AE12" s="13">
        <f>SUBTOTAL(103,August[29])</f>
        <v>0</v>
      </c>
      <c r="AF12" s="13">
        <f>SUBTOTAL(103,August[30])</f>
        <v>0</v>
      </c>
      <c r="AG12" s="13">
        <f>SUBTOTAL(103,August[31])</f>
        <v>0</v>
      </c>
      <c r="AH12" s="13">
        <f>SUBTOTAL(109,August[Total zile])</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24" priority="2" stopIfTrue="1">
      <formula>C7=CheieParticularizată2</formula>
    </cfRule>
    <cfRule type="expression" dxfId="23" priority="3" stopIfTrue="1">
      <formula>C7=CheieParticularizată1</formula>
    </cfRule>
    <cfRule type="expression" dxfId="22" priority="4" stopIfTrue="1">
      <formula>C7=CheieConcediuMedical</formula>
    </cfRule>
    <cfRule type="expression" dxfId="21" priority="5" stopIfTrue="1">
      <formula>C7=CheiePersonal</formula>
    </cfRule>
    <cfRule type="expression" dxfId="20" priority="6" stopIfTrue="1">
      <formula>C7=CheieVacanță</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{09900229-9536-43AB-AAE0-FC121BDECD61}</x14:id>
        </ext>
      </extLst>
    </cfRule>
  </conditionalFormatting>
  <dataValidations count="14">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700-000000000000}"/>
    <dataValidation allowBlank="1" showInputMessage="1" showErrorMessage="1" prompt="Anul actualizat automat pe baza anului introdus în foaia de lucru Ianuarie" sqref="AH4" xr:uid="{00000000-0002-0000-0700-000001000000}"/>
    <dataValidation allowBlank="1" showInputMessage="1" showErrorMessage="1" prompt="În această coloană, calculează automat numărul total de zile în care un angajat a fost absent în luna respectivă" sqref="AH6" xr:uid="{00000000-0002-0000-0700-000002000000}"/>
    <dataValidation allowBlank="1" showInputMessage="1" showErrorMessage="1" prompt="Urmăriți absențele din luna august în această foaie de lucru" sqref="A1" xr:uid="{00000000-0002-0000-0700-000003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700-000004000000}"/>
    <dataValidation allowBlank="1" showInputMessage="1" showErrorMessage="1" prompt="Titlul actualizat automat se află în această celulă. Pentru a modifica titlul, actualizați B1 în foaia de lucru Ianuarie" sqref="B1" xr:uid="{00000000-0002-0000-0700-000005000000}"/>
    <dataValidation allowBlank="1" showInputMessage="1" showErrorMessage="1" prompt="Litera „V” indică o absență pe motiv de vacanță" sqref="C2" xr:uid="{00000000-0002-0000-0700-000006000000}"/>
    <dataValidation allowBlank="1" showInputMessage="1" showErrorMessage="1" prompt="Litera „P” indică o absență din motive personale" sqref="G2" xr:uid="{00000000-0002-0000-0700-000007000000}"/>
    <dataValidation allowBlank="1" showInputMessage="1" showErrorMessage="1" prompt="Litera „M” indică o absență din motive medicale" sqref="K2" xr:uid="{00000000-0002-0000-0700-000008000000}"/>
    <dataValidation allowBlank="1" showInputMessage="1" showErrorMessage="1" prompt="Introduceți o literă și particularizați eticheta din dreapta pentru a adăuga un alt element cheie" sqref="N2 R2" xr:uid="{00000000-0002-0000-0700-000009000000}"/>
    <dataValidation allowBlank="1" showInputMessage="1" showErrorMessage="1" prompt="Introduceți o etichetă pentru a descrie cheia particularizată din partea stângă" sqref="O2:Q2 S2:U2" xr:uid="{00000000-0002-0000-0700-00000A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700-00000B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700-00000C000000}"/>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7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9900229-9536-43AB-AAE0-FC121BDECD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E000000}">
          <x14:formula1>
            <xm:f>'Nume angajați'!$B$4:$B$8</xm:f>
          </x14:formula1>
          <xm:sqref>B7:B11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pageSetUpPr fitToPage="1"/>
  </sheetPr>
  <dimension ref="A1:AH12"/>
  <sheetViews>
    <sheetView showGridLines="0" zoomScaleNormal="100" workbookViewId="0"/>
  </sheetViews>
  <sheetFormatPr defaultRowHeight="30" customHeight="1" x14ac:dyDescent="0.25"/>
  <cols>
    <col min="1" max="1" width="2.7109375" style="11" customWidth="1"/>
    <col min="2" max="2" width="25.7109375" style="11" customWidth="1"/>
    <col min="3" max="33" width="8.7109375" style="11" customWidth="1"/>
    <col min="34" max="34" width="16.140625" style="11" customWidth="1"/>
    <col min="35" max="35" width="2.7109375" customWidth="1"/>
  </cols>
  <sheetData>
    <row r="1" spans="2:34" ht="50.1" customHeight="1" x14ac:dyDescent="0.25">
      <c r="B1" s="14" t="str">
        <f>Titlu_Absență_Angajat</f>
        <v>Planificarea absențelor angajaților</v>
      </c>
    </row>
    <row r="2" spans="2:34" ht="15" customHeight="1" x14ac:dyDescent="0.25">
      <c r="B2" s="19" t="s">
        <v>1</v>
      </c>
      <c r="C2" s="4" t="s">
        <v>9</v>
      </c>
      <c r="D2" s="25" t="s">
        <v>12</v>
      </c>
      <c r="E2" s="25"/>
      <c r="F2" s="25"/>
      <c r="G2" s="5" t="s">
        <v>15</v>
      </c>
      <c r="H2" s="25" t="s">
        <v>19</v>
      </c>
      <c r="I2" s="25"/>
      <c r="J2" s="25"/>
      <c r="K2" s="6" t="s">
        <v>17</v>
      </c>
      <c r="L2" s="25" t="s">
        <v>24</v>
      </c>
      <c r="M2" s="25"/>
      <c r="N2" s="7"/>
      <c r="O2" s="25" t="s">
        <v>28</v>
      </c>
      <c r="P2" s="25"/>
      <c r="Q2" s="25"/>
      <c r="R2" s="8"/>
      <c r="S2" s="25" t="s">
        <v>33</v>
      </c>
      <c r="T2" s="25"/>
      <c r="U2" s="25"/>
    </row>
    <row r="3" spans="2:34" ht="15" customHeight="1" x14ac:dyDescent="0.25">
      <c r="B3" s="14"/>
    </row>
    <row r="4" spans="2:34" ht="30" customHeight="1" x14ac:dyDescent="0.25">
      <c r="B4" s="12" t="s">
        <v>60</v>
      </c>
      <c r="C4" s="24" t="s">
        <v>10</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f>CalendarYear</f>
        <v>2019</v>
      </c>
    </row>
    <row r="5" spans="2:34" ht="15" customHeight="1" x14ac:dyDescent="0.25">
      <c r="B5" s="12"/>
      <c r="C5" s="2" t="str">
        <f>TEXT(WEEKDAY(DATE(CalendarYear,9,1),1),"aaa")</f>
        <v>dum</v>
      </c>
      <c r="D5" s="2" t="str">
        <f>TEXT(WEEKDAY(DATE(CalendarYear,9,2),1),"aaa")</f>
        <v>lun</v>
      </c>
      <c r="E5" s="2" t="str">
        <f>TEXT(WEEKDAY(DATE(CalendarYear,9,3),1),"aaa")</f>
        <v>mar</v>
      </c>
      <c r="F5" s="2" t="str">
        <f>TEXT(WEEKDAY(DATE(CalendarYear,9,4),1),"aaa")</f>
        <v>mie</v>
      </c>
      <c r="G5" s="2" t="str">
        <f>TEXT(WEEKDAY(DATE(CalendarYear,9,5),1),"aaa")</f>
        <v>joi</v>
      </c>
      <c r="H5" s="2" t="str">
        <f>TEXT(WEEKDAY(DATE(CalendarYear,9,6),1),"aaa")</f>
        <v>vin</v>
      </c>
      <c r="I5" s="2" t="str">
        <f>TEXT(WEEKDAY(DATE(CalendarYear,9,7),1),"aaa")</f>
        <v>sâm</v>
      </c>
      <c r="J5" s="2" t="str">
        <f>TEXT(WEEKDAY(DATE(CalendarYear,9,8),1),"aaa")</f>
        <v>dum</v>
      </c>
      <c r="K5" s="2" t="str">
        <f>TEXT(WEEKDAY(DATE(CalendarYear,9,9),1),"aaa")</f>
        <v>lun</v>
      </c>
      <c r="L5" s="2" t="str">
        <f>TEXT(WEEKDAY(DATE(CalendarYear,9,10),1),"aaa")</f>
        <v>mar</v>
      </c>
      <c r="M5" s="2" t="str">
        <f>TEXT(WEEKDAY(DATE(CalendarYear,9,11),1),"aaa")</f>
        <v>mie</v>
      </c>
      <c r="N5" s="2" t="str">
        <f>TEXT(WEEKDAY(DATE(CalendarYear,9,12),1),"aaa")</f>
        <v>joi</v>
      </c>
      <c r="O5" s="2" t="str">
        <f>TEXT(WEEKDAY(DATE(CalendarYear,9,13),1),"aaa")</f>
        <v>vin</v>
      </c>
      <c r="P5" s="2" t="str">
        <f>TEXT(WEEKDAY(DATE(CalendarYear,9,14),1),"aaa")</f>
        <v>sâm</v>
      </c>
      <c r="Q5" s="2" t="str">
        <f>TEXT(WEEKDAY(DATE(CalendarYear,9,15),1),"aaa")</f>
        <v>dum</v>
      </c>
      <c r="R5" s="2" t="str">
        <f>TEXT(WEEKDAY(DATE(CalendarYear,9,16),1),"aaa")</f>
        <v>lun</v>
      </c>
      <c r="S5" s="2" t="str">
        <f>TEXT(WEEKDAY(DATE(CalendarYear,9,17),1),"aaa")</f>
        <v>mar</v>
      </c>
      <c r="T5" s="2" t="str">
        <f>TEXT(WEEKDAY(DATE(CalendarYear,9,18),1),"aaa")</f>
        <v>mie</v>
      </c>
      <c r="U5" s="2" t="str">
        <f>TEXT(WEEKDAY(DATE(CalendarYear,9,19),1),"aaa")</f>
        <v>joi</v>
      </c>
      <c r="V5" s="2" t="str">
        <f>TEXT(WEEKDAY(DATE(CalendarYear,9,20),1),"aaa")</f>
        <v>vin</v>
      </c>
      <c r="W5" s="2" t="str">
        <f>TEXT(WEEKDAY(DATE(CalendarYear,9,21),1),"aaa")</f>
        <v>sâm</v>
      </c>
      <c r="X5" s="2" t="str">
        <f>TEXT(WEEKDAY(DATE(CalendarYear,9,22),1),"aaa")</f>
        <v>dum</v>
      </c>
      <c r="Y5" s="2" t="str">
        <f>TEXT(WEEKDAY(DATE(CalendarYear,9,23),1),"aaa")</f>
        <v>lun</v>
      </c>
      <c r="Z5" s="2" t="str">
        <f>TEXT(WEEKDAY(DATE(CalendarYear,9,24),1),"aaa")</f>
        <v>mar</v>
      </c>
      <c r="AA5" s="2" t="str">
        <f>TEXT(WEEKDAY(DATE(CalendarYear,9,25),1),"aaa")</f>
        <v>mie</v>
      </c>
      <c r="AB5" s="2" t="str">
        <f>TEXT(WEEKDAY(DATE(CalendarYear,9,26),1),"aaa")</f>
        <v>joi</v>
      </c>
      <c r="AC5" s="2" t="str">
        <f>TEXT(WEEKDAY(DATE(CalendarYear,9,27),1),"aaa")</f>
        <v>vin</v>
      </c>
      <c r="AD5" s="2" t="str">
        <f>TEXT(WEEKDAY(DATE(CalendarYear,9,28),1),"aaa")</f>
        <v>sâm</v>
      </c>
      <c r="AE5" s="2" t="str">
        <f>TEXT(WEEKDAY(DATE(CalendarYear,9,29),1),"aaa")</f>
        <v>dum</v>
      </c>
      <c r="AF5" s="2" t="str">
        <f>TEXT(WEEKDAY(DATE(CalendarYear,9,30),1),"aaa")</f>
        <v>lun</v>
      </c>
      <c r="AG5" s="2"/>
      <c r="AH5" s="12"/>
    </row>
    <row r="6" spans="2:34" ht="15" customHeight="1" x14ac:dyDescent="0.25">
      <c r="B6" s="15" t="s">
        <v>3</v>
      </c>
      <c r="C6" s="3" t="s">
        <v>11</v>
      </c>
      <c r="D6" s="3" t="s">
        <v>13</v>
      </c>
      <c r="E6" s="3" t="s">
        <v>14</v>
      </c>
      <c r="F6" s="3" t="s">
        <v>16</v>
      </c>
      <c r="G6" s="3" t="s">
        <v>18</v>
      </c>
      <c r="H6" s="3" t="s">
        <v>20</v>
      </c>
      <c r="I6" s="3" t="s">
        <v>21</v>
      </c>
      <c r="J6" s="3" t="s">
        <v>22</v>
      </c>
      <c r="K6" s="3" t="s">
        <v>23</v>
      </c>
      <c r="L6" s="3" t="s">
        <v>25</v>
      </c>
      <c r="M6" s="3" t="s">
        <v>26</v>
      </c>
      <c r="N6" s="3" t="s">
        <v>27</v>
      </c>
      <c r="O6" s="3" t="s">
        <v>29</v>
      </c>
      <c r="P6" s="3" t="s">
        <v>30</v>
      </c>
      <c r="Q6" s="3" t="s">
        <v>31</v>
      </c>
      <c r="R6" s="3" t="s">
        <v>32</v>
      </c>
      <c r="S6" s="3" t="s">
        <v>34</v>
      </c>
      <c r="T6" s="3" t="s">
        <v>35</v>
      </c>
      <c r="U6" s="3" t="s">
        <v>36</v>
      </c>
      <c r="V6" s="3" t="s">
        <v>37</v>
      </c>
      <c r="W6" s="3" t="s">
        <v>38</v>
      </c>
      <c r="X6" s="3" t="s">
        <v>39</v>
      </c>
      <c r="Y6" s="3" t="s">
        <v>40</v>
      </c>
      <c r="Z6" s="3" t="s">
        <v>41</v>
      </c>
      <c r="AA6" s="3" t="s">
        <v>42</v>
      </c>
      <c r="AB6" s="3" t="s">
        <v>43</v>
      </c>
      <c r="AC6" s="3" t="s">
        <v>44</v>
      </c>
      <c r="AD6" s="3" t="s">
        <v>45</v>
      </c>
      <c r="AE6" s="3" t="s">
        <v>46</v>
      </c>
      <c r="AF6" s="3" t="s">
        <v>47</v>
      </c>
      <c r="AG6" s="3" t="s">
        <v>52</v>
      </c>
      <c r="AH6" s="16" t="s">
        <v>50</v>
      </c>
    </row>
    <row r="7" spans="2:34" ht="30" customHeight="1" x14ac:dyDescent="0.25">
      <c r="B7" s="17"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f>COUNTA(Septembrie[[#This Row],[1]:[30]])</f>
        <v>0</v>
      </c>
    </row>
    <row r="8" spans="2:34" ht="30" customHeight="1" x14ac:dyDescent="0.25">
      <c r="B8" s="17"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0">
        <f>COUNTA(Septembrie[[#This Row],[1]:[30]])</f>
        <v>0</v>
      </c>
    </row>
    <row r="9" spans="2:34" ht="30" customHeight="1" x14ac:dyDescent="0.25">
      <c r="B9" s="17" t="s">
        <v>6</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0">
        <f>COUNTA(Septembrie[[#This Row],[1]:[30]])</f>
        <v>0</v>
      </c>
    </row>
    <row r="10" spans="2:34" ht="30" customHeight="1" x14ac:dyDescent="0.25">
      <c r="B10" s="17" t="s">
        <v>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10">
        <f>COUNTA(Septembrie[[#This Row],[1]:[30]])</f>
        <v>0</v>
      </c>
    </row>
    <row r="11" spans="2:34" ht="30" customHeight="1" x14ac:dyDescent="0.25">
      <c r="B11" s="17"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0">
        <f>COUNTA(Septembrie[[#This Row],[1]:[30]])</f>
        <v>0</v>
      </c>
    </row>
    <row r="12" spans="2:34" ht="30" customHeight="1" x14ac:dyDescent="0.25">
      <c r="B12" s="21" t="str">
        <f>NumeLună&amp;" Total"</f>
        <v>Septembrie Total</v>
      </c>
      <c r="C12" s="13">
        <f>SUBTOTAL(103,Septembrie[1])</f>
        <v>0</v>
      </c>
      <c r="D12" s="13">
        <f>SUBTOTAL(103,Septembrie[2])</f>
        <v>0</v>
      </c>
      <c r="E12" s="13">
        <f>SUBTOTAL(103,Septembrie[3])</f>
        <v>0</v>
      </c>
      <c r="F12" s="13">
        <f>SUBTOTAL(103,Septembrie[4])</f>
        <v>0</v>
      </c>
      <c r="G12" s="13">
        <f>SUBTOTAL(103,Septembrie[5])</f>
        <v>0</v>
      </c>
      <c r="H12" s="13">
        <f>SUBTOTAL(103,Septembrie[6])</f>
        <v>0</v>
      </c>
      <c r="I12" s="13">
        <f>SUBTOTAL(103,Septembrie[7])</f>
        <v>0</v>
      </c>
      <c r="J12" s="13">
        <f>SUBTOTAL(103,Septembrie[8])</f>
        <v>0</v>
      </c>
      <c r="K12" s="13">
        <f>SUBTOTAL(103,Septembrie[9])</f>
        <v>0</v>
      </c>
      <c r="L12" s="13">
        <f>SUBTOTAL(103,Septembrie[10])</f>
        <v>0</v>
      </c>
      <c r="M12" s="13">
        <f>SUBTOTAL(103,Septembrie[11])</f>
        <v>0</v>
      </c>
      <c r="N12" s="13">
        <f>SUBTOTAL(103,Septembrie[12])</f>
        <v>0</v>
      </c>
      <c r="O12" s="13">
        <f>SUBTOTAL(103,Septembrie[13])</f>
        <v>0</v>
      </c>
      <c r="P12" s="13">
        <f>SUBTOTAL(103,Septembrie[14])</f>
        <v>0</v>
      </c>
      <c r="Q12" s="13">
        <f>SUBTOTAL(103,Septembrie[15])</f>
        <v>0</v>
      </c>
      <c r="R12" s="13">
        <f>SUBTOTAL(103,Septembrie[16])</f>
        <v>0</v>
      </c>
      <c r="S12" s="13">
        <f>SUBTOTAL(103,Septembrie[17])</f>
        <v>0</v>
      </c>
      <c r="T12" s="13">
        <f>SUBTOTAL(103,Septembrie[18])</f>
        <v>0</v>
      </c>
      <c r="U12" s="13">
        <f>SUBTOTAL(103,Septembrie[19])</f>
        <v>0</v>
      </c>
      <c r="V12" s="13">
        <f>SUBTOTAL(103,Septembrie[20])</f>
        <v>0</v>
      </c>
      <c r="W12" s="13">
        <f>SUBTOTAL(103,Septembrie[21])</f>
        <v>0</v>
      </c>
      <c r="X12" s="13">
        <f>SUBTOTAL(103,Septembrie[22])</f>
        <v>0</v>
      </c>
      <c r="Y12" s="13">
        <f>SUBTOTAL(103,Septembrie[23])</f>
        <v>0</v>
      </c>
      <c r="Z12" s="13">
        <f>SUBTOTAL(103,Septembrie[24])</f>
        <v>0</v>
      </c>
      <c r="AA12" s="13">
        <f>SUBTOTAL(103,Septembrie[25])</f>
        <v>0</v>
      </c>
      <c r="AB12" s="13">
        <f>SUBTOTAL(103,Septembrie[26])</f>
        <v>0</v>
      </c>
      <c r="AC12" s="13">
        <f>SUBTOTAL(103,Septembrie[27])</f>
        <v>0</v>
      </c>
      <c r="AD12" s="13">
        <f>SUBTOTAL(103,Septembrie[28])</f>
        <v>0</v>
      </c>
      <c r="AE12" s="13">
        <f>SUBTOTAL(103,Septembrie[29])</f>
        <v>0</v>
      </c>
      <c r="AF12" s="13">
        <f>SUBTOTAL(103,Septembrie[30])</f>
        <v>0</v>
      </c>
      <c r="AG12" s="13">
        <f>SUBTOTAL(103,Septembrie[[ ]])</f>
        <v>0</v>
      </c>
      <c r="AH12" s="13">
        <f>SUBTOTAL(109,Septembrie[Total zile])</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19" priority="2" stopIfTrue="1">
      <formula>C7=CheieParticularizată2</formula>
    </cfRule>
    <cfRule type="expression" dxfId="18" priority="3" stopIfTrue="1">
      <formula>C7=CheieParticularizată1</formula>
    </cfRule>
    <cfRule type="expression" dxfId="17" priority="4" stopIfTrue="1">
      <formula>C7=CheieConcediuMedical</formula>
    </cfRule>
    <cfRule type="expression" dxfId="16" priority="5" stopIfTrue="1">
      <formula>C7=CheiePersonal</formula>
    </cfRule>
    <cfRule type="expression" dxfId="15" priority="6" stopIfTrue="1">
      <formula>C7=CheieVacanță</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{1A021984-06A1-41D9-90D2-8C16E885020B}</x14:id>
        </ext>
      </extLst>
    </cfRule>
  </conditionalFormatting>
  <dataValidations count="14">
    <dataValidation allowBlank="1" showInputMessage="1" showErrorMessage="1" prompt="Zilele lunii din acest rând sunt generate automat. Introduceți absența unui angajat și tipul absenței în fiecare coloană pentru fiecare zi a lunii. Necompletat înseamnă nicio absență" sqref="C6" xr:uid="{00000000-0002-0000-0800-000000000000}"/>
    <dataValidation allowBlank="1" showInputMessage="1" showErrorMessage="1" prompt="Numele lunii pentru acest program de absență se află în această celulă. Totalurile de absență pentru această lună se află în ultima celulă a tabelului. Selectați numele angajaților în coloana de tabel B" sqref="B4" xr:uid="{00000000-0002-0000-0800-000001000000}"/>
    <dataValidation allowBlank="1" showInputMessage="1" showErrorMessage="1" prompt="Acest rând definește cheile utilizate în tabel: celula C2 este pentru Vacanță, G2 este pentru Personal și K2 este pentru Concediu medical. Celulele N2 și R2 sunt particularizabile" sqref="B2" xr:uid="{00000000-0002-0000-0800-000002000000}"/>
    <dataValidation allowBlank="1" showInputMessage="1" showErrorMessage="1" prompt="Introduceți o etichetă pentru a descrie cheia particularizată din partea stângă" sqref="O2:Q2 S2:U2" xr:uid="{00000000-0002-0000-0800-000003000000}"/>
    <dataValidation allowBlank="1" showInputMessage="1" showErrorMessage="1" prompt="Introduceți o literă și particularizați eticheta din dreapta pentru a adăuga un alt element cheie" sqref="N2 R2" xr:uid="{00000000-0002-0000-0800-000004000000}"/>
    <dataValidation allowBlank="1" showInputMessage="1" showErrorMessage="1" prompt="Litera „M” indică o absență din motive medicale" sqref="K2" xr:uid="{00000000-0002-0000-0800-000005000000}"/>
    <dataValidation allowBlank="1" showInputMessage="1" showErrorMessage="1" prompt="Litera „P” indică o absență din motive personale" sqref="G2" xr:uid="{00000000-0002-0000-0800-000006000000}"/>
    <dataValidation allowBlank="1" showInputMessage="1" showErrorMessage="1" prompt="Litera „V” indică o absență pe motiv de vacanță" sqref="C2" xr:uid="{00000000-0002-0000-0800-000007000000}"/>
    <dataValidation allowBlank="1" showInputMessage="1" showErrorMessage="1" prompt="Titlul actualizat automat se află în această celulă. Pentru a modifica titlul, actualizați B1 în foaia de lucru Ianuarie" sqref="B1" xr:uid="{00000000-0002-0000-0800-000008000000}"/>
    <dataValidation errorStyle="warning" allowBlank="1" showInputMessage="1" showErrorMessage="1" error="Selectați un nume din listă. Selectați ANULARE, apoi apăsați ALT+SĂGEATĂ ÎN JOS și apoi ENTER pentru a selecta un nume" prompt="Introduceți numele angajaților în foaia de lucru Nume angajați, apoi selectați unul dintre numele respective din lista din această coloană. Apăsați ALT+SĂGEATĂ ÎN JOS, apoi ENTER pentru a selecta un nume" sqref="B6" xr:uid="{00000000-0002-0000-0800-000009000000}"/>
    <dataValidation allowBlank="1" showInputMessage="1" showErrorMessage="1" prompt="Urmăriți absențele din luna septembrie în această foaie de lucru" sqref="A1" xr:uid="{00000000-0002-0000-0800-00000A000000}"/>
    <dataValidation allowBlank="1" showInputMessage="1" showErrorMessage="1" prompt="În această coloană, calculează automat numărul total de zile în care un angajat a fost absent în luna respectivă" sqref="AH6" xr:uid="{00000000-0002-0000-0800-00000B000000}"/>
    <dataValidation allowBlank="1" showInputMessage="1" showErrorMessage="1" prompt="Anul actualizat automat pe baza anului introdus în foaia de lucru Ianuarie" sqref="AH4" xr:uid="{00000000-0002-0000-0800-00000C000000}"/>
    <dataValidation allowBlank="1" showInputMessage="1" showErrorMessage="1" prompt="Zilele lucrătoare din acest rând sunt actualizate automat pentru lună, în funcție de an, în AH4. Fiecare zi a lunii este o coloană unde se notează absența unui angajat și tipul acesteia" sqref="C5" xr:uid="{00000000-0002-0000-0800-00000D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A021984-06A1-41D9-90D2-8C16E885020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E000000}">
          <x14:formula1>
            <xm:f>'Nume angajați'!$B$4:$B$8</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13</vt:i4>
      </vt:variant>
      <vt:variant>
        <vt:lpstr>Zone denumite</vt:lpstr>
      </vt:variant>
      <vt:variant>
        <vt:i4>50</vt:i4>
      </vt:variant>
    </vt:vector>
  </HeadingPairs>
  <TitlesOfParts>
    <vt:vector size="63" baseType="lpstr">
      <vt:lpstr>Februarie</vt:lpstr>
      <vt:lpstr>Ianuarie</vt:lpstr>
      <vt:lpstr>Martie</vt:lpstr>
      <vt:lpstr>Aprilie</vt:lpstr>
      <vt:lpstr>Mai</vt:lpstr>
      <vt:lpstr>Iunie</vt:lpstr>
      <vt:lpstr>Iulie</vt:lpstr>
      <vt:lpstr>August</vt:lpstr>
      <vt:lpstr>Septembrie</vt:lpstr>
      <vt:lpstr>Octombrie</vt:lpstr>
      <vt:lpstr>Noiembrie</vt:lpstr>
      <vt:lpstr>Decembrie</vt:lpstr>
      <vt:lpstr>Nume angajați</vt:lpstr>
      <vt:lpstr>CalendarYear</vt:lpstr>
      <vt:lpstr>CheieConcediuMedical</vt:lpstr>
      <vt:lpstr>CheieParticularizată1</vt:lpstr>
      <vt:lpstr>CheieParticularizată2</vt:lpstr>
      <vt:lpstr>CheiePersonal</vt:lpstr>
      <vt:lpstr>CheieVacanță</vt:lpstr>
      <vt:lpstr>EtichetăCheieConcediuMedical</vt:lpstr>
      <vt:lpstr>EtichetăCheieParticularizată1</vt:lpstr>
      <vt:lpstr>EtichetăCheieParticularizată2</vt:lpstr>
      <vt:lpstr>EtichetăCheiePersonal</vt:lpstr>
      <vt:lpstr>EtichetăCheieVacanță</vt:lpstr>
      <vt:lpstr>Aprilie!Imprimare_titluri</vt:lpstr>
      <vt:lpstr>August!Imprimare_titluri</vt:lpstr>
      <vt:lpstr>Decembrie!Imprimare_titluri</vt:lpstr>
      <vt:lpstr>Februarie!Imprimare_titluri</vt:lpstr>
      <vt:lpstr>Ianuarie!Imprimare_titluri</vt:lpstr>
      <vt:lpstr>Iulie!Imprimare_titluri</vt:lpstr>
      <vt:lpstr>Iunie!Imprimare_titluri</vt:lpstr>
      <vt:lpstr>Mai!Imprimare_titluri</vt:lpstr>
      <vt:lpstr>Martie!Imprimare_titluri</vt:lpstr>
      <vt:lpstr>Noiembrie!Imprimare_titluri</vt:lpstr>
      <vt:lpstr>Octombrie!Imprimare_titluri</vt:lpstr>
      <vt:lpstr>Septembrie!Imprimare_titluri</vt:lpstr>
      <vt:lpstr>Nume_cheie</vt:lpstr>
      <vt:lpstr>Aprilie!NumeLună</vt:lpstr>
      <vt:lpstr>August!NumeLună</vt:lpstr>
      <vt:lpstr>Decembrie!NumeLună</vt:lpstr>
      <vt:lpstr>Februarie!NumeLună</vt:lpstr>
      <vt:lpstr>Ianuarie!NumeLună</vt:lpstr>
      <vt:lpstr>Iulie!NumeLună</vt:lpstr>
      <vt:lpstr>Iunie!NumeLună</vt:lpstr>
      <vt:lpstr>Mai!NumeLună</vt:lpstr>
      <vt:lpstr>Martie!NumeLună</vt:lpstr>
      <vt:lpstr>Noiembrie!NumeLună</vt:lpstr>
      <vt:lpstr>Octombrie!NumeLună</vt:lpstr>
      <vt:lpstr>Septembrie!NumeLună</vt:lpstr>
      <vt:lpstr>Titlu_Absență_Angajat</vt:lpstr>
      <vt:lpstr>Titlu3</vt:lpstr>
      <vt:lpstr>Titlu4</vt:lpstr>
      <vt:lpstr>Titlu5</vt:lpstr>
      <vt:lpstr>TitluColoană13</vt:lpstr>
      <vt:lpstr>Titlul1</vt:lpstr>
      <vt:lpstr>Titlul10</vt:lpstr>
      <vt:lpstr>Titlul11</vt:lpstr>
      <vt:lpstr>Titlul12</vt:lpstr>
      <vt:lpstr>Titlul2</vt:lpstr>
      <vt:lpstr>Titlul6</vt:lpstr>
      <vt:lpstr>Titlul7</vt:lpstr>
      <vt:lpstr>Titlul8</vt:lpstr>
      <vt:lpstr>Titlul9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2016-12-06T04:52:27Z</dcterms:created>
  <dcterms:modified xsi:type="dcterms:W3CDTF">2019-07-29T02:22:31Z</dcterms:modified>
</cp:coreProperties>
</file>