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B:\Office_Online\technicians\PBarborik\test\internalQA\"/>
    </mc:Choice>
  </mc:AlternateContent>
  <bookViews>
    <workbookView xWindow="0" yWindow="0" windowWidth="19200" windowHeight="11490" tabRatio="833"/>
  </bookViews>
  <sheets>
    <sheet name="Cum se utilizează acest șablon" sheetId="9" r:id="rId1"/>
    <sheet name="Listă elevi" sheetId="5" r:id="rId2"/>
    <sheet name="August" sheetId="4" r:id="rId3"/>
    <sheet name="Septembrie" sheetId="14" r:id="rId4"/>
    <sheet name="Octombrie" sheetId="15" r:id="rId5"/>
    <sheet name="Noiembrie" sheetId="16" r:id="rId6"/>
    <sheet name="Decembrie" sheetId="17" r:id="rId7"/>
    <sheet name="Ianuarie" sheetId="18" r:id="rId8"/>
    <sheet name="Februarie" sheetId="8" r:id="rId9"/>
    <sheet name="Martie" sheetId="19" r:id="rId10"/>
    <sheet name="Aprilie" sheetId="20" r:id="rId11"/>
    <sheet name="Mai" sheetId="21" r:id="rId12"/>
    <sheet name="Iunie" sheetId="22" r:id="rId13"/>
    <sheet name="Iulie" sheetId="23" r:id="rId14"/>
    <sheet name="Raport prezență elev" sheetId="6" r:id="rId15"/>
  </sheets>
  <definedNames>
    <definedName name="AnCalendar">August!$AM$1</definedName>
    <definedName name="CăutareCursant">'Raport prezență elev'!$B$4</definedName>
    <definedName name="CheieCuloareText">August!$C$3</definedName>
    <definedName name="Cod_1">August!$D$3</definedName>
    <definedName name="Cod_2">August!$H$3</definedName>
    <definedName name="Cod_3">August!$L$3</definedName>
    <definedName name="Cod_4">August!$P$3</definedName>
    <definedName name="Cod_5">August!$T$3</definedName>
    <definedName name="Cod1Text">August!$E$3</definedName>
    <definedName name="Cod2Text">August!$I$3</definedName>
    <definedName name="Cod3Text">August!$M$3</definedName>
    <definedName name="Cod4Text">August!$Q$3</definedName>
    <definedName name="Cod5Text">August!$U$3</definedName>
    <definedName name="IDCursant">ListăElevi[ID elev]</definedName>
    <definedName name="_xlnm.Print_Titles">'Listă elevi'!$A:$C,'Listă elevi'!$3:$3</definedName>
    <definedName name="NumeElev">ListăElevi[Nume complet elev]</definedName>
  </definedNames>
  <calcPr calcId="152511"/>
</workbook>
</file>

<file path=xl/calcChain.xml><?xml version="1.0" encoding="utf-8"?>
<calcChain xmlns="http://schemas.openxmlformats.org/spreadsheetml/2006/main">
  <c r="A1" i="6" l="1"/>
  <c r="AK12" i="23"/>
  <c r="AJ12" i="23"/>
  <c r="AI12" i="23"/>
  <c r="AM12" i="23"/>
  <c r="AF12" i="23"/>
  <c r="AE12" i="23"/>
  <c r="AD12" i="23"/>
  <c r="AC12" i="23"/>
  <c r="AB12" i="23"/>
  <c r="AA12" i="23"/>
  <c r="Z12" i="23"/>
  <c r="Y12" i="23"/>
  <c r="X12" i="23"/>
  <c r="W12" i="23"/>
  <c r="V12" i="23"/>
  <c r="U12" i="23"/>
  <c r="T12" i="23"/>
  <c r="S12" i="23"/>
  <c r="R12" i="23"/>
  <c r="Q12" i="23"/>
  <c r="P12" i="23"/>
  <c r="O12" i="23"/>
  <c r="N12" i="23"/>
  <c r="M12" i="23"/>
  <c r="L12" i="23"/>
  <c r="K12" i="23"/>
  <c r="J12" i="23"/>
  <c r="I12" i="23"/>
  <c r="H12" i="23"/>
  <c r="G12" i="23"/>
  <c r="F12" i="23"/>
  <c r="E12" i="23"/>
  <c r="D12" i="23"/>
  <c r="AK12" i="22"/>
  <c r="AJ12" i="22"/>
  <c r="AI12" i="22"/>
  <c r="AM12" i="22"/>
  <c r="AF12" i="22"/>
  <c r="AE12" i="22"/>
  <c r="AD12" i="22"/>
  <c r="AC12" i="22"/>
  <c r="AB12" i="22"/>
  <c r="AA12" i="22"/>
  <c r="Z12" i="22"/>
  <c r="Y12" i="22"/>
  <c r="X12" i="22"/>
  <c r="W12" i="22"/>
  <c r="V12" i="22"/>
  <c r="U12" i="22"/>
  <c r="T12" i="22"/>
  <c r="S12" i="22"/>
  <c r="R12" i="22"/>
  <c r="Q12" i="22"/>
  <c r="P12" i="22"/>
  <c r="O12" i="22"/>
  <c r="N12" i="22"/>
  <c r="M12" i="22"/>
  <c r="L12" i="22"/>
  <c r="K12" i="22"/>
  <c r="J12" i="22"/>
  <c r="I12" i="22"/>
  <c r="H12" i="22"/>
  <c r="G12" i="22"/>
  <c r="F12" i="22"/>
  <c r="E12" i="22"/>
  <c r="D12" i="22"/>
  <c r="AM12" i="21"/>
  <c r="AF12" i="21"/>
  <c r="AE12" i="21"/>
  <c r="AD12" i="21"/>
  <c r="AC12" i="21"/>
  <c r="AB12" i="21"/>
  <c r="AA12" i="21"/>
  <c r="Z12" i="21"/>
  <c r="Y12" i="21"/>
  <c r="X12" i="21"/>
  <c r="W12" i="21"/>
  <c r="V12" i="21"/>
  <c r="U12" i="21"/>
  <c r="T12" i="21"/>
  <c r="S12" i="21"/>
  <c r="R12" i="21"/>
  <c r="Q12" i="21"/>
  <c r="P12" i="21"/>
  <c r="O12" i="21"/>
  <c r="N12" i="21"/>
  <c r="M12" i="21"/>
  <c r="L12" i="21"/>
  <c r="K12" i="21"/>
  <c r="J12" i="21"/>
  <c r="I12" i="21"/>
  <c r="H12" i="21"/>
  <c r="G12" i="21"/>
  <c r="F12" i="21"/>
  <c r="E12" i="21"/>
  <c r="D12" i="21"/>
  <c r="AK12" i="20"/>
  <c r="AJ12" i="20"/>
  <c r="AI12" i="20"/>
  <c r="AM12" i="20"/>
  <c r="AF12" i="20"/>
  <c r="AE12" i="20"/>
  <c r="AD12" i="20"/>
  <c r="AC12" i="20"/>
  <c r="AB12" i="20"/>
  <c r="AA12" i="20"/>
  <c r="Z12" i="20"/>
  <c r="Y12" i="20"/>
  <c r="X12" i="20"/>
  <c r="W12" i="20"/>
  <c r="V12" i="20"/>
  <c r="U12" i="20"/>
  <c r="T12" i="20"/>
  <c r="S12" i="20"/>
  <c r="R12" i="20"/>
  <c r="Q12" i="20"/>
  <c r="P12" i="20"/>
  <c r="O12" i="20"/>
  <c r="N12" i="20"/>
  <c r="M12" i="20"/>
  <c r="L12" i="20"/>
  <c r="K12" i="20"/>
  <c r="J12" i="20"/>
  <c r="I12" i="20"/>
  <c r="H12" i="20"/>
  <c r="G12" i="20"/>
  <c r="F12" i="20"/>
  <c r="E12" i="20"/>
  <c r="D12" i="20"/>
  <c r="AI12" i="19"/>
  <c r="AJ12" i="19"/>
  <c r="AK12" i="19"/>
  <c r="AM12" i="19"/>
  <c r="AF12" i="19"/>
  <c r="AE12" i="19"/>
  <c r="AD12" i="19"/>
  <c r="AC12" i="19"/>
  <c r="AB12" i="19"/>
  <c r="AA12" i="19"/>
  <c r="Z12" i="19"/>
  <c r="Y12" i="19"/>
  <c r="X12" i="19"/>
  <c r="W12" i="19"/>
  <c r="V12" i="19"/>
  <c r="U12" i="19"/>
  <c r="T12" i="19"/>
  <c r="S12" i="19"/>
  <c r="R12" i="19"/>
  <c r="Q12" i="19"/>
  <c r="P12" i="19"/>
  <c r="O12" i="19"/>
  <c r="N12" i="19"/>
  <c r="M12" i="19"/>
  <c r="L12" i="19"/>
  <c r="K12" i="19"/>
  <c r="J12" i="19"/>
  <c r="I12" i="19"/>
  <c r="H12" i="19"/>
  <c r="G12" i="19"/>
  <c r="F12" i="19"/>
  <c r="E12" i="19"/>
  <c r="D12" i="19"/>
  <c r="AI12" i="8"/>
  <c r="AJ12" i="8"/>
  <c r="AK12" i="8"/>
  <c r="AM12" i="8"/>
  <c r="AF12" i="8"/>
  <c r="AE12" i="8"/>
  <c r="AD12" i="8"/>
  <c r="AC12" i="8"/>
  <c r="AB12" i="8"/>
  <c r="AA12" i="8"/>
  <c r="Z12" i="8"/>
  <c r="Y12" i="8"/>
  <c r="X12" i="8"/>
  <c r="W12" i="8"/>
  <c r="V12" i="8"/>
  <c r="U12" i="8"/>
  <c r="T12" i="8"/>
  <c r="S12" i="8"/>
  <c r="R12" i="8"/>
  <c r="Q12" i="8"/>
  <c r="P12" i="8"/>
  <c r="O12" i="8"/>
  <c r="N12" i="8"/>
  <c r="M12" i="8"/>
  <c r="L12" i="8"/>
  <c r="K12" i="8"/>
  <c r="J12" i="8"/>
  <c r="I12" i="8"/>
  <c r="H12" i="8"/>
  <c r="G12" i="8"/>
  <c r="F12" i="8"/>
  <c r="E12" i="8"/>
  <c r="D12" i="8"/>
  <c r="AM12" i="18"/>
  <c r="AF12" i="18"/>
  <c r="AE12" i="18"/>
  <c r="AD12" i="18"/>
  <c r="AC12" i="18"/>
  <c r="AB12" i="18"/>
  <c r="AA12" i="18"/>
  <c r="Z12" i="18"/>
  <c r="Y12" i="18"/>
  <c r="X12" i="18"/>
  <c r="W12" i="18"/>
  <c r="V12" i="18"/>
  <c r="U12" i="18"/>
  <c r="T12" i="18"/>
  <c r="S12" i="18"/>
  <c r="R12" i="18"/>
  <c r="Q12" i="18"/>
  <c r="P12" i="18"/>
  <c r="O12" i="18"/>
  <c r="N12" i="18"/>
  <c r="M12" i="18"/>
  <c r="L12" i="18"/>
  <c r="K12" i="18"/>
  <c r="J12" i="18"/>
  <c r="I12" i="18"/>
  <c r="H12" i="18"/>
  <c r="G12" i="18"/>
  <c r="F12" i="18"/>
  <c r="E12" i="18"/>
  <c r="D12" i="18"/>
  <c r="AM12" i="17"/>
  <c r="AH12" i="17"/>
  <c r="AG12" i="17"/>
  <c r="AF12" i="17"/>
  <c r="AE12" i="17"/>
  <c r="AD12" i="17"/>
  <c r="AC12" i="17"/>
  <c r="AB12" i="17"/>
  <c r="AA12" i="17"/>
  <c r="Z12" i="17"/>
  <c r="Y12" i="17"/>
  <c r="X12" i="17"/>
  <c r="W12" i="17"/>
  <c r="V12" i="17"/>
  <c r="U12" i="17"/>
  <c r="T12" i="17"/>
  <c r="S12" i="17"/>
  <c r="R12" i="17"/>
  <c r="Q12" i="17"/>
  <c r="P12" i="17"/>
  <c r="O12" i="17"/>
  <c r="N12" i="17"/>
  <c r="M12" i="17"/>
  <c r="L12" i="17"/>
  <c r="K12" i="17"/>
  <c r="J12" i="17"/>
  <c r="I12" i="17"/>
  <c r="H12" i="17"/>
  <c r="G12" i="17"/>
  <c r="F12" i="17"/>
  <c r="E12" i="17"/>
  <c r="D12" i="17"/>
  <c r="AM12" i="16"/>
  <c r="AH12" i="16"/>
  <c r="AG12" i="16"/>
  <c r="AF12" i="16"/>
  <c r="AE12" i="16"/>
  <c r="AD12" i="16"/>
  <c r="AC12" i="16"/>
  <c r="AB12" i="16"/>
  <c r="AA12" i="16"/>
  <c r="Z12" i="16"/>
  <c r="Y12" i="16"/>
  <c r="X12" i="16"/>
  <c r="W12" i="16"/>
  <c r="V12" i="16"/>
  <c r="U12" i="16"/>
  <c r="T12" i="16"/>
  <c r="S12" i="16"/>
  <c r="R12" i="16"/>
  <c r="Q12" i="16"/>
  <c r="P12" i="16"/>
  <c r="O12" i="16"/>
  <c r="N12" i="16"/>
  <c r="M12" i="16"/>
  <c r="L12" i="16"/>
  <c r="K12" i="16"/>
  <c r="J12" i="16"/>
  <c r="I12" i="16"/>
  <c r="H12" i="16"/>
  <c r="G12" i="16"/>
  <c r="F12" i="16"/>
  <c r="E12" i="16"/>
  <c r="D12" i="16"/>
  <c r="AH12" i="15"/>
  <c r="AG12" i="15"/>
  <c r="AF12" i="15"/>
  <c r="AE12" i="15"/>
  <c r="AD12" i="15"/>
  <c r="AC12" i="15"/>
  <c r="AB12" i="15"/>
  <c r="AA12" i="15"/>
  <c r="Z12" i="15"/>
  <c r="Y12" i="15"/>
  <c r="X12" i="15"/>
  <c r="W12" i="15"/>
  <c r="V12" i="15"/>
  <c r="U12" i="15"/>
  <c r="T12" i="15"/>
  <c r="S12" i="15"/>
  <c r="R12" i="15"/>
  <c r="Q12" i="15"/>
  <c r="P12" i="15"/>
  <c r="O12" i="15"/>
  <c r="N12" i="15"/>
  <c r="M12" i="15"/>
  <c r="L12" i="15"/>
  <c r="K12" i="15"/>
  <c r="J12" i="15"/>
  <c r="I12" i="15"/>
  <c r="H12" i="15"/>
  <c r="G12" i="15"/>
  <c r="F12" i="15"/>
  <c r="E12" i="15"/>
  <c r="D12" i="15"/>
  <c r="AM12" i="15"/>
  <c r="AM12" i="14"/>
  <c r="AH12" i="14"/>
  <c r="AG12" i="14"/>
  <c r="AF12" i="14"/>
  <c r="AE12" i="14"/>
  <c r="AD12" i="14"/>
  <c r="AC12" i="14"/>
  <c r="AB12" i="14"/>
  <c r="AA12" i="14"/>
  <c r="Z12" i="14"/>
  <c r="Y12" i="14"/>
  <c r="X12" i="14"/>
  <c r="W12" i="14"/>
  <c r="V12" i="14"/>
  <c r="U12" i="14"/>
  <c r="T12" i="14"/>
  <c r="S12" i="14"/>
  <c r="R12" i="14"/>
  <c r="Q12" i="14"/>
  <c r="P12" i="14"/>
  <c r="O12" i="14"/>
  <c r="N12" i="14"/>
  <c r="M12" i="14"/>
  <c r="L12" i="14"/>
  <c r="K12" i="14"/>
  <c r="J12" i="14"/>
  <c r="I12" i="14"/>
  <c r="H12" i="14"/>
  <c r="G12" i="14"/>
  <c r="F12" i="14"/>
  <c r="E12" i="14"/>
  <c r="D12" i="14"/>
  <c r="C11" i="23"/>
  <c r="C10" i="23"/>
  <c r="C9" i="23"/>
  <c r="C8" i="23"/>
  <c r="C7" i="23"/>
  <c r="C11" i="22"/>
  <c r="C10" i="22"/>
  <c r="C9" i="22"/>
  <c r="C8" i="22"/>
  <c r="C7" i="22"/>
  <c r="C11" i="21"/>
  <c r="C10" i="21"/>
  <c r="C9" i="21"/>
  <c r="C8" i="21"/>
  <c r="C7" i="21"/>
  <c r="C11" i="20"/>
  <c r="C10" i="20"/>
  <c r="C9" i="20"/>
  <c r="C8" i="20"/>
  <c r="C7" i="20"/>
  <c r="C11" i="19"/>
  <c r="C10" i="19"/>
  <c r="C9" i="19"/>
  <c r="C8" i="19"/>
  <c r="C7" i="19"/>
  <c r="C11" i="8"/>
  <c r="C10" i="8"/>
  <c r="C9" i="8"/>
  <c r="C8" i="8"/>
  <c r="C7" i="8"/>
  <c r="C11" i="18"/>
  <c r="C10" i="18"/>
  <c r="C9" i="18"/>
  <c r="C8" i="18"/>
  <c r="C7" i="18"/>
  <c r="C11" i="17"/>
  <c r="C10" i="17"/>
  <c r="C9" i="17"/>
  <c r="C8" i="17"/>
  <c r="C7" i="17"/>
  <c r="C11" i="16"/>
  <c r="C10" i="16"/>
  <c r="C9" i="16"/>
  <c r="C8" i="16"/>
  <c r="C7" i="16"/>
  <c r="C11" i="15"/>
  <c r="C10" i="15"/>
  <c r="C9" i="15"/>
  <c r="C8" i="15"/>
  <c r="C7" i="15"/>
  <c r="C11" i="14"/>
  <c r="C10" i="14"/>
  <c r="C9" i="14"/>
  <c r="C8" i="14"/>
  <c r="C7" i="14"/>
  <c r="AH12" i="4"/>
  <c r="AG12" i="4"/>
  <c r="AF12" i="4"/>
  <c r="AE12" i="4"/>
  <c r="AD12" i="4"/>
  <c r="AC12" i="4"/>
  <c r="AB12" i="4"/>
  <c r="AA12" i="4"/>
  <c r="Z12" i="4"/>
  <c r="Y12" i="4"/>
  <c r="X12" i="4"/>
  <c r="W12" i="4"/>
  <c r="V12" i="4"/>
  <c r="U12" i="4"/>
  <c r="T12" i="4"/>
  <c r="S12" i="4"/>
  <c r="R12" i="4"/>
  <c r="Q12" i="4"/>
  <c r="P12" i="4"/>
  <c r="O12" i="4"/>
  <c r="N12" i="4"/>
  <c r="M12" i="4"/>
  <c r="L12" i="4"/>
  <c r="K12" i="4"/>
  <c r="J12" i="4"/>
  <c r="I12" i="4"/>
  <c r="H12" i="4"/>
  <c r="G12" i="4"/>
  <c r="F12" i="4"/>
  <c r="E12" i="4"/>
  <c r="D12" i="4"/>
  <c r="D5" i="4"/>
  <c r="C11" i="4"/>
  <c r="C10" i="4"/>
  <c r="C9" i="4"/>
  <c r="C8" i="4"/>
  <c r="C7" i="4"/>
  <c r="S8" i="5"/>
  <c r="S7" i="5"/>
  <c r="S6" i="5"/>
  <c r="S5" i="5"/>
  <c r="S4" i="5"/>
  <c r="AG39" i="6" l="1"/>
  <c r="AF39" i="6"/>
  <c r="AE39" i="6"/>
  <c r="AD39" i="6"/>
  <c r="AC39" i="6"/>
  <c r="AB39" i="6"/>
  <c r="AA39" i="6"/>
  <c r="Z39" i="6"/>
  <c r="Y39" i="6"/>
  <c r="X39" i="6"/>
  <c r="W39" i="6"/>
  <c r="V39" i="6"/>
  <c r="U39" i="6"/>
  <c r="T39" i="6"/>
  <c r="S39" i="6"/>
  <c r="R39" i="6"/>
  <c r="Q39" i="6"/>
  <c r="P39" i="6"/>
  <c r="O39" i="6"/>
  <c r="N39" i="6"/>
  <c r="M39" i="6"/>
  <c r="L39" i="6"/>
  <c r="K39" i="6"/>
  <c r="J39" i="6"/>
  <c r="I39" i="6"/>
  <c r="H39" i="6"/>
  <c r="G39" i="6"/>
  <c r="F39" i="6"/>
  <c r="E39" i="6"/>
  <c r="D39" i="6"/>
  <c r="C39" i="6"/>
  <c r="AF37" i="6"/>
  <c r="AE37" i="6"/>
  <c r="AD37" i="6"/>
  <c r="AC37" i="6"/>
  <c r="AB37" i="6"/>
  <c r="AA37" i="6"/>
  <c r="Z37" i="6"/>
  <c r="Y37" i="6"/>
  <c r="X37" i="6"/>
  <c r="W37" i="6"/>
  <c r="V37" i="6"/>
  <c r="U37" i="6"/>
  <c r="T37" i="6"/>
  <c r="S37" i="6"/>
  <c r="R37" i="6"/>
  <c r="Q37" i="6"/>
  <c r="P37" i="6"/>
  <c r="O37" i="6"/>
  <c r="N37" i="6"/>
  <c r="M37" i="6"/>
  <c r="L37" i="6"/>
  <c r="K37" i="6"/>
  <c r="J37" i="6"/>
  <c r="I37" i="6"/>
  <c r="H37" i="6"/>
  <c r="G37" i="6"/>
  <c r="F37" i="6"/>
  <c r="E37" i="6"/>
  <c r="D37" i="6"/>
  <c r="C37" i="6"/>
  <c r="AG35" i="6"/>
  <c r="AF35" i="6"/>
  <c r="AE35" i="6"/>
  <c r="AD35" i="6"/>
  <c r="AC35" i="6"/>
  <c r="AB35" i="6"/>
  <c r="AA35" i="6"/>
  <c r="Z35" i="6"/>
  <c r="Y35" i="6"/>
  <c r="X35" i="6"/>
  <c r="W35" i="6"/>
  <c r="V35" i="6"/>
  <c r="U35" i="6"/>
  <c r="T35" i="6"/>
  <c r="S35" i="6"/>
  <c r="R35" i="6"/>
  <c r="Q35" i="6"/>
  <c r="P35" i="6"/>
  <c r="O35" i="6"/>
  <c r="N35" i="6"/>
  <c r="M35" i="6"/>
  <c r="L35" i="6"/>
  <c r="K35" i="6"/>
  <c r="J35" i="6"/>
  <c r="I35" i="6"/>
  <c r="H35" i="6"/>
  <c r="G35" i="6"/>
  <c r="F35" i="6"/>
  <c r="E35" i="6"/>
  <c r="D35" i="6"/>
  <c r="C35" i="6"/>
  <c r="AF33" i="6"/>
  <c r="AE33" i="6"/>
  <c r="AD33" i="6"/>
  <c r="AC33" i="6"/>
  <c r="AB33" i="6"/>
  <c r="AA33" i="6"/>
  <c r="Z33" i="6"/>
  <c r="Y33" i="6"/>
  <c r="X33" i="6"/>
  <c r="W33" i="6"/>
  <c r="V33" i="6"/>
  <c r="U33" i="6"/>
  <c r="T33" i="6"/>
  <c r="S33" i="6"/>
  <c r="R33" i="6"/>
  <c r="Q33" i="6"/>
  <c r="P33" i="6"/>
  <c r="O33" i="6"/>
  <c r="N33" i="6"/>
  <c r="M33" i="6"/>
  <c r="L33" i="6"/>
  <c r="K33" i="6"/>
  <c r="J33" i="6"/>
  <c r="I33" i="6"/>
  <c r="H33" i="6"/>
  <c r="G33" i="6"/>
  <c r="F33" i="6"/>
  <c r="E33" i="6"/>
  <c r="D33" i="6"/>
  <c r="C33" i="6"/>
  <c r="AG31" i="6"/>
  <c r="AF31" i="6"/>
  <c r="AE31" i="6"/>
  <c r="AD31" i="6"/>
  <c r="AC31" i="6"/>
  <c r="AB31" i="6"/>
  <c r="AA31" i="6"/>
  <c r="Z31" i="6"/>
  <c r="Y31" i="6"/>
  <c r="X31" i="6"/>
  <c r="W31" i="6"/>
  <c r="V31" i="6"/>
  <c r="U31" i="6"/>
  <c r="T31" i="6"/>
  <c r="S31" i="6"/>
  <c r="R31" i="6"/>
  <c r="Q31" i="6"/>
  <c r="P31" i="6"/>
  <c r="O31" i="6"/>
  <c r="N31" i="6"/>
  <c r="M31" i="6"/>
  <c r="L31" i="6"/>
  <c r="K31" i="6"/>
  <c r="J31" i="6"/>
  <c r="I31" i="6"/>
  <c r="H31" i="6"/>
  <c r="G31" i="6"/>
  <c r="F31" i="6"/>
  <c r="E31" i="6"/>
  <c r="D31" i="6"/>
  <c r="C31" i="6"/>
  <c r="AG27" i="6"/>
  <c r="AF27" i="6"/>
  <c r="AE27" i="6"/>
  <c r="AD27" i="6"/>
  <c r="AC27" i="6"/>
  <c r="AB27" i="6"/>
  <c r="AA27" i="6"/>
  <c r="Z27" i="6"/>
  <c r="Y27" i="6"/>
  <c r="X27" i="6"/>
  <c r="W27" i="6"/>
  <c r="V27" i="6"/>
  <c r="U27" i="6"/>
  <c r="T27" i="6"/>
  <c r="S27" i="6"/>
  <c r="R27" i="6"/>
  <c r="Q27" i="6"/>
  <c r="P27" i="6"/>
  <c r="O27" i="6"/>
  <c r="N27" i="6"/>
  <c r="M27" i="6"/>
  <c r="L27" i="6"/>
  <c r="K27" i="6"/>
  <c r="J27" i="6"/>
  <c r="I27" i="6"/>
  <c r="H27" i="6"/>
  <c r="G27" i="6"/>
  <c r="F27" i="6"/>
  <c r="E27" i="6"/>
  <c r="D27" i="6"/>
  <c r="C27" i="6"/>
  <c r="AG25" i="6"/>
  <c r="AF25" i="6"/>
  <c r="AE25" i="6"/>
  <c r="AD25" i="6"/>
  <c r="AC25" i="6"/>
  <c r="AB25" i="6"/>
  <c r="AA25" i="6"/>
  <c r="Z25" i="6"/>
  <c r="Y25" i="6"/>
  <c r="X25" i="6"/>
  <c r="W25" i="6"/>
  <c r="V25" i="6"/>
  <c r="U25" i="6"/>
  <c r="T25" i="6"/>
  <c r="S25" i="6"/>
  <c r="R25" i="6"/>
  <c r="Q25" i="6"/>
  <c r="P25" i="6"/>
  <c r="O25" i="6"/>
  <c r="N25" i="6"/>
  <c r="M25" i="6"/>
  <c r="L25" i="6"/>
  <c r="K25" i="6"/>
  <c r="J25" i="6"/>
  <c r="I25" i="6"/>
  <c r="H25" i="6"/>
  <c r="G25" i="6"/>
  <c r="F25" i="6"/>
  <c r="E25" i="6"/>
  <c r="D25" i="6"/>
  <c r="C25" i="6"/>
  <c r="AF23" i="6"/>
  <c r="AE23" i="6"/>
  <c r="AD23" i="6"/>
  <c r="AC23" i="6"/>
  <c r="AB23" i="6"/>
  <c r="AA23" i="6"/>
  <c r="Z23" i="6"/>
  <c r="Y23" i="6"/>
  <c r="X23" i="6"/>
  <c r="W23" i="6"/>
  <c r="V23" i="6"/>
  <c r="U23" i="6"/>
  <c r="T23" i="6"/>
  <c r="S23" i="6"/>
  <c r="R23" i="6"/>
  <c r="Q23" i="6"/>
  <c r="P23" i="6"/>
  <c r="O23" i="6"/>
  <c r="N23" i="6"/>
  <c r="M23" i="6"/>
  <c r="L23" i="6"/>
  <c r="K23" i="6"/>
  <c r="J23" i="6"/>
  <c r="I23" i="6"/>
  <c r="H23" i="6"/>
  <c r="G23" i="6"/>
  <c r="F23" i="6"/>
  <c r="E23" i="6"/>
  <c r="D23" i="6"/>
  <c r="C23" i="6"/>
  <c r="AG21" i="6"/>
  <c r="AF21" i="6"/>
  <c r="AE21" i="6"/>
  <c r="AD21" i="6"/>
  <c r="AC21" i="6"/>
  <c r="AB21" i="6"/>
  <c r="AA21" i="6"/>
  <c r="Z21" i="6"/>
  <c r="Y21" i="6"/>
  <c r="X21" i="6"/>
  <c r="W21" i="6"/>
  <c r="V21" i="6"/>
  <c r="U21" i="6"/>
  <c r="T21" i="6"/>
  <c r="S21" i="6"/>
  <c r="R21" i="6"/>
  <c r="Q21" i="6"/>
  <c r="P21" i="6"/>
  <c r="O21" i="6"/>
  <c r="N21" i="6"/>
  <c r="M21" i="6"/>
  <c r="L21" i="6"/>
  <c r="K21" i="6"/>
  <c r="J21" i="6"/>
  <c r="I21" i="6"/>
  <c r="H21" i="6"/>
  <c r="G21" i="6"/>
  <c r="F21" i="6"/>
  <c r="E21" i="6"/>
  <c r="D21" i="6"/>
  <c r="C21" i="6"/>
  <c r="AH5" i="23"/>
  <c r="AG5" i="23"/>
  <c r="AF5" i="23"/>
  <c r="AE5" i="23"/>
  <c r="AD5" i="23"/>
  <c r="AC5" i="23"/>
  <c r="AB5" i="23"/>
  <c r="AA5" i="23"/>
  <c r="Z5" i="23"/>
  <c r="Y5" i="23"/>
  <c r="X5" i="23"/>
  <c r="W5" i="23"/>
  <c r="V5" i="23"/>
  <c r="U5" i="23"/>
  <c r="T5" i="23"/>
  <c r="S5" i="23"/>
  <c r="R5" i="23"/>
  <c r="Q5" i="23"/>
  <c r="P5" i="23"/>
  <c r="O5" i="23"/>
  <c r="N5" i="23"/>
  <c r="M5" i="23"/>
  <c r="L5" i="23"/>
  <c r="K5" i="23"/>
  <c r="J5" i="23"/>
  <c r="I5" i="23"/>
  <c r="H5" i="23"/>
  <c r="G5" i="23"/>
  <c r="F5" i="23"/>
  <c r="E5" i="23"/>
  <c r="D5" i="23"/>
  <c r="B5" i="23"/>
  <c r="AG5" i="22"/>
  <c r="AF5" i="22"/>
  <c r="AE5" i="22"/>
  <c r="AD5" i="22"/>
  <c r="AC5" i="22"/>
  <c r="AB5" i="22"/>
  <c r="AA5" i="22"/>
  <c r="Z5" i="22"/>
  <c r="Y5" i="22"/>
  <c r="X5" i="22"/>
  <c r="W5" i="22"/>
  <c r="V5" i="22"/>
  <c r="U5" i="22"/>
  <c r="T5" i="22"/>
  <c r="S5" i="22"/>
  <c r="R5" i="22"/>
  <c r="Q5" i="22"/>
  <c r="P5" i="22"/>
  <c r="O5" i="22"/>
  <c r="N5" i="22"/>
  <c r="M5" i="22"/>
  <c r="L5" i="22"/>
  <c r="K5" i="22"/>
  <c r="J5" i="22"/>
  <c r="I5" i="22"/>
  <c r="H5" i="22"/>
  <c r="G5" i="22"/>
  <c r="F5" i="22"/>
  <c r="E5" i="22"/>
  <c r="D5" i="22"/>
  <c r="B5" i="22"/>
  <c r="AL11" i="23"/>
  <c r="AK11" i="23"/>
  <c r="AJ11" i="23"/>
  <c r="AM11" i="23" s="1"/>
  <c r="AI11" i="23"/>
  <c r="AL10" i="23"/>
  <c r="AK10" i="23"/>
  <c r="AJ10" i="23"/>
  <c r="AM10" i="23" s="1"/>
  <c r="AI10" i="23"/>
  <c r="AL9" i="23"/>
  <c r="AK9" i="23"/>
  <c r="AJ9" i="23"/>
  <c r="AM9" i="23" s="1"/>
  <c r="AI9" i="23"/>
  <c r="AL8" i="23"/>
  <c r="AK8" i="23"/>
  <c r="AJ8" i="23"/>
  <c r="AM8" i="23" s="1"/>
  <c r="AI8" i="23"/>
  <c r="AL7" i="23"/>
  <c r="AK7" i="23"/>
  <c r="AJ7" i="23"/>
  <c r="AM7" i="23" s="1"/>
  <c r="AI7" i="23"/>
  <c r="U3" i="23"/>
  <c r="T3" i="23"/>
  <c r="Q3" i="23"/>
  <c r="P3" i="23"/>
  <c r="M3" i="23"/>
  <c r="L3" i="23"/>
  <c r="I3" i="23"/>
  <c r="H3" i="23"/>
  <c r="E3" i="23"/>
  <c r="D3" i="23"/>
  <c r="C3" i="23"/>
  <c r="AM1" i="23"/>
  <c r="AL11" i="22"/>
  <c r="AK11" i="22"/>
  <c r="AJ11" i="22"/>
  <c r="AM11" i="22" s="1"/>
  <c r="AI11" i="22"/>
  <c r="AL10" i="22"/>
  <c r="AK10" i="22"/>
  <c r="AJ10" i="22"/>
  <c r="AM10" i="22" s="1"/>
  <c r="AI10" i="22"/>
  <c r="AL9" i="22"/>
  <c r="AK9" i="22"/>
  <c r="AJ9" i="22"/>
  <c r="AM9" i="22" s="1"/>
  <c r="AI9" i="22"/>
  <c r="AL8" i="22"/>
  <c r="AK8" i="22"/>
  <c r="AJ8" i="22"/>
  <c r="AM8" i="22" s="1"/>
  <c r="AI8" i="22"/>
  <c r="AL7" i="22"/>
  <c r="AL12" i="22" s="1"/>
  <c r="AK7" i="22"/>
  <c r="AJ7" i="22"/>
  <c r="AM7" i="22" s="1"/>
  <c r="AI7" i="22"/>
  <c r="U3" i="22"/>
  <c r="T3" i="22"/>
  <c r="Q3" i="22"/>
  <c r="P3" i="22"/>
  <c r="M3" i="22"/>
  <c r="L3" i="22"/>
  <c r="I3" i="22"/>
  <c r="H3" i="22"/>
  <c r="E3" i="22"/>
  <c r="D3" i="22"/>
  <c r="C3" i="22"/>
  <c r="AM1" i="22"/>
  <c r="AH5" i="21"/>
  <c r="AG5" i="21"/>
  <c r="AF5" i="21"/>
  <c r="AE5" i="21"/>
  <c r="AD5" i="21"/>
  <c r="AC5" i="21"/>
  <c r="AB5" i="21"/>
  <c r="AA5" i="21"/>
  <c r="Z5" i="21"/>
  <c r="Y5" i="21"/>
  <c r="X5" i="21"/>
  <c r="W5" i="21"/>
  <c r="V5" i="21"/>
  <c r="U5" i="21"/>
  <c r="T5" i="21"/>
  <c r="S5" i="21"/>
  <c r="R5" i="21"/>
  <c r="Q5" i="21"/>
  <c r="P5" i="21"/>
  <c r="O5" i="21"/>
  <c r="N5" i="21"/>
  <c r="M5" i="21"/>
  <c r="L5" i="21"/>
  <c r="K5" i="21"/>
  <c r="J5" i="21"/>
  <c r="I5" i="21"/>
  <c r="H5" i="21"/>
  <c r="G5" i="21"/>
  <c r="F5" i="21"/>
  <c r="E5" i="21"/>
  <c r="D5" i="21"/>
  <c r="B5" i="21"/>
  <c r="AG5" i="20"/>
  <c r="AF5" i="20"/>
  <c r="AE5" i="20"/>
  <c r="AD5" i="20"/>
  <c r="AC5" i="20"/>
  <c r="AB5" i="20"/>
  <c r="AA5" i="20"/>
  <c r="Z5" i="20"/>
  <c r="Y5" i="20"/>
  <c r="X5" i="20"/>
  <c r="W5" i="20"/>
  <c r="V5" i="20"/>
  <c r="U5" i="20"/>
  <c r="T5" i="20"/>
  <c r="S5" i="20"/>
  <c r="R5" i="20"/>
  <c r="Q5" i="20"/>
  <c r="P5" i="20"/>
  <c r="O5" i="20"/>
  <c r="N5" i="20"/>
  <c r="M5" i="20"/>
  <c r="L5" i="20"/>
  <c r="K5" i="20"/>
  <c r="J5" i="20"/>
  <c r="I5" i="20"/>
  <c r="H5" i="20"/>
  <c r="G5" i="20"/>
  <c r="F5" i="20"/>
  <c r="E5" i="20"/>
  <c r="D5" i="20"/>
  <c r="B5" i="20"/>
  <c r="AL11" i="21"/>
  <c r="AK11" i="21"/>
  <c r="AJ11" i="21"/>
  <c r="AM11" i="21" s="1"/>
  <c r="AI11" i="21"/>
  <c r="AL10" i="21"/>
  <c r="AK10" i="21"/>
  <c r="AJ10" i="21"/>
  <c r="AM10" i="21" s="1"/>
  <c r="AI10" i="21"/>
  <c r="AL9" i="21"/>
  <c r="AK9" i="21"/>
  <c r="AJ9" i="21"/>
  <c r="AM9" i="21" s="1"/>
  <c r="AI9" i="21"/>
  <c r="AL8" i="21"/>
  <c r="AK8" i="21"/>
  <c r="AJ8" i="21"/>
  <c r="AM8" i="21" s="1"/>
  <c r="AI8" i="21"/>
  <c r="AL7" i="21"/>
  <c r="AL12" i="21" s="1"/>
  <c r="AK7" i="21"/>
  <c r="AK12" i="21" s="1"/>
  <c r="AJ7" i="21"/>
  <c r="AM7" i="21" s="1"/>
  <c r="AI7" i="21"/>
  <c r="AI12" i="21" s="1"/>
  <c r="U3" i="21"/>
  <c r="T3" i="21"/>
  <c r="Q3" i="21"/>
  <c r="P3" i="21"/>
  <c r="M3" i="21"/>
  <c r="L3" i="21"/>
  <c r="I3" i="21"/>
  <c r="H3" i="21"/>
  <c r="E3" i="21"/>
  <c r="D3" i="21"/>
  <c r="C3" i="21"/>
  <c r="AM1" i="21"/>
  <c r="AL11" i="20"/>
  <c r="AK11" i="20"/>
  <c r="AJ11" i="20"/>
  <c r="AM11" i="20" s="1"/>
  <c r="AI11" i="20"/>
  <c r="AL10" i="20"/>
  <c r="AK10" i="20"/>
  <c r="AJ10" i="20"/>
  <c r="AM10" i="20" s="1"/>
  <c r="AI10" i="20"/>
  <c r="AL9" i="20"/>
  <c r="AK9" i="20"/>
  <c r="AJ9" i="20"/>
  <c r="AM9" i="20" s="1"/>
  <c r="AI9" i="20"/>
  <c r="AL8" i="20"/>
  <c r="AK8" i="20"/>
  <c r="AJ8" i="20"/>
  <c r="AM8" i="20" s="1"/>
  <c r="AI8" i="20"/>
  <c r="AL7" i="20"/>
  <c r="AL12" i="20" s="1"/>
  <c r="AK7" i="20"/>
  <c r="AJ7" i="20"/>
  <c r="AM7" i="20" s="1"/>
  <c r="AI7" i="20"/>
  <c r="U3" i="20"/>
  <c r="T3" i="20"/>
  <c r="Q3" i="20"/>
  <c r="P3" i="20"/>
  <c r="M3" i="20"/>
  <c r="L3" i="20"/>
  <c r="I3" i="20"/>
  <c r="H3" i="20"/>
  <c r="E3" i="20"/>
  <c r="D3" i="20"/>
  <c r="C3" i="20"/>
  <c r="AM1" i="20"/>
  <c r="AH5" i="19"/>
  <c r="AG5" i="19"/>
  <c r="AF5" i="19"/>
  <c r="AE5" i="19"/>
  <c r="AD5" i="19"/>
  <c r="AC5" i="19"/>
  <c r="AB5" i="19"/>
  <c r="AA5" i="19"/>
  <c r="Z5" i="19"/>
  <c r="Y5" i="19"/>
  <c r="X5" i="19"/>
  <c r="W5" i="19"/>
  <c r="V5" i="19"/>
  <c r="U5" i="19"/>
  <c r="T5" i="19"/>
  <c r="S5" i="19"/>
  <c r="R5" i="19"/>
  <c r="Q5" i="19"/>
  <c r="P5" i="19"/>
  <c r="O5" i="19"/>
  <c r="N5" i="19"/>
  <c r="M5" i="19"/>
  <c r="L5" i="19"/>
  <c r="K5" i="19"/>
  <c r="J5" i="19"/>
  <c r="I5" i="19"/>
  <c r="H5" i="19"/>
  <c r="G5" i="19"/>
  <c r="F5" i="19"/>
  <c r="E5" i="19"/>
  <c r="D5" i="19"/>
  <c r="B5" i="19"/>
  <c r="AL11" i="19"/>
  <c r="AK11" i="19"/>
  <c r="AJ11" i="19"/>
  <c r="AM11" i="19" s="1"/>
  <c r="AI11" i="19"/>
  <c r="AL10" i="19"/>
  <c r="AK10" i="19"/>
  <c r="AJ10" i="19"/>
  <c r="AM10" i="19" s="1"/>
  <c r="AI10" i="19"/>
  <c r="AL9" i="19"/>
  <c r="AK9" i="19"/>
  <c r="AJ9" i="19"/>
  <c r="AM9" i="19" s="1"/>
  <c r="AI9" i="19"/>
  <c r="AL8" i="19"/>
  <c r="AK8" i="19"/>
  <c r="AJ8" i="19"/>
  <c r="AM8" i="19" s="1"/>
  <c r="AI8" i="19"/>
  <c r="AL7" i="19"/>
  <c r="AL12" i="19" s="1"/>
  <c r="AK7" i="19"/>
  <c r="AJ7" i="19"/>
  <c r="AM7" i="19" s="1"/>
  <c r="AI7" i="19"/>
  <c r="U3" i="19"/>
  <c r="T3" i="19"/>
  <c r="Q3" i="19"/>
  <c r="P3" i="19"/>
  <c r="M3" i="19"/>
  <c r="L3" i="19"/>
  <c r="I3" i="19"/>
  <c r="H3" i="19"/>
  <c r="E3" i="19"/>
  <c r="D3" i="19"/>
  <c r="C3" i="19"/>
  <c r="AM1" i="19"/>
  <c r="B5" i="17"/>
  <c r="B5" i="16"/>
  <c r="B5" i="15"/>
  <c r="AH5" i="18"/>
  <c r="AG5" i="18"/>
  <c r="AF5" i="18"/>
  <c r="AE5" i="18"/>
  <c r="AD5" i="18"/>
  <c r="AC5" i="18"/>
  <c r="AB5" i="18"/>
  <c r="AA5" i="18"/>
  <c r="Z5" i="18"/>
  <c r="Y5" i="18"/>
  <c r="X5" i="18"/>
  <c r="W5" i="18"/>
  <c r="V5" i="18"/>
  <c r="U5" i="18"/>
  <c r="T5" i="18"/>
  <c r="S5" i="18"/>
  <c r="R5" i="18"/>
  <c r="Q5" i="18"/>
  <c r="P5" i="18"/>
  <c r="O5" i="18"/>
  <c r="N5" i="18"/>
  <c r="M5" i="18"/>
  <c r="L5" i="18"/>
  <c r="K5" i="18"/>
  <c r="J5" i="18"/>
  <c r="I5" i="18"/>
  <c r="H5" i="18"/>
  <c r="G5" i="18"/>
  <c r="F5" i="18"/>
  <c r="E5" i="18"/>
  <c r="D5" i="18"/>
  <c r="B5" i="18"/>
  <c r="AL11" i="18"/>
  <c r="AK11" i="18"/>
  <c r="AJ11" i="18"/>
  <c r="AM11" i="18" s="1"/>
  <c r="AI11" i="18"/>
  <c r="AL10" i="18"/>
  <c r="AK10" i="18"/>
  <c r="AJ10" i="18"/>
  <c r="AM10" i="18" s="1"/>
  <c r="AI10" i="18"/>
  <c r="AL9" i="18"/>
  <c r="AK9" i="18"/>
  <c r="AJ9" i="18"/>
  <c r="AM9" i="18" s="1"/>
  <c r="AI9" i="18"/>
  <c r="AL8" i="18"/>
  <c r="AK8" i="18"/>
  <c r="AJ8" i="18"/>
  <c r="AM8" i="18" s="1"/>
  <c r="AI8" i="18"/>
  <c r="AL7" i="18"/>
  <c r="AK7" i="18"/>
  <c r="AK12" i="18" s="1"/>
  <c r="AJ7" i="18"/>
  <c r="AM7" i="18" s="1"/>
  <c r="AI7" i="18"/>
  <c r="AI12" i="18" s="1"/>
  <c r="U3" i="18"/>
  <c r="T3" i="18"/>
  <c r="Q3" i="18"/>
  <c r="P3" i="18"/>
  <c r="M3" i="18"/>
  <c r="L3" i="18"/>
  <c r="I3" i="18"/>
  <c r="H3" i="18"/>
  <c r="E3" i="18"/>
  <c r="D3" i="18"/>
  <c r="C3" i="18"/>
  <c r="AM1" i="18"/>
  <c r="AH5" i="17"/>
  <c r="AG5" i="17"/>
  <c r="AF5" i="17"/>
  <c r="AE5" i="17"/>
  <c r="AD5" i="17"/>
  <c r="AC5" i="17"/>
  <c r="AB5" i="17"/>
  <c r="AA5" i="17"/>
  <c r="Z5" i="17"/>
  <c r="Y5" i="17"/>
  <c r="X5" i="17"/>
  <c r="W5" i="17"/>
  <c r="V5" i="17"/>
  <c r="U5" i="17"/>
  <c r="T5" i="17"/>
  <c r="S5" i="17"/>
  <c r="R5" i="17"/>
  <c r="Q5" i="17"/>
  <c r="P5" i="17"/>
  <c r="O5" i="17"/>
  <c r="N5" i="17"/>
  <c r="M5" i="17"/>
  <c r="L5" i="17"/>
  <c r="K5" i="17"/>
  <c r="J5" i="17"/>
  <c r="I5" i="17"/>
  <c r="H5" i="17"/>
  <c r="G5" i="17"/>
  <c r="F5" i="17"/>
  <c r="E5" i="17"/>
  <c r="D5" i="17"/>
  <c r="AL11" i="17"/>
  <c r="AK11" i="17"/>
  <c r="AJ11" i="17"/>
  <c r="AM11" i="17" s="1"/>
  <c r="AI11" i="17"/>
  <c r="AL10" i="17"/>
  <c r="AK10" i="17"/>
  <c r="AJ10" i="17"/>
  <c r="AM10" i="17" s="1"/>
  <c r="AI10" i="17"/>
  <c r="AL9" i="17"/>
  <c r="AK9" i="17"/>
  <c r="AJ9" i="17"/>
  <c r="AM9" i="17" s="1"/>
  <c r="AI9" i="17"/>
  <c r="AL8" i="17"/>
  <c r="AK8" i="17"/>
  <c r="AJ8" i="17"/>
  <c r="AM8" i="17" s="1"/>
  <c r="AI8" i="17"/>
  <c r="AL7" i="17"/>
  <c r="AK7" i="17"/>
  <c r="AK12" i="17" s="1"/>
  <c r="AJ7" i="17"/>
  <c r="AI7" i="17"/>
  <c r="AI12" i="17" s="1"/>
  <c r="U3" i="17"/>
  <c r="T3" i="17"/>
  <c r="Q3" i="17"/>
  <c r="P3" i="17"/>
  <c r="M3" i="17"/>
  <c r="L3" i="17"/>
  <c r="I3" i="17"/>
  <c r="H3" i="17"/>
  <c r="E3" i="17"/>
  <c r="D3" i="17"/>
  <c r="C3" i="17"/>
  <c r="AM1" i="17"/>
  <c r="AG5" i="16"/>
  <c r="AF5" i="16"/>
  <c r="AE5" i="16"/>
  <c r="AD5" i="16"/>
  <c r="AC5" i="16"/>
  <c r="AB5" i="16"/>
  <c r="AA5" i="16"/>
  <c r="Z5" i="16"/>
  <c r="Y5" i="16"/>
  <c r="X5" i="16"/>
  <c r="W5" i="16"/>
  <c r="V5" i="16"/>
  <c r="U5" i="16"/>
  <c r="T5" i="16"/>
  <c r="S5" i="16"/>
  <c r="R5" i="16"/>
  <c r="Q5" i="16"/>
  <c r="P5" i="16"/>
  <c r="O5" i="16"/>
  <c r="N5" i="16"/>
  <c r="M5" i="16"/>
  <c r="L5" i="16"/>
  <c r="K5" i="16"/>
  <c r="J5" i="16"/>
  <c r="I5" i="16"/>
  <c r="H5" i="16"/>
  <c r="G5" i="16"/>
  <c r="F5" i="16"/>
  <c r="E5" i="16"/>
  <c r="D5" i="16"/>
  <c r="AH5" i="15"/>
  <c r="AG5" i="15"/>
  <c r="AF5" i="15"/>
  <c r="AE5" i="15"/>
  <c r="AD5" i="15"/>
  <c r="AC5" i="15"/>
  <c r="AB5" i="15"/>
  <c r="AA5" i="15"/>
  <c r="Z5" i="15"/>
  <c r="Y5" i="15"/>
  <c r="X5" i="15"/>
  <c r="W5" i="15"/>
  <c r="V5" i="15"/>
  <c r="U5" i="15"/>
  <c r="T5" i="15"/>
  <c r="S5" i="15"/>
  <c r="R5" i="15"/>
  <c r="Q5" i="15"/>
  <c r="P5" i="15"/>
  <c r="O5" i="15"/>
  <c r="N5" i="15"/>
  <c r="M5" i="15"/>
  <c r="L5" i="15"/>
  <c r="K5" i="15"/>
  <c r="J5" i="15"/>
  <c r="I5" i="15"/>
  <c r="H5" i="15"/>
  <c r="G5" i="15"/>
  <c r="F5" i="15"/>
  <c r="E5" i="15"/>
  <c r="D5" i="15"/>
  <c r="AL11" i="16"/>
  <c r="AK11" i="16"/>
  <c r="AJ11" i="16"/>
  <c r="AM11" i="16" s="1"/>
  <c r="AI11" i="16"/>
  <c r="AL10" i="16"/>
  <c r="AK10" i="16"/>
  <c r="AJ10" i="16"/>
  <c r="AM10" i="16" s="1"/>
  <c r="AI10" i="16"/>
  <c r="AL9" i="16"/>
  <c r="AK9" i="16"/>
  <c r="AJ9" i="16"/>
  <c r="AM9" i="16" s="1"/>
  <c r="AI9" i="16"/>
  <c r="AL8" i="16"/>
  <c r="AK8" i="16"/>
  <c r="AJ8" i="16"/>
  <c r="AM8" i="16" s="1"/>
  <c r="AI8" i="16"/>
  <c r="AL7" i="16"/>
  <c r="AK7" i="16"/>
  <c r="AK12" i="16" s="1"/>
  <c r="AJ7" i="16"/>
  <c r="AM7" i="16" s="1"/>
  <c r="AI7" i="16"/>
  <c r="AI12" i="16" s="1"/>
  <c r="U3" i="16"/>
  <c r="T3" i="16"/>
  <c r="Q3" i="16"/>
  <c r="P3" i="16"/>
  <c r="M3" i="16"/>
  <c r="L3" i="16"/>
  <c r="I3" i="16"/>
  <c r="H3" i="16"/>
  <c r="E3" i="16"/>
  <c r="D3" i="16"/>
  <c r="C3" i="16"/>
  <c r="AM1" i="16"/>
  <c r="AL11" i="15"/>
  <c r="AK11" i="15"/>
  <c r="AJ11" i="15"/>
  <c r="AM11" i="15" s="1"/>
  <c r="AI11" i="15"/>
  <c r="AL10" i="15"/>
  <c r="AK10" i="15"/>
  <c r="AJ10" i="15"/>
  <c r="AM10" i="15" s="1"/>
  <c r="AI10" i="15"/>
  <c r="AL9" i="15"/>
  <c r="AK9" i="15"/>
  <c r="AJ9" i="15"/>
  <c r="AM9" i="15" s="1"/>
  <c r="AI9" i="15"/>
  <c r="AL8" i="15"/>
  <c r="AK8" i="15"/>
  <c r="AJ8" i="15"/>
  <c r="AM8" i="15" s="1"/>
  <c r="AI8" i="15"/>
  <c r="AL7" i="15"/>
  <c r="AK12" i="15" s="1"/>
  <c r="AK7" i="15"/>
  <c r="AJ7" i="15"/>
  <c r="AM7" i="15" s="1"/>
  <c r="AI7" i="15"/>
  <c r="AI12" i="15" s="1"/>
  <c r="U3" i="15"/>
  <c r="T3" i="15"/>
  <c r="Q3" i="15"/>
  <c r="P3" i="15"/>
  <c r="M3" i="15"/>
  <c r="L3" i="15"/>
  <c r="I3" i="15"/>
  <c r="H3" i="15"/>
  <c r="E3" i="15"/>
  <c r="D3" i="15"/>
  <c r="C3" i="15"/>
  <c r="AM1" i="15"/>
  <c r="AJ12" i="21" l="1"/>
  <c r="AJ12" i="18"/>
  <c r="AM7" i="17"/>
  <c r="AJ12" i="17"/>
  <c r="AJ12" i="16"/>
  <c r="AJ12" i="15"/>
  <c r="AH36" i="6"/>
  <c r="AH38" i="6"/>
  <c r="AL12" i="16"/>
  <c r="AK38" i="6"/>
  <c r="AI38" i="6"/>
  <c r="AK36" i="6"/>
  <c r="AI36" i="6"/>
  <c r="AJ38" i="6"/>
  <c r="AJ36" i="6"/>
  <c r="AL12" i="23"/>
  <c r="AL12" i="17"/>
  <c r="AL12" i="18"/>
  <c r="AL12" i="15"/>
  <c r="AF19" i="6" l="1"/>
  <c r="AE19" i="6"/>
  <c r="AD19" i="6"/>
  <c r="AC19" i="6"/>
  <c r="AB19" i="6"/>
  <c r="AA19" i="6"/>
  <c r="Z19" i="6"/>
  <c r="Y19" i="6"/>
  <c r="X19" i="6"/>
  <c r="W19" i="6"/>
  <c r="V19" i="6"/>
  <c r="U19" i="6"/>
  <c r="T19" i="6"/>
  <c r="S19" i="6"/>
  <c r="R19" i="6"/>
  <c r="Q19" i="6"/>
  <c r="P19" i="6"/>
  <c r="O19" i="6"/>
  <c r="N19" i="6"/>
  <c r="M19" i="6"/>
  <c r="L19" i="6"/>
  <c r="K19" i="6"/>
  <c r="J19" i="6"/>
  <c r="I19" i="6"/>
  <c r="H19" i="6"/>
  <c r="G19" i="6"/>
  <c r="F19" i="6"/>
  <c r="E19" i="6"/>
  <c r="D19" i="6"/>
  <c r="C19" i="6"/>
  <c r="U3" i="14"/>
  <c r="T3" i="14"/>
  <c r="Q3" i="14"/>
  <c r="P3" i="14"/>
  <c r="M3" i="14"/>
  <c r="L3" i="14"/>
  <c r="I3" i="14"/>
  <c r="H3" i="14"/>
  <c r="E3" i="14"/>
  <c r="D3" i="14"/>
  <c r="C3" i="14"/>
  <c r="AM1" i="14"/>
  <c r="G5" i="14"/>
  <c r="F5" i="14"/>
  <c r="E5" i="14"/>
  <c r="AG5" i="14"/>
  <c r="AF5" i="14"/>
  <c r="AE5" i="14"/>
  <c r="AD5" i="14"/>
  <c r="AC5" i="14"/>
  <c r="AB5" i="14"/>
  <c r="AA5" i="14"/>
  <c r="Z5" i="14"/>
  <c r="Y5" i="14"/>
  <c r="X5" i="14"/>
  <c r="W5" i="14"/>
  <c r="V5" i="14"/>
  <c r="U5" i="14"/>
  <c r="T5" i="14"/>
  <c r="S5" i="14"/>
  <c r="R5" i="14"/>
  <c r="Q5" i="14"/>
  <c r="P5" i="14"/>
  <c r="O5" i="14"/>
  <c r="N5" i="14"/>
  <c r="M5" i="14"/>
  <c r="L5" i="14"/>
  <c r="K5" i="14"/>
  <c r="J5" i="14"/>
  <c r="I5" i="14"/>
  <c r="H5" i="14"/>
  <c r="D5" i="14"/>
  <c r="B5" i="14"/>
  <c r="AL11" i="14"/>
  <c r="AK11" i="14"/>
  <c r="AJ11" i="14"/>
  <c r="AM11" i="14" s="1"/>
  <c r="AI11" i="14"/>
  <c r="AL10" i="14"/>
  <c r="AK10" i="14"/>
  <c r="AJ10" i="14"/>
  <c r="AM10" i="14" s="1"/>
  <c r="AI10" i="14"/>
  <c r="AL9" i="14"/>
  <c r="AK9" i="14"/>
  <c r="AJ9" i="14"/>
  <c r="AM9" i="14" s="1"/>
  <c r="AI9" i="14"/>
  <c r="AL8" i="14"/>
  <c r="AK8" i="14"/>
  <c r="AJ8" i="14"/>
  <c r="AM8" i="14" s="1"/>
  <c r="AI8" i="14"/>
  <c r="AL7" i="14"/>
  <c r="AK7" i="14"/>
  <c r="AK12" i="14" s="1"/>
  <c r="AJ7" i="14"/>
  <c r="AM7" i="14" s="1"/>
  <c r="AI7" i="14"/>
  <c r="AI12" i="14" s="1"/>
  <c r="AE29" i="6"/>
  <c r="AD29" i="6"/>
  <c r="AC29" i="6"/>
  <c r="AB29" i="6"/>
  <c r="AA29" i="6"/>
  <c r="Z29" i="6"/>
  <c r="Y29" i="6"/>
  <c r="X29" i="6"/>
  <c r="W29" i="6"/>
  <c r="V29" i="6"/>
  <c r="U29" i="6"/>
  <c r="T29" i="6"/>
  <c r="S29" i="6"/>
  <c r="R29" i="6"/>
  <c r="Q29" i="6"/>
  <c r="P29" i="6"/>
  <c r="O29" i="6"/>
  <c r="N29" i="6"/>
  <c r="M29" i="6"/>
  <c r="L29" i="6"/>
  <c r="K29" i="6"/>
  <c r="J29" i="6"/>
  <c r="I29" i="6"/>
  <c r="H29" i="6"/>
  <c r="G29" i="6"/>
  <c r="F29" i="6"/>
  <c r="E29" i="6"/>
  <c r="D29" i="6"/>
  <c r="C29" i="6"/>
  <c r="AJ12" i="14" l="1"/>
  <c r="AL12" i="14"/>
  <c r="U3" i="8"/>
  <c r="T3" i="8"/>
  <c r="Q3" i="8"/>
  <c r="P3" i="8"/>
  <c r="M3" i="8"/>
  <c r="L3" i="8"/>
  <c r="I3" i="8"/>
  <c r="H3" i="8"/>
  <c r="E3" i="8"/>
  <c r="D3" i="8"/>
  <c r="C3" i="8"/>
  <c r="AM1" i="8" l="1"/>
  <c r="AL11" i="8"/>
  <c r="AK11" i="8"/>
  <c r="AJ11" i="8"/>
  <c r="AM11" i="8" s="1"/>
  <c r="AI11" i="8"/>
  <c r="AL10" i="8"/>
  <c r="AK10" i="8"/>
  <c r="AJ10" i="8"/>
  <c r="AM10" i="8" s="1"/>
  <c r="AI10" i="8"/>
  <c r="AL9" i="8"/>
  <c r="AK9" i="8"/>
  <c r="AJ9" i="8"/>
  <c r="AM9" i="8" s="1"/>
  <c r="AI9" i="8"/>
  <c r="AL8" i="8"/>
  <c r="AK8" i="8"/>
  <c r="AJ8" i="8"/>
  <c r="AM8" i="8" s="1"/>
  <c r="AI8" i="8"/>
  <c r="AL7" i="8"/>
  <c r="AK7" i="8"/>
  <c r="AJ7" i="8"/>
  <c r="AM7" i="8" s="1"/>
  <c r="AI7" i="8"/>
  <c r="AF5" i="8"/>
  <c r="AE5" i="8"/>
  <c r="AD5" i="8"/>
  <c r="AC5" i="8"/>
  <c r="AB5" i="8"/>
  <c r="AA5" i="8"/>
  <c r="Z5" i="8"/>
  <c r="Y5" i="8"/>
  <c r="X5" i="8"/>
  <c r="W5" i="8"/>
  <c r="V5" i="8"/>
  <c r="U5" i="8"/>
  <c r="T5" i="8"/>
  <c r="S5" i="8"/>
  <c r="R5" i="8"/>
  <c r="Q5" i="8"/>
  <c r="P5" i="8"/>
  <c r="O5" i="8"/>
  <c r="N5" i="8"/>
  <c r="M5" i="8"/>
  <c r="L5" i="8"/>
  <c r="K5" i="8"/>
  <c r="J5" i="8"/>
  <c r="I5" i="8"/>
  <c r="H5" i="8"/>
  <c r="G5" i="8"/>
  <c r="F5" i="8"/>
  <c r="E5" i="8"/>
  <c r="D5" i="8"/>
  <c r="B5" i="8"/>
  <c r="AL12" i="8" l="1"/>
  <c r="AI11" i="4"/>
  <c r="AJ11" i="4"/>
  <c r="AK11" i="4"/>
  <c r="AL11" i="4"/>
  <c r="AL7" i="4"/>
  <c r="AL8" i="4"/>
  <c r="AL9" i="4"/>
  <c r="AL10" i="4"/>
  <c r="AK7" i="4"/>
  <c r="AK8" i="4"/>
  <c r="AK9" i="4"/>
  <c r="AK10" i="4"/>
  <c r="AJ7" i="4"/>
  <c r="AM7" i="4" s="1"/>
  <c r="AJ8" i="4"/>
  <c r="AM8" i="4" s="1"/>
  <c r="AJ9" i="4"/>
  <c r="AM9" i="4" s="1"/>
  <c r="AJ10" i="4"/>
  <c r="AM10" i="4" s="1"/>
  <c r="B12" i="6"/>
  <c r="C12" i="6"/>
  <c r="D12" i="6"/>
  <c r="G12" i="6"/>
  <c r="H12" i="6"/>
  <c r="K12" i="6"/>
  <c r="L12" i="6"/>
  <c r="P12" i="6"/>
  <c r="Q12" i="6"/>
  <c r="T12" i="6"/>
  <c r="U12" i="6"/>
  <c r="AM11" i="4" l="1"/>
  <c r="AM12" i="4" s="1"/>
  <c r="AK12" i="4"/>
  <c r="AJ12" i="4"/>
  <c r="AI7" i="4"/>
  <c r="AI8" i="4"/>
  <c r="AI9" i="4"/>
  <c r="AI10" i="4"/>
  <c r="AI12" i="4" l="1"/>
  <c r="C17" i="6"/>
  <c r="D17" i="6"/>
  <c r="E17" i="6"/>
  <c r="F17" i="6"/>
  <c r="G17" i="6"/>
  <c r="H17" i="6"/>
  <c r="I17" i="6"/>
  <c r="J17" i="6"/>
  <c r="K17" i="6"/>
  <c r="L17" i="6"/>
  <c r="M17" i="6"/>
  <c r="N17" i="6"/>
  <c r="O17" i="6"/>
  <c r="P17" i="6"/>
  <c r="Q17" i="6"/>
  <c r="R17" i="6"/>
  <c r="S17" i="6"/>
  <c r="T17" i="6"/>
  <c r="U17" i="6"/>
  <c r="V17" i="6"/>
  <c r="W17" i="6"/>
  <c r="X17" i="6"/>
  <c r="Y17" i="6"/>
  <c r="Z17" i="6"/>
  <c r="AA17" i="6"/>
  <c r="AB17" i="6"/>
  <c r="AC17" i="6"/>
  <c r="AD17" i="6"/>
  <c r="AE17" i="6"/>
  <c r="AF17" i="6"/>
  <c r="AG17" i="6"/>
  <c r="AK16" i="6" l="1"/>
  <c r="AJ16" i="6"/>
  <c r="AI16" i="6"/>
  <c r="AH16" i="6"/>
  <c r="K6" i="6"/>
  <c r="B6" i="6"/>
  <c r="B10" i="6"/>
  <c r="AE10" i="6"/>
  <c r="W10" i="6"/>
  <c r="K10" i="6"/>
  <c r="AE8" i="6"/>
  <c r="W8" i="6"/>
  <c r="K8" i="6"/>
  <c r="B8" i="6"/>
  <c r="AK28" i="6" l="1"/>
  <c r="AJ28" i="6"/>
  <c r="AI28" i="6"/>
  <c r="AH28" i="6"/>
  <c r="AI22" i="6" l="1"/>
  <c r="AK22" i="6"/>
  <c r="AJ22" i="6"/>
  <c r="AK24" i="6"/>
  <c r="AJ24" i="6"/>
  <c r="AI24" i="6"/>
  <c r="AJ30" i="6"/>
  <c r="AI30" i="6"/>
  <c r="AK30" i="6"/>
  <c r="AK18" i="6"/>
  <c r="AJ18" i="6"/>
  <c r="AI18" i="6"/>
  <c r="AK20" i="6"/>
  <c r="AJ20" i="6"/>
  <c r="AI20" i="6"/>
  <c r="AK26" i="6"/>
  <c r="AJ26" i="6"/>
  <c r="AI26" i="6"/>
  <c r="AK32" i="6"/>
  <c r="AJ32" i="6"/>
  <c r="AI32" i="6"/>
  <c r="AK34" i="6"/>
  <c r="AJ34" i="6"/>
  <c r="AI34" i="6"/>
  <c r="AH18" i="6"/>
  <c r="AH22" i="6"/>
  <c r="AH24" i="6"/>
  <c r="AH30" i="6"/>
  <c r="AH20" i="6"/>
  <c r="AH26" i="6"/>
  <c r="AH32" i="6"/>
  <c r="AH34" i="6"/>
  <c r="AH5" i="4" l="1"/>
  <c r="AG5" i="4"/>
  <c r="AF5" i="4"/>
  <c r="AE5" i="4"/>
  <c r="AD5" i="4"/>
  <c r="AC5" i="4"/>
  <c r="AB5" i="4"/>
  <c r="AA5" i="4"/>
  <c r="Z5" i="4"/>
  <c r="Y5" i="4"/>
  <c r="X5" i="4"/>
  <c r="W5" i="4"/>
  <c r="V5" i="4"/>
  <c r="U5" i="4"/>
  <c r="T5" i="4"/>
  <c r="S5" i="4"/>
  <c r="R5" i="4"/>
  <c r="Q5" i="4"/>
  <c r="P5" i="4"/>
  <c r="O5" i="4"/>
  <c r="N5" i="4"/>
  <c r="M5" i="4"/>
  <c r="L5" i="4"/>
  <c r="K5" i="4"/>
  <c r="J5" i="4"/>
  <c r="I5" i="4"/>
  <c r="H5" i="4"/>
  <c r="G5" i="4"/>
  <c r="F5" i="4"/>
  <c r="E5" i="4"/>
  <c r="B5" i="4"/>
  <c r="AE6" i="6"/>
  <c r="W6" i="6"/>
  <c r="S4" i="6"/>
  <c r="P4" i="6"/>
  <c r="AH40" i="6" l="1"/>
  <c r="AI40" i="6"/>
  <c r="AJ40" i="6"/>
  <c r="AK40" i="6"/>
  <c r="D4" i="6" l="1"/>
  <c r="I1" i="6" s="1"/>
  <c r="AL12" i="4"/>
</calcChain>
</file>

<file path=xl/sharedStrings.xml><?xml version="1.0" encoding="utf-8"?>
<sst xmlns="http://schemas.openxmlformats.org/spreadsheetml/2006/main" count="783" uniqueCount="132">
  <si>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</si>
  <si>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</si>
  <si>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</si>
  <si>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</si>
  <si>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</si>
  <si>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</si>
  <si>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</si>
  <si>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</si>
  <si>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</si>
  <si>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</si>
  <si>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</si>
  <si>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</si>
  <si>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</si>
  <si>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</si>
  <si>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</si>
  <si>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</si>
  <si>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</si>
  <si>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</si>
  <si>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</si>
  <si>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</si>
  <si>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</si>
  <si>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</si>
  <si>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</si>
  <si>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</si>
  <si>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</si>
  <si>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</si>
  <si>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</si>
  <si>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</si>
  <si>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</si>
  <si>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</si>
  <si>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</si>
  <si>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P</t>
  </si>
  <si>
    <t>Prenume elev</t>
  </si>
  <si>
    <t>Nume elev</t>
  </si>
  <si>
    <t>ID elev</t>
  </si>
  <si>
    <t>Elev</t>
  </si>
  <si>
    <t>Nume elev</t>
  </si>
  <si>
    <t>Î</t>
  </si>
  <si>
    <t>N</t>
  </si>
  <si>
    <t>M</t>
  </si>
  <si>
    <t>Zile de absență</t>
  </si>
  <si>
    <t>Total</t>
  </si>
  <si>
    <t>Sex</t>
  </si>
  <si>
    <t>Data nașterii</t>
  </si>
  <si>
    <t>Școală</t>
  </si>
  <si>
    <t>Clasă</t>
  </si>
  <si>
    <t>Profesor</t>
  </si>
  <si>
    <t>Sală</t>
  </si>
  <si>
    <t>Relație</t>
  </si>
  <si>
    <t>Număr de telefon birou</t>
  </si>
  <si>
    <t>Număr de telefon acasă</t>
  </si>
  <si>
    <t>Contact urgențe</t>
  </si>
  <si>
    <t>M</t>
  </si>
  <si>
    <t>Relație de contact urgențe</t>
  </si>
  <si>
    <t>Număr de telefon birou pentru contact urgențe</t>
  </si>
  <si>
    <t>Număr de telefon acasă pentru contact urgențe</t>
  </si>
  <si>
    <t>Nume complet elev</t>
  </si>
  <si>
    <t>Bunic</t>
  </si>
  <si>
    <t>Total prezență</t>
  </si>
  <si>
    <t>August</t>
  </si>
  <si>
    <t>Septembrie</t>
  </si>
  <si>
    <t>Octombrie</t>
  </si>
  <si>
    <t>Noiembrie</t>
  </si>
  <si>
    <t>Decembrie</t>
  </si>
  <si>
    <t>Ianuarie</t>
  </si>
  <si>
    <t>Februarie</t>
  </si>
  <si>
    <t>Martie</t>
  </si>
  <si>
    <t>Aprilie</t>
  </si>
  <si>
    <t>Mai</t>
  </si>
  <si>
    <t>Iunie</t>
  </si>
  <si>
    <t>Iulie</t>
  </si>
  <si>
    <t>Anul școlar începe:</t>
  </si>
  <si>
    <t>Tată</t>
  </si>
  <si>
    <t>Părinte sau tutore 1</t>
  </si>
  <si>
    <t>Relație Părinte/Tutore 1</t>
  </si>
  <si>
    <t>Număr de telefon acasă Părinte/Tutore 1</t>
  </si>
  <si>
    <t>Relație Părinte/Tutore 2</t>
  </si>
  <si>
    <t>Număr de telefon birou Părinte/Tutore 2</t>
  </si>
  <si>
    <t>Număr de telefon acasă Părinte/Tutore 2</t>
  </si>
  <si>
    <t>Părinte/Tutore 2</t>
  </si>
  <si>
    <t>Numele părintelui sau tutorelui 1</t>
  </si>
  <si>
    <t>Numele părintelui sau tutorelui 2</t>
  </si>
  <si>
    <t>Întârziat</t>
  </si>
  <si>
    <t>Motivat</t>
  </si>
  <si>
    <t>Nemotivat</t>
  </si>
  <si>
    <t>Prezent</t>
  </si>
  <si>
    <t>Nu a fost la școală</t>
  </si>
  <si>
    <t>Prezență</t>
  </si>
  <si>
    <t>CARNET DE PREZENȚE ELEV</t>
  </si>
  <si>
    <t>David</t>
  </si>
  <si>
    <t>Alexander</t>
  </si>
  <si>
    <t>S001</t>
  </si>
  <si>
    <t>Michelle</t>
  </si>
  <si>
    <t>Michael Alexander</t>
  </si>
  <si>
    <t>S002</t>
  </si>
  <si>
    <t>S003</t>
  </si>
  <si>
    <t>S004</t>
  </si>
  <si>
    <t>S005</t>
  </si>
  <si>
    <t xml:space="preserve">Școala de arte </t>
  </si>
  <si>
    <t>Luca Argentiero</t>
  </si>
  <si>
    <t>Reed Koch</t>
  </si>
  <si>
    <t xml:space="preserve">● </t>
  </si>
  <si>
    <t>1.</t>
  </si>
  <si>
    <t>2.</t>
  </si>
  <si>
    <t>3.</t>
  </si>
  <si>
    <t>După ce elevii dvs. au fost introduși în foaia Listă elevi, puteți începe să le urmăriți prezența în timpul anului școlar utilizând acești pași:</t>
  </si>
  <si>
    <t>DE UNDE ÎNCEP?</t>
  </si>
  <si>
    <t>MI-AM ADĂUGAT ELEVII, CE FAC ÎN CONTINUARE?</t>
  </si>
  <si>
    <t>CUM ADAUG MAI MULȚI ELEVI LA O ÎNREGISTRARE LUNARĂ A PREZENȚEI?</t>
  </si>
  <si>
    <t>POT VIZUALIZA PREZENȚA UNUI ELEV PENTRU ÎNTREGUL AN ȘCOLAR?</t>
  </si>
  <si>
    <t>Sunt câțiva pași pe care ar trebui să-i urmați înainte să începeți să urmăriți prezența elevilor:</t>
  </si>
  <si>
    <t>CHEIE CULORI</t>
  </si>
  <si>
    <t>Dacă tabelul nu are un rând Total, începeți să tastați sub tabel, iar acesta se va extinde automat atunci când apăsați tastele Enter sau Tab.</t>
  </si>
  <si>
    <t>Plasați indicatorul celulei în ultima celulă de deasupra rândului Total, cum ar fi celula Zile de absență pentru ultimul elev, apoi apăsați tasta Tab.</t>
  </si>
  <si>
    <t>În colțul din dreapta jos al tabelului, plasați mouse-ul pe ghidajul de redimensionare a tabelului și glisați în jos pentru a mări numărul de rânduri disponibile.</t>
  </si>
  <si>
    <t>Apoi introduceți înregistrările prezenței pentru fiecare zi a lunii, utilizând tipurile de prezență furnizate în Cheie culori. Prezența elevilor este calculată automat după tipul de prezență pentru fiecare elev în coloana Total. Numărul total de absențe pentru fiecare zi este calculat automat în partea de jos a tabelului în rândul Total.</t>
  </si>
  <si>
    <t>Foile de înregistrări lunare de prezență și Lista elevi sunt tabele Excel. Pentru a adăuga rânduri noi la un tabel Excel, alegeți una dintre următoarele variante:</t>
  </si>
  <si>
    <t>Număr de telefon birou Părinte/Tutore 1</t>
  </si>
  <si>
    <t xml:space="preserve"> </t>
  </si>
  <si>
    <t>Numărul total de zile de absență</t>
  </si>
  <si>
    <t>LISTĂ ELEVI</t>
  </si>
  <si>
    <t>CUM SE UTILIZEAZĂ ACEST ȘABLON</t>
  </si>
  <si>
    <t>Particularizați o temă de document.</t>
  </si>
  <si>
    <r>
      <t xml:space="preserve">Pentru a adăuga o înregistrare de prezență, faceți clic într-o celulă de sub coloana </t>
    </r>
    <r>
      <rPr>
        <b/>
        <sz val="10"/>
        <color theme="1"/>
        <rFont val="Century Gothic"/>
        <family val="2"/>
        <scheme val="minor"/>
      </rPr>
      <t>ID elev</t>
    </r>
    <r>
      <rPr>
        <sz val="10"/>
        <color theme="1"/>
        <rFont val="Century Gothic"/>
        <family val="2"/>
        <scheme val="minor"/>
      </rPr>
      <t xml:space="preserve"> și selectați un ID din listă. Numele elevului se va afișa automat după ce este selectat un ID. </t>
    </r>
  </si>
  <si>
    <r>
      <t xml:space="preserve">Faceți clic dreapta în tabel, iar în meniul pop-up, indicați spre </t>
    </r>
    <r>
      <rPr>
        <b/>
        <sz val="10"/>
        <color theme="1"/>
        <rFont val="Century Gothic"/>
        <family val="2"/>
        <scheme val="minor"/>
      </rPr>
      <t>Inserare,</t>
    </r>
    <r>
      <rPr>
        <sz val="10"/>
        <color theme="1"/>
        <rFont val="Century Gothic"/>
        <family val="2"/>
        <scheme val="minor"/>
      </rPr>
      <t xml:space="preserve"> apoi faceți clic pe </t>
    </r>
    <r>
      <rPr>
        <b/>
        <sz val="10"/>
        <color theme="1"/>
        <rFont val="Century Gothic"/>
        <family val="2"/>
        <scheme val="minor"/>
      </rPr>
      <t>Rânduri tabel deasupra</t>
    </r>
    <r>
      <rPr>
        <sz val="10"/>
        <color theme="1"/>
        <rFont val="Century Gothic"/>
        <family val="2"/>
        <scheme val="minor"/>
      </rPr>
      <t xml:space="preserve"> sau </t>
    </r>
    <r>
      <rPr>
        <b/>
        <sz val="10"/>
        <color theme="1"/>
        <rFont val="Century Gothic"/>
        <family val="2"/>
        <scheme val="minor"/>
      </rPr>
      <t>Rânduri tabel dedesubt</t>
    </r>
    <r>
      <rPr>
        <sz val="10"/>
        <color theme="1"/>
        <rFont val="Century Gothic"/>
        <family val="2"/>
        <scheme val="minor"/>
      </rPr>
      <t xml:space="preserve">. </t>
    </r>
  </si>
  <si>
    <r>
      <t xml:space="preserve">Ultima foaie din acest registru de lucru, Raport prezență elev, urmărește prezența din an până la zi. Pentru a vizualiza un raport pentru un anumit elev, faceți clic în celula de sub </t>
    </r>
    <r>
      <rPr>
        <b/>
        <sz val="10"/>
        <color theme="1"/>
        <rFont val="Century Gothic"/>
        <family val="2"/>
        <scheme val="minor"/>
      </rPr>
      <t>ID elev</t>
    </r>
    <r>
      <rPr>
        <sz val="10"/>
        <color theme="1"/>
        <rFont val="Century Gothic"/>
        <family val="2"/>
        <scheme val="minor"/>
      </rPr>
      <t xml:space="preserve">, apoi selectați un ID din lista verticală. Informațiile introduse anterior în foaia Listă elev pentru elevul selectat se vor afișa automat. Rețineți că prima dată când utilizați Raportul prezență elevi trebuie să introduceți Școala, Clasa, Profesorul și Sala. Aceste informații nu se modifică dacă selectați alt elev. </t>
    </r>
  </si>
  <si>
    <r>
      <rPr>
        <b/>
        <sz val="10"/>
        <color theme="4" tint="-0.499984740745262"/>
        <rFont val="Century Gothic"/>
        <family val="2"/>
        <scheme val="minor"/>
      </rPr>
      <t>Adăugați elevii</t>
    </r>
    <r>
      <rPr>
        <b/>
        <sz val="10"/>
        <color theme="1"/>
        <rFont val="Century Gothic"/>
        <family val="2"/>
        <scheme val="minor"/>
      </rPr>
      <t>:</t>
    </r>
    <r>
      <rPr>
        <sz val="10"/>
        <color theme="1"/>
        <rFont val="Century Gothic"/>
        <family val="2"/>
        <scheme val="minor"/>
      </rPr>
      <t xml:space="preserve"> În foaia </t>
    </r>
    <r>
      <rPr>
        <b/>
        <sz val="10"/>
        <color theme="1"/>
        <rFont val="Century Gothic"/>
        <family val="2"/>
        <scheme val="minor"/>
      </rPr>
      <t>Listă elevi</t>
    </r>
    <r>
      <rPr>
        <sz val="10"/>
        <color theme="1"/>
        <rFont val="Century Gothic"/>
        <family val="2"/>
        <scheme val="minor"/>
      </rPr>
      <t xml:space="preserve"> introduceți informațiile despre fiecare elev, cum ar fi numele tutorelui și datele de contact. ID elev este o intrare importantă, deoarece furnizează un identificator unic pentru fiecare elev și este utilizată în tot registrul de lucru pentru diverse liste verticale ID elev pentru a facilita intrările de date. Informațiile introduse în Lista elev sunt utilizate și în alte foi, cum ar fi Raport prezență elev și înregistrările lunare de prezență.</t>
    </r>
  </si>
  <si>
    <r>
      <rPr>
        <b/>
        <sz val="10"/>
        <color theme="1"/>
        <rFont val="Century Gothic"/>
        <family val="2"/>
        <scheme val="minor"/>
      </rPr>
      <t xml:space="preserve">Sfat: </t>
    </r>
    <r>
      <rPr>
        <sz val="10"/>
        <color theme="1"/>
        <rFont val="Century Gothic"/>
        <family val="2"/>
        <scheme val="minor"/>
      </rPr>
      <t xml:space="preserve">Economisiți pașii pentru introducerea datelor! După ce elevii dvs. sunt adăugați pentru o lună, selectați ID-urile elevilor, copiați-le, apoi lipiți-le în coloana </t>
    </r>
    <r>
      <rPr>
        <b/>
        <sz val="10"/>
        <color theme="1"/>
        <rFont val="Century Gothic"/>
        <family val="2"/>
        <scheme val="minor"/>
      </rPr>
      <t>ID elev</t>
    </r>
    <r>
      <rPr>
        <sz val="10"/>
        <color theme="1"/>
        <rFont val="Century Gothic"/>
        <family val="2"/>
        <scheme val="minor"/>
      </rPr>
      <t xml:space="preserve"> pentru lunile rămase. </t>
    </r>
  </si>
  <si>
    <r>
      <rPr>
        <b/>
        <sz val="10"/>
        <color theme="1"/>
        <rFont val="Century Gothic"/>
        <family val="2"/>
        <scheme val="minor"/>
      </rPr>
      <t>Sfat:</t>
    </r>
    <r>
      <rPr>
        <sz val="10"/>
        <color theme="1"/>
        <rFont val="Century Gothic"/>
        <family val="2"/>
        <scheme val="minor"/>
      </rPr>
      <t xml:space="preserve"> Creați un set de culori temă personalizate, care să se potrivească cu culorile școlii! Pentru aceasta, pe fila </t>
    </r>
    <r>
      <rPr>
        <b/>
        <sz val="10"/>
        <color theme="1"/>
        <rFont val="Century Gothic"/>
        <family val="2"/>
        <scheme val="minor"/>
      </rPr>
      <t>Aspect pagină</t>
    </r>
    <r>
      <rPr>
        <sz val="10"/>
        <color theme="1"/>
        <rFont val="Century Gothic"/>
        <family val="2"/>
        <scheme val="minor"/>
      </rPr>
      <t xml:space="preserve">, în grupul </t>
    </r>
    <r>
      <rPr>
        <b/>
        <sz val="10"/>
        <color theme="1"/>
        <rFont val="Century Gothic"/>
        <family val="2"/>
        <scheme val="minor"/>
      </rPr>
      <t>Teme</t>
    </r>
    <r>
      <rPr>
        <sz val="10"/>
        <color theme="1"/>
        <rFont val="Century Gothic"/>
        <family val="2"/>
        <scheme val="minor"/>
      </rPr>
      <t>, faceți clic pe</t>
    </r>
    <r>
      <rPr>
        <b/>
        <sz val="10"/>
        <color theme="1"/>
        <rFont val="Century Gothic"/>
        <family val="2"/>
        <scheme val="minor"/>
      </rPr>
      <t>Culori</t>
    </r>
    <r>
      <rPr>
        <sz val="10"/>
        <color theme="1"/>
        <rFont val="Century Gothic"/>
        <family val="2"/>
        <scheme val="minor"/>
      </rPr>
      <t xml:space="preserve">, apoi, în partea de jos a galeriei de culori, faceți clic pe </t>
    </r>
    <r>
      <rPr>
        <b/>
        <sz val="10"/>
        <color theme="1"/>
        <rFont val="Century Gothic"/>
        <family val="2"/>
        <scheme val="minor"/>
      </rPr>
      <t>Creare culori noi pentru temă</t>
    </r>
    <r>
      <rPr>
        <sz val="10"/>
        <color theme="1"/>
        <rFont val="Century Gothic"/>
        <family val="2"/>
        <scheme val="minor"/>
      </rPr>
      <t xml:space="preserve">. Pentru mai multe informații despre cum să creați un set de culori personalizat, vedeți următorul subiect de Ajutor: </t>
    </r>
  </si>
  <si>
    <t>Nu</t>
  </si>
  <si>
    <r>
      <rPr>
        <b/>
        <sz val="10"/>
        <color theme="4" tint="-0.499984740745262"/>
        <rFont val="Century Gothic"/>
        <family val="2"/>
        <scheme val="minor"/>
      </rPr>
      <t>Schimbați anul calendarului școlar:</t>
    </r>
    <r>
      <rPr>
        <sz val="10"/>
        <color theme="4" tint="-0.499984740745262"/>
        <rFont val="Century Gothic"/>
        <family val="2"/>
        <scheme val="minor"/>
      </rPr>
      <t xml:space="preserve"> </t>
    </r>
    <r>
      <rPr>
        <sz val="10"/>
        <color theme="1"/>
        <rFont val="Century Gothic"/>
        <family val="2"/>
        <scheme val="minor"/>
      </rPr>
      <t xml:space="preserve">În foaia </t>
    </r>
    <r>
      <rPr>
        <b/>
        <sz val="10"/>
        <color theme="1"/>
        <rFont val="Century Gothic"/>
        <family val="2"/>
        <scheme val="minor"/>
      </rPr>
      <t>August</t>
    </r>
    <r>
      <rPr>
        <sz val="10"/>
        <color theme="1"/>
        <rFont val="Century Gothic"/>
        <family val="2"/>
        <scheme val="minor"/>
      </rPr>
      <t xml:space="preserve"> pentru prezență, faceți clic pe controlul de incrementare/decrementare din marginea de sus a antetului pentru a actualiza anul din calendar. Această modificare va actualiza antetul în toate înregistrările lunare de prezență din acest registru de lucru. (Observați că butonul de incrementare/decrementare nu se va imprima.)</t>
    </r>
  </si>
  <si>
    <r>
      <rPr>
        <b/>
        <i/>
        <sz val="10"/>
        <color theme="4" tint="-0.499984740745262"/>
        <rFont val="Century Gothic"/>
        <family val="2"/>
        <scheme val="minor"/>
      </rPr>
      <t>(Opțional)</t>
    </r>
    <r>
      <rPr>
        <b/>
        <sz val="10"/>
        <color theme="4" tint="-0.499984740745262"/>
        <rFont val="Century Gothic"/>
        <family val="2"/>
        <scheme val="minor"/>
      </rPr>
      <t xml:space="preserve"> Modificați culorile din registrul de lucru:</t>
    </r>
    <r>
      <rPr>
        <b/>
        <sz val="10"/>
        <color theme="1"/>
        <rFont val="Century Gothic"/>
        <family val="2"/>
        <scheme val="minor"/>
      </rPr>
      <t xml:space="preserve"> </t>
    </r>
    <r>
      <rPr>
        <sz val="10"/>
        <color theme="1"/>
        <rFont val="Century Gothic"/>
        <family val="2"/>
        <scheme val="minor"/>
      </rPr>
      <t xml:space="preserve">Întâi navigați la ultima foaie, </t>
    </r>
    <r>
      <rPr>
        <b/>
        <sz val="10"/>
        <color theme="1"/>
        <rFont val="Century Gothic"/>
        <family val="2"/>
        <scheme val="minor"/>
      </rPr>
      <t>Raport prezență elev</t>
    </r>
    <r>
      <rPr>
        <sz val="10"/>
        <color theme="1"/>
        <rFont val="Century Gothic"/>
        <family val="2"/>
        <scheme val="minor"/>
      </rPr>
      <t xml:space="preserve">, iar pe fila </t>
    </r>
    <r>
      <rPr>
        <b/>
        <sz val="10"/>
        <color theme="1"/>
        <rFont val="Century Gothic"/>
        <family val="2"/>
        <scheme val="minor"/>
      </rPr>
      <t>Examinare</t>
    </r>
    <r>
      <rPr>
        <sz val="10"/>
        <color theme="1"/>
        <rFont val="Century Gothic"/>
        <family val="2"/>
        <scheme val="minor"/>
      </rPr>
      <t xml:space="preserve">, în grupul </t>
    </r>
    <r>
      <rPr>
        <b/>
        <sz val="10"/>
        <color theme="1"/>
        <rFont val="Century Gothic"/>
        <family val="2"/>
        <scheme val="minor"/>
      </rPr>
      <t>Modificări</t>
    </r>
    <r>
      <rPr>
        <sz val="10"/>
        <color theme="1"/>
        <rFont val="Century Gothic"/>
        <family val="2"/>
        <scheme val="minor"/>
      </rPr>
      <t xml:space="preserve">, faceți clic pe </t>
    </r>
    <r>
      <rPr>
        <b/>
        <sz val="10"/>
        <color theme="1"/>
        <rFont val="Century Gothic"/>
        <family val="2"/>
        <scheme val="minor"/>
      </rPr>
      <t>Deprotejare foaie</t>
    </r>
    <r>
      <rPr>
        <sz val="10"/>
        <color theme="1"/>
        <rFont val="Century Gothic"/>
        <family val="2"/>
        <scheme val="minor"/>
      </rPr>
      <t xml:space="preserve">. Apoi, pe fila </t>
    </r>
    <r>
      <rPr>
        <b/>
        <sz val="10"/>
        <color theme="1"/>
        <rFont val="Century Gothic"/>
        <family val="2"/>
        <scheme val="minor"/>
      </rPr>
      <t>Aspect pagină</t>
    </r>
    <r>
      <rPr>
        <sz val="10"/>
        <color theme="1"/>
        <rFont val="Century Gothic"/>
        <family val="2"/>
        <scheme val="minor"/>
      </rPr>
      <t xml:space="preserve">, în grupul </t>
    </r>
    <r>
      <rPr>
        <b/>
        <sz val="10"/>
        <color theme="1"/>
        <rFont val="Century Gothic"/>
        <family val="2"/>
        <scheme val="minor"/>
      </rPr>
      <t>Teme</t>
    </r>
    <r>
      <rPr>
        <sz val="10"/>
        <color theme="1"/>
        <rFont val="Century Gothic"/>
        <family val="2"/>
        <scheme val="minor"/>
      </rPr>
      <t xml:space="preserve">, faceți clic pe </t>
    </r>
    <r>
      <rPr>
        <b/>
        <sz val="10"/>
        <color theme="1"/>
        <rFont val="Century Gothic"/>
        <family val="2"/>
        <scheme val="minor"/>
      </rPr>
      <t>Culori</t>
    </r>
    <r>
      <rPr>
        <sz val="10"/>
        <color theme="1"/>
        <rFont val="Century Gothic"/>
        <family val="2"/>
        <scheme val="minor"/>
      </rPr>
      <t xml:space="preserve"> și selectați alt set de culori temă din galeria de culori. După ce ați efectuat modificările de culori și toate celelalte modificări, reveniți la foaia </t>
    </r>
    <r>
      <rPr>
        <b/>
        <sz val="10"/>
        <color theme="1"/>
        <rFont val="Century Gothic"/>
        <family val="2"/>
        <scheme val="minor"/>
      </rPr>
      <t>Raport prezență elev</t>
    </r>
    <r>
      <rPr>
        <sz val="10"/>
        <color theme="1"/>
        <rFont val="Century Gothic"/>
        <family val="2"/>
        <scheme val="minor"/>
      </rPr>
      <t xml:space="preserve">, iar pe fila </t>
    </r>
    <r>
      <rPr>
        <b/>
        <sz val="10"/>
        <color theme="1"/>
        <rFont val="Century Gothic"/>
        <family val="2"/>
        <scheme val="minor"/>
      </rPr>
      <t>Examinare</t>
    </r>
    <r>
      <rPr>
        <sz val="10"/>
        <color theme="1"/>
        <rFont val="Century Gothic"/>
        <family val="2"/>
        <scheme val="minor"/>
      </rPr>
      <t xml:space="preserve">, în grupul </t>
    </r>
    <r>
      <rPr>
        <b/>
        <sz val="10"/>
        <color theme="1"/>
        <rFont val="Century Gothic"/>
        <family val="2"/>
        <scheme val="minor"/>
      </rPr>
      <t>Modificări</t>
    </r>
    <r>
      <rPr>
        <sz val="10"/>
        <color theme="1"/>
        <rFont val="Century Gothic"/>
        <family val="2"/>
        <scheme val="minor"/>
      </rPr>
      <t>, faceți clic pe</t>
    </r>
    <r>
      <rPr>
        <b/>
        <sz val="10"/>
        <color theme="1"/>
        <rFont val="Century Gothic"/>
        <family val="2"/>
        <scheme val="minor"/>
      </rPr>
      <t xml:space="preserve"> Protejare foaie</t>
    </r>
    <r>
      <rPr>
        <sz val="10"/>
        <color theme="1"/>
        <rFont val="Century Gothic"/>
        <family val="2"/>
        <scheme val="minor"/>
      </rPr>
      <t xml:space="preserve">, apoi faceți clic pe </t>
    </r>
    <r>
      <rPr>
        <b/>
        <sz val="10"/>
        <color theme="1"/>
        <rFont val="Century Gothic"/>
        <family val="2"/>
        <scheme val="minor"/>
      </rPr>
      <t>OK.</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</si>
</sst>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mm/dd/yy;@"/>
    <numFmt numFmtId="166" formatCode="[&lt;=9999999]###\-####;\(###\)\ ###\-####"/>
    <numFmt numFmtId="167" formatCode="0;0;;@"/>
    <numFmt numFmtId="168" formatCode="_)@"/>
  </numFmts>
  <fonts count="49" x14ac:knownFonts="1">
    <font>
      <sz val="10"/>
      <color theme="1"/>
      <name val="Century Gothic"/>
      <family val="2"/>
      <scheme val="minor"/>
    </font>
    <font>
      <sz val="11"/>
      <color theme="1"/>
      <name val="Century Gothic"/>
      <family val="2"/>
      <scheme val="minor"/>
    </font>
    <font>
      <sz val="10"/>
      <name val="Century Gothic"/>
      <family val="2"/>
    </font>
    <font>
      <b/>
      <sz val="12"/>
      <name val="Arial"/>
      <family val="2"/>
    </font>
    <font>
      <sz val="9"/>
      <name val="Century Gothic"/>
      <family val="2"/>
    </font>
    <font>
      <b/>
      <sz val="20"/>
      <name val="Century Gothic"/>
      <family val="1"/>
      <scheme val="major"/>
    </font>
    <font>
      <sz val="16"/>
      <name val="Century Gothic"/>
      <family val="1"/>
      <scheme val="major"/>
    </font>
    <font>
      <b/>
      <sz val="8"/>
      <color theme="1" tint="0.14996795556505021"/>
      <name val="Century Gothic"/>
      <family val="1"/>
      <scheme val="minor"/>
    </font>
    <font>
      <sz val="8"/>
      <name val="Century Gothic"/>
      <family val="1"/>
      <scheme val="minor"/>
    </font>
    <font>
      <b/>
      <sz val="8"/>
      <color theme="1" tint="0.14996795556505021"/>
      <name val="Century Gothic"/>
      <family val="2"/>
      <scheme val="minor"/>
    </font>
    <font>
      <sz val="8"/>
      <name val="Century Gothic"/>
      <family val="2"/>
      <scheme val="minor"/>
    </font>
    <font>
      <sz val="9"/>
      <name val="Century Gothic"/>
      <family val="1"/>
      <scheme val="major"/>
    </font>
    <font>
      <b/>
      <sz val="8"/>
      <color theme="0"/>
      <name val="Century Gothic"/>
      <family val="1"/>
      <scheme val="major"/>
    </font>
    <font>
      <sz val="9"/>
      <color theme="0"/>
      <name val="Century Gothic"/>
      <family val="1"/>
      <scheme val="major"/>
    </font>
    <font>
      <sz val="10"/>
      <color theme="1"/>
      <name val="Century Gothic"/>
      <family val="1"/>
      <scheme val="major"/>
    </font>
    <font>
      <b/>
      <sz val="9"/>
      <color theme="0"/>
      <name val="Century Gothic"/>
      <family val="1"/>
      <scheme val="major"/>
    </font>
    <font>
      <sz val="10"/>
      <name val="Century Gothic"/>
      <family val="2"/>
      <scheme val="minor"/>
    </font>
    <font>
      <b/>
      <sz val="12"/>
      <name val="Century Gothic"/>
      <family val="2"/>
      <scheme val="minor"/>
    </font>
    <font>
      <sz val="10"/>
      <name val="Century Gothic"/>
      <family val="1"/>
      <scheme val="major"/>
    </font>
    <font>
      <b/>
      <sz val="22"/>
      <color theme="0"/>
      <name val="Century Gothic"/>
      <family val="2"/>
      <scheme val="major"/>
    </font>
    <font>
      <b/>
      <sz val="16"/>
      <color theme="0"/>
      <name val="Century Gothic"/>
      <family val="2"/>
      <scheme val="minor"/>
    </font>
    <font>
      <sz val="9"/>
      <name val="Century Gothic"/>
      <family val="2"/>
      <scheme val="minor"/>
    </font>
    <font>
      <b/>
      <sz val="10"/>
      <color theme="1"/>
      <name val="Century Gothic"/>
      <family val="2"/>
      <scheme val="minor"/>
    </font>
    <font>
      <sz val="10"/>
      <color theme="1"/>
      <name val="Century Gothic"/>
      <family val="2"/>
      <scheme val="major"/>
    </font>
    <font>
      <b/>
      <sz val="11"/>
      <color indexed="9"/>
      <name val="Century Gothic"/>
      <family val="1"/>
      <scheme val="major"/>
    </font>
    <font>
      <sz val="9"/>
      <color theme="1"/>
      <name val="Century Gothic"/>
      <family val="2"/>
      <scheme val="minor"/>
    </font>
    <font>
      <b/>
      <sz val="18"/>
      <color theme="0"/>
      <name val="Century Gothic"/>
      <family val="2"/>
      <scheme val="minor"/>
    </font>
    <font>
      <sz val="8"/>
      <color theme="1"/>
      <name val="Century Gothic"/>
      <family val="2"/>
      <scheme val="minor"/>
    </font>
    <font>
      <b/>
      <sz val="16"/>
      <color theme="0"/>
      <name val="Century Gothic"/>
      <family val="2"/>
      <scheme val="major"/>
    </font>
    <font>
      <sz val="12"/>
      <color theme="3"/>
      <name val="Century Gothic"/>
      <family val="2"/>
      <scheme val="minor"/>
    </font>
    <font>
      <sz val="10"/>
      <color theme="4" tint="-0.499984740745262"/>
      <name val="Century Gothic"/>
      <family val="2"/>
      <scheme val="minor"/>
    </font>
    <font>
      <u/>
      <sz val="10"/>
      <color theme="10"/>
      <name val="Arial"/>
      <family val="2"/>
    </font>
    <font>
      <b/>
      <sz val="10"/>
      <color theme="4" tint="-0.499984740745262"/>
      <name val="Century Gothic"/>
      <family val="2"/>
      <scheme val="minor"/>
    </font>
    <font>
      <b/>
      <i/>
      <sz val="10"/>
      <color theme="4" tint="-0.499984740745262"/>
      <name val="Century Gothic"/>
      <family val="2"/>
      <scheme val="minor"/>
    </font>
    <font>
      <b/>
      <sz val="9"/>
      <color theme="4" tint="-0.499984740745262"/>
      <name val="Century Gothic"/>
      <family val="1"/>
      <scheme val="major"/>
    </font>
    <font>
      <sz val="9"/>
      <name val="Century Gothic"/>
      <family val="1"/>
      <scheme val="minor"/>
    </font>
    <font>
      <b/>
      <sz val="9"/>
      <color theme="1" tint="0.14996795556505021"/>
      <name val="Century Gothic"/>
      <family val="1"/>
      <scheme val="major"/>
    </font>
    <font>
      <sz val="9"/>
      <color theme="3" tint="-0.249977111117893"/>
      <name val="Century Gothic"/>
      <family val="1"/>
      <scheme val="major"/>
    </font>
    <font>
      <b/>
      <sz val="9"/>
      <color theme="3" tint="-0.249977111117893"/>
      <name val="Century Gothic"/>
      <family val="1"/>
      <scheme val="major"/>
    </font>
    <font>
      <sz val="9"/>
      <color theme="3" tint="-0.249977111117893"/>
      <name val="Century Gothic"/>
      <family val="1"/>
      <scheme val="minor"/>
    </font>
    <font>
      <sz val="9"/>
      <color theme="1"/>
      <name val="Century Gothic"/>
      <family val="1"/>
      <scheme val="minor"/>
    </font>
    <font>
      <b/>
      <sz val="9"/>
      <color theme="1" tint="0.14996795556505021"/>
      <name val="Century Gothic"/>
      <family val="1"/>
      <scheme val="minor"/>
    </font>
    <font>
      <b/>
      <sz val="8"/>
      <name val="Century Gothic"/>
      <family val="2"/>
      <scheme val="major"/>
    </font>
    <font>
      <b/>
      <sz val="18"/>
      <color theme="0"/>
      <name val="Calibri"/>
      <family val="2"/>
      <charset val="238"/>
    </font>
    <font>
      <b/>
      <sz val="20"/>
      <color theme="0"/>
      <name val="Calibri"/>
      <family val="2"/>
      <charset val="238"/>
    </font>
    <font>
      <b/>
      <sz val="24"/>
      <color theme="0"/>
      <name val="Calibri"/>
      <family val="2"/>
      <charset val="238"/>
    </font>
    <font>
      <sz val="12"/>
      <color theme="1"/>
      <name val="Calibri"/>
      <family val="2"/>
      <charset val="238"/>
    </font>
    <font>
      <sz val="10"/>
      <color theme="1"/>
      <name val="Century Gothic"/>
      <family val="2"/>
      <charset val="238"/>
      <scheme val="minor"/>
    </font>
    <font>
      <b/>
      <i/>
      <sz val="16"/>
      <color theme="0"/>
      <name val="Calibri"/>
      <family val="2"/>
      <charset val="238"/>
    </font>
  </fonts>
  <fills count="13">
    <fill>
      <patternFill patternType="none"/>
    </fill>
    <fill>
      <patternFill patternType="gray125"/>
    </fill>
    <fill>
      <patternFill patternType="solid">
        <fgColor theme="4" tint="0.7999816888943144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0"/>
      </patternFill>
    </fill>
    <fill>
      <patternFill patternType="lightUp">
        <fgColor theme="0" tint="-0.34998626667073579"/>
        <bgColor indexed="65"/>
      </patternFill>
    </fill>
    <fill>
      <patternFill patternType="solid">
        <fgColor theme="4"/>
        <bgColor indexed="64"/>
      </patternFill>
    </fill>
    <fill>
      <patternFill patternType="solid">
        <fgColor theme="6"/>
        <bgColor indexed="64"/>
      </patternFill>
    </fill>
    <fill>
      <patternFill patternType="solid">
        <fgColor theme="5"/>
        <bgColor indexed="64"/>
      </patternFill>
    </fill>
    <fill>
      <patternFill patternType="solid">
        <fgColor theme="8" tint="0.79998168889431442"/>
        <bgColor indexed="64"/>
      </patternFill>
    </fill>
    <fill>
      <patternFill patternType="solid">
        <fgColor theme="7"/>
        <bgColor indexed="64"/>
      </patternFill>
    </fill>
    <fill>
      <patternFill patternType="solid">
        <fgColor theme="8" tint="0.59999389629810485"/>
        <bgColor indexed="64"/>
      </patternFill>
    </fill>
  </fills>
  <borders count="16">
    <border>
      <left/>
      <right/>
      <top/>
      <bottom/>
      <diagonal/>
    </border>
    <border>
      <left style="thin">
        <color theme="3"/>
      </left>
      <right style="thin">
        <color theme="3"/>
      </right>
      <top style="thin">
        <color theme="3"/>
      </top>
      <bottom style="thin">
        <color theme="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4"/>
      </right>
      <top style="thin">
        <color theme="3"/>
      </top>
      <bottom style="thin">
        <color theme="3"/>
      </bottom>
      <diagonal/>
    </border>
    <border>
      <left/>
      <right style="thin">
        <color theme="3"/>
      </right>
      <top style="thin">
        <color theme="3"/>
      </top>
      <bottom style="thin">
        <color theme="3"/>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top style="thin">
        <color theme="3" tint="0.59996337778862885"/>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right/>
      <top/>
      <bottom style="medium">
        <color theme="4" tint="-0.499984740745262"/>
      </bottom>
      <diagonal/>
    </border>
    <border>
      <left style="thin">
        <color theme="3" tint="0.59996337778862885"/>
      </left>
      <right style="thin">
        <color theme="3" tint="0.59996337778862885"/>
      </right>
      <top/>
      <bottom style="thin">
        <color theme="3" tint="0.59996337778862885"/>
      </bottom>
      <diagonal/>
    </border>
    <border>
      <left/>
      <right style="thin">
        <color theme="0" tint="-0.34998626667073579"/>
      </right>
      <top/>
      <bottom style="medium">
        <color theme="4" tint="-0.499984740745262"/>
      </bottom>
      <diagonal/>
    </border>
    <border>
      <left style="thin">
        <color theme="0" tint="-0.34998626667073579"/>
      </left>
      <right style="thin">
        <color theme="0" tint="-0.34998626667073579"/>
      </right>
      <top/>
      <bottom style="medium">
        <color theme="4" tint="-0.499984740745262"/>
      </bottom>
      <diagonal/>
    </border>
    <border>
      <left style="thin">
        <color theme="3" tint="0.59996337778862885"/>
      </left>
      <right style="thin">
        <color theme="3" tint="0.59996337778862885"/>
      </right>
      <top style="thin">
        <color theme="3" tint="0.59996337778862885"/>
      </top>
      <bottom/>
      <diagonal/>
    </border>
  </borders>
  <cellStyleXfs count="13">
    <xf numFmtId="0" fontId="0" fillId="0" borderId="0"/>
    <xf numFmtId="0" fontId="19" fillId="0" borderId="0" applyNumberFormat="0" applyFill="0" applyBorder="0" applyAlignment="0" applyProtection="0"/>
    <xf numFmtId="0" fontId="7" fillId="3" borderId="2">
      <alignment vertical="center"/>
    </xf>
    <xf numFmtId="0" fontId="8" fillId="0" borderId="2">
      <alignment horizontal="left" vertical="center" wrapText="1"/>
      <protection locked="0"/>
    </xf>
    <xf numFmtId="165" fontId="8" fillId="0" borderId="2">
      <alignment horizontal="left" vertical="center" wrapText="1"/>
      <protection locked="0"/>
    </xf>
    <xf numFmtId="166" fontId="8" fillId="0" borderId="2">
      <alignment horizontal="left" vertical="center" wrapText="1"/>
      <protection locked="0"/>
    </xf>
    <xf numFmtId="0" fontId="9" fillId="4" borderId="3" applyBorder="0">
      <alignment horizontal="center" vertical="center"/>
    </xf>
    <xf numFmtId="1" fontId="9" fillId="4" borderId="2">
      <alignment horizontal="center" vertical="center"/>
    </xf>
    <xf numFmtId="0" fontId="10" fillId="5" borderId="2">
      <alignment horizontal="center" vertical="center"/>
      <protection locked="0"/>
    </xf>
    <xf numFmtId="0" fontId="10" fillId="6" borderId="2">
      <alignment horizontal="center" vertical="center"/>
    </xf>
    <xf numFmtId="0" fontId="20" fillId="0" borderId="0" applyNumberFormat="0" applyFill="0" applyBorder="0" applyAlignment="0" applyProtection="0"/>
    <xf numFmtId="0" fontId="29" fillId="0" borderId="0" applyNumberFormat="0" applyFill="0" applyBorder="0" applyAlignment="0" applyProtection="0"/>
    <xf numFmtId="0" fontId="31" fillId="0" borderId="0" applyNumberFormat="0" applyFill="0" applyBorder="0" applyAlignment="0" applyProtection="0"/>
  </cellStyleXfs>
  <cellXfs count="146">
    <xf numFmtId="0" fontId="0" fillId="0" borderId="0" xfId="0"/>
    <xf numFmtId="0" fontId="2" fillId="0" borderId="0" xfId="0" applyFont="1" applyFill="1" applyAlignment="1">
      <alignment vertical="center"/>
    </xf>
    <xf numFmtId="0" fontId="4" fillId="0" borderId="0" xfId="0" applyFont="1"/>
    <xf numFmtId="0" fontId="0" fillId="0" borderId="0"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164" fontId="0" fillId="0" borderId="0" xfId="0" applyNumberFormat="1"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right" indent="2"/>
    </xf>
    <xf numFmtId="0" fontId="2" fillId="0" borderId="0" xfId="0" applyFont="1" applyAlignment="1">
      <alignment horizontal="center"/>
    </xf>
    <xf numFmtId="0" fontId="2" fillId="0" borderId="0" xfId="0" applyFont="1"/>
    <xf numFmtId="49" fontId="2" fillId="0" borderId="0" xfId="0" applyNumberFormat="1" applyFont="1"/>
    <xf numFmtId="0" fontId="0" fillId="0" borderId="0" xfId="0" applyAlignment="1">
      <alignment horizontal="left"/>
    </xf>
    <xf numFmtId="0" fontId="0" fillId="0" borderId="0" xfId="0" applyNumberFormat="1"/>
    <xf numFmtId="0" fontId="0" fillId="0" borderId="0" xfId="0" applyAlignment="1">
      <alignment horizontal="center" wrapText="1"/>
    </xf>
    <xf numFmtId="0" fontId="0" fillId="0" borderId="0" xfId="0" applyAlignment="1">
      <alignment horizontal="center"/>
    </xf>
    <xf numFmtId="14" fontId="0" fillId="0" borderId="0" xfId="0" applyNumberFormat="1" applyAlignment="1">
      <alignment horizontal="center"/>
    </xf>
    <xf numFmtId="166" fontId="0" fillId="0" borderId="0" xfId="0" applyNumberFormat="1" applyAlignment="1">
      <alignment horizontal="left"/>
    </xf>
    <xf numFmtId="0" fontId="0" fillId="0" borderId="0" xfId="0" applyProtection="1"/>
    <xf numFmtId="166" fontId="0" fillId="0" borderId="0" xfId="0" applyNumberFormat="1" applyAlignment="1">
      <alignment horizontal="center"/>
    </xf>
    <xf numFmtId="164" fontId="0" fillId="0" borderId="0" xfId="0" applyNumberFormat="1" applyFont="1" applyFill="1" applyBorder="1" applyAlignment="1">
      <alignment vertical="center" wrapText="1"/>
    </xf>
    <xf numFmtId="167" fontId="0" fillId="0" borderId="0" xfId="0" applyNumberFormat="1"/>
    <xf numFmtId="167" fontId="0" fillId="0" borderId="0" xfId="0" applyNumberFormat="1" applyFont="1" applyFill="1" applyBorder="1" applyAlignment="1">
      <alignment vertical="center" wrapText="1"/>
    </xf>
    <xf numFmtId="164" fontId="0" fillId="0" borderId="0" xfId="0" applyNumberFormat="1" applyFont="1" applyFill="1" applyBorder="1" applyAlignment="1" applyProtection="1">
      <alignment horizontal="center" vertical="center"/>
      <protection locked="0"/>
    </xf>
    <xf numFmtId="167" fontId="0" fillId="0" borderId="0"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0" xfId="0" applyProtection="1">
      <protection locked="0"/>
    </xf>
    <xf numFmtId="0" fontId="14" fillId="0" borderId="0" xfId="0" applyFont="1" applyFill="1" applyBorder="1" applyAlignment="1">
      <alignment vertical="center"/>
    </xf>
    <xf numFmtId="49" fontId="14" fillId="0" borderId="0" xfId="0" applyNumberFormat="1" applyFont="1" applyFill="1" applyBorder="1" applyAlignment="1">
      <alignment horizontal="left" vertical="center"/>
    </xf>
    <xf numFmtId="0" fontId="14" fillId="0" borderId="0" xfId="0" applyFont="1" applyFill="1" applyBorder="1" applyAlignment="1">
      <alignment horizontal="center" vertical="center"/>
    </xf>
    <xf numFmtId="0" fontId="0" fillId="0" borderId="0" xfId="0" applyFont="1" applyBorder="1" applyAlignment="1">
      <alignment vertical="center"/>
    </xf>
    <xf numFmtId="0" fontId="16" fillId="0" borderId="0" xfId="0" applyFont="1" applyFill="1" applyAlignment="1">
      <alignment vertical="center"/>
    </xf>
    <xf numFmtId="0" fontId="17" fillId="0" borderId="0" xfId="0" applyFont="1" applyBorder="1" applyAlignment="1">
      <alignment vertical="center"/>
    </xf>
    <xf numFmtId="0" fontId="17" fillId="0" borderId="0" xfId="0" applyFont="1" applyBorder="1" applyAlignment="1">
      <alignment horizontal="right" vertical="center"/>
    </xf>
    <xf numFmtId="0" fontId="16" fillId="0" borderId="0" xfId="0" applyFont="1" applyFill="1" applyAlignment="1">
      <alignment horizontal="center" vertical="center"/>
    </xf>
    <xf numFmtId="0" fontId="18" fillId="10" borderId="0" xfId="0" applyFont="1" applyFill="1" applyBorder="1" applyAlignment="1">
      <alignment horizontal="center"/>
    </xf>
    <xf numFmtId="164" fontId="0" fillId="0" borderId="0" xfId="0" applyNumberFormat="1" applyAlignment="1">
      <alignment horizontal="center"/>
    </xf>
    <xf numFmtId="0" fontId="2" fillId="7" borderId="0" xfId="0" applyFont="1" applyFill="1" applyAlignment="1">
      <alignment vertical="center"/>
    </xf>
    <xf numFmtId="0" fontId="0" fillId="7" borderId="0" xfId="0" applyFill="1" applyBorder="1" applyAlignment="1">
      <alignment vertical="center"/>
    </xf>
    <xf numFmtId="0" fontId="3" fillId="7" borderId="0" xfId="0" applyFont="1" applyFill="1" applyBorder="1" applyAlignment="1">
      <alignment vertical="center"/>
    </xf>
    <xf numFmtId="0" fontId="2" fillId="7" borderId="0" xfId="0" applyFont="1" applyFill="1" applyAlignment="1">
      <alignment horizontal="center" vertical="center"/>
    </xf>
    <xf numFmtId="0" fontId="13" fillId="7" borderId="1" xfId="0" applyFont="1" applyFill="1" applyBorder="1" applyAlignment="1">
      <alignment horizontal="center"/>
    </xf>
    <xf numFmtId="0" fontId="0" fillId="7" borderId="0" xfId="0" applyFill="1"/>
    <xf numFmtId="0" fontId="21" fillId="0" borderId="0" xfId="0" applyFont="1" applyFill="1" applyAlignment="1">
      <alignment horizontal="right" vertical="center"/>
    </xf>
    <xf numFmtId="0" fontId="0" fillId="0" borderId="0" xfId="0" applyFont="1" applyFill="1" applyBorder="1" applyAlignment="1">
      <alignment vertical="center"/>
    </xf>
    <xf numFmtId="49" fontId="0" fillId="0" borderId="0" xfId="0" applyNumberFormat="1" applyFont="1" applyFill="1" applyBorder="1" applyAlignment="1">
      <alignment horizontal="left" vertical="center"/>
    </xf>
    <xf numFmtId="0" fontId="0" fillId="0" borderId="0" xfId="0" applyFont="1" applyFill="1" applyBorder="1" applyProtection="1">
      <protection locked="0"/>
    </xf>
    <xf numFmtId="164" fontId="0" fillId="0" borderId="0" xfId="0" applyNumberFormat="1" applyFont="1" applyFill="1" applyBorder="1"/>
    <xf numFmtId="164" fontId="0" fillId="0" borderId="0" xfId="0" applyNumberFormat="1" applyFont="1" applyFill="1" applyBorder="1" applyAlignment="1">
      <alignment horizontal="center"/>
    </xf>
    <xf numFmtId="0" fontId="23" fillId="0" borderId="0" xfId="0" applyFont="1" applyFill="1" applyBorder="1" applyAlignment="1">
      <alignment horizontal="left" vertical="center"/>
    </xf>
    <xf numFmtId="0" fontId="25" fillId="11" borderId="0" xfId="0" applyFont="1" applyFill="1" applyBorder="1" applyAlignment="1">
      <alignment horizontal="center" vertical="center"/>
    </xf>
    <xf numFmtId="0" fontId="25" fillId="9" borderId="0" xfId="0" applyFont="1" applyFill="1" applyBorder="1" applyAlignment="1">
      <alignment horizontal="center" vertical="center"/>
    </xf>
    <xf numFmtId="0" fontId="25" fillId="8" borderId="0" xfId="0" applyFont="1" applyFill="1" applyBorder="1" applyAlignment="1">
      <alignment horizontal="center" vertical="center"/>
    </xf>
    <xf numFmtId="0" fontId="25" fillId="10" borderId="0" xfId="0" applyFont="1" applyFill="1" applyBorder="1" applyAlignment="1">
      <alignment horizontal="center" vertical="center"/>
    </xf>
    <xf numFmtId="0" fontId="25" fillId="12" borderId="0" xfId="0" applyFont="1" applyFill="1" applyBorder="1" applyAlignment="1">
      <alignment horizontal="center" vertical="center"/>
    </xf>
    <xf numFmtId="0" fontId="25" fillId="0" borderId="0" xfId="0" applyFont="1" applyBorder="1" applyAlignment="1">
      <alignment vertical="center"/>
    </xf>
    <xf numFmtId="0" fontId="26" fillId="7" borderId="0" xfId="0" applyFont="1" applyFill="1" applyBorder="1" applyAlignment="1">
      <alignment horizontal="center" vertical="center"/>
    </xf>
    <xf numFmtId="0" fontId="25" fillId="0" borderId="0" xfId="0" applyFont="1" applyAlignment="1">
      <alignment vertical="center"/>
    </xf>
    <xf numFmtId="0" fontId="11" fillId="7" borderId="7" xfId="0" applyFont="1" applyFill="1" applyBorder="1"/>
    <xf numFmtId="17" fontId="24" fillId="7" borderId="4" xfId="0" applyNumberFormat="1" applyFont="1" applyFill="1" applyBorder="1" applyAlignment="1">
      <alignment horizontal="left" vertical="center"/>
    </xf>
    <xf numFmtId="0" fontId="5" fillId="7" borderId="0" xfId="0" applyFont="1" applyFill="1" applyBorder="1" applyAlignment="1" applyProtection="1">
      <alignment vertical="center"/>
    </xf>
    <xf numFmtId="0" fontId="6" fillId="7" borderId="0" xfId="0" applyFont="1" applyFill="1" applyBorder="1" applyAlignment="1" applyProtection="1">
      <alignment horizontal="right" vertical="center"/>
    </xf>
    <xf numFmtId="0" fontId="0" fillId="7" borderId="0" xfId="0" applyFill="1" applyProtection="1"/>
    <xf numFmtId="0" fontId="19" fillId="7" borderId="0" xfId="1" applyFill="1" applyBorder="1" applyAlignment="1" applyProtection="1">
      <alignment vertical="center"/>
    </xf>
    <xf numFmtId="167" fontId="8" fillId="0" borderId="0" xfId="3" applyNumberFormat="1" applyBorder="1" applyAlignment="1" applyProtection="1">
      <alignment horizontal="left" vertical="center" wrapText="1" indent="1"/>
    </xf>
    <xf numFmtId="166" fontId="8" fillId="0" borderId="0" xfId="5" applyBorder="1" applyAlignment="1" applyProtection="1">
      <alignment horizontal="left" vertical="center" wrapText="1" indent="1"/>
    </xf>
    <xf numFmtId="0" fontId="25" fillId="0" borderId="0" xfId="0" applyFont="1" applyAlignment="1">
      <alignment horizontal="left" vertical="center"/>
    </xf>
    <xf numFmtId="0" fontId="0" fillId="10" borderId="0" xfId="0" applyFont="1" applyFill="1" applyBorder="1" applyAlignment="1">
      <alignment horizontal="center"/>
    </xf>
    <xf numFmtId="0" fontId="18" fillId="11" borderId="0" xfId="0" applyFont="1" applyFill="1" applyBorder="1" applyAlignment="1">
      <alignment horizontal="center"/>
    </xf>
    <xf numFmtId="0" fontId="27" fillId="0" borderId="0" xfId="0" applyFont="1"/>
    <xf numFmtId="0" fontId="27" fillId="11" borderId="0" xfId="0" applyFont="1" applyFill="1" applyAlignment="1">
      <alignment horizontal="center"/>
    </xf>
    <xf numFmtId="0" fontId="27" fillId="9" borderId="0" xfId="0" applyFont="1" applyFill="1" applyAlignment="1">
      <alignment horizontal="center"/>
    </xf>
    <xf numFmtId="0" fontId="27" fillId="8" borderId="0" xfId="0" applyFont="1" applyFill="1" applyAlignment="1">
      <alignment horizontal="center"/>
    </xf>
    <xf numFmtId="0" fontId="27" fillId="0" borderId="0" xfId="0" applyFont="1" applyProtection="1"/>
    <xf numFmtId="0" fontId="27" fillId="10" borderId="0" xfId="0" applyFont="1" applyFill="1" applyAlignment="1">
      <alignment horizontal="center"/>
    </xf>
    <xf numFmtId="0" fontId="27" fillId="12" borderId="0" xfId="0" applyFont="1" applyFill="1" applyAlignment="1">
      <alignment horizontal="center"/>
    </xf>
    <xf numFmtId="167" fontId="10" fillId="0" borderId="0" xfId="3" applyNumberFormat="1" applyFont="1" applyBorder="1" applyAlignment="1" applyProtection="1">
      <alignment horizontal="left"/>
    </xf>
    <xf numFmtId="167" fontId="10" fillId="0" borderId="0" xfId="3" applyNumberFormat="1" applyFont="1" applyBorder="1" applyAlignment="1" applyProtection="1">
      <alignment horizontal="left" vertical="center" wrapText="1" indent="1"/>
    </xf>
    <xf numFmtId="166" fontId="10" fillId="0" borderId="0" xfId="5" applyFont="1" applyBorder="1" applyAlignment="1" applyProtection="1">
      <alignment horizontal="left" vertical="center" wrapText="1" indent="1"/>
    </xf>
    <xf numFmtId="167" fontId="28" fillId="7" borderId="0" xfId="1" applyNumberFormat="1" applyFont="1" applyFill="1" applyBorder="1" applyAlignment="1" applyProtection="1">
      <alignment vertical="center"/>
    </xf>
    <xf numFmtId="0" fontId="1" fillId="7" borderId="0" xfId="0" applyFont="1" applyFill="1"/>
    <xf numFmtId="0" fontId="19" fillId="7" borderId="0" xfId="1" applyFill="1" applyAlignment="1">
      <alignment horizontal="left" vertical="center" indent="1"/>
    </xf>
    <xf numFmtId="0" fontId="29" fillId="0" borderId="0" xfId="11"/>
    <xf numFmtId="0" fontId="0" fillId="0" borderId="0" xfId="0" applyAlignment="1">
      <alignment wrapText="1"/>
    </xf>
    <xf numFmtId="0" fontId="0" fillId="0" borderId="0" xfId="0" applyAlignment="1">
      <alignment vertical="center"/>
    </xf>
    <xf numFmtId="0" fontId="0" fillId="0" borderId="0" xfId="0" applyAlignment="1">
      <alignment vertical="top"/>
    </xf>
    <xf numFmtId="0" fontId="0" fillId="0" borderId="0" xfId="0" applyAlignment="1">
      <alignment vertical="top" wrapText="1"/>
    </xf>
    <xf numFmtId="49" fontId="0" fillId="11" borderId="0" xfId="0" applyNumberFormat="1" applyFont="1" applyFill="1" applyBorder="1" applyAlignment="1">
      <alignment horizontal="center"/>
    </xf>
    <xf numFmtId="0" fontId="0" fillId="0" borderId="0" xfId="0" quotePrefix="1" applyAlignment="1">
      <alignment vertical="top"/>
    </xf>
    <xf numFmtId="0" fontId="0" fillId="0" borderId="0" xfId="0" applyFill="1"/>
    <xf numFmtId="0" fontId="0" fillId="0" borderId="0" xfId="0" applyAlignment="1">
      <alignment vertical="center" wrapText="1"/>
    </xf>
    <xf numFmtId="0" fontId="29" fillId="0" borderId="0" xfId="11" applyAlignment="1">
      <alignment vertical="top"/>
    </xf>
    <xf numFmtId="0" fontId="19" fillId="7" borderId="0" xfId="1" applyFont="1" applyFill="1" applyAlignment="1">
      <alignment horizontal="left" vertical="center" indent="1"/>
    </xf>
    <xf numFmtId="0" fontId="0" fillId="0" borderId="0" xfId="0" applyAlignment="1">
      <alignment wrapText="1"/>
    </xf>
    <xf numFmtId="168" fontId="34" fillId="2" borderId="9" xfId="2" applyNumberFormat="1" applyFont="1" applyFill="1" applyBorder="1" applyAlignment="1" applyProtection="1">
      <alignment vertical="center"/>
    </xf>
    <xf numFmtId="168" fontId="34" fillId="2" borderId="10" xfId="2" applyNumberFormat="1" applyFont="1" applyFill="1" applyBorder="1" applyAlignment="1" applyProtection="1">
      <alignment vertical="center"/>
    </xf>
    <xf numFmtId="0" fontId="35" fillId="0" borderId="8" xfId="3" applyFont="1" applyBorder="1" applyAlignment="1" applyProtection="1">
      <alignment horizontal="center" vertical="center" wrapText="1"/>
      <protection locked="0"/>
    </xf>
    <xf numFmtId="0" fontId="37" fillId="2" borderId="12" xfId="0" applyFont="1" applyFill="1" applyBorder="1" applyAlignment="1" applyProtection="1">
      <alignment horizontal="center" vertical="center"/>
    </xf>
    <xf numFmtId="164" fontId="39" fillId="0" borderId="8" xfId="8" applyNumberFormat="1" applyFont="1" applyFill="1" applyBorder="1" applyProtection="1">
      <alignment horizontal="center" vertical="center"/>
    </xf>
    <xf numFmtId="164" fontId="37" fillId="2" borderId="8" xfId="0" applyNumberFormat="1" applyFont="1" applyFill="1" applyBorder="1" applyAlignment="1" applyProtection="1">
      <alignment horizontal="center" vertical="center"/>
    </xf>
    <xf numFmtId="0" fontId="40" fillId="0" borderId="0" xfId="0" applyFont="1" applyProtection="1"/>
    <xf numFmtId="0" fontId="35" fillId="0" borderId="0" xfId="0" applyFont="1" applyFill="1" applyBorder="1" applyProtection="1"/>
    <xf numFmtId="164" fontId="38" fillId="0" borderId="8" xfId="7" applyNumberFormat="1" applyFont="1" applyFill="1" applyBorder="1" applyProtection="1">
      <alignment horizontal="center" vertical="center"/>
    </xf>
    <xf numFmtId="0" fontId="34" fillId="2" borderId="8" xfId="2" applyNumberFormat="1" applyFont="1" applyFill="1" applyBorder="1" applyAlignment="1" applyProtection="1">
      <alignment vertical="center"/>
    </xf>
    <xf numFmtId="0" fontId="42" fillId="11" borderId="13" xfId="0" applyFont="1" applyFill="1" applyBorder="1" applyAlignment="1" applyProtection="1">
      <alignment horizontal="center" vertical="center"/>
    </xf>
    <xf numFmtId="0" fontId="42" fillId="9" borderId="14" xfId="0" applyFont="1" applyFill="1" applyBorder="1" applyAlignment="1" applyProtection="1">
      <alignment horizontal="center" vertical="center"/>
    </xf>
    <xf numFmtId="0" fontId="42" fillId="8" borderId="14" xfId="0" applyFont="1" applyFill="1" applyBorder="1" applyAlignment="1" applyProtection="1">
      <alignment horizontal="center" vertical="center"/>
    </xf>
    <xf numFmtId="0" fontId="42" fillId="10" borderId="14" xfId="0" applyFont="1" applyFill="1" applyBorder="1" applyAlignment="1" applyProtection="1">
      <alignment horizontal="center" vertical="center"/>
    </xf>
    <xf numFmtId="0" fontId="0" fillId="0" borderId="0" xfId="0" applyAlignment="1">
      <alignment vertical="top" wrapText="1"/>
    </xf>
    <xf numFmtId="0" fontId="0" fillId="0" borderId="0" xfId="0" applyAlignment="1">
      <alignment vertical="center" wrapText="1"/>
    </xf>
    <xf numFmtId="0" fontId="0" fillId="0" borderId="0" xfId="0" applyAlignment="1">
      <alignment wrapText="1"/>
    </xf>
    <xf numFmtId="0" fontId="31" fillId="0" borderId="0" xfId="12" quotePrefix="1" applyAlignment="1">
      <alignment vertical="top" wrapText="1"/>
    </xf>
    <xf numFmtId="0" fontId="15" fillId="7" borderId="4" xfId="0" applyFont="1" applyFill="1" applyBorder="1" applyAlignment="1">
      <alignment horizontal="center"/>
    </xf>
    <xf numFmtId="0" fontId="15" fillId="7" borderId="5" xfId="0" applyFont="1" applyFill="1" applyBorder="1" applyAlignment="1">
      <alignment horizontal="center"/>
    </xf>
    <xf numFmtId="0" fontId="15" fillId="7" borderId="6" xfId="0" applyFont="1" applyFill="1" applyBorder="1" applyAlignment="1">
      <alignment horizontal="center"/>
    </xf>
    <xf numFmtId="0" fontId="15" fillId="7" borderId="1" xfId="0" applyFont="1" applyFill="1" applyBorder="1" applyAlignment="1">
      <alignment horizontal="center"/>
    </xf>
    <xf numFmtId="168" fontId="34" fillId="2" borderId="8" xfId="2" applyNumberFormat="1" applyFont="1" applyFill="1" applyBorder="1" applyProtection="1">
      <alignment vertical="center"/>
    </xf>
    <xf numFmtId="167" fontId="35" fillId="0" borderId="8" xfId="3" applyNumberFormat="1" applyFont="1" applyBorder="1" applyAlignment="1" applyProtection="1">
      <alignment horizontal="left" vertical="center" wrapText="1" indent="1"/>
    </xf>
    <xf numFmtId="166" fontId="35" fillId="0" borderId="8" xfId="5" applyFont="1" applyBorder="1" applyAlignment="1" applyProtection="1">
      <alignment horizontal="left" vertical="center" wrapText="1" indent="1"/>
    </xf>
    <xf numFmtId="167" fontId="35" fillId="0" borderId="8" xfId="3" applyNumberFormat="1" applyFont="1" applyBorder="1" applyAlignment="1" applyProtection="1">
      <alignment horizontal="center" vertical="center" wrapText="1"/>
    </xf>
    <xf numFmtId="14" fontId="35" fillId="0" borderId="8" xfId="4" applyNumberFormat="1" applyFont="1" applyBorder="1" applyAlignment="1" applyProtection="1">
      <alignment horizontal="center" vertical="center" wrapText="1"/>
    </xf>
    <xf numFmtId="0" fontId="35" fillId="0" borderId="8" xfId="3" applyFont="1" applyBorder="1" applyAlignment="1" applyProtection="1">
      <alignment horizontal="left" vertical="center" wrapText="1" indent="1"/>
      <protection locked="0"/>
    </xf>
    <xf numFmtId="168" fontId="34" fillId="2" borderId="8" xfId="2" applyNumberFormat="1" applyFont="1" applyFill="1" applyBorder="1" applyAlignment="1" applyProtection="1">
      <alignment vertical="center"/>
    </xf>
    <xf numFmtId="0" fontId="34" fillId="2" borderId="8" xfId="2" applyNumberFormat="1" applyFont="1" applyFill="1" applyBorder="1" applyProtection="1">
      <alignment vertical="center"/>
    </xf>
    <xf numFmtId="0" fontId="35" fillId="0" borderId="8" xfId="3" applyFont="1" applyBorder="1" applyAlignment="1" applyProtection="1">
      <alignment horizontal="center" vertical="center" wrapText="1"/>
      <protection locked="0"/>
    </xf>
    <xf numFmtId="0" fontId="12" fillId="7" borderId="0" xfId="0" applyFont="1" applyFill="1" applyBorder="1" applyAlignment="1" applyProtection="1">
      <alignment horizontal="center" vertical="center"/>
    </xf>
    <xf numFmtId="0" fontId="36" fillId="2" borderId="12" xfId="6" applyFont="1" applyFill="1" applyBorder="1" applyProtection="1">
      <alignment horizontal="center" vertical="center"/>
    </xf>
    <xf numFmtId="0" fontId="36" fillId="2" borderId="8" xfId="6" applyFont="1" applyFill="1" applyBorder="1" applyProtection="1">
      <alignment horizontal="center" vertical="center"/>
    </xf>
    <xf numFmtId="164" fontId="38" fillId="0" borderId="12" xfId="7" applyNumberFormat="1" applyFont="1" applyFill="1" applyBorder="1" applyProtection="1">
      <alignment horizontal="center" vertical="center"/>
    </xf>
    <xf numFmtId="164" fontId="38" fillId="0" borderId="8" xfId="7" applyNumberFormat="1" applyFont="1" applyFill="1" applyBorder="1" applyProtection="1">
      <alignment horizontal="center" vertical="center"/>
    </xf>
    <xf numFmtId="164" fontId="38" fillId="0" borderId="15" xfId="7" applyNumberFormat="1" applyFont="1" applyFill="1" applyBorder="1" applyProtection="1">
      <alignment horizontal="center" vertical="center"/>
    </xf>
    <xf numFmtId="0" fontId="41" fillId="0" borderId="0" xfId="0" applyFont="1" applyFill="1" applyBorder="1" applyAlignment="1" applyProtection="1">
      <alignment horizontal="right" vertical="center"/>
    </xf>
    <xf numFmtId="0" fontId="36" fillId="2" borderId="15" xfId="6" applyFont="1" applyFill="1" applyBorder="1" applyProtection="1">
      <alignment horizontal="center" vertical="center"/>
    </xf>
    <xf numFmtId="0" fontId="45" fillId="7" borderId="0" xfId="1" applyFont="1" applyFill="1" applyAlignment="1">
      <alignment horizontal="left" vertical="center" indent="1"/>
    </xf>
    <xf numFmtId="0" fontId="46" fillId="0" borderId="0" xfId="0" applyFont="1" applyAlignment="1">
      <alignment horizontal="center" vertical="center" wrapText="1"/>
    </xf>
    <xf numFmtId="0" fontId="46" fillId="0" borderId="0" xfId="0" applyFont="1" applyAlignment="1">
      <alignment horizontal="left" vertical="center" wrapText="1"/>
    </xf>
    <xf numFmtId="0" fontId="45" fillId="7" borderId="0" xfId="1" applyNumberFormat="1" applyFont="1" applyFill="1" applyBorder="1" applyAlignment="1">
      <alignment vertical="center"/>
    </xf>
    <xf numFmtId="0" fontId="44" fillId="7" borderId="0" xfId="0" applyFont="1" applyFill="1" applyBorder="1" applyAlignment="1">
      <alignment horizontal="right" vertical="center"/>
    </xf>
    <xf numFmtId="49" fontId="45" fillId="7" borderId="0" xfId="1" applyNumberFormat="1" applyFont="1" applyFill="1" applyBorder="1" applyAlignment="1">
      <alignment vertical="center"/>
    </xf>
    <xf numFmtId="0" fontId="47" fillId="0" borderId="0" xfId="0" applyFont="1" applyFill="1" applyBorder="1" applyAlignment="1">
      <alignment horizontal="center" vertical="center"/>
    </xf>
    <xf numFmtId="0" fontId="47" fillId="0" borderId="0" xfId="0" applyFont="1" applyFill="1" applyBorder="1" applyAlignment="1">
      <alignment horizontal="left" vertical="center"/>
    </xf>
    <xf numFmtId="164" fontId="47" fillId="0" borderId="0" xfId="0" applyNumberFormat="1" applyFont="1" applyFill="1" applyBorder="1" applyAlignment="1">
      <alignment horizontal="center" vertical="center"/>
    </xf>
    <xf numFmtId="0" fontId="43" fillId="7" borderId="0" xfId="0" applyFont="1" applyFill="1" applyBorder="1" applyAlignment="1" applyProtection="1">
      <alignment horizontal="center" vertical="center"/>
    </xf>
    <xf numFmtId="0" fontId="43" fillId="7" borderId="11" xfId="0" applyFont="1" applyFill="1" applyBorder="1" applyAlignment="1" applyProtection="1">
      <alignment horizontal="center" vertical="center"/>
    </xf>
    <xf numFmtId="0" fontId="48" fillId="7" borderId="0" xfId="1" applyFont="1" applyFill="1" applyBorder="1" applyAlignment="1" applyProtection="1">
      <alignment horizontal="left" vertical="center" indent="1"/>
    </xf>
  </cellXfs>
  <cellStyles count="13">
    <cellStyle name="Attendance Totals" xfId="7"/>
    <cellStyle name="Birthdate" xfId="4"/>
    <cellStyle name="Hyperlink" xfId="12" builtinId="8"/>
    <cellStyle name="Month" xfId="6"/>
    <cellStyle name="Normal" xfId="0" builtinId="0" customBuiltin="1"/>
    <cellStyle name="Phone Number" xfId="5"/>
    <cellStyle name="Student Information" xfId="2"/>
    <cellStyle name="Student Information - user entered" xfId="3"/>
    <cellStyle name="Titlu" xfId="1" builtinId="15" customBuiltin="1"/>
    <cellStyle name="Titlu 1" xfId="10" builtinId="16" customBuiltin="1"/>
    <cellStyle name="Titlu 2" xfId="11" builtinId="17" customBuiltin="1"/>
    <cellStyle name="Weekday" xfId="8"/>
    <cellStyle name="Weekend" xfId="9"/>
  </cellStyles>
  <dxfs count="997">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sz val="12"/>
        <color theme="1"/>
        <name val="Calibri"/>
        <scheme val="none"/>
      </font>
      <alignment horizontal="center" vertical="center" textRotation="0" wrapText="1" indent="0" justifyLastLine="0" shrinkToFit="0" readingOrder="0"/>
    </dxf>
    <dxf>
      <font>
        <color theme="4" tint="0.79998168889431442"/>
      </font>
    </dxf>
    <dxf>
      <fill>
        <patternFill>
          <bgColor theme="8" tint="0.59996337778862885"/>
        </patternFill>
      </fill>
    </dxf>
    <dxf>
      <fill>
        <patternFill>
          <bgColor theme="8" tint="0.79998168889431442"/>
        </patternFill>
      </fill>
    </dxf>
    <dxf>
      <fill>
        <patternFill>
          <bgColor theme="6"/>
        </patternFill>
      </fill>
    </dxf>
    <dxf>
      <fill>
        <patternFill>
          <bgColor theme="5"/>
        </patternFill>
      </fill>
    </dxf>
    <dxf>
      <fill>
        <patternFill>
          <bgColor theme="7"/>
        </patternFill>
      </fill>
    </dxf>
    <dxf>
      <alignment horizontal="center" vertical="center"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dxf>
    <dxf>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name val="Century Gothic"/>
        <scheme val="major"/>
      </font>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alignment horizontal="center" vertical="center"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dxf>
    <dxf>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name val="Century Gothic"/>
        <scheme val="major"/>
      </font>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alignment horizontal="center" vertical="center"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dxf>
    <dxf>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name val="Century Gothic"/>
        <scheme val="major"/>
      </font>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alignment horizontal="center" vertical="center"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dxf>
    <dxf>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name val="Century Gothic"/>
        <scheme val="major"/>
      </font>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alignment horizontal="center" vertical="center"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dxf>
    <dxf>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name val="Century Gothic"/>
        <scheme val="major"/>
      </font>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alignment horizontal="center" vertical="center"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dxf>
    <dxf>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name val="Century Gothic"/>
        <scheme val="major"/>
      </font>
    </dxf>
    <dxf>
      <font>
        <color theme="4" tint="0.79998168889431442"/>
      </font>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ont>
        <color theme="4"/>
      </font>
    </dxf>
    <dxf>
      <alignment horizontal="center" vertical="center"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dxf>
    <dxf>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name val="Century Gothic"/>
        <scheme val="major"/>
      </font>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numFmt numFmtId="164" formatCode="0;0;"/>
      <alignment horizontal="center" textRotation="0" wrapText="0" indent="0" justifyLastLine="0" shrinkToFit="0" readingOrder="0"/>
    </dxf>
    <dxf>
      <numFmt numFmtId="164" formatCode="0;0;"/>
      <alignment horizontal="center" textRotation="0" wrapText="0" indent="0" justifyLastLine="0" shrinkToFit="0" readingOrder="0"/>
    </dxf>
    <dxf>
      <numFmt numFmtId="164" formatCode="0;0;"/>
      <alignment horizontal="center" textRotation="0" wrapText="0" indent="0" justifyLastLine="0" shrinkToFit="0" readingOrder="0"/>
    </dxf>
    <dxf>
      <alignment horizontal="center" textRotation="0" wrapText="0" indent="0" justifyLastLine="0" shrinkToFit="0" readingOrder="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numFmt numFmtId="164" formatCode="0;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numFmt numFmtId="164" formatCode="0;0;"/>
      <alignment horizontal="center" textRotation="0" wrapText="0" indent="0" justifyLastLine="0" shrinkToFit="0" readingOrder="0"/>
    </dxf>
    <dxf>
      <numFmt numFmtId="164" formatCode="0;0;"/>
      <alignment horizontal="center" textRotation="0" wrapText="0" indent="0" justifyLastLine="0" shrinkToFit="0" readingOrder="0"/>
    </dxf>
    <dxf>
      <numFmt numFmtId="164" formatCode="0;0;"/>
      <alignment horizontal="center" textRotation="0" wrapText="0" indent="0" justifyLastLine="0" shrinkToFit="0" readingOrder="0"/>
    </dxf>
    <dxf>
      <alignment horizontal="center" textRotation="0" wrapText="0" indent="0" justifyLastLine="0" shrinkToFit="0" readingOrder="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numFmt numFmtId="164" formatCode="0;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numFmt numFmtId="164" formatCode="0;0;"/>
      <alignment horizontal="center" textRotation="0" wrapText="0" indent="0" justifyLastLine="0" shrinkToFit="0" readingOrder="0"/>
    </dxf>
    <dxf>
      <numFmt numFmtId="164" formatCode="0;0;"/>
      <alignment horizontal="center" textRotation="0" wrapText="0" indent="0" justifyLastLine="0" shrinkToFit="0" readingOrder="0"/>
    </dxf>
    <dxf>
      <numFmt numFmtId="164" formatCode="0;0;"/>
      <alignment horizontal="center" textRotation="0" wrapText="0" indent="0" justifyLastLine="0" shrinkToFit="0" readingOrder="0"/>
    </dxf>
    <dxf>
      <alignment horizontal="center" textRotation="0" wrapText="0" indent="0" justifyLastLine="0" shrinkToFit="0" readingOrder="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numFmt numFmtId="164" formatCode="0;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numFmt numFmtId="164" formatCode="0;0;"/>
      <alignment horizontal="center" textRotation="0" wrapText="0" indent="0" justifyLastLine="0" shrinkToFit="0" readingOrder="0"/>
    </dxf>
    <dxf>
      <numFmt numFmtId="164" formatCode="0;0;"/>
      <alignment horizontal="center" textRotation="0" wrapText="0" indent="0" justifyLastLine="0" shrinkToFit="0" readingOrder="0"/>
    </dxf>
    <dxf>
      <numFmt numFmtId="164" formatCode="0;0;"/>
      <alignment horizontal="center" textRotation="0" wrapText="0" indent="0" justifyLastLine="0" shrinkToFit="0" readingOrder="0"/>
    </dxf>
    <dxf>
      <alignment horizontal="center" textRotation="0" wrapText="0" indent="0" justifyLastLine="0" shrinkToFit="0" readingOrder="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numFmt numFmtId="164" formatCode="0;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numFmt numFmtId="164" formatCode="0;0;"/>
      <alignment horizontal="center" textRotation="0" wrapText="0" indent="0" justifyLastLine="0" shrinkToFit="0" readingOrder="0"/>
    </dxf>
    <dxf>
      <numFmt numFmtId="164" formatCode="0;0;"/>
      <alignment horizontal="center" textRotation="0" wrapText="0" indent="0" justifyLastLine="0" shrinkToFit="0" readingOrder="0"/>
    </dxf>
    <dxf>
      <numFmt numFmtId="164" formatCode="0;0;"/>
      <alignment horizontal="center" textRotation="0" wrapText="0" indent="0" justifyLastLine="0" shrinkToFit="0" readingOrder="0"/>
    </dxf>
    <dxf>
      <alignment horizont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numFmt numFmtId="0" formatCode="General"/>
      <alignment horizontal="left" vertical="bottom" textRotation="0" wrapText="0" indent="0" justifyLastLine="0" shrinkToFit="0" readingOrder="0"/>
    </dxf>
    <dxf>
      <numFmt numFmtId="166" formatCode="[&lt;=9999999]###\-####;\(###\)\ ###\-####"/>
      <alignment horizontal="center" vertical="bottom" textRotation="0" wrapText="0" indent="0" justifyLastLine="0" shrinkToFit="0" readingOrder="0"/>
    </dxf>
    <dxf>
      <numFmt numFmtId="166" formatCode="[&lt;=9999999]###\-####;\(###\)\ ###\-####"/>
      <alignment horizontal="center"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numFmt numFmtId="166" formatCode="[&lt;=9999999]###\-####;\(###\)\ ###\-####"/>
      <alignment horizontal="center" vertical="bottom" textRotation="0" wrapText="0" indent="0" justifyLastLine="0" shrinkToFit="0" readingOrder="0"/>
    </dxf>
    <dxf>
      <numFmt numFmtId="166" formatCode="[&lt;=9999999]###\-####;\(###\)\ ###\-####"/>
      <alignment horizontal="center" vertical="bottom" textRotation="0" wrapText="0" indent="0" justifyLastLine="0" shrinkToFit="0" readingOrder="0"/>
    </dxf>
    <dxf>
      <numFmt numFmtId="166" formatCode="[&lt;=9999999]###\-####;\(###\)\ ###\-####"/>
      <alignment horizontal="left" vertical="bottom" textRotation="0" wrapText="0" indent="0" justifyLastLine="0" shrinkToFit="0" readingOrder="0"/>
    </dxf>
    <dxf>
      <numFmt numFmtId="166" formatCode="[&lt;=9999999]###\-####;\(###\)\ ###\-####"/>
      <alignment horizontal="left" vertical="bottom" textRotation="0" wrapText="0" indent="0" justifyLastLine="0" shrinkToFit="0" readingOrder="0"/>
    </dxf>
    <dxf>
      <numFmt numFmtId="166" formatCode="[&lt;=9999999]###\-####;\(###\)\ ###\-####"/>
      <alignment horizontal="center" vertical="bottom" textRotation="0" wrapText="0" indent="0" justifyLastLine="0" shrinkToFit="0" readingOrder="0"/>
    </dxf>
    <dxf>
      <numFmt numFmtId="166" formatCode="[&lt;=9999999]###\-####;\(###\)\ ###\-####"/>
      <alignment horizontal="center"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numFmt numFmtId="19" formatCode="dd/mm/yyyy"/>
      <alignment horizontal="center"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ill>
        <patternFill>
          <bgColor theme="4" tint="0.79998168889431442"/>
        </patternFill>
      </fill>
    </dxf>
    <dxf>
      <fill>
        <patternFill patternType="none">
          <fgColor indexed="64"/>
          <bgColor auto="1"/>
        </patternFill>
      </fill>
    </dxf>
    <dxf>
      <font>
        <b val="0"/>
        <i val="0"/>
      </font>
      <border>
        <top style="double">
          <color theme="1"/>
        </top>
      </border>
    </dxf>
    <dxf>
      <font>
        <b/>
        <i val="0"/>
        <color theme="0"/>
      </font>
      <fill>
        <patternFill>
          <bgColor theme="4"/>
        </patternFill>
      </fill>
      <border>
        <left style="thin">
          <color theme="3"/>
        </left>
        <right style="thin">
          <color theme="3"/>
        </right>
        <top style="thin">
          <color theme="4" tint="-0.499984740745262"/>
        </top>
        <bottom style="medium">
          <color theme="4" tint="-0.499984740745262"/>
        </bottom>
        <vertical style="thin">
          <color theme="3"/>
        </vertical>
        <horizontal style="thin">
          <color theme="3"/>
        </horizontal>
      </border>
    </dxf>
    <dxf>
      <font>
        <color theme="3" tint="-0.24994659260841701"/>
      </font>
      <border>
        <left style="thin">
          <color theme="3" tint="0.59996337778862885"/>
        </left>
        <right style="thin">
          <color theme="3" tint="0.59996337778862885"/>
        </right>
        <top style="thin">
          <color theme="3" tint="0.59996337778862885"/>
        </top>
        <bottom style="thin">
          <color theme="3" tint="0.59996337778862885"/>
        </bottom>
        <vertical style="thin">
          <color theme="3" tint="0.59996337778862885"/>
        </vertical>
        <horizontal style="thin">
          <color theme="3" tint="0.59996337778862885"/>
        </horizontal>
      </border>
    </dxf>
    <dxf>
      <fill>
        <patternFill>
          <bgColor theme="4" tint="0.79998168889431442"/>
        </patternFill>
      </fill>
    </dxf>
    <dxf>
      <fill>
        <patternFill patternType="none">
          <fgColor indexed="64"/>
          <bgColor auto="1"/>
        </patternFill>
      </fill>
    </dxf>
    <dxf>
      <font>
        <b val="0"/>
        <i val="0"/>
      </font>
      <border>
        <top style="double">
          <color theme="1"/>
        </top>
      </border>
    </dxf>
    <dxf>
      <font>
        <color theme="1"/>
      </font>
      <fill>
        <patternFill>
          <bgColor theme="4" tint="0.79998168889431442"/>
        </patternFill>
      </fill>
      <border>
        <left style="thin">
          <color theme="3"/>
        </left>
        <right style="thin">
          <color theme="3"/>
        </right>
        <top style="medium">
          <color theme="3"/>
        </top>
        <bottom style="thin">
          <color theme="3"/>
        </bottom>
        <vertical style="thin">
          <color theme="3"/>
        </vertical>
        <horizontal style="thin">
          <color theme="3"/>
        </horizontal>
      </border>
    </dxf>
    <dxf>
      <font>
        <color theme="1"/>
      </font>
      <border>
        <left style="thin">
          <color theme="3" tint="0.59996337778862885"/>
        </left>
        <right style="thin">
          <color theme="3" tint="0.59996337778862885"/>
        </right>
        <top style="thin">
          <color theme="3" tint="0.59996337778862885"/>
        </top>
        <bottom style="thin">
          <color theme="3" tint="0.59996337778862885"/>
        </bottom>
        <vertical style="thin">
          <color theme="3" tint="0.59996337778862885"/>
        </vertical>
        <horizontal style="thin">
          <color theme="3" tint="0.59996337778862885"/>
        </horizontal>
      </border>
    </dxf>
  </dxfs>
  <tableStyles count="2" defaultTableStyle="TableStyleMedium2" defaultPivotStyle="PivotStyleLight16">
    <tableStyle name="Employee Absence Table" pivot="0" count="5">
      <tableStyleElement type="wholeTable" dxfId="996"/>
      <tableStyleElement type="headerRow" dxfId="995"/>
      <tableStyleElement type="totalRow" dxfId="994"/>
      <tableStyleElement type="firstRowStripe" dxfId="993"/>
      <tableStyleElement type="secondRowStripe" dxfId="992"/>
    </tableStyle>
    <tableStyle name="Student List" pivot="0" count="5">
      <tableStyleElement type="wholeTable" dxfId="991"/>
      <tableStyleElement type="headerRow" dxfId="990"/>
      <tableStyleElement type="totalRow" dxfId="989"/>
      <tableStyleElement type="firstRowStripe" dxfId="988"/>
      <tableStyleElement type="secondRowStripe" dxfId="987"/>
    </tableStyle>
  </tableStyles>
  <colors>
    <mruColors>
      <color rgb="FFF0D2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trlProps/ctrlProp1.xml><?xml version="1.0" encoding="utf-8"?>
<formControlPr xmlns="http://schemas.microsoft.com/office/spreadsheetml/2009/9/main" objectType="Spin" dx="16" fmlaLink="AnCalendar" max="3000" min="2010" page="10" val="2012"/>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39</xdr:col>
          <xdr:colOff>38100</xdr:colOff>
          <xdr:row>0</xdr:row>
          <xdr:rowOff>104775</xdr:rowOff>
        </xdr:from>
        <xdr:to>
          <xdr:col>39</xdr:col>
          <xdr:colOff>209550</xdr:colOff>
          <xdr:row>0</xdr:row>
          <xdr:rowOff>419100</xdr:rowOff>
        </xdr:to>
        <xdr:sp macro="" textlink="">
          <xdr:nvSpPr>
            <xdr:cNvPr id="2049" name="Incrementare/Decrementare 1" descr="Calendar Year Spinner. Click the spinner to change the school calendar year or type the year in cell AM." hidden="1">
              <a:extLst>
                <a:ext uri="{63B3BB69-23CF-44E3-9099-C40C66FF867C}">
                  <a14:compatExt spid="_x0000_s204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tables/table1.xml><?xml version="1.0" encoding="utf-8"?>
<table xmlns="http://schemas.openxmlformats.org/spreadsheetml/2006/main" id="1" name="ListăElevi" displayName="ListăElevi" ref="B3:S8" totalsRowShown="0" headerRowDxfId="456">
  <autoFilter ref="B3:S8"/>
  <tableColumns count="18">
    <tableColumn id="1" name="ID elev" dataDxfId="986"/>
    <tableColumn id="2" name="Prenume elev"/>
    <tableColumn id="3" name="Nume elev" dataDxfId="985"/>
    <tableColumn id="5" name="Sex" dataDxfId="984"/>
    <tableColumn id="6" name="Data nașterii" dataDxfId="983"/>
    <tableColumn id="7" name="Părinte sau tutore 1" dataDxfId="982"/>
    <tableColumn id="10" name="Relație Părinte/Tutore 1" dataDxfId="981"/>
    <tableColumn id="9" name="Număr de telefon birou Părinte/Tutore 1" dataDxfId="980"/>
    <tableColumn id="8" name="Număr de telefon acasă Părinte/Tutore 1" dataDxfId="979"/>
    <tableColumn id="18" name="Părinte/Tutore 2" dataDxfId="978"/>
    <tableColumn id="15" name="Relație Părinte/Tutore 2" dataDxfId="977"/>
    <tableColumn id="16" name="Număr de telefon birou Părinte/Tutore 2" dataDxfId="976"/>
    <tableColumn id="17" name="Număr de telefon acasă Părinte/Tutore 2" dataDxfId="975"/>
    <tableColumn id="13" name="Contact urgențe" dataDxfId="974"/>
    <tableColumn id="12" name="Relație de contact urgențe" dataDxfId="973"/>
    <tableColumn id="11" name="Număr de telefon birou pentru contact urgențe" dataDxfId="972"/>
    <tableColumn id="14" name="Număr de telefon acasă pentru contact urgențe" dataDxfId="971"/>
    <tableColumn id="4" name="Nume complet elev" dataDxfId="970"/>
  </tableColumns>
  <tableStyleInfo name="Student List" showFirstColumn="0" showLastColumn="0" showRowStripes="1" showColumnStripes="0"/>
  <extLst>
    <ext xmlns:x14="http://schemas.microsoft.com/office/spreadsheetml/2009/9/main" uri="{504A1905-F514-4f6f-8877-14C23A59335A}">
      <x14:table altText="Listă elevi" altTextSummary="Furnizează numele elevilor, informațiile de contact ale tutorelui și informațiile de contact pentru urgențe, pentru fiecare elev."/>
    </ext>
  </extLst>
</table>
</file>

<file path=xl/tables/table10.xml><?xml version="1.0" encoding="utf-8"?>
<table xmlns="http://schemas.openxmlformats.org/spreadsheetml/2006/main" id="9" name="PrezențăAprilie" displayName="PrezențăAprilie" ref="B6:AM12" totalsRowCount="1" headerRowDxfId="637" totalsRowDxfId="636">
  <tableColumns count="38">
    <tableColumn id="38" name="ID elev" dataDxfId="635" totalsRowDxfId="151"/>
    <tableColumn id="1" name="Nume elev" totalsRowLabel="Numărul total de zile de absență" dataDxfId="634" totalsRowDxfId="150"/>
    <tableColumn id="2" name="1" totalsRowFunction="custom" dataDxfId="633" totalsRowDxfId="149">
      <totalsRowFormula>COUNTIF(PrezențăAprilie[1],"N")+COUNTIF(PrezențăAprilie[1],"M")</totalsRowFormula>
    </tableColumn>
    <tableColumn id="3" name="2" totalsRowFunction="custom" dataDxfId="632" totalsRowDxfId="148">
      <totalsRowFormula>COUNTIF(PrezențăAprilie[2],"N")+COUNTIF(PrezențăAprilie[2],"M")</totalsRowFormula>
    </tableColumn>
    <tableColumn id="4" name="3" totalsRowFunction="custom" dataDxfId="631" totalsRowDxfId="147">
      <totalsRowFormula>COUNTIF(PrezențăAprilie[3],"N")+COUNTIF(PrezențăAprilie[3],"M")</totalsRowFormula>
    </tableColumn>
    <tableColumn id="5" name="4" totalsRowFunction="custom" dataDxfId="630" totalsRowDxfId="146">
      <totalsRowFormula>COUNTIF(PrezențăAprilie[4],"N")+COUNTIF(PrezențăAprilie[4],"M")</totalsRowFormula>
    </tableColumn>
    <tableColumn id="6" name="5" totalsRowFunction="custom" dataDxfId="629" totalsRowDxfId="145">
      <totalsRowFormula>COUNTIF(PrezențăAprilie[5],"N")+COUNTIF(PrezențăAprilie[5],"M")</totalsRowFormula>
    </tableColumn>
    <tableColumn id="7" name="6" totalsRowFunction="custom" dataDxfId="628" totalsRowDxfId="144">
      <totalsRowFormula>COUNTIF(PrezențăAprilie[6],"N")+COUNTIF(PrezențăAprilie[6],"M")</totalsRowFormula>
    </tableColumn>
    <tableColumn id="8" name="7" totalsRowFunction="custom" dataDxfId="627" totalsRowDxfId="143">
      <totalsRowFormula>COUNTIF(PrezențăAprilie[7],"N")+COUNTIF(PrezențăAprilie[7],"M")</totalsRowFormula>
    </tableColumn>
    <tableColumn id="9" name="8" totalsRowFunction="custom" dataDxfId="626" totalsRowDxfId="142">
      <totalsRowFormula>COUNTIF(PrezențăAprilie[8],"N")+COUNTIF(PrezențăAprilie[8],"M")</totalsRowFormula>
    </tableColumn>
    <tableColumn id="10" name="9" totalsRowFunction="custom" dataDxfId="625" totalsRowDxfId="141">
      <totalsRowFormula>COUNTIF(PrezențăAprilie[9],"N")+COUNTIF(PrezențăAprilie[9],"M")</totalsRowFormula>
    </tableColumn>
    <tableColumn id="11" name="10" totalsRowFunction="custom" dataDxfId="624" totalsRowDxfId="140">
      <totalsRowFormula>COUNTIF(PrezențăAprilie[10],"N")+COUNTIF(PrezențăAprilie[10],"M")</totalsRowFormula>
    </tableColumn>
    <tableColumn id="12" name="11" totalsRowFunction="custom" dataDxfId="623" totalsRowDxfId="139">
      <totalsRowFormula>COUNTIF(PrezențăAprilie[11],"N")+COUNTIF(PrezențăAprilie[11],"M")</totalsRowFormula>
    </tableColumn>
    <tableColumn id="13" name="12" totalsRowFunction="custom" dataDxfId="622" totalsRowDxfId="138">
      <totalsRowFormula>COUNTIF(PrezențăAprilie[12],"N")+COUNTIF(PrezențăAprilie[12],"M")</totalsRowFormula>
    </tableColumn>
    <tableColumn id="14" name="13" totalsRowFunction="custom" dataDxfId="621" totalsRowDxfId="137">
      <totalsRowFormula>COUNTIF(PrezențăAprilie[13],"N")+COUNTIF(PrezențăAprilie[13],"M")</totalsRowFormula>
    </tableColumn>
    <tableColumn id="15" name="14" totalsRowFunction="custom" dataDxfId="620" totalsRowDxfId="136">
      <totalsRowFormula>COUNTIF(PrezențăAprilie[14],"N")+COUNTIF(PrezențăAprilie[14],"M")</totalsRowFormula>
    </tableColumn>
    <tableColumn id="16" name="15" totalsRowFunction="custom" dataDxfId="619" totalsRowDxfId="135">
      <totalsRowFormula>COUNTIF(PrezențăAprilie[15],"N")+COUNTIF(PrezențăAprilie[15],"M")</totalsRowFormula>
    </tableColumn>
    <tableColumn id="17" name="16" totalsRowFunction="custom" dataDxfId="618" totalsRowDxfId="134">
      <totalsRowFormula>COUNTIF(PrezențăAprilie[16],"N")+COUNTIF(PrezențăAprilie[16],"M")</totalsRowFormula>
    </tableColumn>
    <tableColumn id="18" name="17" totalsRowFunction="custom" dataDxfId="617" totalsRowDxfId="133">
      <totalsRowFormula>COUNTIF(PrezențăAprilie[17],"N")+COUNTIF(PrezențăAprilie[17],"M")</totalsRowFormula>
    </tableColumn>
    <tableColumn id="19" name="18" totalsRowFunction="custom" dataDxfId="616" totalsRowDxfId="132">
      <totalsRowFormula>COUNTIF(PrezențăAprilie[18],"N")+COUNTIF(PrezențăAprilie[18],"M")</totalsRowFormula>
    </tableColumn>
    <tableColumn id="20" name="19" totalsRowFunction="custom" dataDxfId="615" totalsRowDxfId="131">
      <totalsRowFormula>COUNTIF(PrezențăAprilie[19],"N")+COUNTIF(PrezențăAprilie[19],"M")</totalsRowFormula>
    </tableColumn>
    <tableColumn id="21" name="20" totalsRowFunction="custom" dataDxfId="614" totalsRowDxfId="130">
      <totalsRowFormula>COUNTIF(PrezențăAprilie[20],"N")+COUNTIF(PrezențăAprilie[20],"M")</totalsRowFormula>
    </tableColumn>
    <tableColumn id="22" name="21" totalsRowFunction="custom" dataDxfId="613" totalsRowDxfId="129">
      <totalsRowFormula>COUNTIF(PrezențăAprilie[21],"N")+COUNTIF(PrezențăAprilie[21],"M")</totalsRowFormula>
    </tableColumn>
    <tableColumn id="23" name="22" totalsRowFunction="custom" dataDxfId="612" totalsRowDxfId="128">
      <totalsRowFormula>COUNTIF(PrezențăAprilie[22],"N")+COUNTIF(PrezențăAprilie[22],"M")</totalsRowFormula>
    </tableColumn>
    <tableColumn id="24" name="23" totalsRowFunction="custom" dataDxfId="611" totalsRowDxfId="127">
      <totalsRowFormula>COUNTIF(PrezențăAprilie[23],"N")+COUNTIF(PrezențăAprilie[23],"M")</totalsRowFormula>
    </tableColumn>
    <tableColumn id="25" name="24" totalsRowFunction="custom" dataDxfId="610" totalsRowDxfId="126">
      <totalsRowFormula>COUNTIF(PrezențăAprilie[24],"N")+COUNTIF(PrezențăAprilie[24],"M")</totalsRowFormula>
    </tableColumn>
    <tableColumn id="26" name="25" totalsRowFunction="custom" dataDxfId="609" totalsRowDxfId="125">
      <totalsRowFormula>COUNTIF(PrezențăAprilie[25],"N")+COUNTIF(PrezențăAprilie[25],"M")</totalsRowFormula>
    </tableColumn>
    <tableColumn id="27" name="26" totalsRowFunction="custom" dataDxfId="608" totalsRowDxfId="124">
      <totalsRowFormula>COUNTIF(PrezențăAprilie[26],"N")+COUNTIF(PrezențăAprilie[26],"M")</totalsRowFormula>
    </tableColumn>
    <tableColumn id="28" name="27" totalsRowFunction="custom" dataDxfId="607" totalsRowDxfId="123">
      <totalsRowFormula>COUNTIF(PrezențăAprilie[27],"N")+COUNTIF(PrezențăAprilie[27],"M")</totalsRowFormula>
    </tableColumn>
    <tableColumn id="29" name="28" totalsRowFunction="custom" dataDxfId="606" totalsRowDxfId="122">
      <totalsRowFormula>COUNTIF(PrezențăAprilie[28],"N")+COUNTIF(PrezențăAprilie[28],"M")</totalsRowFormula>
    </tableColumn>
    <tableColumn id="30" name="29" totalsRowFunction="custom" dataDxfId="605" totalsRowDxfId="121">
      <totalsRowFormula>COUNTIF(PrezențăAprilie[29],"N")+COUNTIF(PrezențăAprilie[29],"M")</totalsRowFormula>
    </tableColumn>
    <tableColumn id="31" name="30" dataDxfId="604" totalsRowDxfId="120"/>
    <tableColumn id="32" name=" " dataDxfId="603" totalsRowDxfId="119"/>
    <tableColumn id="35" name="Î" totalsRowFunction="sum" dataDxfId="602" totalsRowDxfId="118">
      <calculatedColumnFormula>COUNTIF(PrezențăAprilie[[#This Row],[1]:[ ]],Cod_1)</calculatedColumnFormula>
    </tableColumn>
    <tableColumn id="34" name="M" totalsRowFunction="sum" dataDxfId="601" totalsRowDxfId="117">
      <calculatedColumnFormula>COUNTIF(PrezențăAprilie[[#This Row],[1]:[ ]],Cod_2)</calculatedColumnFormula>
    </tableColumn>
    <tableColumn id="37" name="N" totalsRowFunction="sum" dataDxfId="600" totalsRowDxfId="116">
      <calculatedColumnFormula>COUNTIF(PrezențăAprilie[[#This Row],[1]:[ ]],Cod_3)</calculatedColumnFormula>
    </tableColumn>
    <tableColumn id="36" name="P" totalsRowFunction="sum" dataDxfId="599" totalsRowDxfId="115">
      <calculatedColumnFormula>COUNTIF(PrezențăAprilie[[#This Row],[1]:[ ]],Cod_4)</calculatedColumnFormula>
    </tableColumn>
    <tableColumn id="33" name="Zile de absență" totalsRowFunction="sum" dataDxfId="598" totalsRowDxfId="114"/>
  </tableColumns>
  <tableStyleInfo name="Employee Absence Table" showFirstColumn="0" showLastColumn="0" showRowStripes="1" showColumnStripes="1"/>
  <extLst>
    <ext xmlns:x14="http://schemas.microsoft.com/office/spreadsheetml/2009/9/main" uri="{504A1905-F514-4f6f-8877-14C23A59335A}">
      <x14:table altText="Înregistrare prezență februarie" altTextSummary="Urmărește prezența elevilor, de exemplu Î=Întârziat, M=Motivat, N=Nemotivat, P=Prezent, N=Nu este la școală, pentru luna aprilie."/>
    </ext>
  </extLst>
</table>
</file>

<file path=xl/tables/table11.xml><?xml version="1.0" encoding="utf-8"?>
<table xmlns="http://schemas.openxmlformats.org/spreadsheetml/2006/main" id="11" name="PrezențăMai" displayName="PrezențăMai" ref="B6:AM12" totalsRowCount="1" headerRowDxfId="592" totalsRowDxfId="591">
  <tableColumns count="38">
    <tableColumn id="38" name="ID elev" dataDxfId="590" totalsRowDxfId="113"/>
    <tableColumn id="1" name="Nume elev" totalsRowLabel="Numărul total de zile de absență" dataDxfId="589" totalsRowDxfId="112"/>
    <tableColumn id="2" name="1" totalsRowFunction="custom" dataDxfId="588" totalsRowDxfId="111">
      <totalsRowFormula>COUNTIF(PrezențăMai[1],"N")+COUNTIF(PrezențăMai[1],"M")</totalsRowFormula>
    </tableColumn>
    <tableColumn id="3" name="2" totalsRowFunction="custom" dataDxfId="587" totalsRowDxfId="110">
      <totalsRowFormula>COUNTIF(PrezențăMai[2],"N")+COUNTIF(PrezențăMai[2],"M")</totalsRowFormula>
    </tableColumn>
    <tableColumn id="4" name="3" totalsRowFunction="custom" dataDxfId="586" totalsRowDxfId="109">
      <totalsRowFormula>COUNTIF(PrezențăMai[3],"N")+COUNTIF(PrezențăMai[3],"M")</totalsRowFormula>
    </tableColumn>
    <tableColumn id="5" name="4" totalsRowFunction="custom" dataDxfId="585" totalsRowDxfId="108">
      <totalsRowFormula>COUNTIF(PrezențăMai[4],"N")+COUNTIF(PrezențăMai[4],"M")</totalsRowFormula>
    </tableColumn>
    <tableColumn id="6" name="5" totalsRowFunction="custom" dataDxfId="584" totalsRowDxfId="107">
      <totalsRowFormula>COUNTIF(PrezențăMai[5],"N")+COUNTIF(PrezențăMai[5],"M")</totalsRowFormula>
    </tableColumn>
    <tableColumn id="7" name="6" totalsRowFunction="custom" dataDxfId="583" totalsRowDxfId="106">
      <totalsRowFormula>COUNTIF(PrezențăMai[6],"N")+COUNTIF(PrezențăMai[6],"M")</totalsRowFormula>
    </tableColumn>
    <tableColumn id="8" name="7" totalsRowFunction="custom" dataDxfId="582" totalsRowDxfId="105">
      <totalsRowFormula>COUNTIF(PrezențăMai[7],"N")+COUNTIF(PrezențăMai[7],"M")</totalsRowFormula>
    </tableColumn>
    <tableColumn id="9" name="8" totalsRowFunction="custom" dataDxfId="581" totalsRowDxfId="104">
      <totalsRowFormula>COUNTIF(PrezențăMai[8],"N")+COUNTIF(PrezențăMai[8],"M")</totalsRowFormula>
    </tableColumn>
    <tableColumn id="10" name="9" totalsRowFunction="custom" dataDxfId="580" totalsRowDxfId="103">
      <totalsRowFormula>COUNTIF(PrezențăMai[9],"N")+COUNTIF(PrezențăMai[9],"M")</totalsRowFormula>
    </tableColumn>
    <tableColumn id="11" name="10" totalsRowFunction="custom" dataDxfId="579" totalsRowDxfId="102">
      <totalsRowFormula>COUNTIF(PrezențăMai[10],"N")+COUNTIF(PrezențăMai[10],"M")</totalsRowFormula>
    </tableColumn>
    <tableColumn id="12" name="11" totalsRowFunction="custom" dataDxfId="578" totalsRowDxfId="101">
      <totalsRowFormula>COUNTIF(PrezențăMai[11],"N")+COUNTIF(PrezențăMai[11],"M")</totalsRowFormula>
    </tableColumn>
    <tableColumn id="13" name="12" totalsRowFunction="custom" dataDxfId="577" totalsRowDxfId="100">
      <totalsRowFormula>COUNTIF(PrezențăMai[12],"N")+COUNTIF(PrezențăMai[12],"M")</totalsRowFormula>
    </tableColumn>
    <tableColumn id="14" name="13" totalsRowFunction="custom" dataDxfId="576" totalsRowDxfId="99">
      <totalsRowFormula>COUNTIF(PrezențăMai[13],"N")+COUNTIF(PrezențăMai[13],"M")</totalsRowFormula>
    </tableColumn>
    <tableColumn id="15" name="14" totalsRowFunction="custom" dataDxfId="575" totalsRowDxfId="98">
      <totalsRowFormula>COUNTIF(PrezențăMai[14],"N")+COUNTIF(PrezențăMai[14],"M")</totalsRowFormula>
    </tableColumn>
    <tableColumn id="16" name="15" totalsRowFunction="custom" dataDxfId="574" totalsRowDxfId="97">
      <totalsRowFormula>COUNTIF(PrezențăMai[15],"N")+COUNTIF(PrezențăMai[15],"M")</totalsRowFormula>
    </tableColumn>
    <tableColumn id="17" name="16" totalsRowFunction="custom" dataDxfId="573" totalsRowDxfId="96">
      <totalsRowFormula>COUNTIF(PrezențăMai[16],"N")+COUNTIF(PrezențăMai[16],"M")</totalsRowFormula>
    </tableColumn>
    <tableColumn id="18" name="17" totalsRowFunction="custom" dataDxfId="572" totalsRowDxfId="95">
      <totalsRowFormula>COUNTIF(PrezențăMai[17],"N")+COUNTIF(PrezențăMai[17],"M")</totalsRowFormula>
    </tableColumn>
    <tableColumn id="19" name="18" totalsRowFunction="custom" dataDxfId="571" totalsRowDxfId="94">
      <totalsRowFormula>COUNTIF(PrezențăMai[18],"N")+COUNTIF(PrezențăMai[18],"M")</totalsRowFormula>
    </tableColumn>
    <tableColumn id="20" name="19" totalsRowFunction="custom" dataDxfId="570" totalsRowDxfId="93">
      <totalsRowFormula>COUNTIF(PrezențăMai[19],"N")+COUNTIF(PrezențăMai[19],"M")</totalsRowFormula>
    </tableColumn>
    <tableColumn id="21" name="20" totalsRowFunction="custom" dataDxfId="569" totalsRowDxfId="92">
      <totalsRowFormula>COUNTIF(PrezențăMai[20],"N")+COUNTIF(PrezențăMai[20],"M")</totalsRowFormula>
    </tableColumn>
    <tableColumn id="22" name="21" totalsRowFunction="custom" dataDxfId="568" totalsRowDxfId="91">
      <totalsRowFormula>COUNTIF(PrezențăMai[21],"N")+COUNTIF(PrezențăMai[21],"M")</totalsRowFormula>
    </tableColumn>
    <tableColumn id="23" name="22" totalsRowFunction="custom" dataDxfId="567" totalsRowDxfId="90">
      <totalsRowFormula>COUNTIF(PrezențăMai[22],"N")+COUNTIF(PrezențăMai[22],"M")</totalsRowFormula>
    </tableColumn>
    <tableColumn id="24" name="23" totalsRowFunction="custom" dataDxfId="566" totalsRowDxfId="89">
      <totalsRowFormula>COUNTIF(PrezențăMai[23],"N")+COUNTIF(PrezențăMai[23],"M")</totalsRowFormula>
    </tableColumn>
    <tableColumn id="25" name="24" totalsRowFunction="custom" dataDxfId="565" totalsRowDxfId="88">
      <totalsRowFormula>COUNTIF(PrezențăMai[24],"N")+COUNTIF(PrezențăMai[24],"M")</totalsRowFormula>
    </tableColumn>
    <tableColumn id="26" name="25" totalsRowFunction="custom" dataDxfId="564" totalsRowDxfId="87">
      <totalsRowFormula>COUNTIF(PrezențăMai[25],"N")+COUNTIF(PrezențăMai[25],"M")</totalsRowFormula>
    </tableColumn>
    <tableColumn id="27" name="26" totalsRowFunction="custom" dataDxfId="563" totalsRowDxfId="86">
      <totalsRowFormula>COUNTIF(PrezențăMai[26],"N")+COUNTIF(PrezențăMai[26],"M")</totalsRowFormula>
    </tableColumn>
    <tableColumn id="28" name="27" totalsRowFunction="custom" dataDxfId="562" totalsRowDxfId="85">
      <totalsRowFormula>COUNTIF(PrezențăMai[27],"N")+COUNTIF(PrezențăMai[27],"M")</totalsRowFormula>
    </tableColumn>
    <tableColumn id="29" name="28" totalsRowFunction="custom" dataDxfId="561" totalsRowDxfId="84">
      <totalsRowFormula>COUNTIF(PrezențăMai[28],"N")+COUNTIF(PrezențăMai[28],"M")</totalsRowFormula>
    </tableColumn>
    <tableColumn id="30" name="29" totalsRowFunction="custom" dataDxfId="560" totalsRowDxfId="83">
      <totalsRowFormula>COUNTIF(PrezențăMai[29],"N")+COUNTIF(PrezențăMai[29],"M")</totalsRowFormula>
    </tableColumn>
    <tableColumn id="31" name="30" dataDxfId="559" totalsRowDxfId="82"/>
    <tableColumn id="32" name="31" dataDxfId="558" totalsRowDxfId="81"/>
    <tableColumn id="35" name="Î" totalsRowFunction="sum" dataDxfId="557" totalsRowDxfId="80">
      <calculatedColumnFormula>COUNTIF(PrezențăMai[[#This Row],[1]:[31]],Cod_1)</calculatedColumnFormula>
    </tableColumn>
    <tableColumn id="34" name="M" totalsRowFunction="sum" dataDxfId="556" totalsRowDxfId="79">
      <calculatedColumnFormula>COUNTIF(PrezențăMai[[#This Row],[1]:[31]],Cod_2)</calculatedColumnFormula>
    </tableColumn>
    <tableColumn id="37" name="N" totalsRowFunction="sum" dataDxfId="555" totalsRowDxfId="78">
      <calculatedColumnFormula>COUNTIF(PrezențăMai[[#This Row],[1]:[31]],Cod_3)</calculatedColumnFormula>
    </tableColumn>
    <tableColumn id="36" name="P" totalsRowFunction="sum" dataDxfId="554" totalsRowDxfId="77">
      <calculatedColumnFormula>COUNTIF(PrezențăMai[[#This Row],[1]:[31]],Cod_4)</calculatedColumnFormula>
    </tableColumn>
    <tableColumn id="33" name="Zile de absență" totalsRowFunction="sum" dataDxfId="553" totalsRowDxfId="76"/>
  </tableColumns>
  <tableStyleInfo name="Employee Absence Table" showFirstColumn="0" showLastColumn="0" showRowStripes="1" showColumnStripes="1"/>
  <extLst>
    <ext xmlns:x14="http://schemas.microsoft.com/office/spreadsheetml/2009/9/main" uri="{504A1905-F514-4f6f-8877-14C23A59335A}">
      <x14:table altText="Înregistrare prezență februarie" altTextSummary="Urmărește prezența elevilor, de exemplu Î=Întârziat, M=Motivat, N=Nemotivat, P=Prezent, N=Nu este la școală, pentru luna mai."/>
    </ext>
  </extLst>
</table>
</file>

<file path=xl/tables/table12.xml><?xml version="1.0" encoding="utf-8"?>
<table xmlns="http://schemas.openxmlformats.org/spreadsheetml/2006/main" id="12" name="PrezențăIunie" displayName="PrezențăIunie" ref="B6:AM12" totalsRowCount="1" headerRowDxfId="547" totalsRowDxfId="546">
  <tableColumns count="38">
    <tableColumn id="38" name="ID elev" dataDxfId="545" totalsRowDxfId="75"/>
    <tableColumn id="1" name="Nume elev" totalsRowLabel="Numărul total de zile de absență" dataDxfId="544" totalsRowDxfId="74"/>
    <tableColumn id="2" name="1" totalsRowFunction="custom" dataDxfId="543" totalsRowDxfId="73">
      <totalsRowFormula>COUNTIF(PrezențăIunie[1],"N")+COUNTIF(PrezențăIunie[1],"M")</totalsRowFormula>
    </tableColumn>
    <tableColumn id="3" name="2" totalsRowFunction="custom" dataDxfId="542" totalsRowDxfId="72">
      <totalsRowFormula>COUNTIF(PrezențăIunie[2],"N")+COUNTIF(PrezențăIunie[2],"M")</totalsRowFormula>
    </tableColumn>
    <tableColumn id="4" name="3" totalsRowFunction="custom" dataDxfId="541" totalsRowDxfId="71">
      <totalsRowFormula>COUNTIF(PrezențăIunie[3],"N")+COUNTIF(PrezențăIunie[3],"M")</totalsRowFormula>
    </tableColumn>
    <tableColumn id="5" name="4" totalsRowFunction="custom" dataDxfId="540" totalsRowDxfId="70">
      <totalsRowFormula>COUNTIF(PrezențăIunie[4],"N")+COUNTIF(PrezențăIunie[4],"M")</totalsRowFormula>
    </tableColumn>
    <tableColumn id="6" name="5" totalsRowFunction="custom" dataDxfId="539" totalsRowDxfId="69">
      <totalsRowFormula>COUNTIF(PrezențăIunie[5],"N")+COUNTIF(PrezențăIunie[5],"M")</totalsRowFormula>
    </tableColumn>
    <tableColumn id="7" name="6" totalsRowFunction="custom" dataDxfId="538" totalsRowDxfId="68">
      <totalsRowFormula>COUNTIF(PrezențăIunie[6],"N")+COUNTIF(PrezențăIunie[6],"M")</totalsRowFormula>
    </tableColumn>
    <tableColumn id="8" name="7" totalsRowFunction="custom" dataDxfId="537" totalsRowDxfId="67">
      <totalsRowFormula>COUNTIF(PrezențăIunie[7],"N")+COUNTIF(PrezențăIunie[7],"M")</totalsRowFormula>
    </tableColumn>
    <tableColumn id="9" name="8" totalsRowFunction="custom" dataDxfId="536" totalsRowDxfId="66">
      <totalsRowFormula>COUNTIF(PrezențăIunie[8],"N")+COUNTIF(PrezențăIunie[8],"M")</totalsRowFormula>
    </tableColumn>
    <tableColumn id="10" name="9" totalsRowFunction="custom" dataDxfId="535" totalsRowDxfId="65">
      <totalsRowFormula>COUNTIF(PrezențăIunie[9],"N")+COUNTIF(PrezențăIunie[9],"M")</totalsRowFormula>
    </tableColumn>
    <tableColumn id="11" name="10" totalsRowFunction="custom" dataDxfId="534" totalsRowDxfId="64">
      <totalsRowFormula>COUNTIF(PrezențăIunie[10],"N")+COUNTIF(PrezențăIunie[10],"M")</totalsRowFormula>
    </tableColumn>
    <tableColumn id="12" name="11" totalsRowFunction="custom" dataDxfId="533" totalsRowDxfId="63">
      <totalsRowFormula>COUNTIF(PrezențăIunie[11],"N")+COUNTIF(PrezențăIunie[11],"M")</totalsRowFormula>
    </tableColumn>
    <tableColumn id="13" name="12" totalsRowFunction="custom" dataDxfId="532" totalsRowDxfId="62">
      <totalsRowFormula>COUNTIF(PrezențăIunie[12],"N")+COUNTIF(PrezențăIunie[12],"M")</totalsRowFormula>
    </tableColumn>
    <tableColumn id="14" name="13" totalsRowFunction="custom" dataDxfId="531" totalsRowDxfId="61">
      <totalsRowFormula>COUNTIF(PrezențăIunie[13],"N")+COUNTIF(PrezențăIunie[13],"M")</totalsRowFormula>
    </tableColumn>
    <tableColumn id="15" name="14" totalsRowFunction="custom" dataDxfId="530" totalsRowDxfId="60">
      <totalsRowFormula>COUNTIF(PrezențăIunie[14],"N")+COUNTIF(PrezențăIunie[14],"M")</totalsRowFormula>
    </tableColumn>
    <tableColumn id="16" name="15" totalsRowFunction="custom" dataDxfId="529" totalsRowDxfId="59">
      <totalsRowFormula>COUNTIF(PrezențăIunie[15],"N")+COUNTIF(PrezențăIunie[15],"M")</totalsRowFormula>
    </tableColumn>
    <tableColumn id="17" name="16" totalsRowFunction="custom" dataDxfId="528" totalsRowDxfId="58">
      <totalsRowFormula>COUNTIF(PrezențăIunie[16],"N")+COUNTIF(PrezențăIunie[16],"M")</totalsRowFormula>
    </tableColumn>
    <tableColumn id="18" name="17" totalsRowFunction="custom" dataDxfId="527" totalsRowDxfId="57">
      <totalsRowFormula>COUNTIF(PrezențăIunie[17],"N")+COUNTIF(PrezențăIunie[17],"M")</totalsRowFormula>
    </tableColumn>
    <tableColumn id="19" name="18" totalsRowFunction="custom" dataDxfId="526" totalsRowDxfId="56">
      <totalsRowFormula>COUNTIF(PrezențăIunie[18],"N")+COUNTIF(PrezențăIunie[18],"M")</totalsRowFormula>
    </tableColumn>
    <tableColumn id="20" name="19" totalsRowFunction="custom" dataDxfId="525" totalsRowDxfId="55">
      <totalsRowFormula>COUNTIF(PrezențăIunie[19],"N")+COUNTIF(PrezențăIunie[19],"M")</totalsRowFormula>
    </tableColumn>
    <tableColumn id="21" name="20" totalsRowFunction="custom" dataDxfId="524" totalsRowDxfId="54">
      <totalsRowFormula>COUNTIF(PrezențăIunie[20],"N")+COUNTIF(PrezențăIunie[20],"M")</totalsRowFormula>
    </tableColumn>
    <tableColumn id="22" name="21" totalsRowFunction="custom" dataDxfId="523" totalsRowDxfId="53">
      <totalsRowFormula>COUNTIF(PrezențăIunie[21],"N")+COUNTIF(PrezențăIunie[21],"M")</totalsRowFormula>
    </tableColumn>
    <tableColumn id="23" name="22" totalsRowFunction="custom" dataDxfId="522" totalsRowDxfId="52">
      <totalsRowFormula>COUNTIF(PrezențăIunie[22],"N")+COUNTIF(PrezențăIunie[22],"M")</totalsRowFormula>
    </tableColumn>
    <tableColumn id="24" name="23" totalsRowFunction="custom" dataDxfId="521" totalsRowDxfId="51">
      <totalsRowFormula>COUNTIF(PrezențăIunie[23],"N")+COUNTIF(PrezențăIunie[23],"M")</totalsRowFormula>
    </tableColumn>
    <tableColumn id="25" name="24" totalsRowFunction="custom" dataDxfId="520" totalsRowDxfId="50">
      <totalsRowFormula>COUNTIF(PrezențăIunie[24],"N")+COUNTIF(PrezențăIunie[24],"M")</totalsRowFormula>
    </tableColumn>
    <tableColumn id="26" name="25" totalsRowFunction="custom" dataDxfId="519" totalsRowDxfId="49">
      <totalsRowFormula>COUNTIF(PrezențăIunie[25],"N")+COUNTIF(PrezențăIunie[25],"M")</totalsRowFormula>
    </tableColumn>
    <tableColumn id="27" name="26" totalsRowFunction="custom" dataDxfId="518" totalsRowDxfId="48">
      <totalsRowFormula>COUNTIF(PrezențăIunie[26],"N")+COUNTIF(PrezențăIunie[26],"M")</totalsRowFormula>
    </tableColumn>
    <tableColumn id="28" name="27" totalsRowFunction="custom" dataDxfId="517" totalsRowDxfId="47">
      <totalsRowFormula>COUNTIF(PrezențăIunie[27],"N")+COUNTIF(PrezențăIunie[27],"M")</totalsRowFormula>
    </tableColumn>
    <tableColumn id="29" name="28" totalsRowFunction="custom" dataDxfId="516" totalsRowDxfId="46">
      <totalsRowFormula>COUNTIF(PrezențăIunie[28],"N")+COUNTIF(PrezențăIunie[28],"M")</totalsRowFormula>
    </tableColumn>
    <tableColumn id="30" name="29" totalsRowFunction="custom" dataDxfId="515" totalsRowDxfId="45">
      <totalsRowFormula>COUNTIF(PrezențăIunie[29],"N")+COUNTIF(PrezențăIunie[29],"M")</totalsRowFormula>
    </tableColumn>
    <tableColumn id="31" name="30" dataDxfId="514" totalsRowDxfId="44"/>
    <tableColumn id="32" name=" " dataDxfId="513" totalsRowDxfId="43"/>
    <tableColumn id="35" name="Î" totalsRowFunction="sum" dataDxfId="512" totalsRowDxfId="42">
      <calculatedColumnFormula>COUNTIF(PrezențăIunie[[#This Row],[1]:[ ]],Cod_1)</calculatedColumnFormula>
    </tableColumn>
    <tableColumn id="34" name="M" totalsRowFunction="sum" dataDxfId="511" totalsRowDxfId="41">
      <calculatedColumnFormula>COUNTIF(PrezențăIunie[[#This Row],[1]:[ ]],Cod_2)</calculatedColumnFormula>
    </tableColumn>
    <tableColumn id="37" name="N" totalsRowFunction="sum" dataDxfId="510" totalsRowDxfId="40">
      <calculatedColumnFormula>COUNTIF(PrezențăIunie[[#This Row],[1]:[ ]],Cod_3)</calculatedColumnFormula>
    </tableColumn>
    <tableColumn id="36" name="P" totalsRowFunction="sum" dataDxfId="509" totalsRowDxfId="39">
      <calculatedColumnFormula>COUNTIF(PrezențăIunie[[#This Row],[1]:[ ]],Cod_4)</calculatedColumnFormula>
    </tableColumn>
    <tableColumn id="33" name="Zile de absență" totalsRowFunction="sum" dataDxfId="508" totalsRowDxfId="38"/>
  </tableColumns>
  <tableStyleInfo name="Employee Absence Table" showFirstColumn="0" showLastColumn="0" showRowStripes="1" showColumnStripes="1"/>
  <extLst>
    <ext xmlns:x14="http://schemas.microsoft.com/office/spreadsheetml/2009/9/main" uri="{504A1905-F514-4f6f-8877-14C23A59335A}">
      <x14:table altText="Înregistrare prezență februarie" altTextSummary="Urmărește prezența elevilor, de exemplu Î=Întârziat, M=Motivat, N=Nemotivat, P=Prezent, N=Nu este la școală, pentru luna iunie."/>
    </ext>
  </extLst>
</table>
</file>

<file path=xl/tables/table13.xml><?xml version="1.0" encoding="utf-8"?>
<table xmlns="http://schemas.openxmlformats.org/spreadsheetml/2006/main" id="13" name="PrezențăIulie" displayName="PrezențăIulie" ref="B6:AM12" totalsRowCount="1" headerRowDxfId="502" totalsRowDxfId="501">
  <tableColumns count="38">
    <tableColumn id="38" name="ID elev" dataDxfId="500" totalsRowDxfId="37"/>
    <tableColumn id="1" name="Nume elev" totalsRowLabel="Numărul total de zile de absență" dataDxfId="499" totalsRowDxfId="36"/>
    <tableColumn id="2" name="1" totalsRowFunction="custom" dataDxfId="498" totalsRowDxfId="35">
      <totalsRowFormula>COUNTIF(PrezențăIulie[1],"N")+COUNTIF(PrezențăIulie[1],"M")</totalsRowFormula>
    </tableColumn>
    <tableColumn id="3" name="2" totalsRowFunction="custom" dataDxfId="497" totalsRowDxfId="34">
      <totalsRowFormula>COUNTIF(PrezențăIulie[2],"N")+COUNTIF(PrezențăIulie[2],"M")</totalsRowFormula>
    </tableColumn>
    <tableColumn id="4" name="3" totalsRowFunction="custom" dataDxfId="496" totalsRowDxfId="33">
      <totalsRowFormula>COUNTIF(PrezențăIulie[3],"N")+COUNTIF(PrezențăIulie[3],"M")</totalsRowFormula>
    </tableColumn>
    <tableColumn id="5" name="4" totalsRowFunction="custom" dataDxfId="495" totalsRowDxfId="32">
      <totalsRowFormula>COUNTIF(PrezențăIulie[4],"N")+COUNTIF(PrezențăIulie[4],"M")</totalsRowFormula>
    </tableColumn>
    <tableColumn id="6" name="5" totalsRowFunction="custom" dataDxfId="494" totalsRowDxfId="31">
      <totalsRowFormula>COUNTIF(PrezențăIulie[5],"N")+COUNTIF(PrezențăIulie[5],"M")</totalsRowFormula>
    </tableColumn>
    <tableColumn id="7" name="6" totalsRowFunction="custom" dataDxfId="493" totalsRowDxfId="30">
      <totalsRowFormula>COUNTIF(PrezențăIulie[6],"N")+COUNTIF(PrezențăIulie[6],"M")</totalsRowFormula>
    </tableColumn>
    <tableColumn id="8" name="7" totalsRowFunction="custom" dataDxfId="492" totalsRowDxfId="29">
      <totalsRowFormula>COUNTIF(PrezențăIulie[7],"N")+COUNTIF(PrezențăIulie[7],"M")</totalsRowFormula>
    </tableColumn>
    <tableColumn id="9" name="8" totalsRowFunction="custom" dataDxfId="491" totalsRowDxfId="28">
      <totalsRowFormula>COUNTIF(PrezențăIulie[8],"N")+COUNTIF(PrezențăIulie[8],"M")</totalsRowFormula>
    </tableColumn>
    <tableColumn id="10" name="9" totalsRowFunction="custom" dataDxfId="490" totalsRowDxfId="27">
      <totalsRowFormula>COUNTIF(PrezențăIulie[9],"N")+COUNTIF(PrezențăIulie[9],"M")</totalsRowFormula>
    </tableColumn>
    <tableColumn id="11" name="10" totalsRowFunction="custom" dataDxfId="489" totalsRowDxfId="26">
      <totalsRowFormula>COUNTIF(PrezențăIulie[10],"N")+COUNTIF(PrezențăIulie[10],"M")</totalsRowFormula>
    </tableColumn>
    <tableColumn id="12" name="11" totalsRowFunction="custom" dataDxfId="488" totalsRowDxfId="25">
      <totalsRowFormula>COUNTIF(PrezențăIulie[11],"N")+COUNTIF(PrezențăIulie[11],"M")</totalsRowFormula>
    </tableColumn>
    <tableColumn id="13" name="12" totalsRowFunction="custom" dataDxfId="487" totalsRowDxfId="24">
      <totalsRowFormula>COUNTIF(PrezențăIulie[12],"N")+COUNTIF(PrezențăIulie[12],"M")</totalsRowFormula>
    </tableColumn>
    <tableColumn id="14" name="13" totalsRowFunction="custom" dataDxfId="486" totalsRowDxfId="23">
      <totalsRowFormula>COUNTIF(PrezențăIulie[13],"N")+COUNTIF(PrezențăIulie[13],"M")</totalsRowFormula>
    </tableColumn>
    <tableColumn id="15" name="14" totalsRowFunction="custom" dataDxfId="485" totalsRowDxfId="22">
      <totalsRowFormula>COUNTIF(PrezențăIulie[14],"N")+COUNTIF(PrezențăIulie[14],"M")</totalsRowFormula>
    </tableColumn>
    <tableColumn id="16" name="15" totalsRowFunction="custom" dataDxfId="484" totalsRowDxfId="21">
      <totalsRowFormula>COUNTIF(PrezențăIulie[15],"N")+COUNTIF(PrezențăIulie[15],"M")</totalsRowFormula>
    </tableColumn>
    <tableColumn id="17" name="16" totalsRowFunction="custom" dataDxfId="483" totalsRowDxfId="20">
      <totalsRowFormula>COUNTIF(PrezențăIulie[16],"N")+COUNTIF(PrezențăIulie[16],"M")</totalsRowFormula>
    </tableColumn>
    <tableColumn id="18" name="17" totalsRowFunction="custom" dataDxfId="482" totalsRowDxfId="19">
      <totalsRowFormula>COUNTIF(PrezențăIulie[17],"N")+COUNTIF(PrezențăIulie[17],"M")</totalsRowFormula>
    </tableColumn>
    <tableColumn id="19" name="18" totalsRowFunction="custom" dataDxfId="481" totalsRowDxfId="18">
      <totalsRowFormula>COUNTIF(PrezențăIulie[18],"N")+COUNTIF(PrezențăIulie[18],"M")</totalsRowFormula>
    </tableColumn>
    <tableColumn id="20" name="19" totalsRowFunction="custom" dataDxfId="480" totalsRowDxfId="17">
      <totalsRowFormula>COUNTIF(PrezențăIulie[19],"N")+COUNTIF(PrezențăIulie[19],"M")</totalsRowFormula>
    </tableColumn>
    <tableColumn id="21" name="20" totalsRowFunction="custom" dataDxfId="479" totalsRowDxfId="16">
      <totalsRowFormula>COUNTIF(PrezențăIulie[20],"N")+COUNTIF(PrezențăIulie[20],"M")</totalsRowFormula>
    </tableColumn>
    <tableColumn id="22" name="21" totalsRowFunction="custom" dataDxfId="478" totalsRowDxfId="15">
      <totalsRowFormula>COUNTIF(PrezențăIulie[21],"N")+COUNTIF(PrezențăIulie[21],"M")</totalsRowFormula>
    </tableColumn>
    <tableColumn id="23" name="22" totalsRowFunction="custom" dataDxfId="477" totalsRowDxfId="14">
      <totalsRowFormula>COUNTIF(PrezențăIulie[22],"N")+COUNTIF(PrezențăIulie[22],"M")</totalsRowFormula>
    </tableColumn>
    <tableColumn id="24" name="23" totalsRowFunction="custom" dataDxfId="476" totalsRowDxfId="13">
      <totalsRowFormula>COUNTIF(PrezențăIulie[23],"N")+COUNTIF(PrezențăIulie[23],"M")</totalsRowFormula>
    </tableColumn>
    <tableColumn id="25" name="24" totalsRowFunction="custom" dataDxfId="475" totalsRowDxfId="12">
      <totalsRowFormula>COUNTIF(PrezențăIulie[24],"N")+COUNTIF(PrezențăIulie[24],"M")</totalsRowFormula>
    </tableColumn>
    <tableColumn id="26" name="25" totalsRowFunction="custom" dataDxfId="474" totalsRowDxfId="11">
      <totalsRowFormula>COUNTIF(PrezențăIulie[25],"N")+COUNTIF(PrezențăIulie[25],"M")</totalsRowFormula>
    </tableColumn>
    <tableColumn id="27" name="26" totalsRowFunction="custom" dataDxfId="473" totalsRowDxfId="10">
      <totalsRowFormula>COUNTIF(PrezențăIulie[26],"N")+COUNTIF(PrezențăIulie[26],"M")</totalsRowFormula>
    </tableColumn>
    <tableColumn id="28" name="27" totalsRowFunction="custom" dataDxfId="472" totalsRowDxfId="9">
      <totalsRowFormula>COUNTIF(PrezențăIulie[27],"N")+COUNTIF(PrezențăIulie[27],"M")</totalsRowFormula>
    </tableColumn>
    <tableColumn id="29" name="28" totalsRowFunction="custom" dataDxfId="471" totalsRowDxfId="8">
      <totalsRowFormula>COUNTIF(PrezențăIulie[28],"N")+COUNTIF(PrezențăIulie[28],"M")</totalsRowFormula>
    </tableColumn>
    <tableColumn id="30" name="29" totalsRowFunction="custom" dataDxfId="470" totalsRowDxfId="7">
      <totalsRowFormula>COUNTIF(PrezențăIulie[29],"N")+COUNTIF(PrezențăIulie[29],"M")</totalsRowFormula>
    </tableColumn>
    <tableColumn id="31" name="30" dataDxfId="469" totalsRowDxfId="6"/>
    <tableColumn id="32" name="31" dataDxfId="468" totalsRowDxfId="5"/>
    <tableColumn id="35" name="Î" totalsRowFunction="sum" dataDxfId="467" totalsRowDxfId="4">
      <calculatedColumnFormula>COUNTIF(PrezențăIulie[[#This Row],[1]:[31]],Cod_1)</calculatedColumnFormula>
    </tableColumn>
    <tableColumn id="34" name="M" totalsRowFunction="sum" dataDxfId="466" totalsRowDxfId="3">
      <calculatedColumnFormula>COUNTIF(PrezențăIulie[[#This Row],[1]:[31]],Cod_2)</calculatedColumnFormula>
    </tableColumn>
    <tableColumn id="37" name="N" totalsRowFunction="sum" dataDxfId="465" totalsRowDxfId="2">
      <calculatedColumnFormula>COUNTIF(PrezențăIulie[[#This Row],[1]:[31]],Cod_3)</calculatedColumnFormula>
    </tableColumn>
    <tableColumn id="36" name="P" totalsRowFunction="sum" dataDxfId="464" totalsRowDxfId="1">
      <calculatedColumnFormula>COUNTIF(PrezențăIulie[[#This Row],[1]:[31]],Cod_4)</calculatedColumnFormula>
    </tableColumn>
    <tableColumn id="33" name="Zile de absență" totalsRowFunction="sum" dataDxfId="463" totalsRowDxfId="0"/>
  </tableColumns>
  <tableStyleInfo name="Employee Absence Table" showFirstColumn="0" showLastColumn="0" showRowStripes="1" showColumnStripes="1"/>
  <extLst>
    <ext xmlns:x14="http://schemas.microsoft.com/office/spreadsheetml/2009/9/main" uri="{504A1905-F514-4f6f-8877-14C23A59335A}">
      <x14:table altText="Înregistrare prezență februarie" altTextSummary="Urmărește prezența elevilor, de exemplu Î=Întârziat, M=Motivat, N=Nemotivat, P=Prezent, N=Nu este la școală, pentru luna iulie."/>
    </ext>
  </extLst>
</table>
</file>

<file path=xl/tables/table2.xml><?xml version="1.0" encoding="utf-8"?>
<table xmlns="http://schemas.openxmlformats.org/spreadsheetml/2006/main" id="3" name="PrezențăAugust" displayName="PrezențăAugust" ref="B6:AM12" totalsRowCount="1" totalsRowDxfId="964">
  <tableColumns count="38">
    <tableColumn id="38" name="ID elev" totalsRowDxfId="455"/>
    <tableColumn id="1" name="Nume elev" totalsRowLabel="Numărul total de zile de absență" totalsRowDxfId="454"/>
    <tableColumn id="2" name="1" totalsRowFunction="custom" totalsRowDxfId="453">
      <totalsRowFormula>COUNTIF(PrezențăAugust[1],"N")+COUNTIF(PrezențăAugust[1],"M")</totalsRowFormula>
    </tableColumn>
    <tableColumn id="3" name="2" totalsRowFunction="custom" totalsRowDxfId="452">
      <totalsRowFormula>COUNTIF(PrezențăAugust[2],"N")+COUNTIF(PrezențăAugust[2],"M")</totalsRowFormula>
    </tableColumn>
    <tableColumn id="4" name="3" totalsRowFunction="custom" totalsRowDxfId="451">
      <totalsRowFormula>COUNTIF(PrezențăAugust[3],"N")+COUNTIF(PrezențăAugust[3],"M")</totalsRowFormula>
    </tableColumn>
    <tableColumn id="5" name="4" totalsRowFunction="custom" totalsRowDxfId="450">
      <totalsRowFormula>COUNTIF(PrezențăAugust[4],"N")+COUNTIF(PrezențăAugust[4],"M")</totalsRowFormula>
    </tableColumn>
    <tableColumn id="6" name="5" totalsRowFunction="custom" totalsRowDxfId="449">
      <totalsRowFormula>COUNTIF(PrezențăAugust[5],"N")+COUNTIF(PrezențăAugust[5],"M")</totalsRowFormula>
    </tableColumn>
    <tableColumn id="7" name="6" totalsRowFunction="custom" totalsRowDxfId="448">
      <totalsRowFormula>COUNTIF(PrezențăAugust[6],"N")+COUNTIF(PrezențăAugust[6],"M")</totalsRowFormula>
    </tableColumn>
    <tableColumn id="8" name="7" totalsRowFunction="custom" totalsRowDxfId="447">
      <totalsRowFormula>COUNTIF(PrezențăAugust[7],"N")+COUNTIF(PrezențăAugust[7],"M")</totalsRowFormula>
    </tableColumn>
    <tableColumn id="9" name="8" totalsRowFunction="custom" totalsRowDxfId="446">
      <totalsRowFormula>COUNTIF(PrezențăAugust[8],"N")+COUNTIF(PrezențăAugust[8],"M")</totalsRowFormula>
    </tableColumn>
    <tableColumn id="10" name="9" totalsRowFunction="custom" totalsRowDxfId="445">
      <totalsRowFormula>COUNTIF(PrezențăAugust[9],"N")+COUNTIF(PrezențăAugust[9],"M")</totalsRowFormula>
    </tableColumn>
    <tableColumn id="11" name="10" totalsRowFunction="custom" totalsRowDxfId="444">
      <totalsRowFormula>COUNTIF(PrezențăAugust[10],"N")+COUNTIF(PrezențăAugust[10],"M")</totalsRowFormula>
    </tableColumn>
    <tableColumn id="12" name="11" totalsRowFunction="custom" totalsRowDxfId="443">
      <totalsRowFormula>COUNTIF(PrezențăAugust[11],"N")+COUNTIF(PrezențăAugust[11],"M")</totalsRowFormula>
    </tableColumn>
    <tableColumn id="13" name="12" totalsRowFunction="custom" totalsRowDxfId="442">
      <totalsRowFormula>COUNTIF(PrezențăAugust[12],"N")+COUNTIF(PrezențăAugust[12],"M")</totalsRowFormula>
    </tableColumn>
    <tableColumn id="14" name="13" totalsRowFunction="custom" totalsRowDxfId="441">
      <totalsRowFormula>COUNTIF(PrezențăAugust[13],"N")+COUNTIF(PrezențăAugust[13],"M")</totalsRowFormula>
    </tableColumn>
    <tableColumn id="15" name="14" totalsRowFunction="custom" totalsRowDxfId="440">
      <totalsRowFormula>COUNTIF(PrezențăAugust[14],"N")+COUNTIF(PrezențăAugust[14],"M")</totalsRowFormula>
    </tableColumn>
    <tableColumn id="16" name="15" totalsRowFunction="custom" totalsRowDxfId="439">
      <totalsRowFormula>COUNTIF(PrezențăAugust[15],"N")+COUNTIF(PrezențăAugust[15],"M")</totalsRowFormula>
    </tableColumn>
    <tableColumn id="17" name="16" totalsRowFunction="custom" totalsRowDxfId="438">
      <totalsRowFormula>COUNTIF(PrezențăAugust[16],"N")+COUNTIF(PrezențăAugust[16],"M")</totalsRowFormula>
    </tableColumn>
    <tableColumn id="18" name="17" totalsRowFunction="custom" totalsRowDxfId="437">
      <totalsRowFormula>COUNTIF(PrezențăAugust[17],"N")+COUNTIF(PrezențăAugust[17],"M")</totalsRowFormula>
    </tableColumn>
    <tableColumn id="19" name="18" totalsRowFunction="custom" totalsRowDxfId="436">
      <totalsRowFormula>COUNTIF(PrezențăAugust[18],"N")+COUNTIF(PrezențăAugust[18],"M")</totalsRowFormula>
    </tableColumn>
    <tableColumn id="20" name="19" totalsRowFunction="custom" totalsRowDxfId="435">
      <totalsRowFormula>COUNTIF(PrezențăAugust[19],"N")+COUNTIF(PrezențăAugust[19],"M")</totalsRowFormula>
    </tableColumn>
    <tableColumn id="21" name="20" totalsRowFunction="custom" totalsRowDxfId="434">
      <totalsRowFormula>COUNTIF(PrezențăAugust[20],"N")+COUNTIF(PrezențăAugust[20],"M")</totalsRowFormula>
    </tableColumn>
    <tableColumn id="22" name="21" totalsRowFunction="custom" totalsRowDxfId="433">
      <totalsRowFormula>COUNTIF(PrezențăAugust[21],"N")+COUNTIF(PrezențăAugust[21],"M")</totalsRowFormula>
    </tableColumn>
    <tableColumn id="23" name="22" totalsRowFunction="custom" totalsRowDxfId="432">
      <totalsRowFormula>COUNTIF(PrezențăAugust[22],"N")+COUNTIF(PrezențăAugust[22],"M")</totalsRowFormula>
    </tableColumn>
    <tableColumn id="24" name="23" totalsRowFunction="custom" totalsRowDxfId="431">
      <totalsRowFormula>COUNTIF(PrezențăAugust[23],"N")+COUNTIF(PrezențăAugust[23],"M")</totalsRowFormula>
    </tableColumn>
    <tableColumn id="25" name="24" totalsRowFunction="custom" totalsRowDxfId="430">
      <totalsRowFormula>COUNTIF(PrezențăAugust[24],"N")+COUNTIF(PrezențăAugust[24],"M")</totalsRowFormula>
    </tableColumn>
    <tableColumn id="26" name="25" totalsRowFunction="custom" totalsRowDxfId="429">
      <totalsRowFormula>COUNTIF(PrezențăAugust[25],"N")+COUNTIF(PrezențăAugust[25],"M")</totalsRowFormula>
    </tableColumn>
    <tableColumn id="27" name="26" totalsRowFunction="custom" totalsRowDxfId="428">
      <totalsRowFormula>COUNTIF(PrezențăAugust[26],"N")+COUNTIF(PrezențăAugust[26],"M")</totalsRowFormula>
    </tableColumn>
    <tableColumn id="28" name="27" totalsRowFunction="custom" totalsRowDxfId="427">
      <totalsRowFormula>COUNTIF(PrezențăAugust[27],"N")+COUNTIF(PrezențăAugust[27],"M")</totalsRowFormula>
    </tableColumn>
    <tableColumn id="29" name="28" totalsRowFunction="custom" totalsRowDxfId="426">
      <totalsRowFormula>COUNTIF(PrezențăAugust[28],"N")+COUNTIF(PrezențăAugust[28],"M")</totalsRowFormula>
    </tableColumn>
    <tableColumn id="30" name="29" totalsRowFunction="custom" totalsRowDxfId="425">
      <totalsRowFormula>COUNTIF(PrezențăAugust[29],"N")+COUNTIF(PrezențăAugust[29],"M")</totalsRowFormula>
    </tableColumn>
    <tableColumn id="31" name="30" totalsRowFunction="custom" totalsRowDxfId="424">
      <totalsRowFormula>COUNTIF(PrezențăAugust[30],"N")+COUNTIF(PrezențăAugust[30],"M")</totalsRowFormula>
    </tableColumn>
    <tableColumn id="32" name="31" totalsRowFunction="custom" totalsRowDxfId="423">
      <totalsRowFormula>COUNTIF(PrezențăAugust[31],"N")+COUNTIF(PrezențăAugust[31],"M")</totalsRowFormula>
    </tableColumn>
    <tableColumn id="35" name="Î" totalsRowFunction="sum" dataDxfId="963" totalsRowDxfId="422">
      <calculatedColumnFormula>COUNTIF(PrezențăAugust[[#This Row],[1]:[31]],Cod_1)</calculatedColumnFormula>
    </tableColumn>
    <tableColumn id="34" name="M" totalsRowFunction="sum" dataDxfId="962" totalsRowDxfId="421">
      <calculatedColumnFormula>COUNTIF(PrezențăAugust[[#This Row],[1]:[31]],Cod_2)</calculatedColumnFormula>
    </tableColumn>
    <tableColumn id="37" name="N" totalsRowFunction="custom" dataDxfId="961" totalsRowDxfId="420">
      <calculatedColumnFormula>COUNTIF(PrezențăAugust[[#This Row],[1]:[31]],Cod_3)</calculatedColumnFormula>
      <totalsRowFormula>SUBTOTAL(109,PrezențăAugust[P])</totalsRowFormula>
    </tableColumn>
    <tableColumn id="36" name="P" totalsRowFunction="sum" dataDxfId="960" totalsRowDxfId="419">
      <calculatedColumnFormula>COUNTIF(PrezențăAugust[[#This Row],[1]:[31]],Cod_4)</calculatedColumnFormula>
    </tableColumn>
    <tableColumn id="33" name="Zile de absență" totalsRowFunction="sum" totalsRowDxfId="418"/>
  </tableColumns>
  <tableStyleInfo name="Employee Absence Table" showFirstColumn="0" showLastColumn="1" showRowStripes="1" showColumnStripes="1"/>
  <extLst>
    <ext xmlns:x14="http://schemas.microsoft.com/office/spreadsheetml/2009/9/main" uri="{504A1905-F514-4f6f-8877-14C23A59335A}">
      <x14:table altText="Înregistrare prezență august" altTextSummary="Urmărește prezența elevilor, de exemplu Î=Întârziat, M=Motivat, N=Nemotivat, P=Prezent, N=Nu este la școală, pentru luna august."/>
    </ext>
  </extLst>
</table>
</file>

<file path=xl/tables/table3.xml><?xml version="1.0" encoding="utf-8"?>
<table xmlns="http://schemas.openxmlformats.org/spreadsheetml/2006/main" id="10" name="PrezențăSeptembrie" displayName="PrezențăSeptembrie" ref="B6:AM12" totalsRowCount="1" totalsRowDxfId="949">
  <tableColumns count="38">
    <tableColumn id="38" name="ID elev" totalsRowDxfId="417"/>
    <tableColumn id="1" name="Nume elev" totalsRowLabel="Numărul total de zile de absență" dataDxfId="948" totalsRowDxfId="416"/>
    <tableColumn id="2" name="1" totalsRowFunction="custom" dataDxfId="947" totalsRowDxfId="415">
      <totalsRowFormula>COUNTIF(PrezențăSeptembrie[1],"N")+COUNTIF(PrezențăSeptembrie[1],"M")</totalsRowFormula>
    </tableColumn>
    <tableColumn id="3" name="2" totalsRowFunction="custom" dataDxfId="946" totalsRowDxfId="414">
      <totalsRowFormula>COUNTIF(PrezențăSeptembrie[2],"N")+COUNTIF(PrezențăSeptembrie[2],"M")</totalsRowFormula>
    </tableColumn>
    <tableColumn id="4" name="3" totalsRowFunction="custom" dataDxfId="945" totalsRowDxfId="413">
      <totalsRowFormula>COUNTIF(PrezențăSeptembrie[3],"N")+COUNTIF(PrezențăSeptembrie[3],"M")</totalsRowFormula>
    </tableColumn>
    <tableColumn id="5" name="4" totalsRowFunction="custom" dataDxfId="944" totalsRowDxfId="412">
      <totalsRowFormula>COUNTIF(PrezențăSeptembrie[4],"N")+COUNTIF(PrezențăSeptembrie[4],"M")</totalsRowFormula>
    </tableColumn>
    <tableColumn id="6" name="5" totalsRowFunction="custom" dataDxfId="943" totalsRowDxfId="411">
      <totalsRowFormula>COUNTIF(PrezențăSeptembrie[5],"N")+COUNTIF(PrezențăSeptembrie[5],"M")</totalsRowFormula>
    </tableColumn>
    <tableColumn id="7" name="6" totalsRowFunction="custom" dataDxfId="942" totalsRowDxfId="410">
      <totalsRowFormula>COUNTIF(PrezențăSeptembrie[6],"N")+COUNTIF(PrezențăSeptembrie[6],"M")</totalsRowFormula>
    </tableColumn>
    <tableColumn id="8" name="7" totalsRowFunction="custom" dataDxfId="941" totalsRowDxfId="409">
      <totalsRowFormula>COUNTIF(PrezențăSeptembrie[7],"N")+COUNTIF(PrezențăSeptembrie[7],"M")</totalsRowFormula>
    </tableColumn>
    <tableColumn id="9" name="8" totalsRowFunction="custom" dataDxfId="940" totalsRowDxfId="408">
      <totalsRowFormula>COUNTIF(PrezențăSeptembrie[8],"N")+COUNTIF(PrezențăSeptembrie[8],"M")</totalsRowFormula>
    </tableColumn>
    <tableColumn id="10" name="9" totalsRowFunction="custom" dataDxfId="939" totalsRowDxfId="407">
      <totalsRowFormula>COUNTIF(PrezențăSeptembrie[9],"N")+COUNTIF(PrezențăSeptembrie[9],"M")</totalsRowFormula>
    </tableColumn>
    <tableColumn id="11" name="10" totalsRowFunction="custom" dataDxfId="938" totalsRowDxfId="406">
      <totalsRowFormula>COUNTIF(PrezențăSeptembrie[10],"N")+COUNTIF(PrezențăSeptembrie[10],"M")</totalsRowFormula>
    </tableColumn>
    <tableColumn id="12" name="11" totalsRowFunction="custom" dataDxfId="937" totalsRowDxfId="405">
      <totalsRowFormula>COUNTIF(PrezențăSeptembrie[11],"N")+COUNTIF(PrezențăSeptembrie[11],"M")</totalsRowFormula>
    </tableColumn>
    <tableColumn id="13" name="12" totalsRowFunction="custom" dataDxfId="936" totalsRowDxfId="404">
      <totalsRowFormula>COUNTIF(PrezențăSeptembrie[12],"N")+COUNTIF(PrezențăSeptembrie[12],"M")</totalsRowFormula>
    </tableColumn>
    <tableColumn id="14" name="13" totalsRowFunction="custom" dataDxfId="935" totalsRowDxfId="403">
      <totalsRowFormula>COUNTIF(PrezențăSeptembrie[13],"N")+COUNTIF(PrezențăSeptembrie[13],"M")</totalsRowFormula>
    </tableColumn>
    <tableColumn id="15" name="14" totalsRowFunction="custom" dataDxfId="934" totalsRowDxfId="402">
      <totalsRowFormula>COUNTIF(PrezențăSeptembrie[14],"N")+COUNTIF(PrezențăSeptembrie[14],"M")</totalsRowFormula>
    </tableColumn>
    <tableColumn id="16" name="15" totalsRowFunction="custom" dataDxfId="933" totalsRowDxfId="401">
      <totalsRowFormula>COUNTIF(PrezențăSeptembrie[15],"N")+COUNTIF(PrezențăSeptembrie[15],"M")</totalsRowFormula>
    </tableColumn>
    <tableColumn id="17" name="16" totalsRowFunction="custom" dataDxfId="932" totalsRowDxfId="400">
      <totalsRowFormula>COUNTIF(PrezențăSeptembrie[16],"N")+COUNTIF(PrezențăSeptembrie[16],"M")</totalsRowFormula>
    </tableColumn>
    <tableColumn id="18" name="17" totalsRowFunction="custom" dataDxfId="931" totalsRowDxfId="399">
      <totalsRowFormula>COUNTIF(PrezențăSeptembrie[17],"N")+COUNTIF(PrezențăSeptembrie[17],"M")</totalsRowFormula>
    </tableColumn>
    <tableColumn id="19" name="18" totalsRowFunction="custom" dataDxfId="930" totalsRowDxfId="398">
      <totalsRowFormula>COUNTIF(PrezențăSeptembrie[18],"N")+COUNTIF(PrezențăSeptembrie[18],"M")</totalsRowFormula>
    </tableColumn>
    <tableColumn id="20" name="19" totalsRowFunction="custom" dataDxfId="929" totalsRowDxfId="397">
      <totalsRowFormula>COUNTIF(PrezențăSeptembrie[19],"N")+COUNTIF(PrezențăSeptembrie[19],"M")</totalsRowFormula>
    </tableColumn>
    <tableColumn id="21" name="20" totalsRowFunction="custom" dataDxfId="928" totalsRowDxfId="396">
      <totalsRowFormula>COUNTIF(PrezențăSeptembrie[20],"N")+COUNTIF(PrezențăSeptembrie[20],"M")</totalsRowFormula>
    </tableColumn>
    <tableColumn id="22" name="21" totalsRowFunction="custom" dataDxfId="927" totalsRowDxfId="395">
      <totalsRowFormula>COUNTIF(PrezențăSeptembrie[21],"N")+COUNTIF(PrezențăSeptembrie[21],"M")</totalsRowFormula>
    </tableColumn>
    <tableColumn id="23" name="22" totalsRowFunction="custom" dataDxfId="926" totalsRowDxfId="394">
      <totalsRowFormula>COUNTIF(PrezențăSeptembrie[22],"N")+COUNTIF(PrezențăSeptembrie[22],"M")</totalsRowFormula>
    </tableColumn>
    <tableColumn id="24" name="23" totalsRowFunction="custom" dataDxfId="925" totalsRowDxfId="393">
      <totalsRowFormula>COUNTIF(PrezențăSeptembrie[23],"N")+COUNTIF(PrezențăSeptembrie[23],"M")</totalsRowFormula>
    </tableColumn>
    <tableColumn id="25" name="24" totalsRowFunction="custom" dataDxfId="924" totalsRowDxfId="392">
      <totalsRowFormula>COUNTIF(PrezențăSeptembrie[24],"N")+COUNTIF(PrezențăSeptembrie[24],"M")</totalsRowFormula>
    </tableColumn>
    <tableColumn id="26" name="25" totalsRowFunction="custom" dataDxfId="923" totalsRowDxfId="391">
      <totalsRowFormula>COUNTIF(PrezențăSeptembrie[25],"N")+COUNTIF(PrezențăSeptembrie[25],"M")</totalsRowFormula>
    </tableColumn>
    <tableColumn id="27" name="26" totalsRowFunction="custom" dataDxfId="922" totalsRowDxfId="390">
      <totalsRowFormula>COUNTIF(PrezențăSeptembrie[26],"N")+COUNTIF(PrezențăSeptembrie[26],"M")</totalsRowFormula>
    </tableColumn>
    <tableColumn id="28" name="27" totalsRowFunction="custom" dataDxfId="921" totalsRowDxfId="389">
      <totalsRowFormula>COUNTIF(PrezențăSeptembrie[27],"N")+COUNTIF(PrezențăSeptembrie[27],"M")</totalsRowFormula>
    </tableColumn>
    <tableColumn id="29" name="28" totalsRowFunction="custom" dataDxfId="920" totalsRowDxfId="388">
      <totalsRowFormula>COUNTIF(PrezențăSeptembrie[28],"N")+COUNTIF(PrezențăSeptembrie[28],"M")</totalsRowFormula>
    </tableColumn>
    <tableColumn id="30" name="29" totalsRowFunction="custom" dataDxfId="919" totalsRowDxfId="387">
      <totalsRowFormula>COUNTIF(PrezențăSeptembrie[29],"N")+COUNTIF(PrezențăSeptembrie[29],"M")</totalsRowFormula>
    </tableColumn>
    <tableColumn id="31" name="30" totalsRowFunction="custom" totalsRowDxfId="386">
      <totalsRowFormula>COUNTIF(PrezențăSeptembrie[30],"N")+COUNTIF(PrezențăSeptembrie[30],"M")</totalsRowFormula>
    </tableColumn>
    <tableColumn id="32" name=" " totalsRowFunction="custom" totalsRowDxfId="385">
      <totalsRowFormula>COUNTIF(PrezențăSeptembrie[[ ]],"N")+COUNTIF(PrezențăSeptembrie[[ ]],"M")</totalsRowFormula>
    </tableColumn>
    <tableColumn id="35" name="Î" totalsRowFunction="sum" dataDxfId="918" totalsRowDxfId="384">
      <calculatedColumnFormula>COUNTIF(PrezențăSeptembrie[[#This Row],[1]:[ ]],Cod_1)</calculatedColumnFormula>
    </tableColumn>
    <tableColumn id="34" name="M" totalsRowFunction="sum" dataDxfId="917" totalsRowDxfId="383">
      <calculatedColumnFormula>COUNTIF(PrezențăSeptembrie[[#This Row],[1]:[ ]],Cod_2)</calculatedColumnFormula>
    </tableColumn>
    <tableColumn id="37" name="N" totalsRowFunction="sum" dataDxfId="916" totalsRowDxfId="382">
      <calculatedColumnFormula>COUNTIF(PrezențăSeptembrie[[#This Row],[1]:[ ]],Cod_3)</calculatedColumnFormula>
    </tableColumn>
    <tableColumn id="36" name="P" totalsRowFunction="sum" dataDxfId="915" totalsRowDxfId="381">
      <calculatedColumnFormula>COUNTIF(PrezențăSeptembrie[[#This Row],[1]:[ ]],Cod_4)</calculatedColumnFormula>
    </tableColumn>
    <tableColumn id="33" name="Zile de absență" totalsRowFunction="sum" totalsRowDxfId="380"/>
  </tableColumns>
  <tableStyleInfo name="Employee Absence Table" showFirstColumn="0" showLastColumn="1" showRowStripes="1" showColumnStripes="1"/>
  <extLst>
    <ext xmlns:x14="http://schemas.microsoft.com/office/spreadsheetml/2009/9/main" uri="{504A1905-F514-4f6f-8877-14C23A59335A}">
      <x14:table altText="Înregistrare prezență august" altTextSummary="Urmărește prezența elevilor, de exemplu Î=Întârziat, M=Motivat, N=Nemotivat, P=Prezent, N=Nu este la școală, pentru luna august."/>
    </ext>
  </extLst>
</table>
</file>

<file path=xl/tables/table4.xml><?xml version="1.0" encoding="utf-8"?>
<table xmlns="http://schemas.openxmlformats.org/spreadsheetml/2006/main" id="2" name="PrezențăOctombrie" displayName="PrezențăOctombrie" ref="B6:AM12" totalsRowCount="1" totalsRowDxfId="904">
  <tableColumns count="38">
    <tableColumn id="38" name="ID elev" totalsRowDxfId="379"/>
    <tableColumn id="1" name="Nume elev" totalsRowLabel="Numărul total de zile de absență" dataDxfId="903" totalsRowDxfId="378"/>
    <tableColumn id="2" name="1" totalsRowFunction="custom" dataDxfId="902" totalsRowDxfId="377">
      <totalsRowFormula>COUNTIF(PrezențăOctombrie[1],"N")+COUNTIF(PrezențăOctombrie[1],"M")</totalsRowFormula>
    </tableColumn>
    <tableColumn id="3" name="2" totalsRowFunction="custom" dataDxfId="901" totalsRowDxfId="376">
      <totalsRowFormula>COUNTIF(PrezențăOctombrie[2],"N")+COUNTIF(PrezențăOctombrie[2],"M")</totalsRowFormula>
    </tableColumn>
    <tableColumn id="4" name="3" totalsRowFunction="custom" dataDxfId="900" totalsRowDxfId="375">
      <totalsRowFormula>COUNTIF(PrezențăOctombrie[3],"N")+COUNTIF(PrezențăOctombrie[3],"M")</totalsRowFormula>
    </tableColumn>
    <tableColumn id="5" name="4" totalsRowFunction="custom" dataDxfId="899" totalsRowDxfId="374">
      <totalsRowFormula>COUNTIF(PrezențăOctombrie[4],"N")+COUNTIF(PrezențăOctombrie[4],"M")</totalsRowFormula>
    </tableColumn>
    <tableColumn id="6" name="5" totalsRowFunction="custom" dataDxfId="898" totalsRowDxfId="373">
      <totalsRowFormula>COUNTIF(PrezențăOctombrie[5],"N")+COUNTIF(PrezențăOctombrie[5],"M")</totalsRowFormula>
    </tableColumn>
    <tableColumn id="7" name="6" totalsRowFunction="custom" dataDxfId="897" totalsRowDxfId="372">
      <totalsRowFormula>COUNTIF(PrezențăOctombrie[6],"N")+COUNTIF(PrezențăOctombrie[6],"M")</totalsRowFormula>
    </tableColumn>
    <tableColumn id="8" name="7" totalsRowFunction="custom" dataDxfId="896" totalsRowDxfId="371">
      <totalsRowFormula>COUNTIF(PrezențăOctombrie[7],"N")+COUNTIF(PrezențăOctombrie[7],"M")</totalsRowFormula>
    </tableColumn>
    <tableColumn id="9" name="8" totalsRowFunction="custom" dataDxfId="895" totalsRowDxfId="370">
      <totalsRowFormula>COUNTIF(PrezențăOctombrie[8],"N")+COUNTIF(PrezențăOctombrie[8],"M")</totalsRowFormula>
    </tableColumn>
    <tableColumn id="10" name="9" totalsRowFunction="custom" dataDxfId="894" totalsRowDxfId="369">
      <totalsRowFormula>COUNTIF(PrezențăOctombrie[9],"N")+COUNTIF(PrezențăOctombrie[9],"M")</totalsRowFormula>
    </tableColumn>
    <tableColumn id="11" name="10" totalsRowFunction="custom" dataDxfId="893" totalsRowDxfId="368">
      <totalsRowFormula>COUNTIF(PrezențăOctombrie[10],"N")+COUNTIF(PrezențăOctombrie[10],"M")</totalsRowFormula>
    </tableColumn>
    <tableColumn id="12" name="11" totalsRowFunction="custom" dataDxfId="892" totalsRowDxfId="367">
      <totalsRowFormula>COUNTIF(PrezențăOctombrie[11],"N")+COUNTIF(PrezențăOctombrie[11],"M")</totalsRowFormula>
    </tableColumn>
    <tableColumn id="13" name="12" totalsRowFunction="custom" dataDxfId="891" totalsRowDxfId="366">
      <totalsRowFormula>COUNTIF(PrezențăOctombrie[12],"N")+COUNTIF(PrezențăOctombrie[12],"M")</totalsRowFormula>
    </tableColumn>
    <tableColumn id="14" name="13" totalsRowFunction="custom" dataDxfId="890" totalsRowDxfId="365">
      <totalsRowFormula>COUNTIF(PrezențăOctombrie[13],"N")+COUNTIF(PrezențăOctombrie[13],"M")</totalsRowFormula>
    </tableColumn>
    <tableColumn id="15" name="14" totalsRowFunction="custom" dataDxfId="889" totalsRowDxfId="364">
      <totalsRowFormula>COUNTIF(PrezențăOctombrie[14],"N")+COUNTIF(PrezențăOctombrie[14],"M")</totalsRowFormula>
    </tableColumn>
    <tableColumn id="16" name="15" totalsRowFunction="custom" dataDxfId="888" totalsRowDxfId="363">
      <totalsRowFormula>COUNTIF(PrezențăOctombrie[15],"N")+COUNTIF(PrezențăOctombrie[15],"M")</totalsRowFormula>
    </tableColumn>
    <tableColumn id="17" name="16" totalsRowFunction="custom" dataDxfId="887" totalsRowDxfId="362">
      <totalsRowFormula>COUNTIF(PrezențăOctombrie[16],"N")+COUNTIF(PrezențăOctombrie[16],"M")</totalsRowFormula>
    </tableColumn>
    <tableColumn id="18" name="17" totalsRowFunction="custom" dataDxfId="886" totalsRowDxfId="361">
      <totalsRowFormula>COUNTIF(PrezențăOctombrie[17],"N")+COUNTIF(PrezențăOctombrie[17],"M")</totalsRowFormula>
    </tableColumn>
    <tableColumn id="19" name="18" totalsRowFunction="custom" dataDxfId="885" totalsRowDxfId="360">
      <totalsRowFormula>COUNTIF(PrezențăOctombrie[18],"N")+COUNTIF(PrezențăOctombrie[18],"M")</totalsRowFormula>
    </tableColumn>
    <tableColumn id="20" name="19" totalsRowFunction="custom" dataDxfId="884" totalsRowDxfId="359">
      <totalsRowFormula>COUNTIF(PrezențăOctombrie[19],"N")+COUNTIF(PrezențăOctombrie[19],"M")</totalsRowFormula>
    </tableColumn>
    <tableColumn id="21" name="20" totalsRowFunction="custom" dataDxfId="883" totalsRowDxfId="358">
      <totalsRowFormula>COUNTIF(PrezențăOctombrie[20],"N")+COUNTIF(PrezențăOctombrie[20],"M")</totalsRowFormula>
    </tableColumn>
    <tableColumn id="22" name="21" totalsRowFunction="custom" dataDxfId="882" totalsRowDxfId="357">
      <totalsRowFormula>COUNTIF(PrezențăOctombrie[21],"N")+COUNTIF(PrezențăOctombrie[21],"M")</totalsRowFormula>
    </tableColumn>
    <tableColumn id="23" name="22" totalsRowFunction="custom" dataDxfId="881" totalsRowDxfId="356">
      <totalsRowFormula>COUNTIF(PrezențăOctombrie[22],"N")+COUNTIF(PrezențăOctombrie[22],"M")</totalsRowFormula>
    </tableColumn>
    <tableColumn id="24" name="23" totalsRowFunction="custom" dataDxfId="880" totalsRowDxfId="355">
      <totalsRowFormula>COUNTIF(PrezențăOctombrie[23],"N")+COUNTIF(PrezențăOctombrie[23],"M")</totalsRowFormula>
    </tableColumn>
    <tableColumn id="25" name="24" totalsRowFunction="custom" dataDxfId="879" totalsRowDxfId="354">
      <totalsRowFormula>COUNTIF(PrezențăOctombrie[24],"N")+COUNTIF(PrezențăOctombrie[24],"M")</totalsRowFormula>
    </tableColumn>
    <tableColumn id="26" name="25" totalsRowFunction="custom" dataDxfId="878" totalsRowDxfId="353">
      <totalsRowFormula>COUNTIF(PrezențăOctombrie[25],"N")+COUNTIF(PrezențăOctombrie[25],"M")</totalsRowFormula>
    </tableColumn>
    <tableColumn id="27" name="26" totalsRowFunction="custom" dataDxfId="877" totalsRowDxfId="352">
      <totalsRowFormula>COUNTIF(PrezențăOctombrie[26],"N")+COUNTIF(PrezențăOctombrie[26],"M")</totalsRowFormula>
    </tableColumn>
    <tableColumn id="28" name="27" totalsRowFunction="custom" dataDxfId="876" totalsRowDxfId="351">
      <totalsRowFormula>COUNTIF(PrezențăOctombrie[27],"N")+COUNTIF(PrezențăOctombrie[27],"M")</totalsRowFormula>
    </tableColumn>
    <tableColumn id="29" name="28" totalsRowFunction="custom" dataDxfId="875" totalsRowDxfId="350">
      <totalsRowFormula>COUNTIF(PrezențăOctombrie[28],"N")+COUNTIF(PrezențăOctombrie[28],"M")</totalsRowFormula>
    </tableColumn>
    <tableColumn id="30" name="29" totalsRowFunction="custom" dataDxfId="874" totalsRowDxfId="349">
      <totalsRowFormula>COUNTIF(PrezențăOctombrie[29],"N")+COUNTIF(PrezențăOctombrie[29],"M")</totalsRowFormula>
    </tableColumn>
    <tableColumn id="31" name="30" totalsRowFunction="custom" totalsRowDxfId="348">
      <totalsRowFormula>COUNTIF(PrezențăOctombrie[30],"N")+COUNTIF(PrezențăOctombrie[30],"M")</totalsRowFormula>
    </tableColumn>
    <tableColumn id="32" name="31" totalsRowFunction="custom" totalsRowDxfId="347">
      <totalsRowFormula>COUNTIF(PrezențăOctombrie[31],"N")+COUNTIF(PrezențăOctombrie[31],"M")</totalsRowFormula>
    </tableColumn>
    <tableColumn id="35" name="Î" totalsRowFunction="sum" dataDxfId="873" totalsRowDxfId="346">
      <calculatedColumnFormula>COUNTIF(PrezențăOctombrie[[#This Row],[1]:[31]],Cod_1)</calculatedColumnFormula>
    </tableColumn>
    <tableColumn id="34" name="M" totalsRowFunction="sum" dataDxfId="872" totalsRowDxfId="345">
      <calculatedColumnFormula>COUNTIF(PrezențăOctombrie[[#This Row],[1]:[31]],Cod_2)</calculatedColumnFormula>
    </tableColumn>
    <tableColumn id="37" name="N" totalsRowFunction="custom" dataDxfId="871" totalsRowDxfId="344">
      <calculatedColumnFormula>COUNTIF(PrezențăOctombrie[[#This Row],[1]:[31]],Cod_3)</calculatedColumnFormula>
      <totalsRowFormula>SUBTOTAL(109,PrezențăOctombrie[P])</totalsRowFormula>
    </tableColumn>
    <tableColumn id="36" name="P" totalsRowFunction="sum" dataDxfId="870" totalsRowDxfId="343">
      <calculatedColumnFormula>COUNTIF(PrezențăOctombrie[[#This Row],[1]:[31]],Cod_4)</calculatedColumnFormula>
    </tableColumn>
    <tableColumn id="33" name="Zile de absență" totalsRowFunction="sum" totalsRowDxfId="342"/>
  </tableColumns>
  <tableStyleInfo name="Employee Absence Table" showFirstColumn="0" showLastColumn="1" showRowStripes="1" showColumnStripes="1"/>
  <extLst>
    <ext xmlns:x14="http://schemas.microsoft.com/office/spreadsheetml/2009/9/main" uri="{504A1905-F514-4f6f-8877-14C23A59335A}">
      <x14:table altText="Înregistrare prezență august" altTextSummary="Urmărește prezența elevilor, de exemplu Î=Întârziat, M=Motivat, N=Nemotivat, P=Prezent, N=Nu este la școală, pentru luna octombrie."/>
    </ext>
  </extLst>
</table>
</file>

<file path=xl/tables/table5.xml><?xml version="1.0" encoding="utf-8"?>
<table xmlns="http://schemas.openxmlformats.org/spreadsheetml/2006/main" id="4" name="PrezențăNoiembrie" displayName="PrezențăNoiembrie" ref="B6:AM12" totalsRowCount="1" totalsRowDxfId="859">
  <tableColumns count="38">
    <tableColumn id="38" name="ID elev" totalsRowDxfId="341"/>
    <tableColumn id="1" name="Nume elev" totalsRowLabel="Numărul total de zile de absență" dataDxfId="858" totalsRowDxfId="340"/>
    <tableColumn id="2" name="1" totalsRowFunction="custom" dataDxfId="857" totalsRowDxfId="339">
      <totalsRowFormula>COUNTIF(PrezențăNoiembrie[1],"N")+COUNTIF(PrezențăNoiembrie[1],"M")</totalsRowFormula>
    </tableColumn>
    <tableColumn id="3" name="2" totalsRowFunction="custom" dataDxfId="856" totalsRowDxfId="338">
      <totalsRowFormula>COUNTIF(PrezențăNoiembrie[2],"N")+COUNTIF(PrezențăNoiembrie[2],"M")</totalsRowFormula>
    </tableColumn>
    <tableColumn id="4" name="3" totalsRowFunction="custom" dataDxfId="855" totalsRowDxfId="337">
      <totalsRowFormula>COUNTIF(PrezențăNoiembrie[3],"N")+COUNTIF(PrezențăNoiembrie[3],"M")</totalsRowFormula>
    </tableColumn>
    <tableColumn id="5" name="4" totalsRowFunction="custom" dataDxfId="854" totalsRowDxfId="336">
      <totalsRowFormula>COUNTIF(PrezențăNoiembrie[4],"N")+COUNTIF(PrezențăNoiembrie[4],"M")</totalsRowFormula>
    </tableColumn>
    <tableColumn id="6" name="5" totalsRowFunction="custom" dataDxfId="853" totalsRowDxfId="335">
      <totalsRowFormula>COUNTIF(PrezențăNoiembrie[5],"N")+COUNTIF(PrezențăNoiembrie[5],"M")</totalsRowFormula>
    </tableColumn>
    <tableColumn id="7" name="6" totalsRowFunction="custom" dataDxfId="852" totalsRowDxfId="334">
      <totalsRowFormula>COUNTIF(PrezențăNoiembrie[6],"N")+COUNTIF(PrezențăNoiembrie[6],"M")</totalsRowFormula>
    </tableColumn>
    <tableColumn id="8" name="7" totalsRowFunction="custom" dataDxfId="851" totalsRowDxfId="333">
      <totalsRowFormula>COUNTIF(PrezențăNoiembrie[7],"N")+COUNTIF(PrezențăNoiembrie[7],"M")</totalsRowFormula>
    </tableColumn>
    <tableColumn id="9" name="8" totalsRowFunction="custom" dataDxfId="850" totalsRowDxfId="332">
      <totalsRowFormula>COUNTIF(PrezențăNoiembrie[8],"N")+COUNTIF(PrezențăNoiembrie[8],"M")</totalsRowFormula>
    </tableColumn>
    <tableColumn id="10" name="9" totalsRowFunction="custom" dataDxfId="849" totalsRowDxfId="331">
      <totalsRowFormula>COUNTIF(PrezențăNoiembrie[9],"N")+COUNTIF(PrezențăNoiembrie[9],"M")</totalsRowFormula>
    </tableColumn>
    <tableColumn id="11" name="10" totalsRowFunction="custom" dataDxfId="848" totalsRowDxfId="330">
      <totalsRowFormula>COUNTIF(PrezențăNoiembrie[10],"N")+COUNTIF(PrezențăNoiembrie[10],"M")</totalsRowFormula>
    </tableColumn>
    <tableColumn id="12" name="11" totalsRowFunction="custom" dataDxfId="847" totalsRowDxfId="329">
      <totalsRowFormula>COUNTIF(PrezențăNoiembrie[11],"N")+COUNTIF(PrezențăNoiembrie[11],"M")</totalsRowFormula>
    </tableColumn>
    <tableColumn id="13" name="12" totalsRowFunction="custom" dataDxfId="846" totalsRowDxfId="328">
      <totalsRowFormula>COUNTIF(PrezențăNoiembrie[12],"N")+COUNTIF(PrezențăNoiembrie[12],"M")</totalsRowFormula>
    </tableColumn>
    <tableColumn id="14" name="13" totalsRowFunction="custom" dataDxfId="845" totalsRowDxfId="327">
      <totalsRowFormula>COUNTIF(PrezențăNoiembrie[13],"N")+COUNTIF(PrezențăNoiembrie[13],"M")</totalsRowFormula>
    </tableColumn>
    <tableColumn id="15" name="14" totalsRowFunction="custom" dataDxfId="844" totalsRowDxfId="326">
      <totalsRowFormula>COUNTIF(PrezențăNoiembrie[14],"N")+COUNTIF(PrezențăNoiembrie[14],"M")</totalsRowFormula>
    </tableColumn>
    <tableColumn id="16" name="15" totalsRowFunction="custom" dataDxfId="843" totalsRowDxfId="325">
      <totalsRowFormula>COUNTIF(PrezențăNoiembrie[15],"N")+COUNTIF(PrezențăNoiembrie[15],"M")</totalsRowFormula>
    </tableColumn>
    <tableColumn id="17" name="16" totalsRowFunction="custom" dataDxfId="842" totalsRowDxfId="324">
      <totalsRowFormula>COUNTIF(PrezențăNoiembrie[16],"N")+COUNTIF(PrezențăNoiembrie[16],"M")</totalsRowFormula>
    </tableColumn>
    <tableColumn id="18" name="17" totalsRowFunction="custom" dataDxfId="841" totalsRowDxfId="323">
      <totalsRowFormula>COUNTIF(PrezențăNoiembrie[17],"N")+COUNTIF(PrezențăNoiembrie[17],"M")</totalsRowFormula>
    </tableColumn>
    <tableColumn id="19" name="18" totalsRowFunction="custom" dataDxfId="840" totalsRowDxfId="322">
      <totalsRowFormula>COUNTIF(PrezențăNoiembrie[18],"N")+COUNTIF(PrezențăNoiembrie[18],"M")</totalsRowFormula>
    </tableColumn>
    <tableColumn id="20" name="19" totalsRowFunction="custom" dataDxfId="839" totalsRowDxfId="321">
      <totalsRowFormula>COUNTIF(PrezențăNoiembrie[19],"N")+COUNTIF(PrezențăNoiembrie[19],"M")</totalsRowFormula>
    </tableColumn>
    <tableColumn id="21" name="20" totalsRowFunction="custom" dataDxfId="838" totalsRowDxfId="320">
      <totalsRowFormula>COUNTIF(PrezențăNoiembrie[20],"N")+COUNTIF(PrezențăNoiembrie[20],"M")</totalsRowFormula>
    </tableColumn>
    <tableColumn id="22" name="21" totalsRowFunction="custom" dataDxfId="837" totalsRowDxfId="319">
      <totalsRowFormula>COUNTIF(PrezențăNoiembrie[21],"N")+COUNTIF(PrezențăNoiembrie[21],"M")</totalsRowFormula>
    </tableColumn>
    <tableColumn id="23" name="22" totalsRowFunction="custom" dataDxfId="836" totalsRowDxfId="318">
      <totalsRowFormula>COUNTIF(PrezențăNoiembrie[22],"N")+COUNTIF(PrezențăNoiembrie[22],"M")</totalsRowFormula>
    </tableColumn>
    <tableColumn id="24" name="23" totalsRowFunction="custom" dataDxfId="835" totalsRowDxfId="317">
      <totalsRowFormula>COUNTIF(PrezențăNoiembrie[23],"N")+COUNTIF(PrezențăNoiembrie[23],"M")</totalsRowFormula>
    </tableColumn>
    <tableColumn id="25" name="24" totalsRowFunction="custom" dataDxfId="834" totalsRowDxfId="316">
      <totalsRowFormula>COUNTIF(PrezențăNoiembrie[24],"N")+COUNTIF(PrezențăNoiembrie[24],"M")</totalsRowFormula>
    </tableColumn>
    <tableColumn id="26" name="25" totalsRowFunction="custom" dataDxfId="833" totalsRowDxfId="315">
      <totalsRowFormula>COUNTIF(PrezențăNoiembrie[25],"N")+COUNTIF(PrezențăNoiembrie[25],"M")</totalsRowFormula>
    </tableColumn>
    <tableColumn id="27" name="26" totalsRowFunction="custom" dataDxfId="832" totalsRowDxfId="314">
      <totalsRowFormula>COUNTIF(PrezențăNoiembrie[26],"N")+COUNTIF(PrezențăNoiembrie[26],"M")</totalsRowFormula>
    </tableColumn>
    <tableColumn id="28" name="27" totalsRowFunction="custom" dataDxfId="831" totalsRowDxfId="313">
      <totalsRowFormula>COUNTIF(PrezențăNoiembrie[27],"N")+COUNTIF(PrezențăNoiembrie[27],"M")</totalsRowFormula>
    </tableColumn>
    <tableColumn id="29" name="28" totalsRowFunction="custom" dataDxfId="830" totalsRowDxfId="312">
      <totalsRowFormula>COUNTIF(PrezențăNoiembrie[28],"N")+COUNTIF(PrezențăNoiembrie[28],"M")</totalsRowFormula>
    </tableColumn>
    <tableColumn id="30" name="29" totalsRowFunction="custom" dataDxfId="829" totalsRowDxfId="311">
      <totalsRowFormula>COUNTIF(PrezențăNoiembrie[29],"N")+COUNTIF(PrezențăNoiembrie[29],"M")</totalsRowFormula>
    </tableColumn>
    <tableColumn id="31" name="30" totalsRowFunction="custom" totalsRowDxfId="310">
      <totalsRowFormula>COUNTIF(PrezențăNoiembrie[30],"N")+COUNTIF(PrezențăNoiembrie[30],"M")</totalsRowFormula>
    </tableColumn>
    <tableColumn id="32" name=" " totalsRowFunction="custom" totalsRowDxfId="309">
      <totalsRowFormula>COUNTIF(PrezențăNoiembrie[[ ]],"N")+COUNTIF(PrezențăNoiembrie[[ ]],"M")</totalsRowFormula>
    </tableColumn>
    <tableColumn id="35" name="Î" totalsRowFunction="sum" dataDxfId="828" totalsRowDxfId="308">
      <calculatedColumnFormula>COUNTIF(PrezențăNoiembrie[[#This Row],[1]:[ ]],Cod_1)</calculatedColumnFormula>
    </tableColumn>
    <tableColumn id="34" name="M" totalsRowFunction="sum" dataDxfId="827" totalsRowDxfId="307">
      <calculatedColumnFormula>COUNTIF(PrezențăNoiembrie[[#This Row],[1]:[ ]],Cod_2)</calculatedColumnFormula>
    </tableColumn>
    <tableColumn id="37" name="N" totalsRowFunction="sum" dataDxfId="826" totalsRowDxfId="306">
      <calculatedColumnFormula>COUNTIF(PrezențăNoiembrie[[#This Row],[1]:[ ]],Cod_3)</calculatedColumnFormula>
    </tableColumn>
    <tableColumn id="36" name="P" totalsRowFunction="sum" dataDxfId="825" totalsRowDxfId="305">
      <calculatedColumnFormula>COUNTIF(PrezențăNoiembrie[[#This Row],[1]:[ ]],Cod_4)</calculatedColumnFormula>
    </tableColumn>
    <tableColumn id="33" name="Zile de absență" totalsRowFunction="sum" totalsRowDxfId="304"/>
  </tableColumns>
  <tableStyleInfo name="Employee Absence Table" showFirstColumn="0" showLastColumn="1" showRowStripes="1" showColumnStripes="1"/>
  <extLst>
    <ext xmlns:x14="http://schemas.microsoft.com/office/spreadsheetml/2009/9/main" uri="{504A1905-F514-4f6f-8877-14C23A59335A}">
      <x14:table altText="Înregistrare prezență august" altTextSummary="Urmărește prezența elevilor, de exemplu Î=Întârziat, M=Motivat, N=Nemotivat, P=Prezent, N=Nu este la școală, pentru luna noiembrie."/>
    </ext>
  </extLst>
</table>
</file>

<file path=xl/tables/table6.xml><?xml version="1.0" encoding="utf-8"?>
<table xmlns="http://schemas.openxmlformats.org/spreadsheetml/2006/main" id="6" name="PrezențăDecembrie" displayName="PrezențăDecembrie" ref="B6:AM12" totalsRowCount="1" totalsRowDxfId="814">
  <tableColumns count="38">
    <tableColumn id="38" name="ID elev" totalsRowDxfId="303"/>
    <tableColumn id="1" name="Nume elev" totalsRowLabel="Numărul total de zile de absență" dataDxfId="813" totalsRowDxfId="302"/>
    <tableColumn id="2" name="1" totalsRowFunction="custom" dataDxfId="812" totalsRowDxfId="301">
      <totalsRowFormula>COUNTIF(PrezențăDecembrie[1],"N")+COUNTIF(PrezențăDecembrie[1],"M")</totalsRowFormula>
    </tableColumn>
    <tableColumn id="3" name="2" totalsRowFunction="custom" dataDxfId="811" totalsRowDxfId="300">
      <totalsRowFormula>COUNTIF(PrezențăDecembrie[2],"N")+COUNTIF(PrezențăDecembrie[2],"M")</totalsRowFormula>
    </tableColumn>
    <tableColumn id="4" name="3" totalsRowFunction="custom" dataDxfId="810" totalsRowDxfId="299">
      <totalsRowFormula>COUNTIF(PrezențăDecembrie[3],"N")+COUNTIF(PrezențăDecembrie[3],"M")</totalsRowFormula>
    </tableColumn>
    <tableColumn id="5" name="4" totalsRowFunction="custom" dataDxfId="809" totalsRowDxfId="298">
      <totalsRowFormula>COUNTIF(PrezențăDecembrie[4],"N")+COUNTIF(PrezențăDecembrie[4],"M")</totalsRowFormula>
    </tableColumn>
    <tableColumn id="6" name="5" totalsRowFunction="custom" dataDxfId="808" totalsRowDxfId="297">
      <totalsRowFormula>COUNTIF(PrezențăDecembrie[5],"N")+COUNTIF(PrezențăDecembrie[5],"M")</totalsRowFormula>
    </tableColumn>
    <tableColumn id="7" name="6" totalsRowFunction="custom" dataDxfId="807" totalsRowDxfId="296">
      <totalsRowFormula>COUNTIF(PrezențăDecembrie[6],"N")+COUNTIF(PrezențăDecembrie[6],"M")</totalsRowFormula>
    </tableColumn>
    <tableColumn id="8" name="7" totalsRowFunction="custom" dataDxfId="806" totalsRowDxfId="295">
      <totalsRowFormula>COUNTIF(PrezențăDecembrie[7],"N")+COUNTIF(PrezențăDecembrie[7],"M")</totalsRowFormula>
    </tableColumn>
    <tableColumn id="9" name="8" totalsRowFunction="custom" dataDxfId="805" totalsRowDxfId="294">
      <totalsRowFormula>COUNTIF(PrezențăDecembrie[8],"N")+COUNTIF(PrezențăDecembrie[8],"M")</totalsRowFormula>
    </tableColumn>
    <tableColumn id="10" name="9" totalsRowFunction="custom" dataDxfId="804" totalsRowDxfId="293">
      <totalsRowFormula>COUNTIF(PrezențăDecembrie[9],"N")+COUNTIF(PrezențăDecembrie[9],"M")</totalsRowFormula>
    </tableColumn>
    <tableColumn id="11" name="10" totalsRowFunction="custom" dataDxfId="803" totalsRowDxfId="292">
      <totalsRowFormula>COUNTIF(PrezențăDecembrie[10],"N")+COUNTIF(PrezențăDecembrie[10],"M")</totalsRowFormula>
    </tableColumn>
    <tableColumn id="12" name="11" totalsRowFunction="custom" dataDxfId="802" totalsRowDxfId="291">
      <totalsRowFormula>COUNTIF(PrezențăDecembrie[11],"N")+COUNTIF(PrezențăDecembrie[11],"M")</totalsRowFormula>
    </tableColumn>
    <tableColumn id="13" name="12" totalsRowFunction="custom" dataDxfId="801" totalsRowDxfId="290">
      <totalsRowFormula>COUNTIF(PrezențăDecembrie[12],"N")+COUNTIF(PrezențăDecembrie[12],"M")</totalsRowFormula>
    </tableColumn>
    <tableColumn id="14" name="13" totalsRowFunction="custom" dataDxfId="800" totalsRowDxfId="289">
      <totalsRowFormula>COUNTIF(PrezențăDecembrie[13],"N")+COUNTIF(PrezențăDecembrie[13],"M")</totalsRowFormula>
    </tableColumn>
    <tableColumn id="15" name="14" totalsRowFunction="custom" dataDxfId="799" totalsRowDxfId="288">
      <totalsRowFormula>COUNTIF(PrezențăDecembrie[14],"N")+COUNTIF(PrezențăDecembrie[14],"M")</totalsRowFormula>
    </tableColumn>
    <tableColumn id="16" name="15" totalsRowFunction="custom" dataDxfId="798" totalsRowDxfId="287">
      <totalsRowFormula>COUNTIF(PrezențăDecembrie[15],"N")+COUNTIF(PrezențăDecembrie[15],"M")</totalsRowFormula>
    </tableColumn>
    <tableColumn id="17" name="16" totalsRowFunction="custom" dataDxfId="797" totalsRowDxfId="286">
      <totalsRowFormula>COUNTIF(PrezențăDecembrie[16],"N")+COUNTIF(PrezențăDecembrie[16],"M")</totalsRowFormula>
    </tableColumn>
    <tableColumn id="18" name="17" totalsRowFunction="custom" dataDxfId="796" totalsRowDxfId="285">
      <totalsRowFormula>COUNTIF(PrezențăDecembrie[17],"N")+COUNTIF(PrezențăDecembrie[17],"M")</totalsRowFormula>
    </tableColumn>
    <tableColumn id="19" name="18" totalsRowFunction="custom" dataDxfId="795" totalsRowDxfId="284">
      <totalsRowFormula>COUNTIF(PrezențăDecembrie[18],"N")+COUNTIF(PrezențăDecembrie[18],"M")</totalsRowFormula>
    </tableColumn>
    <tableColumn id="20" name="19" totalsRowFunction="custom" dataDxfId="794" totalsRowDxfId="283">
      <totalsRowFormula>COUNTIF(PrezențăDecembrie[19],"N")+COUNTIF(PrezențăDecembrie[19],"M")</totalsRowFormula>
    </tableColumn>
    <tableColumn id="21" name="20" totalsRowFunction="custom" dataDxfId="793" totalsRowDxfId="282">
      <totalsRowFormula>COUNTIF(PrezențăDecembrie[20],"N")+COUNTIF(PrezențăDecembrie[20],"M")</totalsRowFormula>
    </tableColumn>
    <tableColumn id="22" name="21" totalsRowFunction="custom" dataDxfId="792" totalsRowDxfId="281">
      <totalsRowFormula>COUNTIF(PrezențăDecembrie[21],"N")+COUNTIF(PrezențăDecembrie[21],"M")</totalsRowFormula>
    </tableColumn>
    <tableColumn id="23" name="22" totalsRowFunction="custom" dataDxfId="791" totalsRowDxfId="280">
      <totalsRowFormula>COUNTIF(PrezențăDecembrie[22],"N")+COUNTIF(PrezențăDecembrie[22],"M")</totalsRowFormula>
    </tableColumn>
    <tableColumn id="24" name="23" totalsRowFunction="custom" dataDxfId="790" totalsRowDxfId="279">
      <totalsRowFormula>COUNTIF(PrezențăDecembrie[23],"N")+COUNTIF(PrezențăDecembrie[23],"M")</totalsRowFormula>
    </tableColumn>
    <tableColumn id="25" name="24" totalsRowFunction="custom" dataDxfId="789" totalsRowDxfId="278">
      <totalsRowFormula>COUNTIF(PrezențăDecembrie[24],"N")+COUNTIF(PrezențăDecembrie[24],"M")</totalsRowFormula>
    </tableColumn>
    <tableColumn id="26" name="25" totalsRowFunction="custom" dataDxfId="788" totalsRowDxfId="277">
      <totalsRowFormula>COUNTIF(PrezențăDecembrie[25],"N")+COUNTIF(PrezențăDecembrie[25],"M")</totalsRowFormula>
    </tableColumn>
    <tableColumn id="27" name="26" totalsRowFunction="custom" dataDxfId="787" totalsRowDxfId="276">
      <totalsRowFormula>COUNTIF(PrezențăDecembrie[26],"N")+COUNTIF(PrezențăDecembrie[26],"M")</totalsRowFormula>
    </tableColumn>
    <tableColumn id="28" name="27" totalsRowFunction="custom" dataDxfId="786" totalsRowDxfId="275">
      <totalsRowFormula>COUNTIF(PrezențăDecembrie[27],"N")+COUNTIF(PrezențăDecembrie[27],"M")</totalsRowFormula>
    </tableColumn>
    <tableColumn id="29" name="28" totalsRowFunction="custom" dataDxfId="785" totalsRowDxfId="274">
      <totalsRowFormula>COUNTIF(PrezențăDecembrie[28],"N")+COUNTIF(PrezențăDecembrie[28],"M")</totalsRowFormula>
    </tableColumn>
    <tableColumn id="30" name="29" totalsRowFunction="custom" dataDxfId="784" totalsRowDxfId="273">
      <totalsRowFormula>COUNTIF(PrezențăDecembrie[29],"N")+COUNTIF(PrezențăDecembrie[29],"M")</totalsRowFormula>
    </tableColumn>
    <tableColumn id="31" name="30" totalsRowFunction="custom" totalsRowDxfId="272">
      <totalsRowFormula>COUNTIF(PrezențăDecembrie[30],"N")+COUNTIF(PrezențăDecembrie[30],"M")</totalsRowFormula>
    </tableColumn>
    <tableColumn id="32" name="31" totalsRowFunction="custom" totalsRowDxfId="271">
      <totalsRowFormula>COUNTIF(PrezențăDecembrie[31],"N")+COUNTIF(PrezențăDecembrie[31],"M")</totalsRowFormula>
    </tableColumn>
    <tableColumn id="35" name="Î" totalsRowFunction="sum" dataDxfId="783" totalsRowDxfId="270">
      <calculatedColumnFormula>COUNTIF(PrezențăDecembrie[[#This Row],[1]:[31]],Cod_1)</calculatedColumnFormula>
    </tableColumn>
    <tableColumn id="34" name="M" totalsRowFunction="sum" dataDxfId="782" totalsRowDxfId="269">
      <calculatedColumnFormula>COUNTIF(PrezențăDecembrie[[#This Row],[1]:[31]],Cod_2)</calculatedColumnFormula>
    </tableColumn>
    <tableColumn id="37" name="N" totalsRowFunction="sum" dataDxfId="781" totalsRowDxfId="268">
      <calculatedColumnFormula>COUNTIF(PrezențăDecembrie[[#This Row],[1]:[31]],Cod_3)</calculatedColumnFormula>
    </tableColumn>
    <tableColumn id="36" name="P" totalsRowFunction="sum" dataDxfId="780" totalsRowDxfId="267">
      <calculatedColumnFormula>COUNTIF(PrezențăDecembrie[[#This Row],[1]:[31]],Cod_4)</calculatedColumnFormula>
    </tableColumn>
    <tableColumn id="33" name="Zile de absență" totalsRowFunction="sum" totalsRowDxfId="266"/>
  </tableColumns>
  <tableStyleInfo name="Employee Absence Table" showFirstColumn="0" showLastColumn="1" showRowStripes="1" showColumnStripes="1"/>
  <extLst>
    <ext xmlns:x14="http://schemas.microsoft.com/office/spreadsheetml/2009/9/main" uri="{504A1905-F514-4f6f-8877-14C23A59335A}">
      <x14:table altText="Înregistrare prezență august" altTextSummary="Urmărește prezența elevilor, de exemplu Î=Întârziat, M=Motivat, N=Nemotivat, P=Prezent, N=Nu este la școală, pentru luna decembrie."/>
    </ext>
  </extLst>
</table>
</file>

<file path=xl/tables/table7.xml><?xml version="1.0" encoding="utf-8"?>
<table xmlns="http://schemas.openxmlformats.org/spreadsheetml/2006/main" id="7" name="PrezențăIanuarie" displayName="PrezențăIanuarie" ref="B6:AM12" totalsRowCount="1" headerRowDxfId="774" totalsRowDxfId="773">
  <tableColumns count="38">
    <tableColumn id="38" name="ID elev" dataDxfId="772" totalsRowDxfId="265"/>
    <tableColumn id="1" name="Nume elev" totalsRowLabel="Numărul total de zile de absență" dataDxfId="771" totalsRowDxfId="264"/>
    <tableColumn id="2" name="1" totalsRowFunction="custom" dataDxfId="770" totalsRowDxfId="263">
      <totalsRowFormula>COUNTIF(PrezențăIanuarie[1],"N")+COUNTIF(PrezențăIanuarie[1],"M")</totalsRowFormula>
    </tableColumn>
    <tableColumn id="3" name="2" totalsRowFunction="custom" dataDxfId="769" totalsRowDxfId="262">
      <totalsRowFormula>COUNTIF(PrezențăIanuarie[2],"N")+COUNTIF(PrezențăIanuarie[2],"M")</totalsRowFormula>
    </tableColumn>
    <tableColumn id="4" name="3" totalsRowFunction="custom" dataDxfId="768" totalsRowDxfId="261">
      <totalsRowFormula>COUNTIF(PrezențăIanuarie[3],"N")+COUNTIF(PrezențăIanuarie[3],"M")</totalsRowFormula>
    </tableColumn>
    <tableColumn id="5" name="4" totalsRowFunction="custom" dataDxfId="767" totalsRowDxfId="260">
      <totalsRowFormula>COUNTIF(PrezențăIanuarie[4],"N")+COUNTIF(PrezențăIanuarie[4],"M")</totalsRowFormula>
    </tableColumn>
    <tableColumn id="6" name="5" totalsRowFunction="custom" dataDxfId="766" totalsRowDxfId="259">
      <totalsRowFormula>COUNTIF(PrezențăIanuarie[5],"N")+COUNTIF(PrezențăIanuarie[5],"M")</totalsRowFormula>
    </tableColumn>
    <tableColumn id="7" name="6" totalsRowFunction="custom" dataDxfId="765" totalsRowDxfId="258">
      <totalsRowFormula>COUNTIF(PrezențăIanuarie[6],"N")+COUNTIF(PrezențăIanuarie[6],"M")</totalsRowFormula>
    </tableColumn>
    <tableColumn id="8" name="7" totalsRowFunction="custom" dataDxfId="764" totalsRowDxfId="257">
      <totalsRowFormula>COUNTIF(PrezențăIanuarie[7],"N")+COUNTIF(PrezențăIanuarie[7],"M")</totalsRowFormula>
    </tableColumn>
    <tableColumn id="9" name="8" totalsRowFunction="custom" dataDxfId="763" totalsRowDxfId="256">
      <totalsRowFormula>COUNTIF(PrezențăIanuarie[8],"N")+COUNTIF(PrezențăIanuarie[8],"M")</totalsRowFormula>
    </tableColumn>
    <tableColumn id="10" name="9" totalsRowFunction="custom" dataDxfId="762" totalsRowDxfId="255">
      <totalsRowFormula>COUNTIF(PrezențăIanuarie[9],"N")+COUNTIF(PrezențăIanuarie[9],"M")</totalsRowFormula>
    </tableColumn>
    <tableColumn id="11" name="10" totalsRowFunction="custom" dataDxfId="761" totalsRowDxfId="254">
      <totalsRowFormula>COUNTIF(PrezențăIanuarie[10],"N")+COUNTIF(PrezențăIanuarie[10],"M")</totalsRowFormula>
    </tableColumn>
    <tableColumn id="12" name="11" totalsRowFunction="custom" dataDxfId="760" totalsRowDxfId="253">
      <totalsRowFormula>COUNTIF(PrezențăIanuarie[11],"N")+COUNTIF(PrezențăIanuarie[11],"M")</totalsRowFormula>
    </tableColumn>
    <tableColumn id="13" name="12" totalsRowFunction="custom" dataDxfId="759" totalsRowDxfId="252">
      <totalsRowFormula>COUNTIF(PrezențăIanuarie[12],"N")+COUNTIF(PrezențăIanuarie[12],"M")</totalsRowFormula>
    </tableColumn>
    <tableColumn id="14" name="13" totalsRowFunction="custom" dataDxfId="758" totalsRowDxfId="251">
      <totalsRowFormula>COUNTIF(PrezențăIanuarie[13],"N")+COUNTIF(PrezențăIanuarie[13],"M")</totalsRowFormula>
    </tableColumn>
    <tableColumn id="15" name="14" totalsRowFunction="custom" dataDxfId="757" totalsRowDxfId="250">
      <totalsRowFormula>COUNTIF(PrezențăIanuarie[14],"N")+COUNTIF(PrezențăIanuarie[14],"M")</totalsRowFormula>
    </tableColumn>
    <tableColumn id="16" name="15" totalsRowFunction="custom" dataDxfId="756" totalsRowDxfId="249">
      <totalsRowFormula>COUNTIF(PrezențăIanuarie[15],"N")+COUNTIF(PrezențăIanuarie[15],"M")</totalsRowFormula>
    </tableColumn>
    <tableColumn id="17" name="16" totalsRowFunction="custom" dataDxfId="755" totalsRowDxfId="248">
      <totalsRowFormula>COUNTIF(PrezențăIanuarie[16],"N")+COUNTIF(PrezențăIanuarie[16],"M")</totalsRowFormula>
    </tableColumn>
    <tableColumn id="18" name="17" totalsRowFunction="custom" dataDxfId="754" totalsRowDxfId="247">
      <totalsRowFormula>COUNTIF(PrezențăIanuarie[17],"N")+COUNTIF(PrezențăIanuarie[17],"M")</totalsRowFormula>
    </tableColumn>
    <tableColumn id="19" name="18" totalsRowFunction="custom" dataDxfId="753" totalsRowDxfId="246">
      <totalsRowFormula>COUNTIF(PrezențăIanuarie[18],"N")+COUNTIF(PrezențăIanuarie[18],"M")</totalsRowFormula>
    </tableColumn>
    <tableColumn id="20" name="19" totalsRowFunction="custom" dataDxfId="752" totalsRowDxfId="245">
      <totalsRowFormula>COUNTIF(PrezențăIanuarie[19],"N")+COUNTIF(PrezențăIanuarie[19],"M")</totalsRowFormula>
    </tableColumn>
    <tableColumn id="21" name="20" totalsRowFunction="custom" dataDxfId="751" totalsRowDxfId="244">
      <totalsRowFormula>COUNTIF(PrezențăIanuarie[20],"N")+COUNTIF(PrezențăIanuarie[20],"M")</totalsRowFormula>
    </tableColumn>
    <tableColumn id="22" name="21" totalsRowFunction="custom" dataDxfId="750" totalsRowDxfId="243">
      <totalsRowFormula>COUNTIF(PrezențăIanuarie[21],"N")+COUNTIF(PrezențăIanuarie[21],"M")</totalsRowFormula>
    </tableColumn>
    <tableColumn id="23" name="22" totalsRowFunction="custom" dataDxfId="749" totalsRowDxfId="242">
      <totalsRowFormula>COUNTIF(PrezențăIanuarie[22],"N")+COUNTIF(PrezențăIanuarie[22],"M")</totalsRowFormula>
    </tableColumn>
    <tableColumn id="24" name="23" totalsRowFunction="custom" dataDxfId="748" totalsRowDxfId="241">
      <totalsRowFormula>COUNTIF(PrezențăIanuarie[23],"N")+COUNTIF(PrezențăIanuarie[23],"M")</totalsRowFormula>
    </tableColumn>
    <tableColumn id="25" name="24" totalsRowFunction="custom" dataDxfId="747" totalsRowDxfId="240">
      <totalsRowFormula>COUNTIF(PrezențăIanuarie[24],"N")+COUNTIF(PrezențăIanuarie[24],"M")</totalsRowFormula>
    </tableColumn>
    <tableColumn id="26" name="25" totalsRowFunction="custom" dataDxfId="746" totalsRowDxfId="239">
      <totalsRowFormula>COUNTIF(PrezențăIanuarie[25],"N")+COUNTIF(PrezențăIanuarie[25],"M")</totalsRowFormula>
    </tableColumn>
    <tableColumn id="27" name="26" totalsRowFunction="custom" dataDxfId="745" totalsRowDxfId="238">
      <totalsRowFormula>COUNTIF(PrezențăIanuarie[26],"N")+COUNTIF(PrezențăIanuarie[26],"M")</totalsRowFormula>
    </tableColumn>
    <tableColumn id="28" name="27" totalsRowFunction="custom" dataDxfId="744" totalsRowDxfId="237">
      <totalsRowFormula>COUNTIF(PrezențăIanuarie[27],"N")+COUNTIF(PrezențăIanuarie[27],"M")</totalsRowFormula>
    </tableColumn>
    <tableColumn id="29" name="28" totalsRowFunction="custom" dataDxfId="743" totalsRowDxfId="236">
      <totalsRowFormula>COUNTIF(PrezențăIanuarie[28],"N")+COUNTIF(PrezențăIanuarie[28],"M")</totalsRowFormula>
    </tableColumn>
    <tableColumn id="30" name="29" totalsRowFunction="custom" dataDxfId="742" totalsRowDxfId="235">
      <totalsRowFormula>COUNTIF(PrezențăIanuarie[29],"N")+COUNTIF(PrezențăIanuarie[29],"M")</totalsRowFormula>
    </tableColumn>
    <tableColumn id="31" name="30" dataDxfId="741" totalsRowDxfId="234"/>
    <tableColumn id="32" name="31" dataDxfId="740" totalsRowDxfId="233"/>
    <tableColumn id="35" name="Î" totalsRowFunction="sum" dataDxfId="739" totalsRowDxfId="232">
      <calculatedColumnFormula>COUNTIF(PrezențăIanuarie[[#This Row],[1]:[31]],Cod_1)</calculatedColumnFormula>
    </tableColumn>
    <tableColumn id="34" name="M" totalsRowFunction="sum" dataDxfId="738" totalsRowDxfId="231">
      <calculatedColumnFormula>COUNTIF(PrezențăIanuarie[[#This Row],[1]:[31]],Cod_2)</calculatedColumnFormula>
    </tableColumn>
    <tableColumn id="37" name="N" totalsRowFunction="sum" dataDxfId="737" totalsRowDxfId="230">
      <calculatedColumnFormula>COUNTIF(PrezențăIanuarie[[#This Row],[1]:[31]],Cod_3)</calculatedColumnFormula>
    </tableColumn>
    <tableColumn id="36" name="P" totalsRowFunction="sum" dataDxfId="736" totalsRowDxfId="229">
      <calculatedColumnFormula>COUNTIF(PrezențăIanuarie[[#This Row],[1]:[31]],Cod_4)</calculatedColumnFormula>
    </tableColumn>
    <tableColumn id="33" name="Zile de absență" totalsRowFunction="sum" dataDxfId="735" totalsRowDxfId="228"/>
  </tableColumns>
  <tableStyleInfo name="Employee Absence Table" showFirstColumn="0" showLastColumn="0" showRowStripes="1" showColumnStripes="1"/>
  <extLst>
    <ext xmlns:x14="http://schemas.microsoft.com/office/spreadsheetml/2009/9/main" uri="{504A1905-F514-4f6f-8877-14C23A59335A}">
      <x14:table altText="Înregistrare prezență februarie" altTextSummary="Urmărește prezența elevilor, de exemplu Î=Întârziat, M=Motivat, N=Nemotivat, P=Prezent, N=Nu este la școală, pentru luna ianuarie."/>
    </ext>
  </extLst>
</table>
</file>

<file path=xl/tables/table8.xml><?xml version="1.0" encoding="utf-8"?>
<table xmlns="http://schemas.openxmlformats.org/spreadsheetml/2006/main" id="5" name="PrezențăFebruarie" displayName="PrezențăFebruarie" ref="B6:AM12" totalsRowCount="1" headerRowDxfId="727" totalsRowDxfId="726">
  <tableColumns count="38">
    <tableColumn id="38" name="ID elev" dataDxfId="725" totalsRowDxfId="227"/>
    <tableColumn id="1" name="Nume elev" totalsRowLabel="Numărul total de zile de absență" dataDxfId="724" totalsRowDxfId="226"/>
    <tableColumn id="2" name="1" totalsRowFunction="custom" dataDxfId="723" totalsRowDxfId="225">
      <totalsRowFormula>COUNTIF(PrezențăFebruarie[1],"N")+COUNTIF(PrezențăFebruarie[1],"M")</totalsRowFormula>
    </tableColumn>
    <tableColumn id="3" name="2" totalsRowFunction="custom" dataDxfId="722" totalsRowDxfId="224">
      <totalsRowFormula>COUNTIF(PrezențăFebruarie[2],"N")+COUNTIF(PrezențăFebruarie[2],"M")</totalsRowFormula>
    </tableColumn>
    <tableColumn id="4" name="3" totalsRowFunction="custom" dataDxfId="721" totalsRowDxfId="223">
      <totalsRowFormula>COUNTIF(PrezențăFebruarie[3],"N")+COUNTIF(PrezențăFebruarie[3],"M")</totalsRowFormula>
    </tableColumn>
    <tableColumn id="5" name="4" totalsRowFunction="custom" dataDxfId="720" totalsRowDxfId="222">
      <totalsRowFormula>COUNTIF(PrezențăFebruarie[4],"N")+COUNTIF(PrezențăFebruarie[4],"M")</totalsRowFormula>
    </tableColumn>
    <tableColumn id="6" name="5" totalsRowFunction="custom" dataDxfId="719" totalsRowDxfId="221">
      <totalsRowFormula>COUNTIF(PrezențăFebruarie[5],"N")+COUNTIF(PrezențăFebruarie[5],"M")</totalsRowFormula>
    </tableColumn>
    <tableColumn id="7" name="6" totalsRowFunction="custom" dataDxfId="718" totalsRowDxfId="220">
      <totalsRowFormula>COUNTIF(PrezențăFebruarie[6],"N")+COUNTIF(PrezențăFebruarie[6],"M")</totalsRowFormula>
    </tableColumn>
    <tableColumn id="8" name="7" totalsRowFunction="custom" dataDxfId="717" totalsRowDxfId="219">
      <totalsRowFormula>COUNTIF(PrezențăFebruarie[7],"N")+COUNTIF(PrezențăFebruarie[7],"M")</totalsRowFormula>
    </tableColumn>
    <tableColumn id="9" name="8" totalsRowFunction="custom" dataDxfId="716" totalsRowDxfId="218">
      <totalsRowFormula>COUNTIF(PrezențăFebruarie[8],"N")+COUNTIF(PrezențăFebruarie[8],"M")</totalsRowFormula>
    </tableColumn>
    <tableColumn id="10" name="9" totalsRowFunction="custom" dataDxfId="715" totalsRowDxfId="217">
      <totalsRowFormula>COUNTIF(PrezențăFebruarie[9],"N")+COUNTIF(PrezențăFebruarie[9],"M")</totalsRowFormula>
    </tableColumn>
    <tableColumn id="11" name="10" totalsRowFunction="custom" dataDxfId="714" totalsRowDxfId="216">
      <totalsRowFormula>COUNTIF(PrezențăFebruarie[10],"N")+COUNTIF(PrezențăFebruarie[10],"M")</totalsRowFormula>
    </tableColumn>
    <tableColumn id="12" name="11" totalsRowFunction="custom" dataDxfId="713" totalsRowDxfId="215">
      <totalsRowFormula>COUNTIF(PrezențăFebruarie[11],"N")+COUNTIF(PrezențăFebruarie[11],"M")</totalsRowFormula>
    </tableColumn>
    <tableColumn id="13" name="12" totalsRowFunction="custom" dataDxfId="712" totalsRowDxfId="214">
      <totalsRowFormula>COUNTIF(PrezențăFebruarie[12],"N")+COUNTIF(PrezențăFebruarie[12],"M")</totalsRowFormula>
    </tableColumn>
    <tableColumn id="14" name="13" totalsRowFunction="custom" dataDxfId="711" totalsRowDxfId="213">
      <totalsRowFormula>COUNTIF(PrezențăFebruarie[13],"N")+COUNTIF(PrezențăFebruarie[13],"M")</totalsRowFormula>
    </tableColumn>
    <tableColumn id="15" name="14" totalsRowFunction="custom" dataDxfId="710" totalsRowDxfId="212">
      <totalsRowFormula>COUNTIF(PrezențăFebruarie[14],"N")+COUNTIF(PrezențăFebruarie[14],"M")</totalsRowFormula>
    </tableColumn>
    <tableColumn id="16" name="15" totalsRowFunction="custom" dataDxfId="709" totalsRowDxfId="211">
      <totalsRowFormula>COUNTIF(PrezențăFebruarie[15],"N")+COUNTIF(PrezențăFebruarie[15],"M")</totalsRowFormula>
    </tableColumn>
    <tableColumn id="17" name="16" totalsRowFunction="custom" dataDxfId="708" totalsRowDxfId="210">
      <totalsRowFormula>COUNTIF(PrezențăFebruarie[16],"N")+COUNTIF(PrezențăFebruarie[16],"M")</totalsRowFormula>
    </tableColumn>
    <tableColumn id="18" name="17" totalsRowFunction="custom" dataDxfId="707" totalsRowDxfId="209">
      <totalsRowFormula>COUNTIF(PrezențăFebruarie[17],"N")+COUNTIF(PrezențăFebruarie[17],"M")</totalsRowFormula>
    </tableColumn>
    <tableColumn id="19" name="18" totalsRowFunction="custom" dataDxfId="706" totalsRowDxfId="208">
      <totalsRowFormula>COUNTIF(PrezențăFebruarie[18],"N")+COUNTIF(PrezențăFebruarie[18],"M")</totalsRowFormula>
    </tableColumn>
    <tableColumn id="20" name="19" totalsRowFunction="custom" dataDxfId="705" totalsRowDxfId="207">
      <totalsRowFormula>COUNTIF(PrezențăFebruarie[19],"N")+COUNTIF(PrezențăFebruarie[19],"M")</totalsRowFormula>
    </tableColumn>
    <tableColumn id="21" name="20" totalsRowFunction="custom" dataDxfId="704" totalsRowDxfId="206">
      <totalsRowFormula>COUNTIF(PrezențăFebruarie[20],"N")+COUNTIF(PrezențăFebruarie[20],"M")</totalsRowFormula>
    </tableColumn>
    <tableColumn id="22" name="21" totalsRowFunction="custom" dataDxfId="703" totalsRowDxfId="205">
      <totalsRowFormula>COUNTIF(PrezențăFebruarie[21],"N")+COUNTIF(PrezențăFebruarie[21],"M")</totalsRowFormula>
    </tableColumn>
    <tableColumn id="23" name="22" totalsRowFunction="custom" dataDxfId="702" totalsRowDxfId="204">
      <totalsRowFormula>COUNTIF(PrezențăFebruarie[22],"N")+COUNTIF(PrezențăFebruarie[22],"M")</totalsRowFormula>
    </tableColumn>
    <tableColumn id="24" name="23" totalsRowFunction="custom" dataDxfId="701" totalsRowDxfId="203">
      <totalsRowFormula>COUNTIF(PrezențăFebruarie[23],"N")+COUNTIF(PrezențăFebruarie[23],"M")</totalsRowFormula>
    </tableColumn>
    <tableColumn id="25" name="24" totalsRowFunction="custom" dataDxfId="700" totalsRowDxfId="202">
      <totalsRowFormula>COUNTIF(PrezențăFebruarie[24],"N")+COUNTIF(PrezențăFebruarie[24],"M")</totalsRowFormula>
    </tableColumn>
    <tableColumn id="26" name="25" totalsRowFunction="custom" dataDxfId="699" totalsRowDxfId="201">
      <totalsRowFormula>COUNTIF(PrezențăFebruarie[25],"N")+COUNTIF(PrezențăFebruarie[25],"M")</totalsRowFormula>
    </tableColumn>
    <tableColumn id="27" name="26" totalsRowFunction="custom" dataDxfId="698" totalsRowDxfId="200">
      <totalsRowFormula>COUNTIF(PrezențăFebruarie[26],"N")+COUNTIF(PrezențăFebruarie[26],"M")</totalsRowFormula>
    </tableColumn>
    <tableColumn id="28" name="27" totalsRowFunction="custom" dataDxfId="697" totalsRowDxfId="199">
      <totalsRowFormula>COUNTIF(PrezențăFebruarie[27],"N")+COUNTIF(PrezențăFebruarie[27],"M")</totalsRowFormula>
    </tableColumn>
    <tableColumn id="29" name="28" totalsRowFunction="custom" dataDxfId="696" totalsRowDxfId="198">
      <totalsRowFormula>COUNTIF(PrezențăFebruarie[28],"N")+COUNTIF(PrezențăFebruarie[28],"M")</totalsRowFormula>
    </tableColumn>
    <tableColumn id="30" name="29" totalsRowFunction="custom" dataDxfId="695" totalsRowDxfId="197">
      <totalsRowFormula>COUNTIF(PrezențăFebruarie[29],"N")+COUNTIF(PrezențăFebruarie[29],"M")</totalsRowFormula>
    </tableColumn>
    <tableColumn id="31" name="30" dataDxfId="694" totalsRowDxfId="196"/>
    <tableColumn id="32" name="31" dataDxfId="693" totalsRowDxfId="195"/>
    <tableColumn id="35" name="Î" totalsRowFunction="sum" dataDxfId="692" totalsRowDxfId="194">
      <calculatedColumnFormula>COUNTIF(PrezențăFebruarie[[#This Row],[1]:[31]],Cod_1)</calculatedColumnFormula>
    </tableColumn>
    <tableColumn id="34" name="M" totalsRowFunction="sum" dataDxfId="691" totalsRowDxfId="193">
      <calculatedColumnFormula>COUNTIF(PrezențăFebruarie[[#This Row],[1]:[31]],Cod_2)</calculatedColumnFormula>
    </tableColumn>
    <tableColumn id="37" name="N" totalsRowFunction="sum" dataDxfId="690" totalsRowDxfId="192">
      <calculatedColumnFormula>COUNTIF(PrezențăFebruarie[[#This Row],[1]:[31]],Cod_3)</calculatedColumnFormula>
    </tableColumn>
    <tableColumn id="36" name="P" totalsRowFunction="sum" dataDxfId="689" totalsRowDxfId="191">
      <calculatedColumnFormula>COUNTIF(PrezențăFebruarie[[#This Row],[1]:[31]],Cod_4)</calculatedColumnFormula>
    </tableColumn>
    <tableColumn id="33" name="Zile de absență" totalsRowFunction="sum" dataDxfId="688" totalsRowDxfId="190"/>
  </tableColumns>
  <tableStyleInfo name="Employee Absence Table" showFirstColumn="0" showLastColumn="0" showRowStripes="1" showColumnStripes="1"/>
  <extLst>
    <ext xmlns:x14="http://schemas.microsoft.com/office/spreadsheetml/2009/9/main" uri="{504A1905-F514-4f6f-8877-14C23A59335A}">
      <x14:table altText="Înregistrare prezență februarie" altTextSummary="Urmărește prezența elevilor, de exemplu Î=Întârziat, M=Motivat, N=Nemotivat, P=Prezent, N=Nu este la școală, pentru luna februarie."/>
    </ext>
  </extLst>
</table>
</file>

<file path=xl/tables/table9.xml><?xml version="1.0" encoding="utf-8"?>
<table xmlns="http://schemas.openxmlformats.org/spreadsheetml/2006/main" id="8" name="PrezențăMartie" displayName="PrezențăMartie" ref="B6:AM12" totalsRowCount="1" headerRowDxfId="682" totalsRowDxfId="681">
  <tableColumns count="38">
    <tableColumn id="38" name="ID elev" dataDxfId="680" totalsRowDxfId="189"/>
    <tableColumn id="1" name="Nume elev" totalsRowLabel="Numărul total de zile de absență" dataDxfId="679" totalsRowDxfId="188"/>
    <tableColumn id="2" name="1" totalsRowFunction="custom" dataDxfId="678" totalsRowDxfId="187">
      <totalsRowFormula>COUNTIF(PrezențăMartie[1],"N")+COUNTIF(PrezențăMartie[1],"M")</totalsRowFormula>
    </tableColumn>
    <tableColumn id="3" name="2" totalsRowFunction="custom" dataDxfId="677" totalsRowDxfId="186">
      <totalsRowFormula>COUNTIF(PrezențăMartie[2],"N")+COUNTIF(PrezențăMartie[2],"M")</totalsRowFormula>
    </tableColumn>
    <tableColumn id="4" name="3" totalsRowFunction="custom" dataDxfId="676" totalsRowDxfId="185">
      <totalsRowFormula>COUNTIF(PrezențăMartie[3],"N")+COUNTIF(PrezențăMartie[3],"M")</totalsRowFormula>
    </tableColumn>
    <tableColumn id="5" name="4" totalsRowFunction="custom" dataDxfId="675" totalsRowDxfId="184">
      <totalsRowFormula>COUNTIF(PrezențăMartie[4],"N")+COUNTIF(PrezențăMartie[4],"M")</totalsRowFormula>
    </tableColumn>
    <tableColumn id="6" name="5" totalsRowFunction="custom" dataDxfId="674" totalsRowDxfId="183">
      <totalsRowFormula>COUNTIF(PrezențăMartie[5],"N")+COUNTIF(PrezențăMartie[5],"M")</totalsRowFormula>
    </tableColumn>
    <tableColumn id="7" name="6" totalsRowFunction="custom" dataDxfId="673" totalsRowDxfId="182">
      <totalsRowFormula>COUNTIF(PrezențăMartie[6],"N")+COUNTIF(PrezențăMartie[6],"M")</totalsRowFormula>
    </tableColumn>
    <tableColumn id="8" name="7" totalsRowFunction="custom" dataDxfId="672" totalsRowDxfId="181">
      <totalsRowFormula>COUNTIF(PrezențăMartie[7],"N")+COUNTIF(PrezențăMartie[7],"M")</totalsRowFormula>
    </tableColumn>
    <tableColumn id="9" name="8" totalsRowFunction="custom" dataDxfId="671" totalsRowDxfId="180">
      <totalsRowFormula>COUNTIF(PrezențăMartie[8],"N")+COUNTIF(PrezențăMartie[8],"M")</totalsRowFormula>
    </tableColumn>
    <tableColumn id="10" name="9" totalsRowFunction="custom" dataDxfId="670" totalsRowDxfId="179">
      <totalsRowFormula>COUNTIF(PrezențăMartie[9],"N")+COUNTIF(PrezențăMartie[9],"M")</totalsRowFormula>
    </tableColumn>
    <tableColumn id="11" name="10" totalsRowFunction="custom" dataDxfId="669" totalsRowDxfId="178">
      <totalsRowFormula>COUNTIF(PrezențăMartie[10],"N")+COUNTIF(PrezențăMartie[10],"M")</totalsRowFormula>
    </tableColumn>
    <tableColumn id="12" name="11" totalsRowFunction="custom" dataDxfId="668" totalsRowDxfId="177">
      <totalsRowFormula>COUNTIF(PrezențăMartie[11],"N")+COUNTIF(PrezențăMartie[11],"M")</totalsRowFormula>
    </tableColumn>
    <tableColumn id="13" name="12" totalsRowFunction="custom" dataDxfId="667" totalsRowDxfId="176">
      <totalsRowFormula>COUNTIF(PrezențăMartie[12],"N")+COUNTIF(PrezențăMartie[12],"M")</totalsRowFormula>
    </tableColumn>
    <tableColumn id="14" name="13" totalsRowFunction="custom" dataDxfId="666" totalsRowDxfId="175">
      <totalsRowFormula>COUNTIF(PrezențăMartie[13],"N")+COUNTIF(PrezențăMartie[13],"M")</totalsRowFormula>
    </tableColumn>
    <tableColumn id="15" name="14" totalsRowFunction="custom" dataDxfId="665" totalsRowDxfId="174">
      <totalsRowFormula>COUNTIF(PrezențăMartie[14],"N")+COUNTIF(PrezențăMartie[14],"M")</totalsRowFormula>
    </tableColumn>
    <tableColumn id="16" name="15" totalsRowFunction="custom" dataDxfId="664" totalsRowDxfId="173">
      <totalsRowFormula>COUNTIF(PrezențăMartie[15],"N")+COUNTIF(PrezențăMartie[15],"M")</totalsRowFormula>
    </tableColumn>
    <tableColumn id="17" name="16" totalsRowFunction="custom" dataDxfId="663" totalsRowDxfId="172">
      <totalsRowFormula>COUNTIF(PrezențăMartie[16],"N")+COUNTIF(PrezențăMartie[16],"M")</totalsRowFormula>
    </tableColumn>
    <tableColumn id="18" name="17" totalsRowFunction="custom" dataDxfId="662" totalsRowDxfId="171">
      <totalsRowFormula>COUNTIF(PrezențăMartie[17],"N")+COUNTIF(PrezențăMartie[17],"M")</totalsRowFormula>
    </tableColumn>
    <tableColumn id="19" name="18" totalsRowFunction="custom" dataDxfId="661" totalsRowDxfId="170">
      <totalsRowFormula>COUNTIF(PrezențăMartie[18],"N")+COUNTIF(PrezențăMartie[18],"M")</totalsRowFormula>
    </tableColumn>
    <tableColumn id="20" name="19" totalsRowFunction="custom" dataDxfId="660" totalsRowDxfId="169">
      <totalsRowFormula>COUNTIF(PrezențăMartie[19],"N")+COUNTIF(PrezențăMartie[19],"M")</totalsRowFormula>
    </tableColumn>
    <tableColumn id="21" name="20" totalsRowFunction="custom" dataDxfId="659" totalsRowDxfId="168">
      <totalsRowFormula>COUNTIF(PrezențăMartie[20],"N")+COUNTIF(PrezențăMartie[20],"M")</totalsRowFormula>
    </tableColumn>
    <tableColumn id="22" name="21" totalsRowFunction="custom" dataDxfId="658" totalsRowDxfId="167">
      <totalsRowFormula>COUNTIF(PrezențăMartie[21],"N")+COUNTIF(PrezențăMartie[21],"M")</totalsRowFormula>
    </tableColumn>
    <tableColumn id="23" name="22" totalsRowFunction="custom" dataDxfId="657" totalsRowDxfId="166">
      <totalsRowFormula>COUNTIF(PrezențăMartie[22],"N")+COUNTIF(PrezențăMartie[22],"M")</totalsRowFormula>
    </tableColumn>
    <tableColumn id="24" name="23" totalsRowFunction="custom" dataDxfId="656" totalsRowDxfId="165">
      <totalsRowFormula>COUNTIF(PrezențăMartie[23],"N")+COUNTIF(PrezențăMartie[23],"M")</totalsRowFormula>
    </tableColumn>
    <tableColumn id="25" name="24" totalsRowFunction="custom" dataDxfId="655" totalsRowDxfId="164">
      <totalsRowFormula>COUNTIF(PrezențăMartie[24],"N")+COUNTIF(PrezențăMartie[24],"M")</totalsRowFormula>
    </tableColumn>
    <tableColumn id="26" name="25" totalsRowFunction="custom" dataDxfId="654" totalsRowDxfId="163">
      <totalsRowFormula>COUNTIF(PrezențăMartie[25],"N")+COUNTIF(PrezențăMartie[25],"M")</totalsRowFormula>
    </tableColumn>
    <tableColumn id="27" name="26" totalsRowFunction="custom" dataDxfId="653" totalsRowDxfId="162">
      <totalsRowFormula>COUNTIF(PrezențăMartie[26],"N")+COUNTIF(PrezențăMartie[26],"M")</totalsRowFormula>
    </tableColumn>
    <tableColumn id="28" name="27" totalsRowFunction="custom" dataDxfId="652" totalsRowDxfId="161">
      <totalsRowFormula>COUNTIF(PrezențăMartie[27],"N")+COUNTIF(PrezențăMartie[27],"M")</totalsRowFormula>
    </tableColumn>
    <tableColumn id="29" name="28" totalsRowFunction="custom" dataDxfId="651" totalsRowDxfId="160">
      <totalsRowFormula>COUNTIF(PrezențăMartie[28],"N")+COUNTIF(PrezențăMartie[28],"M")</totalsRowFormula>
    </tableColumn>
    <tableColumn id="30" name="29" totalsRowFunction="custom" dataDxfId="650" totalsRowDxfId="159">
      <totalsRowFormula>COUNTIF(PrezențăMartie[29],"N")+COUNTIF(PrezențăMartie[29],"M")</totalsRowFormula>
    </tableColumn>
    <tableColumn id="31" name="30" dataDxfId="649" totalsRowDxfId="158"/>
    <tableColumn id="32" name="31" dataDxfId="648" totalsRowDxfId="157"/>
    <tableColumn id="35" name="Î" totalsRowFunction="sum" dataDxfId="647" totalsRowDxfId="156">
      <calculatedColumnFormula>COUNTIF(PrezențăMartie[[#This Row],[1]:[31]],Cod_1)</calculatedColumnFormula>
    </tableColumn>
    <tableColumn id="34" name="M" totalsRowFunction="sum" dataDxfId="646" totalsRowDxfId="155">
      <calculatedColumnFormula>COUNTIF(PrezențăMartie[[#This Row],[1]:[31]],Cod_2)</calculatedColumnFormula>
    </tableColumn>
    <tableColumn id="37" name="N" totalsRowFunction="sum" dataDxfId="645" totalsRowDxfId="154">
      <calculatedColumnFormula>COUNTIF(PrezențăMartie[[#This Row],[1]:[31]],Cod_3)</calculatedColumnFormula>
    </tableColumn>
    <tableColumn id="36" name="P" totalsRowFunction="sum" dataDxfId="644" totalsRowDxfId="153">
      <calculatedColumnFormula>COUNTIF(PrezențăMartie[[#This Row],[1]:[31]],Cod_4)</calculatedColumnFormula>
    </tableColumn>
    <tableColumn id="33" name="Zile de absență" totalsRowFunction="sum" dataDxfId="643" totalsRowDxfId="152"/>
  </tableColumns>
  <tableStyleInfo name="Employee Absence Table" showFirstColumn="0" showLastColumn="0" showRowStripes="1" showColumnStripes="1"/>
  <extLst>
    <ext xmlns:x14="http://schemas.microsoft.com/office/spreadsheetml/2009/9/main" uri="{504A1905-F514-4f6f-8877-14C23A59335A}">
      <x14:table altText="Înregistrare prezență februarie" altTextSummary="Urmărește prezența elevilor, de exemplu Î=Întârziat, M=Motivat, N=Nemotivat, P=Prezent, N=Nu este la școală, pentru luna martie."/>
    </ext>
  </extLst>
</table>
</file>

<file path=xl/theme/theme1.xml><?xml version="1.0" encoding="utf-8"?>
<a:theme xmlns:a="http://schemas.openxmlformats.org/drawingml/2006/main" name="Office Theme">
  <a:themeElements>
    <a:clrScheme name="Student Attendance Record">
      <a:dk1>
        <a:sysClr val="windowText" lastClr="000000"/>
      </a:dk1>
      <a:lt1>
        <a:sysClr val="window" lastClr="FFFFFF"/>
      </a:lt1>
      <a:dk2>
        <a:srgbClr val="645050"/>
      </a:dk2>
      <a:lt2>
        <a:srgbClr val="FAF0DC"/>
      </a:lt2>
      <a:accent1>
        <a:srgbClr val="4BACC6"/>
      </a:accent1>
      <a:accent2>
        <a:srgbClr val="FFD264"/>
      </a:accent2>
      <a:accent3>
        <a:srgbClr val="FF9354"/>
      </a:accent3>
      <a:accent4>
        <a:srgbClr val="B4D23C"/>
      </a:accent4>
      <a:accent5>
        <a:srgbClr val="AE701E"/>
      </a:accent5>
      <a:accent6>
        <a:srgbClr val="003CC9"/>
      </a:accent6>
      <a:hlink>
        <a:srgbClr val="457CFF"/>
      </a:hlink>
      <a:folHlink>
        <a:srgbClr val="EDC796"/>
      </a:folHlink>
    </a:clrScheme>
    <a:fontScheme name="Student Attendance Record">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office.microsoft.com/client/helppreview14.aspx?AssetId=HA010354866&amp;lcid=1033&amp;NS=EXCEL&amp;Version=14&amp;tl=2&amp;respos=0&amp;CTT=1&amp;queryid=d38d00d08c94494fb55f055eb667c2c9"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table" Target="../tables/table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P32"/>
  <sheetViews>
    <sheetView showGridLines="0" showRowColHeaders="0" tabSelected="1" workbookViewId="0"/>
  </sheetViews>
  <sheetFormatPr defaultRowHeight="13.5" x14ac:dyDescent="0.25"/>
  <cols>
    <col min="1" max="3" width="3.28515625" customWidth="1"/>
    <col min="4" max="4" width="3.85546875" customWidth="1"/>
    <col min="14" max="14" width="2.42578125" customWidth="1"/>
  </cols>
  <sheetData>
    <row r="1" spans="1:16" ht="42" customHeight="1" x14ac:dyDescent="0.25">
      <c r="A1" s="134" t="s">
        <v>121</v>
      </c>
      <c r="B1" s="82"/>
      <c r="C1" s="82"/>
      <c r="D1" s="82"/>
      <c r="E1" s="43"/>
      <c r="F1" s="43"/>
      <c r="G1" s="43"/>
      <c r="H1" s="43"/>
      <c r="I1" s="43"/>
      <c r="J1" s="43"/>
      <c r="K1" s="43"/>
      <c r="L1" s="43"/>
      <c r="M1" s="43"/>
      <c r="N1" s="43"/>
      <c r="O1" s="90"/>
      <c r="P1" s="90"/>
    </row>
    <row r="2" spans="1:16" ht="6.75" customHeight="1" x14ac:dyDescent="0.25"/>
    <row r="3" spans="1:16" ht="17.25" x14ac:dyDescent="0.3">
      <c r="B3" s="83" t="s">
        <v>106</v>
      </c>
      <c r="C3" s="83"/>
      <c r="D3" s="83"/>
      <c r="E3" s="83"/>
      <c r="F3" s="83"/>
    </row>
    <row r="4" spans="1:16" ht="28.5" customHeight="1" x14ac:dyDescent="0.25">
      <c r="C4" s="110" t="s">
        <v>110</v>
      </c>
      <c r="D4" s="110"/>
      <c r="E4" s="110"/>
      <c r="F4" s="110"/>
      <c r="G4" s="110"/>
      <c r="H4" s="110"/>
      <c r="I4" s="110"/>
      <c r="J4" s="110"/>
      <c r="K4" s="110"/>
      <c r="L4" s="110"/>
      <c r="M4" s="110"/>
    </row>
    <row r="5" spans="1:16" ht="85.5" customHeight="1" x14ac:dyDescent="0.25">
      <c r="D5" s="89" t="s">
        <v>102</v>
      </c>
      <c r="E5" s="109" t="s">
        <v>126</v>
      </c>
      <c r="F5" s="109"/>
      <c r="G5" s="109"/>
      <c r="H5" s="109"/>
      <c r="I5" s="109"/>
      <c r="J5" s="109"/>
      <c r="K5" s="109"/>
      <c r="L5" s="109"/>
      <c r="M5" s="109"/>
      <c r="N5" s="84"/>
    </row>
    <row r="6" spans="1:16" ht="69.75" customHeight="1" x14ac:dyDescent="0.25">
      <c r="C6" s="84"/>
      <c r="D6" s="89" t="s">
        <v>103</v>
      </c>
      <c r="E6" s="109" t="s">
        <v>130</v>
      </c>
      <c r="F6" s="109"/>
      <c r="G6" s="109"/>
      <c r="H6" s="109"/>
      <c r="I6" s="109"/>
      <c r="J6" s="109"/>
      <c r="K6" s="109"/>
      <c r="L6" s="109"/>
      <c r="M6" s="109"/>
      <c r="N6" s="84"/>
    </row>
    <row r="7" spans="1:16" ht="84.75" customHeight="1" x14ac:dyDescent="0.25">
      <c r="C7" s="84"/>
      <c r="D7" s="89" t="s">
        <v>104</v>
      </c>
      <c r="E7" s="109" t="s">
        <v>131</v>
      </c>
      <c r="F7" s="109"/>
      <c r="G7" s="109"/>
      <c r="H7" s="109"/>
      <c r="I7" s="109"/>
      <c r="J7" s="109"/>
      <c r="K7" s="109"/>
      <c r="L7" s="109"/>
      <c r="M7" s="109"/>
      <c r="N7" s="84"/>
    </row>
    <row r="8" spans="1:16" ht="69.75" customHeight="1" x14ac:dyDescent="0.25">
      <c r="C8" s="84"/>
      <c r="D8" s="89"/>
      <c r="E8" s="111" t="s">
        <v>128</v>
      </c>
      <c r="F8" s="111"/>
      <c r="G8" s="111"/>
      <c r="H8" s="111"/>
      <c r="I8" s="111"/>
      <c r="J8" s="111"/>
      <c r="K8" s="111"/>
      <c r="L8" s="111"/>
      <c r="M8" s="111"/>
      <c r="N8" s="84"/>
    </row>
    <row r="9" spans="1:16" ht="16.5" customHeight="1" x14ac:dyDescent="0.25">
      <c r="E9" s="112" t="s">
        <v>122</v>
      </c>
      <c r="F9" s="112"/>
      <c r="G9" s="112"/>
      <c r="H9" s="112"/>
    </row>
    <row r="10" spans="1:16" ht="6.75" customHeight="1" x14ac:dyDescent="0.25"/>
    <row r="11" spans="1:16" ht="16.5" customHeight="1" x14ac:dyDescent="0.3">
      <c r="B11" s="83" t="s">
        <v>107</v>
      </c>
      <c r="C11" s="83"/>
      <c r="D11" s="83"/>
      <c r="E11" s="83"/>
      <c r="F11" s="83"/>
      <c r="G11" s="83"/>
      <c r="H11" s="83"/>
      <c r="I11" s="83"/>
    </row>
    <row r="12" spans="1:16" s="85" customFormat="1" ht="35.25" customHeight="1" x14ac:dyDescent="0.25">
      <c r="C12" s="110" t="s">
        <v>105</v>
      </c>
      <c r="D12" s="110"/>
      <c r="E12" s="110"/>
      <c r="F12" s="110"/>
      <c r="G12" s="110"/>
      <c r="H12" s="110"/>
      <c r="I12" s="110"/>
      <c r="J12" s="110"/>
      <c r="K12" s="110"/>
      <c r="L12" s="110"/>
      <c r="M12" s="110"/>
    </row>
    <row r="13" spans="1:16" ht="47.25" customHeight="1" x14ac:dyDescent="0.25">
      <c r="D13" s="89" t="s">
        <v>102</v>
      </c>
      <c r="E13" s="109" t="s">
        <v>123</v>
      </c>
      <c r="F13" s="109"/>
      <c r="G13" s="109"/>
      <c r="H13" s="109"/>
      <c r="I13" s="109"/>
      <c r="J13" s="109"/>
      <c r="K13" s="109"/>
      <c r="L13" s="109"/>
      <c r="M13" s="109"/>
      <c r="N13" s="84"/>
      <c r="O13" s="84"/>
    </row>
    <row r="14" spans="1:16" ht="47.25" customHeight="1" x14ac:dyDescent="0.25">
      <c r="D14" s="89"/>
      <c r="E14" s="109" t="s">
        <v>127</v>
      </c>
      <c r="F14" s="109"/>
      <c r="G14" s="109"/>
      <c r="H14" s="109"/>
      <c r="I14" s="109"/>
      <c r="J14" s="109"/>
      <c r="K14" s="109"/>
      <c r="L14" s="109"/>
      <c r="M14" s="109"/>
      <c r="N14" s="94"/>
      <c r="O14" s="94"/>
    </row>
    <row r="15" spans="1:16" s="86" customFormat="1" ht="57.75" customHeight="1" x14ac:dyDescent="0.25">
      <c r="D15" s="89" t="s">
        <v>103</v>
      </c>
      <c r="E15" s="109" t="s">
        <v>115</v>
      </c>
      <c r="F15" s="109"/>
      <c r="G15" s="109"/>
      <c r="H15" s="109"/>
      <c r="I15" s="109"/>
      <c r="J15" s="109"/>
      <c r="K15" s="109"/>
      <c r="L15" s="109"/>
      <c r="M15" s="109"/>
      <c r="N15" s="87"/>
      <c r="O15" s="87"/>
    </row>
    <row r="16" spans="1:16" ht="6.75" customHeight="1" x14ac:dyDescent="0.25"/>
    <row r="17" spans="2:13" ht="17.25" x14ac:dyDescent="0.3">
      <c r="B17" s="83" t="s">
        <v>108</v>
      </c>
      <c r="C17" s="83"/>
      <c r="D17" s="83"/>
      <c r="E17" s="83"/>
      <c r="F17" s="83"/>
      <c r="G17" s="83"/>
      <c r="H17" s="83"/>
      <c r="I17" s="83"/>
      <c r="J17" s="83"/>
    </row>
    <row r="18" spans="2:13" ht="30.75" customHeight="1" x14ac:dyDescent="0.25">
      <c r="B18" s="85"/>
      <c r="C18" s="110" t="s">
        <v>116</v>
      </c>
      <c r="D18" s="110"/>
      <c r="E18" s="110"/>
      <c r="F18" s="110"/>
      <c r="G18" s="110"/>
      <c r="H18" s="110"/>
      <c r="I18" s="110"/>
      <c r="J18" s="110"/>
      <c r="K18" s="110"/>
      <c r="L18" s="110"/>
      <c r="M18" s="110"/>
    </row>
    <row r="19" spans="2:13" ht="34.5" customHeight="1" x14ac:dyDescent="0.25">
      <c r="B19" s="85"/>
      <c r="C19" s="91"/>
      <c r="D19" s="86" t="s">
        <v>101</v>
      </c>
      <c r="E19" s="110" t="s">
        <v>112</v>
      </c>
      <c r="F19" s="110"/>
      <c r="G19" s="110"/>
      <c r="H19" s="110"/>
      <c r="I19" s="110"/>
      <c r="J19" s="110"/>
      <c r="K19" s="110"/>
      <c r="L19" s="110"/>
      <c r="M19" s="110"/>
    </row>
    <row r="20" spans="2:13" s="86" customFormat="1" ht="34.5" customHeight="1" x14ac:dyDescent="0.25">
      <c r="D20" s="86" t="s">
        <v>101</v>
      </c>
      <c r="E20" s="109" t="s">
        <v>113</v>
      </c>
      <c r="F20" s="109"/>
      <c r="G20" s="109"/>
      <c r="H20" s="109"/>
      <c r="I20" s="109"/>
      <c r="J20" s="109"/>
      <c r="K20" s="109"/>
      <c r="L20" s="109"/>
      <c r="M20" s="109"/>
    </row>
    <row r="21" spans="2:13" s="86" customFormat="1" ht="34.5" customHeight="1" x14ac:dyDescent="0.25">
      <c r="D21" s="86" t="s">
        <v>101</v>
      </c>
      <c r="E21" s="109" t="s">
        <v>124</v>
      </c>
      <c r="F21" s="109"/>
      <c r="G21" s="109"/>
      <c r="H21" s="109"/>
      <c r="I21" s="109"/>
      <c r="J21" s="109"/>
      <c r="K21" s="109"/>
      <c r="L21" s="109"/>
      <c r="M21" s="109"/>
    </row>
    <row r="22" spans="2:13" s="86" customFormat="1" ht="29.25" customHeight="1" x14ac:dyDescent="0.25">
      <c r="D22" s="86" t="s">
        <v>101</v>
      </c>
      <c r="E22" s="109" t="s">
        <v>114</v>
      </c>
      <c r="F22" s="109"/>
      <c r="G22" s="109"/>
      <c r="H22" s="109"/>
      <c r="I22" s="109"/>
      <c r="J22" s="109"/>
      <c r="K22" s="109"/>
      <c r="L22" s="109"/>
      <c r="M22" s="109"/>
    </row>
    <row r="23" spans="2:13" ht="6.75" customHeight="1" x14ac:dyDescent="0.25"/>
    <row r="24" spans="2:13" s="86" customFormat="1" ht="16.5" customHeight="1" x14ac:dyDescent="0.25">
      <c r="B24" s="92" t="s">
        <v>109</v>
      </c>
      <c r="C24" s="92"/>
      <c r="D24" s="92"/>
      <c r="E24" s="92"/>
      <c r="F24" s="92"/>
      <c r="G24" s="92"/>
      <c r="H24" s="92"/>
      <c r="I24" s="92"/>
      <c r="J24" s="92"/>
      <c r="K24" s="92"/>
    </row>
    <row r="25" spans="2:13" s="86" customFormat="1" ht="96" customHeight="1" x14ac:dyDescent="0.25">
      <c r="C25" s="110" t="s">
        <v>125</v>
      </c>
      <c r="D25" s="110"/>
      <c r="E25" s="110"/>
      <c r="F25" s="110"/>
      <c r="G25" s="110"/>
      <c r="H25" s="110"/>
      <c r="I25" s="110"/>
      <c r="J25" s="110"/>
      <c r="K25" s="110"/>
      <c r="L25" s="110"/>
      <c r="M25" s="110"/>
    </row>
    <row r="26" spans="2:13" s="86" customFormat="1" ht="16.5" customHeight="1" x14ac:dyDescent="0.25"/>
    <row r="27" spans="2:13" s="86" customFormat="1" ht="16.5" customHeight="1" x14ac:dyDescent="0.25"/>
    <row r="28" spans="2:13" s="86" customFormat="1" ht="16.5" customHeight="1" x14ac:dyDescent="0.25"/>
    <row r="29" spans="2:13" s="86" customFormat="1" ht="16.5" customHeight="1" x14ac:dyDescent="0.25"/>
    <row r="30" spans="2:13" s="86" customFormat="1" ht="16.5" customHeight="1" x14ac:dyDescent="0.25"/>
    <row r="31" spans="2:13" s="86" customFormat="1" ht="16.5" customHeight="1" x14ac:dyDescent="0.25"/>
    <row r="32" spans="2:13" ht="16.5" customHeight="1" x14ac:dyDescent="0.25"/>
  </sheetData>
  <mergeCells count="16">
    <mergeCell ref="C12:M12"/>
    <mergeCell ref="C4:M4"/>
    <mergeCell ref="E5:M5"/>
    <mergeCell ref="E6:M6"/>
    <mergeCell ref="E7:M7"/>
    <mergeCell ref="E8:M8"/>
    <mergeCell ref="E9:H9"/>
    <mergeCell ref="E22:M22"/>
    <mergeCell ref="C25:M25"/>
    <mergeCell ref="E13:M13"/>
    <mergeCell ref="E15:M15"/>
    <mergeCell ref="C18:M18"/>
    <mergeCell ref="E19:M19"/>
    <mergeCell ref="E20:M20"/>
    <mergeCell ref="E21:M21"/>
    <mergeCell ref="E14:M14"/>
  </mergeCells>
  <hyperlinks>
    <hyperlink ref="E9:F9" r:id="rId1" location="_Toc261352312" display="Customize a document theme."/>
  </hyperlinks>
  <printOptions horizontalCentered="1"/>
  <pageMargins left="0.25" right="0.25" top="0.75" bottom="0.75" header="0.3" footer="0.3"/>
  <pageSetup paperSize="9" scale="81" orientation="portrait" r:id="rId2"/>
  <ignoredErrors>
    <ignoredError sqref="D15 D5:D7 D13"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AM264"/>
  <sheetViews>
    <sheetView showGridLines="0" zoomScaleNormal="100" workbookViewId="0">
      <pane xSplit="3" ySplit="6" topLeftCell="D7" activePane="bottomRight" state="frozen"/>
      <selection pane="topRight"/>
      <selection pane="bottomLeft"/>
      <selection pane="bottomRight"/>
    </sheetView>
  </sheetViews>
  <sheetFormatPr defaultRowHeight="15" customHeight="1" x14ac:dyDescent="0.25"/>
  <cols>
    <col min="1" max="1" width="2.7109375" style="11" customWidth="1"/>
    <col min="2" max="2" width="10.85546875" style="11" customWidth="1"/>
    <col min="3" max="3" width="32.140625" style="12" bestFit="1" customWidth="1"/>
    <col min="4" max="34" width="5" style="10" customWidth="1"/>
    <col min="35" max="35" width="4.7109375" style="9" customWidth="1"/>
    <col min="36" max="36" width="4.7109375" style="10" customWidth="1"/>
    <col min="37" max="38" width="4.7109375" style="11" customWidth="1"/>
    <col min="39" max="39" width="15.140625" style="11" bestFit="1" customWidth="1"/>
    <col min="40" max="16384" width="9.140625" style="11"/>
  </cols>
  <sheetData>
    <row r="1" spans="1:39" s="1" customFormat="1" ht="42" customHeight="1" x14ac:dyDescent="0.25">
      <c r="A1" s="139" t="s">
        <v>88</v>
      </c>
      <c r="B1" s="38"/>
      <c r="C1" s="38"/>
      <c r="D1" s="39"/>
      <c r="E1" s="39"/>
      <c r="F1" s="39"/>
      <c r="G1" s="39"/>
      <c r="H1" s="39"/>
      <c r="I1" s="39"/>
      <c r="J1" s="39"/>
      <c r="K1" s="39"/>
      <c r="L1" s="39"/>
      <c r="M1" s="39"/>
      <c r="N1" s="39"/>
      <c r="O1" s="39"/>
      <c r="P1" s="39"/>
      <c r="Q1" s="39"/>
      <c r="R1" s="39"/>
      <c r="S1" s="39"/>
      <c r="T1" s="39"/>
      <c r="U1" s="39"/>
      <c r="V1" s="39"/>
      <c r="W1" s="39"/>
      <c r="X1" s="39"/>
      <c r="Y1" s="39"/>
      <c r="Z1" s="39"/>
      <c r="AA1" s="39"/>
      <c r="AB1" s="39"/>
      <c r="AC1" s="38"/>
      <c r="AD1" s="38"/>
      <c r="AE1" s="38"/>
      <c r="AF1" s="38"/>
      <c r="AG1" s="40"/>
      <c r="AH1" s="38"/>
      <c r="AI1" s="38"/>
      <c r="AJ1" s="41"/>
      <c r="AK1" s="38"/>
      <c r="AL1" s="138" t="s">
        <v>71</v>
      </c>
      <c r="AM1" s="57">
        <f>AnCalendar</f>
        <v>2012</v>
      </c>
    </row>
    <row r="2" spans="1:39" customFormat="1" ht="13.5" x14ac:dyDescent="0.25"/>
    <row r="3" spans="1:39" s="32" customFormat="1" ht="12.75" customHeight="1" x14ac:dyDescent="0.25">
      <c r="C3" s="44" t="str">
        <f>CheieCuloareText</f>
        <v>CHEIE CULORI</v>
      </c>
      <c r="D3" s="51" t="str">
        <f>Cod_1</f>
        <v>Î</v>
      </c>
      <c r="E3" s="67" t="str">
        <f>Cod1Text</f>
        <v>Întârziat</v>
      </c>
      <c r="F3" s="58"/>
      <c r="H3" s="52" t="str">
        <f>Cod_2</f>
        <v>M</v>
      </c>
      <c r="I3" s="56" t="str">
        <f>Cod2Text</f>
        <v>Motivat</v>
      </c>
      <c r="L3" s="53" t="str">
        <f>Cod_3</f>
        <v>N</v>
      </c>
      <c r="M3" s="56" t="str">
        <f>Cod3Text</f>
        <v>Nemotivat</v>
      </c>
      <c r="P3" s="54" t="str">
        <f>Cod_4</f>
        <v>P</v>
      </c>
      <c r="Q3" s="56" t="str">
        <f>Cod4Text</f>
        <v>Prezent</v>
      </c>
      <c r="T3" s="55" t="str">
        <f>Cod_5</f>
        <v>Nu</v>
      </c>
      <c r="U3" s="56" t="str">
        <f>Cod5Text</f>
        <v>Nu a fost la școală</v>
      </c>
      <c r="W3"/>
      <c r="X3"/>
      <c r="Y3"/>
      <c r="AD3" s="31"/>
      <c r="AE3" s="31"/>
      <c r="AH3" s="33"/>
      <c r="AI3" s="34"/>
      <c r="AK3" s="35"/>
    </row>
    <row r="4" spans="1:39" customFormat="1" ht="16.5" customHeight="1" x14ac:dyDescent="0.25"/>
    <row r="5" spans="1:39" s="2" customFormat="1" ht="18" customHeight="1" x14ac:dyDescent="0.3">
      <c r="B5" s="60">
        <f>DATE(AnCalendar+1,3,1)</f>
        <v>41334</v>
      </c>
      <c r="C5" s="59"/>
      <c r="D5" s="42" t="str">
        <f>TEXT(WEEKDAY(DATE(AnCalendar+1,3,1),1),"aaa")</f>
        <v>V</v>
      </c>
      <c r="E5" s="42" t="str">
        <f>TEXT(WEEKDAY(DATE(AnCalendar+1,3,2),1),"aaa")</f>
        <v>S</v>
      </c>
      <c r="F5" s="42" t="str">
        <f>TEXT(WEEKDAY(DATE(AnCalendar+1,3,3),1),"aaa")</f>
        <v>D</v>
      </c>
      <c r="G5" s="42" t="str">
        <f>TEXT(WEEKDAY(DATE(AnCalendar+1,3,4),1),"aaa")</f>
        <v>L</v>
      </c>
      <c r="H5" s="42" t="str">
        <f>TEXT(WEEKDAY(DATE(AnCalendar+1,3,5),1),"aaa")</f>
        <v>Ma</v>
      </c>
      <c r="I5" s="42" t="str">
        <f>TEXT(WEEKDAY(DATE(AnCalendar+1,3,6),1),"aaa")</f>
        <v>Mi</v>
      </c>
      <c r="J5" s="42" t="str">
        <f>TEXT(WEEKDAY(DATE(AnCalendar+1,3,7),1),"aaa")</f>
        <v>J</v>
      </c>
      <c r="K5" s="42" t="str">
        <f>TEXT(WEEKDAY(DATE(AnCalendar+1,3,8),1),"aaa")</f>
        <v>V</v>
      </c>
      <c r="L5" s="42" t="str">
        <f>TEXT(WEEKDAY(DATE(AnCalendar+1,3,9),1),"aaa")</f>
        <v>S</v>
      </c>
      <c r="M5" s="42" t="str">
        <f>TEXT(WEEKDAY(DATE(AnCalendar+1,3,10),1),"aaa")</f>
        <v>D</v>
      </c>
      <c r="N5" s="42" t="str">
        <f>TEXT(WEEKDAY(DATE(AnCalendar+1,3,11),1),"aaa")</f>
        <v>L</v>
      </c>
      <c r="O5" s="42" t="str">
        <f>TEXT(WEEKDAY(DATE(AnCalendar+1,3,12),1),"aaa")</f>
        <v>Ma</v>
      </c>
      <c r="P5" s="42" t="str">
        <f>TEXT(WEEKDAY(DATE(AnCalendar+1,3,13),1),"aaa")</f>
        <v>Mi</v>
      </c>
      <c r="Q5" s="42" t="str">
        <f>TEXT(WEEKDAY(DATE(AnCalendar+1,3,14),1),"aaa")</f>
        <v>J</v>
      </c>
      <c r="R5" s="42" t="str">
        <f>TEXT(WEEKDAY(DATE(AnCalendar+1,3,15),1),"aaa")</f>
        <v>V</v>
      </c>
      <c r="S5" s="42" t="str">
        <f>TEXT(WEEKDAY(DATE(AnCalendar+1,3,16),1),"aaa")</f>
        <v>S</v>
      </c>
      <c r="T5" s="42" t="str">
        <f>TEXT(WEEKDAY(DATE(AnCalendar+1,3,17),1),"aaa")</f>
        <v>D</v>
      </c>
      <c r="U5" s="42" t="str">
        <f>TEXT(WEEKDAY(DATE(AnCalendar+1,3,18),1),"aaa")</f>
        <v>L</v>
      </c>
      <c r="V5" s="42" t="str">
        <f>TEXT(WEEKDAY(DATE(AnCalendar+1,3,19),1),"aaa")</f>
        <v>Ma</v>
      </c>
      <c r="W5" s="42" t="str">
        <f>TEXT(WEEKDAY(DATE(AnCalendar+1,3,20),1),"aaa")</f>
        <v>Mi</v>
      </c>
      <c r="X5" s="42" t="str">
        <f>TEXT(WEEKDAY(DATE(AnCalendar+1,3,21),1),"aaa")</f>
        <v>J</v>
      </c>
      <c r="Y5" s="42" t="str">
        <f>TEXT(WEEKDAY(DATE(AnCalendar+1,3,22),1),"aaa")</f>
        <v>V</v>
      </c>
      <c r="Z5" s="42" t="str">
        <f>TEXT(WEEKDAY(DATE(AnCalendar+1,3,23),1),"aaa")</f>
        <v>S</v>
      </c>
      <c r="AA5" s="42" t="str">
        <f>TEXT(WEEKDAY(DATE(AnCalendar+1,3,24),1),"aaa")</f>
        <v>D</v>
      </c>
      <c r="AB5" s="42" t="str">
        <f>TEXT(WEEKDAY(DATE(AnCalendar+1,3,25),1),"aaa")</f>
        <v>L</v>
      </c>
      <c r="AC5" s="42" t="str">
        <f>TEXT(WEEKDAY(DATE(AnCalendar+1,3,26),1),"aaa")</f>
        <v>Ma</v>
      </c>
      <c r="AD5" s="42" t="str">
        <f>TEXT(WEEKDAY(DATE(AnCalendar+1,3,27),1),"aaa")</f>
        <v>Mi</v>
      </c>
      <c r="AE5" s="42" t="str">
        <f>TEXT(WEEKDAY(DATE(AnCalendar+1,3,28),1),"aaa")</f>
        <v>J</v>
      </c>
      <c r="AF5" s="42" t="str">
        <f>TEXT(WEEKDAY(DATE(AnCalendar+1,3,29),1),"aaa")</f>
        <v>V</v>
      </c>
      <c r="AG5" s="42" t="str">
        <f>TEXT(WEEKDAY(DATE(AnCalendar+1,3,30),1),"aaa")</f>
        <v>S</v>
      </c>
      <c r="AH5" s="42" t="str">
        <f>TEXT(WEEKDAY(DATE(AnCalendar+1,3,31),1),"aaa")</f>
        <v>D</v>
      </c>
      <c r="AI5" s="116" t="s">
        <v>41</v>
      </c>
      <c r="AJ5" s="116"/>
      <c r="AK5" s="116"/>
      <c r="AL5" s="116"/>
      <c r="AM5" s="116"/>
    </row>
    <row r="6" spans="1:39" ht="14.25" customHeight="1" x14ac:dyDescent="0.25">
      <c r="B6" s="28" t="s">
        <v>34</v>
      </c>
      <c r="C6" s="29" t="s">
        <v>36</v>
      </c>
      <c r="D6" s="30" t="s">
        <v>0</v>
      </c>
      <c r="E6" s="30" t="s">
        <v>1</v>
      </c>
      <c r="F6" s="30" t="s">
        <v>2</v>
      </c>
      <c r="G6" s="30" t="s">
        <v>3</v>
      </c>
      <c r="H6" s="30" t="s">
        <v>4</v>
      </c>
      <c r="I6" s="30" t="s">
        <v>5</v>
      </c>
      <c r="J6" s="30" t="s">
        <v>6</v>
      </c>
      <c r="K6" s="30" t="s">
        <v>7</v>
      </c>
      <c r="L6" s="30" t="s">
        <v>8</v>
      </c>
      <c r="M6" s="30" t="s">
        <v>9</v>
      </c>
      <c r="N6" s="30" t="s">
        <v>10</v>
      </c>
      <c r="O6" s="30" t="s">
        <v>11</v>
      </c>
      <c r="P6" s="30" t="s">
        <v>12</v>
      </c>
      <c r="Q6" s="30" t="s">
        <v>13</v>
      </c>
      <c r="R6" s="30" t="s">
        <v>14</v>
      </c>
      <c r="S6" s="30" t="s">
        <v>15</v>
      </c>
      <c r="T6" s="30" t="s">
        <v>16</v>
      </c>
      <c r="U6" s="30" t="s">
        <v>17</v>
      </c>
      <c r="V6" s="30" t="s">
        <v>18</v>
      </c>
      <c r="W6" s="30" t="s">
        <v>19</v>
      </c>
      <c r="X6" s="30" t="s">
        <v>20</v>
      </c>
      <c r="Y6" s="30" t="s">
        <v>21</v>
      </c>
      <c r="Z6" s="30" t="s">
        <v>22</v>
      </c>
      <c r="AA6" s="30" t="s">
        <v>23</v>
      </c>
      <c r="AB6" s="30" t="s">
        <v>24</v>
      </c>
      <c r="AC6" s="30" t="s">
        <v>25</v>
      </c>
      <c r="AD6" s="30" t="s">
        <v>26</v>
      </c>
      <c r="AE6" s="30" t="s">
        <v>27</v>
      </c>
      <c r="AF6" s="30" t="s">
        <v>28</v>
      </c>
      <c r="AG6" s="30" t="s">
        <v>29</v>
      </c>
      <c r="AH6" s="30" t="s">
        <v>30</v>
      </c>
      <c r="AI6" s="69" t="s">
        <v>37</v>
      </c>
      <c r="AJ6" s="52" t="s">
        <v>39</v>
      </c>
      <c r="AK6" s="53" t="s">
        <v>38</v>
      </c>
      <c r="AL6" s="36" t="s">
        <v>31</v>
      </c>
      <c r="AM6" t="s">
        <v>40</v>
      </c>
    </row>
    <row r="7" spans="1:39" ht="16.5" customHeight="1" x14ac:dyDescent="0.25">
      <c r="B7" s="27"/>
      <c r="C7" s="22" t="str">
        <f>IFERROR(VLOOKUP(PrezențăMartie[[#This Row],[ID elev]],ListăElevi[],18,FALSE),"")</f>
        <v/>
      </c>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6"/>
      <c r="AG7" s="3"/>
      <c r="AH7" s="3"/>
      <c r="AI7" s="37">
        <f>COUNTIF(PrezențăMartie[[#This Row],[1]:[31]],Cod_1)</f>
        <v>0</v>
      </c>
      <c r="AJ7" s="37">
        <f>COUNTIF(PrezențăMartie[[#This Row],[1]:[31]],Cod_2)</f>
        <v>0</v>
      </c>
      <c r="AK7" s="37">
        <f>COUNTIF(PrezențăMartie[[#This Row],[1]:[31]],Cod_3)</f>
        <v>0</v>
      </c>
      <c r="AL7" s="37">
        <f>COUNTIF(PrezențăMartie[[#This Row],[1]:[31]],Cod_4)</f>
        <v>0</v>
      </c>
      <c r="AM7" s="6">
        <f>SUM(PrezențăMartie[[#This Row],[M]:[N]])</f>
        <v>0</v>
      </c>
    </row>
    <row r="8" spans="1:39" ht="16.5" customHeight="1" x14ac:dyDescent="0.25">
      <c r="B8" s="27"/>
      <c r="C8" s="23" t="str">
        <f>IFERROR(VLOOKUP(PrezențăMartie[[#This Row],[ID elev]],ListăElevi[],18,FALSE),"")</f>
        <v/>
      </c>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6"/>
      <c r="AG8" s="3"/>
      <c r="AH8" s="3"/>
      <c r="AI8" s="37">
        <f>COUNTIF(PrezențăMartie[[#This Row],[1]:[31]],Cod_1)</f>
        <v>0</v>
      </c>
      <c r="AJ8" s="37">
        <f>COUNTIF(PrezențăMartie[[#This Row],[1]:[31]],Cod_2)</f>
        <v>0</v>
      </c>
      <c r="AK8" s="37">
        <f>COUNTIF(PrezențăMartie[[#This Row],[1]:[31]],Cod_3)</f>
        <v>0</v>
      </c>
      <c r="AL8" s="37">
        <f>COUNTIF(PrezențăMartie[[#This Row],[1]:[31]],Cod_4)</f>
        <v>0</v>
      </c>
      <c r="AM8" s="6">
        <f>SUM(PrezențăMartie[[#This Row],[M]:[N]])</f>
        <v>0</v>
      </c>
    </row>
    <row r="9" spans="1:39" ht="16.5" customHeight="1" x14ac:dyDescent="0.25">
      <c r="B9" s="27"/>
      <c r="C9" s="23" t="str">
        <f>IFERROR(VLOOKUP(PrezențăMartie[[#This Row],[ID elev]],ListăElevi[],18,FALSE),"")</f>
        <v/>
      </c>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6"/>
      <c r="AG9" s="3"/>
      <c r="AH9" s="3"/>
      <c r="AI9" s="37">
        <f>COUNTIF(PrezențăMartie[[#This Row],[1]:[31]],Cod_1)</f>
        <v>0</v>
      </c>
      <c r="AJ9" s="37">
        <f>COUNTIF(PrezențăMartie[[#This Row],[1]:[31]],Cod_2)</f>
        <v>0</v>
      </c>
      <c r="AK9" s="37">
        <f>COUNTIF(PrezențăMartie[[#This Row],[1]:[31]],Cod_3)</f>
        <v>0</v>
      </c>
      <c r="AL9" s="37">
        <f>COUNTIF(PrezențăMartie[[#This Row],[1]:[31]],Cod_4)</f>
        <v>0</v>
      </c>
      <c r="AM9" s="6">
        <f>SUM(PrezențăMartie[[#This Row],[M]:[N]])</f>
        <v>0</v>
      </c>
    </row>
    <row r="10" spans="1:39" ht="16.5" customHeight="1" x14ac:dyDescent="0.25">
      <c r="B10" s="27"/>
      <c r="C10" s="23" t="str">
        <f>IFERROR(VLOOKUP(PrezențăMartie[[#This Row],[ID elev]],ListăElevi[],18,FALSE),"")</f>
        <v/>
      </c>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6"/>
      <c r="AG10" s="3"/>
      <c r="AH10" s="3"/>
      <c r="AI10" s="37">
        <f>COUNTIF(PrezențăMartie[[#This Row],[1]:[31]],Cod_1)</f>
        <v>0</v>
      </c>
      <c r="AJ10" s="37">
        <f>COUNTIF(PrezențăMartie[[#This Row],[1]:[31]],Cod_2)</f>
        <v>0</v>
      </c>
      <c r="AK10" s="37">
        <f>COUNTIF(PrezențăMartie[[#This Row],[1]:[31]],Cod_3)</f>
        <v>0</v>
      </c>
      <c r="AL10" s="37">
        <f>COUNTIF(PrezențăMartie[[#This Row],[1]:[31]],Cod_4)</f>
        <v>0</v>
      </c>
      <c r="AM10" s="6">
        <f>SUM(PrezențăMartie[[#This Row],[M]:[N]])</f>
        <v>0</v>
      </c>
    </row>
    <row r="11" spans="1:39" ht="16.5" customHeight="1" x14ac:dyDescent="0.25">
      <c r="B11" s="27"/>
      <c r="C11" s="23" t="str">
        <f>IFERROR(VLOOKUP(PrezențăMartie[[#This Row],[ID elev]],ListăElevi[],18,FALSE),"")</f>
        <v/>
      </c>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6"/>
      <c r="AG11" s="3"/>
      <c r="AH11" s="3"/>
      <c r="AI11" s="37">
        <f>COUNTIF(PrezențăMartie[[#This Row],[1]:[31]],Cod_1)</f>
        <v>0</v>
      </c>
      <c r="AJ11" s="37">
        <f>COUNTIF(PrezențăMartie[[#This Row],[1]:[31]],Cod_2)</f>
        <v>0</v>
      </c>
      <c r="AK11" s="37">
        <f>COUNTIF(PrezențăMartie[[#This Row],[1]:[31]],Cod_3)</f>
        <v>0</v>
      </c>
      <c r="AL11" s="37">
        <f>COUNTIF(PrezențăMartie[[#This Row],[1]:[31]],Cod_4)</f>
        <v>0</v>
      </c>
      <c r="AM11" s="6">
        <f>SUM(PrezențăMartie[[#This Row],[M]:[N]])</f>
        <v>0</v>
      </c>
    </row>
    <row r="12" spans="1:39" ht="16.5" customHeight="1" x14ac:dyDescent="0.25">
      <c r="B12" s="140"/>
      <c r="C12" s="141" t="s">
        <v>119</v>
      </c>
      <c r="D12" s="142">
        <f>COUNTIF(PrezențăMartie[1],"N")+COUNTIF(PrezențăMartie[1],"M")</f>
        <v>0</v>
      </c>
      <c r="E12" s="142">
        <f>COUNTIF(PrezențăMartie[2],"N")+COUNTIF(PrezențăMartie[2],"M")</f>
        <v>0</v>
      </c>
      <c r="F12" s="142">
        <f>COUNTIF(PrezențăMartie[3],"N")+COUNTIF(PrezențăMartie[3],"M")</f>
        <v>0</v>
      </c>
      <c r="G12" s="142">
        <f>COUNTIF(PrezențăMartie[4],"N")+COUNTIF(PrezențăMartie[4],"M")</f>
        <v>0</v>
      </c>
      <c r="H12" s="142">
        <f>COUNTIF(PrezențăMartie[5],"N")+COUNTIF(PrezențăMartie[5],"M")</f>
        <v>0</v>
      </c>
      <c r="I12" s="142">
        <f>COUNTIF(PrezențăMartie[6],"N")+COUNTIF(PrezențăMartie[6],"M")</f>
        <v>0</v>
      </c>
      <c r="J12" s="142">
        <f>COUNTIF(PrezențăMartie[7],"N")+COUNTIF(PrezențăMartie[7],"M")</f>
        <v>0</v>
      </c>
      <c r="K12" s="142">
        <f>COUNTIF(PrezențăMartie[8],"N")+COUNTIF(PrezențăMartie[8],"M")</f>
        <v>0</v>
      </c>
      <c r="L12" s="142">
        <f>COUNTIF(PrezențăMartie[9],"N")+COUNTIF(PrezențăMartie[9],"M")</f>
        <v>0</v>
      </c>
      <c r="M12" s="142">
        <f>COUNTIF(PrezențăMartie[10],"N")+COUNTIF(PrezențăMartie[10],"M")</f>
        <v>0</v>
      </c>
      <c r="N12" s="142">
        <f>COUNTIF(PrezențăMartie[11],"N")+COUNTIF(PrezențăMartie[11],"M")</f>
        <v>0</v>
      </c>
      <c r="O12" s="142">
        <f>COUNTIF(PrezențăMartie[12],"N")+COUNTIF(PrezențăMartie[12],"M")</f>
        <v>0</v>
      </c>
      <c r="P12" s="142">
        <f>COUNTIF(PrezențăMartie[13],"N")+COUNTIF(PrezențăMartie[13],"M")</f>
        <v>0</v>
      </c>
      <c r="Q12" s="142">
        <f>COUNTIF(PrezențăMartie[14],"N")+COUNTIF(PrezențăMartie[14],"M")</f>
        <v>0</v>
      </c>
      <c r="R12" s="142">
        <f>COUNTIF(PrezențăMartie[15],"N")+COUNTIF(PrezențăMartie[15],"M")</f>
        <v>0</v>
      </c>
      <c r="S12" s="142">
        <f>COUNTIF(PrezențăMartie[16],"N")+COUNTIF(PrezențăMartie[16],"M")</f>
        <v>0</v>
      </c>
      <c r="T12" s="142">
        <f>COUNTIF(PrezențăMartie[17],"N")+COUNTIF(PrezențăMartie[17],"M")</f>
        <v>0</v>
      </c>
      <c r="U12" s="142">
        <f>COUNTIF(PrezențăMartie[18],"N")+COUNTIF(PrezențăMartie[18],"M")</f>
        <v>0</v>
      </c>
      <c r="V12" s="142">
        <f>COUNTIF(PrezențăMartie[19],"N")+COUNTIF(PrezențăMartie[19],"M")</f>
        <v>0</v>
      </c>
      <c r="W12" s="142">
        <f>COUNTIF(PrezențăMartie[20],"N")+COUNTIF(PrezențăMartie[20],"M")</f>
        <v>0</v>
      </c>
      <c r="X12" s="142">
        <f>COUNTIF(PrezențăMartie[21],"N")+COUNTIF(PrezențăMartie[21],"M")</f>
        <v>0</v>
      </c>
      <c r="Y12" s="142">
        <f>COUNTIF(PrezențăMartie[22],"N")+COUNTIF(PrezențăMartie[22],"M")</f>
        <v>0</v>
      </c>
      <c r="Z12" s="142">
        <f>COUNTIF(PrezențăMartie[23],"N")+COUNTIF(PrezențăMartie[23],"M")</f>
        <v>0</v>
      </c>
      <c r="AA12" s="142">
        <f>COUNTIF(PrezențăMartie[24],"N")+COUNTIF(PrezențăMartie[24],"M")</f>
        <v>0</v>
      </c>
      <c r="AB12" s="142">
        <f>COUNTIF(PrezențăMartie[25],"N")+COUNTIF(PrezențăMartie[25],"M")</f>
        <v>0</v>
      </c>
      <c r="AC12" s="142">
        <f>COUNTIF(PrezențăMartie[26],"N")+COUNTIF(PrezențăMartie[26],"M")</f>
        <v>0</v>
      </c>
      <c r="AD12" s="142">
        <f>COUNTIF(PrezențăMartie[27],"N")+COUNTIF(PrezențăMartie[27],"M")</f>
        <v>0</v>
      </c>
      <c r="AE12" s="142">
        <f>COUNTIF(PrezențăMartie[28],"N")+COUNTIF(PrezențăMartie[28],"M")</f>
        <v>0</v>
      </c>
      <c r="AF12" s="142">
        <f>COUNTIF(PrezențăMartie[29],"N")+COUNTIF(PrezențăMartie[29],"M")</f>
        <v>0</v>
      </c>
      <c r="AG12" s="142"/>
      <c r="AH12" s="142"/>
      <c r="AI12" s="142">
        <f>SUBTOTAL(109,PrezențăMartie[Î])</f>
        <v>0</v>
      </c>
      <c r="AJ12" s="142">
        <f>SUBTOTAL(109,PrezențăMartie[M])</f>
        <v>0</v>
      </c>
      <c r="AK12" s="142">
        <f>SUBTOTAL(109,PrezențăMartie[N])</f>
        <v>0</v>
      </c>
      <c r="AL12" s="142">
        <f>SUBTOTAL(109,PrezențăMartie[P])</f>
        <v>0</v>
      </c>
      <c r="AM12" s="142">
        <f>SUBTOTAL(109,PrezențăMartie[Zile de absență])</f>
        <v>0</v>
      </c>
    </row>
    <row r="14" spans="1:39" ht="16.5" customHeight="1" x14ac:dyDescent="0.25"/>
    <row r="15" spans="1:39" ht="16.5" customHeight="1" x14ac:dyDescent="0.25"/>
    <row r="16" spans="1:39"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sheetData>
  <sheetProtection formatCells="0" formatColumns="0" formatRows="0" insertColumns="0" insertRows="0" insertHyperlinks="0" deleteColumns="0" deleteRows="0" sort="0" autoFilter="0" pivotTables="0"/>
  <mergeCells count="1">
    <mergeCell ref="AI5:AM5"/>
  </mergeCells>
  <conditionalFormatting sqref="AM7:AM11">
    <cfRule type="dataBar" priority="1">
      <dataBar>
        <cfvo type="min"/>
        <cfvo type="num" val="DATEDIF(DATE(AnCalendar,2,1),DATE(AnCalendar,3,1),&quot;d&quot;)"/>
        <color theme="4"/>
      </dataBar>
      <extLst>
        <ext xmlns:x14="http://schemas.microsoft.com/office/spreadsheetml/2009/9/main" uri="{B025F937-C7B1-47D3-B67F-A62EFF666E3E}">
          <x14:id>{FE16E06C-E989-439D-8944-FBFC073CA68C}</x14:id>
        </ext>
      </extLst>
    </cfRule>
  </conditionalFormatting>
  <conditionalFormatting sqref="D7:AF11">
    <cfRule type="expression" dxfId="687" priority="2" stopIfTrue="1">
      <formula>D7=Cod_2</formula>
    </cfRule>
  </conditionalFormatting>
  <conditionalFormatting sqref="D7:AF11">
    <cfRule type="expression" dxfId="686" priority="3" stopIfTrue="1">
      <formula>D7=Cod_5</formula>
    </cfRule>
    <cfRule type="expression" dxfId="685" priority="4" stopIfTrue="1">
      <formula>D7=Cod_4</formula>
    </cfRule>
    <cfRule type="expression" dxfId="684" priority="5" stopIfTrue="1">
      <formula>D7=Cod_3</formula>
    </cfRule>
    <cfRule type="expression" dxfId="683" priority="6" stopIfTrue="1">
      <formula>D7=Cod_1</formula>
    </cfRule>
  </conditionalFormatting>
  <dataValidations count="1">
    <dataValidation type="list" errorStyle="warning" allowBlank="1" showInputMessage="1" showErrorMessage="1" errorTitle="Atenție!" error="ID-ul elev pe care l-ați introdus nu se află în foaia Listă elevi. Puteți să faceți clic pe Da pentru a utiliza ID-ul introdus, dar acel ID elev nu va fi disponibil pe foaia Raport prezență elev." sqref="B7:B11">
      <formula1>IDCursant</formula1>
    </dataValidation>
  </dataValidations>
  <printOptions horizontalCentered="1"/>
  <pageMargins left="0.5" right="0.5" top="0.75" bottom="0.75" header="0.3" footer="0.3"/>
  <pageSetup paperSize="9" scale="59" fitToHeight="0" orientation="landscape" verticalDpi="120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E16E06C-E989-439D-8944-FBFC073CA68C}">
            <x14:dataBar minLength="0" maxLength="100" border="1" negativeBarBorderColorSameAsPositive="0">
              <x14:cfvo type="autoMin"/>
              <x14:cfvo type="num">
                <xm:f>DATEDIF(DATE(AnCalendar,2,1),DATE(AnCalendar,3,1),"d")</xm:f>
              </x14:cfvo>
              <x14:borderColor theme="4"/>
              <x14:negativeFillColor rgb="FFFF0000"/>
              <x14:negativeBorderColor rgb="FFFF0000"/>
              <x14:axisColor rgb="FF000000"/>
            </x14:dataBar>
          </x14:cfRule>
          <xm:sqref>AM7:AM11</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M264"/>
  <sheetViews>
    <sheetView showGridLines="0" zoomScaleNormal="100" workbookViewId="0">
      <pane xSplit="3" ySplit="6" topLeftCell="D7" activePane="bottomRight" state="frozen"/>
      <selection pane="topRight"/>
      <selection pane="bottomLeft"/>
      <selection pane="bottomRight"/>
    </sheetView>
  </sheetViews>
  <sheetFormatPr defaultRowHeight="15" customHeight="1" x14ac:dyDescent="0.25"/>
  <cols>
    <col min="1" max="1" width="2.7109375" style="11" customWidth="1"/>
    <col min="2" max="2" width="10.85546875" style="11" customWidth="1"/>
    <col min="3" max="3" width="32.140625" style="12" bestFit="1" customWidth="1"/>
    <col min="4" max="34" width="5" style="10" customWidth="1"/>
    <col min="35" max="35" width="4.7109375" style="9" customWidth="1"/>
    <col min="36" max="36" width="4.7109375" style="10" customWidth="1"/>
    <col min="37" max="38" width="4.7109375" style="11" customWidth="1"/>
    <col min="39" max="39" width="15.140625" style="11" bestFit="1" customWidth="1"/>
    <col min="40" max="16384" width="9.140625" style="11"/>
  </cols>
  <sheetData>
    <row r="1" spans="1:39" s="1" customFormat="1" ht="42" customHeight="1" x14ac:dyDescent="0.25">
      <c r="A1" s="139" t="s">
        <v>88</v>
      </c>
      <c r="B1" s="38"/>
      <c r="C1" s="38"/>
      <c r="D1" s="39"/>
      <c r="E1" s="39"/>
      <c r="F1" s="39"/>
      <c r="G1" s="39"/>
      <c r="H1" s="39"/>
      <c r="I1" s="39"/>
      <c r="J1" s="39"/>
      <c r="K1" s="39"/>
      <c r="L1" s="39"/>
      <c r="M1" s="39"/>
      <c r="N1" s="39"/>
      <c r="O1" s="39"/>
      <c r="P1" s="39"/>
      <c r="Q1" s="39"/>
      <c r="R1" s="39"/>
      <c r="S1" s="39"/>
      <c r="T1" s="39"/>
      <c r="U1" s="39"/>
      <c r="V1" s="39"/>
      <c r="W1" s="39"/>
      <c r="X1" s="39"/>
      <c r="Y1" s="39"/>
      <c r="Z1" s="39"/>
      <c r="AA1" s="39"/>
      <c r="AB1" s="39"/>
      <c r="AC1" s="38"/>
      <c r="AD1" s="38"/>
      <c r="AE1" s="38"/>
      <c r="AF1" s="38"/>
      <c r="AG1" s="40"/>
      <c r="AH1" s="38"/>
      <c r="AI1" s="38"/>
      <c r="AJ1" s="41"/>
      <c r="AK1" s="38"/>
      <c r="AL1" s="138" t="s">
        <v>71</v>
      </c>
      <c r="AM1" s="57">
        <f>AnCalendar</f>
        <v>2012</v>
      </c>
    </row>
    <row r="2" spans="1:39" customFormat="1" ht="13.5" x14ac:dyDescent="0.25"/>
    <row r="3" spans="1:39" s="32" customFormat="1" ht="12.75" customHeight="1" x14ac:dyDescent="0.25">
      <c r="C3" s="44" t="str">
        <f>CheieCuloareText</f>
        <v>CHEIE CULORI</v>
      </c>
      <c r="D3" s="51" t="str">
        <f>Cod_1</f>
        <v>Î</v>
      </c>
      <c r="E3" s="67" t="str">
        <f>Cod1Text</f>
        <v>Întârziat</v>
      </c>
      <c r="F3" s="58"/>
      <c r="H3" s="52" t="str">
        <f>Cod_2</f>
        <v>M</v>
      </c>
      <c r="I3" s="56" t="str">
        <f>Cod2Text</f>
        <v>Motivat</v>
      </c>
      <c r="L3" s="53" t="str">
        <f>Cod_3</f>
        <v>N</v>
      </c>
      <c r="M3" s="56" t="str">
        <f>Cod3Text</f>
        <v>Nemotivat</v>
      </c>
      <c r="P3" s="54" t="str">
        <f>Cod_4</f>
        <v>P</v>
      </c>
      <c r="Q3" s="56" t="str">
        <f>Cod4Text</f>
        <v>Prezent</v>
      </c>
      <c r="T3" s="55" t="str">
        <f>Cod_5</f>
        <v>Nu</v>
      </c>
      <c r="U3" s="56" t="str">
        <f>Cod5Text</f>
        <v>Nu a fost la școală</v>
      </c>
      <c r="W3"/>
      <c r="X3"/>
      <c r="Y3"/>
      <c r="AD3" s="31"/>
      <c r="AE3" s="31"/>
      <c r="AH3" s="33"/>
      <c r="AI3" s="34"/>
      <c r="AK3" s="35"/>
    </row>
    <row r="4" spans="1:39" customFormat="1" ht="16.5" customHeight="1" x14ac:dyDescent="0.25"/>
    <row r="5" spans="1:39" s="2" customFormat="1" ht="18" customHeight="1" x14ac:dyDescent="0.3">
      <c r="B5" s="60">
        <f>DATE(AnCalendar+1,4,1)</f>
        <v>41365</v>
      </c>
      <c r="C5" s="59"/>
      <c r="D5" s="42" t="str">
        <f>TEXT(WEEKDAY(DATE(AnCalendar+1,4,1),1),"aaa")</f>
        <v>L</v>
      </c>
      <c r="E5" s="42" t="str">
        <f>TEXT(WEEKDAY(DATE(AnCalendar+1,4,2),1),"aaa")</f>
        <v>Ma</v>
      </c>
      <c r="F5" s="42" t="str">
        <f>TEXT(WEEKDAY(DATE(AnCalendar+1,4,3),1),"aaa")</f>
        <v>Mi</v>
      </c>
      <c r="G5" s="42" t="str">
        <f>TEXT(WEEKDAY(DATE(AnCalendar+1,4,4),1),"aaa")</f>
        <v>J</v>
      </c>
      <c r="H5" s="42" t="str">
        <f>TEXT(WEEKDAY(DATE(AnCalendar+1,4,5),1),"aaa")</f>
        <v>V</v>
      </c>
      <c r="I5" s="42" t="str">
        <f>TEXT(WEEKDAY(DATE(AnCalendar+1,4,6),1),"aaa")</f>
        <v>S</v>
      </c>
      <c r="J5" s="42" t="str">
        <f>TEXT(WEEKDAY(DATE(AnCalendar+1,4,7),1),"aaa")</f>
        <v>D</v>
      </c>
      <c r="K5" s="42" t="str">
        <f>TEXT(WEEKDAY(DATE(AnCalendar+1,4,8),1),"aaa")</f>
        <v>L</v>
      </c>
      <c r="L5" s="42" t="str">
        <f>TEXT(WEEKDAY(DATE(AnCalendar+1,4,9),1),"aaa")</f>
        <v>Ma</v>
      </c>
      <c r="M5" s="42" t="str">
        <f>TEXT(WEEKDAY(DATE(AnCalendar+1,4,10),1),"aaa")</f>
        <v>Mi</v>
      </c>
      <c r="N5" s="42" t="str">
        <f>TEXT(WEEKDAY(DATE(AnCalendar+1,4,11),1),"aaa")</f>
        <v>J</v>
      </c>
      <c r="O5" s="42" t="str">
        <f>TEXT(WEEKDAY(DATE(AnCalendar+1,4,12),1),"aaa")</f>
        <v>V</v>
      </c>
      <c r="P5" s="42" t="str">
        <f>TEXT(WEEKDAY(DATE(AnCalendar+1,4,13),1),"aaa")</f>
        <v>S</v>
      </c>
      <c r="Q5" s="42" t="str">
        <f>TEXT(WEEKDAY(DATE(AnCalendar+1,4,14),1),"aaa")</f>
        <v>D</v>
      </c>
      <c r="R5" s="42" t="str">
        <f>TEXT(WEEKDAY(DATE(AnCalendar+1,4,15),1),"aaa")</f>
        <v>L</v>
      </c>
      <c r="S5" s="42" t="str">
        <f>TEXT(WEEKDAY(DATE(AnCalendar+1,4,16),1),"aaa")</f>
        <v>Ma</v>
      </c>
      <c r="T5" s="42" t="str">
        <f>TEXT(WEEKDAY(DATE(AnCalendar+1,4,17),1),"aaa")</f>
        <v>Mi</v>
      </c>
      <c r="U5" s="42" t="str">
        <f>TEXT(WEEKDAY(DATE(AnCalendar+1,4,18),1),"aaa")</f>
        <v>J</v>
      </c>
      <c r="V5" s="42" t="str">
        <f>TEXT(WEEKDAY(DATE(AnCalendar+1,4,19),1),"aaa")</f>
        <v>V</v>
      </c>
      <c r="W5" s="42" t="str">
        <f>TEXT(WEEKDAY(DATE(AnCalendar+1,4,20),1),"aaa")</f>
        <v>S</v>
      </c>
      <c r="X5" s="42" t="str">
        <f>TEXT(WEEKDAY(DATE(AnCalendar+1,4,21),1),"aaa")</f>
        <v>D</v>
      </c>
      <c r="Y5" s="42" t="str">
        <f>TEXT(WEEKDAY(DATE(AnCalendar+1,4,22),1),"aaa")</f>
        <v>L</v>
      </c>
      <c r="Z5" s="42" t="str">
        <f>TEXT(WEEKDAY(DATE(AnCalendar+1,4,23),1),"aaa")</f>
        <v>Ma</v>
      </c>
      <c r="AA5" s="42" t="str">
        <f>TEXT(WEEKDAY(DATE(AnCalendar+1,4,24),1),"aaa")</f>
        <v>Mi</v>
      </c>
      <c r="AB5" s="42" t="str">
        <f>TEXT(WEEKDAY(DATE(AnCalendar+1,4,25),1),"aaa")</f>
        <v>J</v>
      </c>
      <c r="AC5" s="42" t="str">
        <f>TEXT(WEEKDAY(DATE(AnCalendar+1,4,26),1),"aaa")</f>
        <v>V</v>
      </c>
      <c r="AD5" s="42" t="str">
        <f>TEXT(WEEKDAY(DATE(AnCalendar+1,4,27),1),"aaa")</f>
        <v>S</v>
      </c>
      <c r="AE5" s="42" t="str">
        <f>TEXT(WEEKDAY(DATE(AnCalendar+1,4,28),1),"aaa")</f>
        <v>D</v>
      </c>
      <c r="AF5" s="42" t="str">
        <f>TEXT(WEEKDAY(DATE(AnCalendar+1,4,29),1),"aaa")</f>
        <v>L</v>
      </c>
      <c r="AG5" s="42" t="str">
        <f>TEXT(WEEKDAY(DATE(AnCalendar+1,4,30),1),"aaa")</f>
        <v>Ma</v>
      </c>
      <c r="AH5" s="42"/>
      <c r="AI5" s="116" t="s">
        <v>41</v>
      </c>
      <c r="AJ5" s="116"/>
      <c r="AK5" s="116"/>
      <c r="AL5" s="116"/>
      <c r="AM5" s="116"/>
    </row>
    <row r="6" spans="1:39" ht="14.25" customHeight="1" x14ac:dyDescent="0.25">
      <c r="B6" s="28" t="s">
        <v>34</v>
      </c>
      <c r="C6" s="29" t="s">
        <v>36</v>
      </c>
      <c r="D6" s="30" t="s">
        <v>0</v>
      </c>
      <c r="E6" s="30" t="s">
        <v>1</v>
      </c>
      <c r="F6" s="30" t="s">
        <v>2</v>
      </c>
      <c r="G6" s="30" t="s">
        <v>3</v>
      </c>
      <c r="H6" s="30" t="s">
        <v>4</v>
      </c>
      <c r="I6" s="30" t="s">
        <v>5</v>
      </c>
      <c r="J6" s="30" t="s">
        <v>6</v>
      </c>
      <c r="K6" s="30" t="s">
        <v>7</v>
      </c>
      <c r="L6" s="30" t="s">
        <v>8</v>
      </c>
      <c r="M6" s="30" t="s">
        <v>9</v>
      </c>
      <c r="N6" s="30" t="s">
        <v>10</v>
      </c>
      <c r="O6" s="30" t="s">
        <v>11</v>
      </c>
      <c r="P6" s="30" t="s">
        <v>12</v>
      </c>
      <c r="Q6" s="30" t="s">
        <v>13</v>
      </c>
      <c r="R6" s="30" t="s">
        <v>14</v>
      </c>
      <c r="S6" s="30" t="s">
        <v>15</v>
      </c>
      <c r="T6" s="30" t="s">
        <v>16</v>
      </c>
      <c r="U6" s="30" t="s">
        <v>17</v>
      </c>
      <c r="V6" s="30" t="s">
        <v>18</v>
      </c>
      <c r="W6" s="30" t="s">
        <v>19</v>
      </c>
      <c r="X6" s="30" t="s">
        <v>20</v>
      </c>
      <c r="Y6" s="30" t="s">
        <v>21</v>
      </c>
      <c r="Z6" s="30" t="s">
        <v>22</v>
      </c>
      <c r="AA6" s="30" t="s">
        <v>23</v>
      </c>
      <c r="AB6" s="30" t="s">
        <v>24</v>
      </c>
      <c r="AC6" s="30" t="s">
        <v>25</v>
      </c>
      <c r="AD6" s="30" t="s">
        <v>26</v>
      </c>
      <c r="AE6" s="30" t="s">
        <v>27</v>
      </c>
      <c r="AF6" s="30" t="s">
        <v>28</v>
      </c>
      <c r="AG6" s="30" t="s">
        <v>29</v>
      </c>
      <c r="AH6" s="30" t="s">
        <v>118</v>
      </c>
      <c r="AI6" s="69" t="s">
        <v>37</v>
      </c>
      <c r="AJ6" s="52" t="s">
        <v>39</v>
      </c>
      <c r="AK6" s="53" t="s">
        <v>38</v>
      </c>
      <c r="AL6" s="36" t="s">
        <v>31</v>
      </c>
      <c r="AM6" t="s">
        <v>40</v>
      </c>
    </row>
    <row r="7" spans="1:39" ht="16.5" customHeight="1" x14ac:dyDescent="0.25">
      <c r="B7" s="27"/>
      <c r="C7" s="22" t="str">
        <f>IFERROR(VLOOKUP(PrezențăAprilie[[#This Row],[ID elev]],ListăElevi[],18,FALSE),"")</f>
        <v/>
      </c>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6"/>
      <c r="AG7" s="3"/>
      <c r="AH7" s="3"/>
      <c r="AI7" s="37">
        <f>COUNTIF(PrezențăAprilie[[#This Row],[1]:[ ]],Cod_1)</f>
        <v>0</v>
      </c>
      <c r="AJ7" s="37">
        <f>COUNTIF(PrezențăAprilie[[#This Row],[1]:[ ]],Cod_2)</f>
        <v>0</v>
      </c>
      <c r="AK7" s="37">
        <f>COUNTIF(PrezențăAprilie[[#This Row],[1]:[ ]],Cod_3)</f>
        <v>0</v>
      </c>
      <c r="AL7" s="37">
        <f>COUNTIF(PrezențăAprilie[[#This Row],[1]:[ ]],Cod_4)</f>
        <v>0</v>
      </c>
      <c r="AM7" s="6">
        <f>SUM(PrezențăAprilie[[#This Row],[M]:[N]])</f>
        <v>0</v>
      </c>
    </row>
    <row r="8" spans="1:39" ht="16.5" customHeight="1" x14ac:dyDescent="0.25">
      <c r="B8" s="27"/>
      <c r="C8" s="23" t="str">
        <f>IFERROR(VLOOKUP(PrezențăAprilie[[#This Row],[ID elev]],ListăElevi[],18,FALSE),"")</f>
        <v/>
      </c>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6"/>
      <c r="AG8" s="3"/>
      <c r="AH8" s="3"/>
      <c r="AI8" s="37">
        <f>COUNTIF(PrezențăAprilie[[#This Row],[1]:[ ]],Cod_1)</f>
        <v>0</v>
      </c>
      <c r="AJ8" s="37">
        <f>COUNTIF(PrezențăAprilie[[#This Row],[1]:[ ]],Cod_2)</f>
        <v>0</v>
      </c>
      <c r="AK8" s="37">
        <f>COUNTIF(PrezențăAprilie[[#This Row],[1]:[ ]],Cod_3)</f>
        <v>0</v>
      </c>
      <c r="AL8" s="37">
        <f>COUNTIF(PrezențăAprilie[[#This Row],[1]:[ ]],Cod_4)</f>
        <v>0</v>
      </c>
      <c r="AM8" s="6">
        <f>SUM(PrezențăAprilie[[#This Row],[M]:[N]])</f>
        <v>0</v>
      </c>
    </row>
    <row r="9" spans="1:39" ht="16.5" customHeight="1" x14ac:dyDescent="0.25">
      <c r="B9" s="27"/>
      <c r="C9" s="23" t="str">
        <f>IFERROR(VLOOKUP(PrezențăAprilie[[#This Row],[ID elev]],ListăElevi[],18,FALSE),"")</f>
        <v/>
      </c>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6"/>
      <c r="AG9" s="3"/>
      <c r="AH9" s="3"/>
      <c r="AI9" s="37">
        <f>COUNTIF(PrezențăAprilie[[#This Row],[1]:[ ]],Cod_1)</f>
        <v>0</v>
      </c>
      <c r="AJ9" s="37">
        <f>COUNTIF(PrezențăAprilie[[#This Row],[1]:[ ]],Cod_2)</f>
        <v>0</v>
      </c>
      <c r="AK9" s="37">
        <f>COUNTIF(PrezențăAprilie[[#This Row],[1]:[ ]],Cod_3)</f>
        <v>0</v>
      </c>
      <c r="AL9" s="37">
        <f>COUNTIF(PrezențăAprilie[[#This Row],[1]:[ ]],Cod_4)</f>
        <v>0</v>
      </c>
      <c r="AM9" s="6">
        <f>SUM(PrezențăAprilie[[#This Row],[M]:[N]])</f>
        <v>0</v>
      </c>
    </row>
    <row r="10" spans="1:39" ht="16.5" customHeight="1" x14ac:dyDescent="0.25">
      <c r="B10" s="27"/>
      <c r="C10" s="23" t="str">
        <f>IFERROR(VLOOKUP(PrezențăAprilie[[#This Row],[ID elev]],ListăElevi[],18,FALSE),"")</f>
        <v/>
      </c>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6"/>
      <c r="AG10" s="3"/>
      <c r="AH10" s="3"/>
      <c r="AI10" s="37">
        <f>COUNTIF(PrezențăAprilie[[#This Row],[1]:[ ]],Cod_1)</f>
        <v>0</v>
      </c>
      <c r="AJ10" s="37">
        <f>COUNTIF(PrezențăAprilie[[#This Row],[1]:[ ]],Cod_2)</f>
        <v>0</v>
      </c>
      <c r="AK10" s="37">
        <f>COUNTIF(PrezențăAprilie[[#This Row],[1]:[ ]],Cod_3)</f>
        <v>0</v>
      </c>
      <c r="AL10" s="37">
        <f>COUNTIF(PrezențăAprilie[[#This Row],[1]:[ ]],Cod_4)</f>
        <v>0</v>
      </c>
      <c r="AM10" s="6">
        <f>SUM(PrezențăAprilie[[#This Row],[M]:[N]])</f>
        <v>0</v>
      </c>
    </row>
    <row r="11" spans="1:39" ht="16.5" customHeight="1" x14ac:dyDescent="0.25">
      <c r="B11" s="27"/>
      <c r="C11" s="23" t="str">
        <f>IFERROR(VLOOKUP(PrezențăAprilie[[#This Row],[ID elev]],ListăElevi[],18,FALSE),"")</f>
        <v/>
      </c>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6"/>
      <c r="AG11" s="3"/>
      <c r="AH11" s="3"/>
      <c r="AI11" s="37">
        <f>COUNTIF(PrezențăAprilie[[#This Row],[1]:[ ]],Cod_1)</f>
        <v>0</v>
      </c>
      <c r="AJ11" s="37">
        <f>COUNTIF(PrezențăAprilie[[#This Row],[1]:[ ]],Cod_2)</f>
        <v>0</v>
      </c>
      <c r="AK11" s="37">
        <f>COUNTIF(PrezențăAprilie[[#This Row],[1]:[ ]],Cod_3)</f>
        <v>0</v>
      </c>
      <c r="AL11" s="37">
        <f>COUNTIF(PrezențăAprilie[[#This Row],[1]:[ ]],Cod_4)</f>
        <v>0</v>
      </c>
      <c r="AM11" s="6">
        <f>SUM(PrezențăAprilie[[#This Row],[M]:[N]])</f>
        <v>0</v>
      </c>
    </row>
    <row r="12" spans="1:39" ht="16.5" customHeight="1" x14ac:dyDescent="0.25">
      <c r="B12" s="140"/>
      <c r="C12" s="141" t="s">
        <v>119</v>
      </c>
      <c r="D12" s="142">
        <f>COUNTIF(PrezențăAprilie[1],"N")+COUNTIF(PrezențăAprilie[1],"M")</f>
        <v>0</v>
      </c>
      <c r="E12" s="142">
        <f>COUNTIF(PrezențăAprilie[2],"N")+COUNTIF(PrezențăAprilie[2],"M")</f>
        <v>0</v>
      </c>
      <c r="F12" s="142">
        <f>COUNTIF(PrezențăAprilie[3],"N")+COUNTIF(PrezențăAprilie[3],"M")</f>
        <v>0</v>
      </c>
      <c r="G12" s="142">
        <f>COUNTIF(PrezențăAprilie[4],"N")+COUNTIF(PrezențăAprilie[4],"M")</f>
        <v>0</v>
      </c>
      <c r="H12" s="142">
        <f>COUNTIF(PrezențăAprilie[5],"N")+COUNTIF(PrezențăAprilie[5],"M")</f>
        <v>0</v>
      </c>
      <c r="I12" s="142">
        <f>COUNTIF(PrezențăAprilie[6],"N")+COUNTIF(PrezențăAprilie[6],"M")</f>
        <v>0</v>
      </c>
      <c r="J12" s="142">
        <f>COUNTIF(PrezențăAprilie[7],"N")+COUNTIF(PrezențăAprilie[7],"M")</f>
        <v>0</v>
      </c>
      <c r="K12" s="142">
        <f>COUNTIF(PrezențăAprilie[8],"N")+COUNTIF(PrezențăAprilie[8],"M")</f>
        <v>0</v>
      </c>
      <c r="L12" s="142">
        <f>COUNTIF(PrezențăAprilie[9],"N")+COUNTIF(PrezențăAprilie[9],"M")</f>
        <v>0</v>
      </c>
      <c r="M12" s="142">
        <f>COUNTIF(PrezențăAprilie[10],"N")+COUNTIF(PrezențăAprilie[10],"M")</f>
        <v>0</v>
      </c>
      <c r="N12" s="142">
        <f>COUNTIF(PrezențăAprilie[11],"N")+COUNTIF(PrezențăAprilie[11],"M")</f>
        <v>0</v>
      </c>
      <c r="O12" s="142">
        <f>COUNTIF(PrezențăAprilie[12],"N")+COUNTIF(PrezențăAprilie[12],"M")</f>
        <v>0</v>
      </c>
      <c r="P12" s="142">
        <f>COUNTIF(PrezențăAprilie[13],"N")+COUNTIF(PrezențăAprilie[13],"M")</f>
        <v>0</v>
      </c>
      <c r="Q12" s="142">
        <f>COUNTIF(PrezențăAprilie[14],"N")+COUNTIF(PrezențăAprilie[14],"M")</f>
        <v>0</v>
      </c>
      <c r="R12" s="142">
        <f>COUNTIF(PrezențăAprilie[15],"N")+COUNTIF(PrezențăAprilie[15],"M")</f>
        <v>0</v>
      </c>
      <c r="S12" s="142">
        <f>COUNTIF(PrezențăAprilie[16],"N")+COUNTIF(PrezențăAprilie[16],"M")</f>
        <v>0</v>
      </c>
      <c r="T12" s="142">
        <f>COUNTIF(PrezențăAprilie[17],"N")+COUNTIF(PrezențăAprilie[17],"M")</f>
        <v>0</v>
      </c>
      <c r="U12" s="142">
        <f>COUNTIF(PrezențăAprilie[18],"N")+COUNTIF(PrezențăAprilie[18],"M")</f>
        <v>0</v>
      </c>
      <c r="V12" s="142">
        <f>COUNTIF(PrezențăAprilie[19],"N")+COUNTIF(PrezențăAprilie[19],"M")</f>
        <v>0</v>
      </c>
      <c r="W12" s="142">
        <f>COUNTIF(PrezențăAprilie[20],"N")+COUNTIF(PrezențăAprilie[20],"M")</f>
        <v>0</v>
      </c>
      <c r="X12" s="142">
        <f>COUNTIF(PrezențăAprilie[21],"N")+COUNTIF(PrezențăAprilie[21],"M")</f>
        <v>0</v>
      </c>
      <c r="Y12" s="142">
        <f>COUNTIF(PrezențăAprilie[22],"N")+COUNTIF(PrezențăAprilie[22],"M")</f>
        <v>0</v>
      </c>
      <c r="Z12" s="142">
        <f>COUNTIF(PrezențăAprilie[23],"N")+COUNTIF(PrezențăAprilie[23],"M")</f>
        <v>0</v>
      </c>
      <c r="AA12" s="142">
        <f>COUNTIF(PrezențăAprilie[24],"N")+COUNTIF(PrezențăAprilie[24],"M")</f>
        <v>0</v>
      </c>
      <c r="AB12" s="142">
        <f>COUNTIF(PrezențăAprilie[25],"N")+COUNTIF(PrezențăAprilie[25],"M")</f>
        <v>0</v>
      </c>
      <c r="AC12" s="142">
        <f>COUNTIF(PrezențăAprilie[26],"N")+COUNTIF(PrezențăAprilie[26],"M")</f>
        <v>0</v>
      </c>
      <c r="AD12" s="142">
        <f>COUNTIF(PrezențăAprilie[27],"N")+COUNTIF(PrezențăAprilie[27],"M")</f>
        <v>0</v>
      </c>
      <c r="AE12" s="142">
        <f>COUNTIF(PrezențăAprilie[28],"N")+COUNTIF(PrezențăAprilie[28],"M")</f>
        <v>0</v>
      </c>
      <c r="AF12" s="142">
        <f>COUNTIF(PrezențăAprilie[29],"N")+COUNTIF(PrezențăAprilie[29],"M")</f>
        <v>0</v>
      </c>
      <c r="AG12" s="142"/>
      <c r="AH12" s="142"/>
      <c r="AI12" s="142">
        <f>SUBTOTAL(109,PrezențăAprilie[Î])</f>
        <v>0</v>
      </c>
      <c r="AJ12" s="142">
        <f>SUBTOTAL(109,PrezențăAprilie[M])</f>
        <v>0</v>
      </c>
      <c r="AK12" s="142">
        <f>SUBTOTAL(109,PrezențăAprilie[N])</f>
        <v>0</v>
      </c>
      <c r="AL12" s="142">
        <f>SUBTOTAL(109,PrezențăAprilie[P])</f>
        <v>0</v>
      </c>
      <c r="AM12" s="142">
        <f>SUBTOTAL(109,PrezențăAprilie[Zile de absență])</f>
        <v>0</v>
      </c>
    </row>
    <row r="14" spans="1:39" ht="16.5" customHeight="1" x14ac:dyDescent="0.25"/>
    <row r="15" spans="1:39" ht="16.5" customHeight="1" x14ac:dyDescent="0.25"/>
    <row r="16" spans="1:39"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sheetData>
  <sheetProtection formatCells="0" formatColumns="0" formatRows="0" insertColumns="0" insertRows="0" insertHyperlinks="0" deleteColumns="0" deleteRows="0" sort="0" autoFilter="0" pivotTables="0"/>
  <mergeCells count="1">
    <mergeCell ref="AI5:AM5"/>
  </mergeCells>
  <conditionalFormatting sqref="AM7:AM11">
    <cfRule type="dataBar" priority="1">
      <dataBar>
        <cfvo type="min"/>
        <cfvo type="num" val="DATEDIF(DATE(AnCalendar,2,1),DATE(AnCalendar,3,1),&quot;d&quot;)"/>
        <color theme="4"/>
      </dataBar>
      <extLst>
        <ext xmlns:x14="http://schemas.microsoft.com/office/spreadsheetml/2009/9/main" uri="{B025F937-C7B1-47D3-B67F-A62EFF666E3E}">
          <x14:id>{9FD523D2-45CA-45DA-93F8-59B772F50C00}</x14:id>
        </ext>
      </extLst>
    </cfRule>
  </conditionalFormatting>
  <conditionalFormatting sqref="D7:AF11">
    <cfRule type="expression" dxfId="642" priority="2" stopIfTrue="1">
      <formula>D7=Cod_2</formula>
    </cfRule>
  </conditionalFormatting>
  <conditionalFormatting sqref="D7:AF11">
    <cfRule type="expression" dxfId="641" priority="3" stopIfTrue="1">
      <formula>D7=Cod_5</formula>
    </cfRule>
    <cfRule type="expression" dxfId="640" priority="4" stopIfTrue="1">
      <formula>D7=Cod_4</formula>
    </cfRule>
    <cfRule type="expression" dxfId="639" priority="5" stopIfTrue="1">
      <formula>D7=Cod_3</formula>
    </cfRule>
    <cfRule type="expression" dxfId="638" priority="6" stopIfTrue="1">
      <formula>D7=Cod_1</formula>
    </cfRule>
  </conditionalFormatting>
  <dataValidations count="1">
    <dataValidation type="list" errorStyle="warning" allowBlank="1" showInputMessage="1" showErrorMessage="1" errorTitle="Atenție!" error="ID-ul elev pe care l-ați introdus nu se află în foaia Listă elevi. Puteți să faceți clic pe Da pentru a utiliza ID-ul introdus, dar acel ID elev nu va fi disponibil pe foaia Raport prezență elev." sqref="B7:B11">
      <formula1>IDCursant</formula1>
    </dataValidation>
  </dataValidations>
  <printOptions horizontalCentered="1"/>
  <pageMargins left="0.5" right="0.5" top="0.75" bottom="0.75" header="0.3" footer="0.3"/>
  <pageSetup paperSize="9" scale="59" fitToHeight="0" orientation="landscape" verticalDpi="120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FD523D2-45CA-45DA-93F8-59B772F50C00}">
            <x14:dataBar minLength="0" maxLength="100" border="1" negativeBarBorderColorSameAsPositive="0">
              <x14:cfvo type="autoMin"/>
              <x14:cfvo type="num">
                <xm:f>DATEDIF(DATE(AnCalendar,2,1),DATE(AnCalendar,3,1),"d")</xm:f>
              </x14:cfvo>
              <x14:borderColor theme="4"/>
              <x14:negativeFillColor rgb="FFFF0000"/>
              <x14:negativeBorderColor rgb="FFFF0000"/>
              <x14:axisColor rgb="FF000000"/>
            </x14:dataBar>
          </x14:cfRule>
          <xm:sqref>AM7:AM11</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M264"/>
  <sheetViews>
    <sheetView showGridLines="0" zoomScaleNormal="100" workbookViewId="0">
      <pane xSplit="3" ySplit="6" topLeftCell="D7" activePane="bottomRight" state="frozen"/>
      <selection pane="topRight"/>
      <selection pane="bottomLeft"/>
      <selection pane="bottomRight"/>
    </sheetView>
  </sheetViews>
  <sheetFormatPr defaultRowHeight="15" customHeight="1" x14ac:dyDescent="0.25"/>
  <cols>
    <col min="1" max="1" width="2.7109375" style="11" customWidth="1"/>
    <col min="2" max="2" width="10.85546875" style="11" customWidth="1"/>
    <col min="3" max="3" width="32.140625" style="12" bestFit="1" customWidth="1"/>
    <col min="4" max="34" width="5" style="10" customWidth="1"/>
    <col min="35" max="35" width="4.7109375" style="9" customWidth="1"/>
    <col min="36" max="36" width="4.7109375" style="10" customWidth="1"/>
    <col min="37" max="38" width="4.7109375" style="11" customWidth="1"/>
    <col min="39" max="39" width="15.140625" style="11" bestFit="1" customWidth="1"/>
    <col min="40" max="16384" width="9.140625" style="11"/>
  </cols>
  <sheetData>
    <row r="1" spans="1:39" s="1" customFormat="1" ht="42" customHeight="1" x14ac:dyDescent="0.25">
      <c r="A1" s="139" t="s">
        <v>88</v>
      </c>
      <c r="B1" s="38"/>
      <c r="C1" s="38"/>
      <c r="D1" s="39"/>
      <c r="E1" s="39"/>
      <c r="F1" s="39"/>
      <c r="G1" s="39"/>
      <c r="H1" s="39"/>
      <c r="I1" s="39"/>
      <c r="J1" s="39"/>
      <c r="K1" s="39"/>
      <c r="L1" s="39"/>
      <c r="M1" s="39"/>
      <c r="N1" s="39"/>
      <c r="O1" s="39"/>
      <c r="P1" s="39"/>
      <c r="Q1" s="39"/>
      <c r="R1" s="39"/>
      <c r="S1" s="39"/>
      <c r="T1" s="39"/>
      <c r="U1" s="39"/>
      <c r="V1" s="39"/>
      <c r="W1" s="39"/>
      <c r="X1" s="39"/>
      <c r="Y1" s="39"/>
      <c r="Z1" s="39"/>
      <c r="AA1" s="39"/>
      <c r="AB1" s="39"/>
      <c r="AC1" s="38"/>
      <c r="AD1" s="38"/>
      <c r="AE1" s="38"/>
      <c r="AF1" s="38"/>
      <c r="AG1" s="40"/>
      <c r="AH1" s="38"/>
      <c r="AI1" s="38"/>
      <c r="AJ1" s="41"/>
      <c r="AK1" s="38"/>
      <c r="AL1" s="138" t="s">
        <v>71</v>
      </c>
      <c r="AM1" s="57">
        <f>AnCalendar</f>
        <v>2012</v>
      </c>
    </row>
    <row r="2" spans="1:39" customFormat="1" ht="13.5" x14ac:dyDescent="0.25"/>
    <row r="3" spans="1:39" s="32" customFormat="1" ht="12.75" customHeight="1" x14ac:dyDescent="0.25">
      <c r="C3" s="44" t="str">
        <f>CheieCuloareText</f>
        <v>CHEIE CULORI</v>
      </c>
      <c r="D3" s="51" t="str">
        <f>Cod_1</f>
        <v>Î</v>
      </c>
      <c r="E3" s="67" t="str">
        <f>Cod1Text</f>
        <v>Întârziat</v>
      </c>
      <c r="F3" s="58"/>
      <c r="H3" s="52" t="str">
        <f>Cod_2</f>
        <v>M</v>
      </c>
      <c r="I3" s="56" t="str">
        <f>Cod2Text</f>
        <v>Motivat</v>
      </c>
      <c r="L3" s="53" t="str">
        <f>Cod_3</f>
        <v>N</v>
      </c>
      <c r="M3" s="56" t="str">
        <f>Cod3Text</f>
        <v>Nemotivat</v>
      </c>
      <c r="P3" s="54" t="str">
        <f>Cod_4</f>
        <v>P</v>
      </c>
      <c r="Q3" s="56" t="str">
        <f>Cod4Text</f>
        <v>Prezent</v>
      </c>
      <c r="T3" s="55" t="str">
        <f>Cod_5</f>
        <v>Nu</v>
      </c>
      <c r="U3" s="56" t="str">
        <f>Cod5Text</f>
        <v>Nu a fost la școală</v>
      </c>
      <c r="W3"/>
      <c r="X3"/>
      <c r="Y3"/>
      <c r="AD3" s="31"/>
      <c r="AE3" s="31"/>
      <c r="AH3" s="33"/>
      <c r="AI3" s="34"/>
      <c r="AK3" s="35"/>
    </row>
    <row r="4" spans="1:39" customFormat="1" ht="16.5" customHeight="1" x14ac:dyDescent="0.25"/>
    <row r="5" spans="1:39" s="2" customFormat="1" ht="18" customHeight="1" x14ac:dyDescent="0.3">
      <c r="B5" s="60">
        <f>DATE(AnCalendar+1,5,1)</f>
        <v>41395</v>
      </c>
      <c r="C5" s="59"/>
      <c r="D5" s="42" t="str">
        <f>TEXT(WEEKDAY(DATE(AnCalendar+1,5,1),1),"aaa")</f>
        <v>Mi</v>
      </c>
      <c r="E5" s="42" t="str">
        <f>TEXT(WEEKDAY(DATE(AnCalendar+1,5,2),1),"aaa")</f>
        <v>J</v>
      </c>
      <c r="F5" s="42" t="str">
        <f>TEXT(WEEKDAY(DATE(AnCalendar+1,5,3),1),"aaa")</f>
        <v>V</v>
      </c>
      <c r="G5" s="42" t="str">
        <f>TEXT(WEEKDAY(DATE(AnCalendar+1,5,4),1),"aaa")</f>
        <v>S</v>
      </c>
      <c r="H5" s="42" t="str">
        <f>TEXT(WEEKDAY(DATE(AnCalendar+1,5,5),1),"aaa")</f>
        <v>D</v>
      </c>
      <c r="I5" s="42" t="str">
        <f>TEXT(WEEKDAY(DATE(AnCalendar+1,5,6),1),"aaa")</f>
        <v>L</v>
      </c>
      <c r="J5" s="42" t="str">
        <f>TEXT(WEEKDAY(DATE(AnCalendar+1,5,7),1),"aaa")</f>
        <v>Ma</v>
      </c>
      <c r="K5" s="42" t="str">
        <f>TEXT(WEEKDAY(DATE(AnCalendar+1,5,8),1),"aaa")</f>
        <v>Mi</v>
      </c>
      <c r="L5" s="42" t="str">
        <f>TEXT(WEEKDAY(DATE(AnCalendar+1,5,9),1),"aaa")</f>
        <v>J</v>
      </c>
      <c r="M5" s="42" t="str">
        <f>TEXT(WEEKDAY(DATE(AnCalendar+1,5,10),1),"aaa")</f>
        <v>V</v>
      </c>
      <c r="N5" s="42" t="str">
        <f>TEXT(WEEKDAY(DATE(AnCalendar+1,5,11),1),"aaa")</f>
        <v>S</v>
      </c>
      <c r="O5" s="42" t="str">
        <f>TEXT(WEEKDAY(DATE(AnCalendar+1,5,12),1),"aaa")</f>
        <v>D</v>
      </c>
      <c r="P5" s="42" t="str">
        <f>TEXT(WEEKDAY(DATE(AnCalendar+1,5,13),1),"aaa")</f>
        <v>L</v>
      </c>
      <c r="Q5" s="42" t="str">
        <f>TEXT(WEEKDAY(DATE(AnCalendar+1,5,14),1),"aaa")</f>
        <v>Ma</v>
      </c>
      <c r="R5" s="42" t="str">
        <f>TEXT(WEEKDAY(DATE(AnCalendar+1,5,15),1),"aaa")</f>
        <v>Mi</v>
      </c>
      <c r="S5" s="42" t="str">
        <f>TEXT(WEEKDAY(DATE(AnCalendar+1,5,16),1),"aaa")</f>
        <v>J</v>
      </c>
      <c r="T5" s="42" t="str">
        <f>TEXT(WEEKDAY(DATE(AnCalendar+1,5,17),1),"aaa")</f>
        <v>V</v>
      </c>
      <c r="U5" s="42" t="str">
        <f>TEXT(WEEKDAY(DATE(AnCalendar+1,5,18),1),"aaa")</f>
        <v>S</v>
      </c>
      <c r="V5" s="42" t="str">
        <f>TEXT(WEEKDAY(DATE(AnCalendar+1,5,19),1),"aaa")</f>
        <v>D</v>
      </c>
      <c r="W5" s="42" t="str">
        <f>TEXT(WEEKDAY(DATE(AnCalendar+1,5,20),1),"aaa")</f>
        <v>L</v>
      </c>
      <c r="X5" s="42" t="str">
        <f>TEXT(WEEKDAY(DATE(AnCalendar+1,5,21),1),"aaa")</f>
        <v>Ma</v>
      </c>
      <c r="Y5" s="42" t="str">
        <f>TEXT(WEEKDAY(DATE(AnCalendar+1,5,22),1),"aaa")</f>
        <v>Mi</v>
      </c>
      <c r="Z5" s="42" t="str">
        <f>TEXT(WEEKDAY(DATE(AnCalendar+1,5,23),1),"aaa")</f>
        <v>J</v>
      </c>
      <c r="AA5" s="42" t="str">
        <f>TEXT(WEEKDAY(DATE(AnCalendar+1,5,24),1),"aaa")</f>
        <v>V</v>
      </c>
      <c r="AB5" s="42" t="str">
        <f>TEXT(WEEKDAY(DATE(AnCalendar+1,5,25),1),"aaa")</f>
        <v>S</v>
      </c>
      <c r="AC5" s="42" t="str">
        <f>TEXT(WEEKDAY(DATE(AnCalendar+1,5,26),1),"aaa")</f>
        <v>D</v>
      </c>
      <c r="AD5" s="42" t="str">
        <f>TEXT(WEEKDAY(DATE(AnCalendar+1,5,27),1),"aaa")</f>
        <v>L</v>
      </c>
      <c r="AE5" s="42" t="str">
        <f>TEXT(WEEKDAY(DATE(AnCalendar+1,5,28),1),"aaa")</f>
        <v>Ma</v>
      </c>
      <c r="AF5" s="42" t="str">
        <f>TEXT(WEEKDAY(DATE(AnCalendar+1,5,29),1),"aaa")</f>
        <v>Mi</v>
      </c>
      <c r="AG5" s="42" t="str">
        <f>TEXT(WEEKDAY(DATE(AnCalendar+1,5,30),1),"aaa")</f>
        <v>J</v>
      </c>
      <c r="AH5" s="42" t="str">
        <f>TEXT(WEEKDAY(DATE(AnCalendar+1,5,31),1),"aaa")</f>
        <v>V</v>
      </c>
      <c r="AI5" s="116" t="s">
        <v>41</v>
      </c>
      <c r="AJ5" s="116"/>
      <c r="AK5" s="116"/>
      <c r="AL5" s="116"/>
      <c r="AM5" s="116"/>
    </row>
    <row r="6" spans="1:39" ht="14.25" customHeight="1" x14ac:dyDescent="0.25">
      <c r="B6" s="28" t="s">
        <v>34</v>
      </c>
      <c r="C6" s="29" t="s">
        <v>36</v>
      </c>
      <c r="D6" s="30" t="s">
        <v>0</v>
      </c>
      <c r="E6" s="30" t="s">
        <v>1</v>
      </c>
      <c r="F6" s="30" t="s">
        <v>2</v>
      </c>
      <c r="G6" s="30" t="s">
        <v>3</v>
      </c>
      <c r="H6" s="30" t="s">
        <v>4</v>
      </c>
      <c r="I6" s="30" t="s">
        <v>5</v>
      </c>
      <c r="J6" s="30" t="s">
        <v>6</v>
      </c>
      <c r="K6" s="30" t="s">
        <v>7</v>
      </c>
      <c r="L6" s="30" t="s">
        <v>8</v>
      </c>
      <c r="M6" s="30" t="s">
        <v>9</v>
      </c>
      <c r="N6" s="30" t="s">
        <v>10</v>
      </c>
      <c r="O6" s="30" t="s">
        <v>11</v>
      </c>
      <c r="P6" s="30" t="s">
        <v>12</v>
      </c>
      <c r="Q6" s="30" t="s">
        <v>13</v>
      </c>
      <c r="R6" s="30" t="s">
        <v>14</v>
      </c>
      <c r="S6" s="30" t="s">
        <v>15</v>
      </c>
      <c r="T6" s="30" t="s">
        <v>16</v>
      </c>
      <c r="U6" s="30" t="s">
        <v>17</v>
      </c>
      <c r="V6" s="30" t="s">
        <v>18</v>
      </c>
      <c r="W6" s="30" t="s">
        <v>19</v>
      </c>
      <c r="X6" s="30" t="s">
        <v>20</v>
      </c>
      <c r="Y6" s="30" t="s">
        <v>21</v>
      </c>
      <c r="Z6" s="30" t="s">
        <v>22</v>
      </c>
      <c r="AA6" s="30" t="s">
        <v>23</v>
      </c>
      <c r="AB6" s="30" t="s">
        <v>24</v>
      </c>
      <c r="AC6" s="30" t="s">
        <v>25</v>
      </c>
      <c r="AD6" s="30" t="s">
        <v>26</v>
      </c>
      <c r="AE6" s="30" t="s">
        <v>27</v>
      </c>
      <c r="AF6" s="30" t="s">
        <v>28</v>
      </c>
      <c r="AG6" s="30" t="s">
        <v>29</v>
      </c>
      <c r="AH6" s="30" t="s">
        <v>30</v>
      </c>
      <c r="AI6" s="69" t="s">
        <v>37</v>
      </c>
      <c r="AJ6" s="52" t="s">
        <v>39</v>
      </c>
      <c r="AK6" s="53" t="s">
        <v>38</v>
      </c>
      <c r="AL6" s="36" t="s">
        <v>31</v>
      </c>
      <c r="AM6" t="s">
        <v>40</v>
      </c>
    </row>
    <row r="7" spans="1:39" ht="16.5" customHeight="1" x14ac:dyDescent="0.25">
      <c r="B7" s="27"/>
      <c r="C7" s="22" t="str">
        <f>IFERROR(VLOOKUP(PrezențăMai[[#This Row],[ID elev]],ListăElevi[],18,FALSE),"")</f>
        <v/>
      </c>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6"/>
      <c r="AG7" s="3"/>
      <c r="AH7" s="3"/>
      <c r="AI7" s="37">
        <f>COUNTIF(PrezențăMai[[#This Row],[1]:[31]],Cod_1)</f>
        <v>0</v>
      </c>
      <c r="AJ7" s="37">
        <f>COUNTIF(PrezențăMai[[#This Row],[1]:[31]],Cod_2)</f>
        <v>0</v>
      </c>
      <c r="AK7" s="37">
        <f>COUNTIF(PrezențăMai[[#This Row],[1]:[31]],Cod_3)</f>
        <v>0</v>
      </c>
      <c r="AL7" s="37">
        <f>COUNTIF(PrezențăMai[[#This Row],[1]:[31]],Cod_4)</f>
        <v>0</v>
      </c>
      <c r="AM7" s="6">
        <f>SUM(PrezențăMai[[#This Row],[M]:[N]])</f>
        <v>0</v>
      </c>
    </row>
    <row r="8" spans="1:39" ht="16.5" customHeight="1" x14ac:dyDescent="0.25">
      <c r="B8" s="27"/>
      <c r="C8" s="23" t="str">
        <f>IFERROR(VLOOKUP(PrezențăMai[[#This Row],[ID elev]],ListăElevi[],18,FALSE),"")</f>
        <v/>
      </c>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6"/>
      <c r="AG8" s="3"/>
      <c r="AH8" s="3"/>
      <c r="AI8" s="37">
        <f>COUNTIF(PrezențăMai[[#This Row],[1]:[31]],Cod_1)</f>
        <v>0</v>
      </c>
      <c r="AJ8" s="37">
        <f>COUNTIF(PrezențăMai[[#This Row],[1]:[31]],Cod_2)</f>
        <v>0</v>
      </c>
      <c r="AK8" s="37">
        <f>COUNTIF(PrezențăMai[[#This Row],[1]:[31]],Cod_3)</f>
        <v>0</v>
      </c>
      <c r="AL8" s="37">
        <f>COUNTIF(PrezențăMai[[#This Row],[1]:[31]],Cod_4)</f>
        <v>0</v>
      </c>
      <c r="AM8" s="6">
        <f>SUM(PrezențăMai[[#This Row],[M]:[N]])</f>
        <v>0</v>
      </c>
    </row>
    <row r="9" spans="1:39" ht="16.5" customHeight="1" x14ac:dyDescent="0.25">
      <c r="B9" s="27"/>
      <c r="C9" s="23" t="str">
        <f>IFERROR(VLOOKUP(PrezențăMai[[#This Row],[ID elev]],ListăElevi[],18,FALSE),"")</f>
        <v/>
      </c>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6"/>
      <c r="AG9" s="3"/>
      <c r="AH9" s="3"/>
      <c r="AI9" s="37">
        <f>COUNTIF(PrezențăMai[[#This Row],[1]:[31]],Cod_1)</f>
        <v>0</v>
      </c>
      <c r="AJ9" s="37">
        <f>COUNTIF(PrezențăMai[[#This Row],[1]:[31]],Cod_2)</f>
        <v>0</v>
      </c>
      <c r="AK9" s="37">
        <f>COUNTIF(PrezențăMai[[#This Row],[1]:[31]],Cod_3)</f>
        <v>0</v>
      </c>
      <c r="AL9" s="37">
        <f>COUNTIF(PrezențăMai[[#This Row],[1]:[31]],Cod_4)</f>
        <v>0</v>
      </c>
      <c r="AM9" s="6">
        <f>SUM(PrezențăMai[[#This Row],[M]:[N]])</f>
        <v>0</v>
      </c>
    </row>
    <row r="10" spans="1:39" ht="16.5" customHeight="1" x14ac:dyDescent="0.25">
      <c r="B10" s="27"/>
      <c r="C10" s="23" t="str">
        <f>IFERROR(VLOOKUP(PrezențăMai[[#This Row],[ID elev]],ListăElevi[],18,FALSE),"")</f>
        <v/>
      </c>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6"/>
      <c r="AG10" s="3"/>
      <c r="AH10" s="3"/>
      <c r="AI10" s="37">
        <f>COUNTIF(PrezențăMai[[#This Row],[1]:[31]],Cod_1)</f>
        <v>0</v>
      </c>
      <c r="AJ10" s="37">
        <f>COUNTIF(PrezențăMai[[#This Row],[1]:[31]],Cod_2)</f>
        <v>0</v>
      </c>
      <c r="AK10" s="37">
        <f>COUNTIF(PrezențăMai[[#This Row],[1]:[31]],Cod_3)</f>
        <v>0</v>
      </c>
      <c r="AL10" s="37">
        <f>COUNTIF(PrezențăMai[[#This Row],[1]:[31]],Cod_4)</f>
        <v>0</v>
      </c>
      <c r="AM10" s="6">
        <f>SUM(PrezențăMai[[#This Row],[M]:[N]])</f>
        <v>0</v>
      </c>
    </row>
    <row r="11" spans="1:39" ht="16.5" customHeight="1" x14ac:dyDescent="0.25">
      <c r="B11" s="27"/>
      <c r="C11" s="23" t="str">
        <f>IFERROR(VLOOKUP(PrezențăMai[[#This Row],[ID elev]],ListăElevi[],18,FALSE),"")</f>
        <v/>
      </c>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6"/>
      <c r="AG11" s="3"/>
      <c r="AH11" s="3"/>
      <c r="AI11" s="37">
        <f>COUNTIF(PrezențăMai[[#This Row],[1]:[31]],Cod_1)</f>
        <v>0</v>
      </c>
      <c r="AJ11" s="37">
        <f>COUNTIF(PrezențăMai[[#This Row],[1]:[31]],Cod_2)</f>
        <v>0</v>
      </c>
      <c r="AK11" s="37">
        <f>COUNTIF(PrezențăMai[[#This Row],[1]:[31]],Cod_3)</f>
        <v>0</v>
      </c>
      <c r="AL11" s="37">
        <f>COUNTIF(PrezențăMai[[#This Row],[1]:[31]],Cod_4)</f>
        <v>0</v>
      </c>
      <c r="AM11" s="6">
        <f>SUM(PrezențăMai[[#This Row],[M]:[N]])</f>
        <v>0</v>
      </c>
    </row>
    <row r="12" spans="1:39" ht="16.5" customHeight="1" x14ac:dyDescent="0.25">
      <c r="B12" s="140"/>
      <c r="C12" s="141" t="s">
        <v>119</v>
      </c>
      <c r="D12" s="142">
        <f>COUNTIF(PrezențăMai[1],"N")+COUNTIF(PrezențăMai[1],"M")</f>
        <v>0</v>
      </c>
      <c r="E12" s="142">
        <f>COUNTIF(PrezențăMai[2],"N")+COUNTIF(PrezențăMai[2],"M")</f>
        <v>0</v>
      </c>
      <c r="F12" s="142">
        <f>COUNTIF(PrezențăMai[3],"N")+COUNTIF(PrezențăMai[3],"M")</f>
        <v>0</v>
      </c>
      <c r="G12" s="142">
        <f>COUNTIF(PrezențăMai[4],"N")+COUNTIF(PrezențăMai[4],"M")</f>
        <v>0</v>
      </c>
      <c r="H12" s="142">
        <f>COUNTIF(PrezențăMai[5],"N")+COUNTIF(PrezențăMai[5],"M")</f>
        <v>0</v>
      </c>
      <c r="I12" s="142">
        <f>COUNTIF(PrezențăMai[6],"N")+COUNTIF(PrezențăMai[6],"M")</f>
        <v>0</v>
      </c>
      <c r="J12" s="142">
        <f>COUNTIF(PrezențăMai[7],"N")+COUNTIF(PrezențăMai[7],"M")</f>
        <v>0</v>
      </c>
      <c r="K12" s="142">
        <f>COUNTIF(PrezențăMai[8],"N")+COUNTIF(PrezențăMai[8],"M")</f>
        <v>0</v>
      </c>
      <c r="L12" s="142">
        <f>COUNTIF(PrezențăMai[9],"N")+COUNTIF(PrezențăMai[9],"M")</f>
        <v>0</v>
      </c>
      <c r="M12" s="142">
        <f>COUNTIF(PrezențăMai[10],"N")+COUNTIF(PrezențăMai[10],"M")</f>
        <v>0</v>
      </c>
      <c r="N12" s="142">
        <f>COUNTIF(PrezențăMai[11],"N")+COUNTIF(PrezențăMai[11],"M")</f>
        <v>0</v>
      </c>
      <c r="O12" s="142">
        <f>COUNTIF(PrezențăMai[12],"N")+COUNTIF(PrezențăMai[12],"M")</f>
        <v>0</v>
      </c>
      <c r="P12" s="142">
        <f>COUNTIF(PrezențăMai[13],"N")+COUNTIF(PrezențăMai[13],"M")</f>
        <v>0</v>
      </c>
      <c r="Q12" s="142">
        <f>COUNTIF(PrezențăMai[14],"N")+COUNTIF(PrezențăMai[14],"M")</f>
        <v>0</v>
      </c>
      <c r="R12" s="142">
        <f>COUNTIF(PrezențăMai[15],"N")+COUNTIF(PrezențăMai[15],"M")</f>
        <v>0</v>
      </c>
      <c r="S12" s="142">
        <f>COUNTIF(PrezențăMai[16],"N")+COUNTIF(PrezențăMai[16],"M")</f>
        <v>0</v>
      </c>
      <c r="T12" s="142">
        <f>COUNTIF(PrezențăMai[17],"N")+COUNTIF(PrezențăMai[17],"M")</f>
        <v>0</v>
      </c>
      <c r="U12" s="142">
        <f>COUNTIF(PrezențăMai[18],"N")+COUNTIF(PrezențăMai[18],"M")</f>
        <v>0</v>
      </c>
      <c r="V12" s="142">
        <f>COUNTIF(PrezențăMai[19],"N")+COUNTIF(PrezențăMai[19],"M")</f>
        <v>0</v>
      </c>
      <c r="W12" s="142">
        <f>COUNTIF(PrezențăMai[20],"N")+COUNTIF(PrezențăMai[20],"M")</f>
        <v>0</v>
      </c>
      <c r="X12" s="142">
        <f>COUNTIF(PrezențăMai[21],"N")+COUNTIF(PrezențăMai[21],"M")</f>
        <v>0</v>
      </c>
      <c r="Y12" s="142">
        <f>COUNTIF(PrezențăMai[22],"N")+COUNTIF(PrezențăMai[22],"M")</f>
        <v>0</v>
      </c>
      <c r="Z12" s="142">
        <f>COUNTIF(PrezențăMai[23],"N")+COUNTIF(PrezențăMai[23],"M")</f>
        <v>0</v>
      </c>
      <c r="AA12" s="142">
        <f>COUNTIF(PrezențăMai[24],"N")+COUNTIF(PrezențăMai[24],"M")</f>
        <v>0</v>
      </c>
      <c r="AB12" s="142">
        <f>COUNTIF(PrezențăMai[25],"N")+COUNTIF(PrezențăMai[25],"M")</f>
        <v>0</v>
      </c>
      <c r="AC12" s="142">
        <f>COUNTIF(PrezențăMai[26],"N")+COUNTIF(PrezențăMai[26],"M")</f>
        <v>0</v>
      </c>
      <c r="AD12" s="142">
        <f>COUNTIF(PrezențăMai[27],"N")+COUNTIF(PrezențăMai[27],"M")</f>
        <v>0</v>
      </c>
      <c r="AE12" s="142">
        <f>COUNTIF(PrezențăMai[28],"N")+COUNTIF(PrezențăMai[28],"M")</f>
        <v>0</v>
      </c>
      <c r="AF12" s="142">
        <f>COUNTIF(PrezențăMai[29],"N")+COUNTIF(PrezențăMai[29],"M")</f>
        <v>0</v>
      </c>
      <c r="AG12" s="142"/>
      <c r="AH12" s="142"/>
      <c r="AI12" s="142">
        <f>SUBTOTAL(109,PrezențăMai[Î])</f>
        <v>0</v>
      </c>
      <c r="AJ12" s="142">
        <f>SUBTOTAL(109,PrezențăMai[M])</f>
        <v>0</v>
      </c>
      <c r="AK12" s="142">
        <f>SUBTOTAL(109,PrezențăMai[N])</f>
        <v>0</v>
      </c>
      <c r="AL12" s="142">
        <f>SUBTOTAL(109,PrezențăMai[P])</f>
        <v>0</v>
      </c>
      <c r="AM12" s="142">
        <f>SUBTOTAL(109,PrezențăMai[Zile de absență])</f>
        <v>0</v>
      </c>
    </row>
    <row r="14" spans="1:39" ht="16.5" customHeight="1" x14ac:dyDescent="0.25"/>
    <row r="15" spans="1:39" ht="16.5" customHeight="1" x14ac:dyDescent="0.25"/>
    <row r="16" spans="1:39"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sheetData>
  <sheetProtection formatCells="0" formatColumns="0" formatRows="0" insertColumns="0" insertRows="0" insertHyperlinks="0" deleteColumns="0" deleteRows="0" sort="0" autoFilter="0" pivotTables="0"/>
  <mergeCells count="1">
    <mergeCell ref="AI5:AM5"/>
  </mergeCells>
  <conditionalFormatting sqref="AM7:AM11">
    <cfRule type="dataBar" priority="1">
      <dataBar>
        <cfvo type="min"/>
        <cfvo type="num" val="DATEDIF(DATE(AnCalendar,2,1),DATE(AnCalendar,3,1),&quot;d&quot;)"/>
        <color theme="4"/>
      </dataBar>
      <extLst>
        <ext xmlns:x14="http://schemas.microsoft.com/office/spreadsheetml/2009/9/main" uri="{B025F937-C7B1-47D3-B67F-A62EFF666E3E}">
          <x14:id>{075C44B9-B707-434A-A9F0-95252D34B3EF}</x14:id>
        </ext>
      </extLst>
    </cfRule>
  </conditionalFormatting>
  <conditionalFormatting sqref="D7:AF11">
    <cfRule type="expression" dxfId="597" priority="2" stopIfTrue="1">
      <formula>D7=Cod_2</formula>
    </cfRule>
  </conditionalFormatting>
  <conditionalFormatting sqref="D7:AF11">
    <cfRule type="expression" dxfId="596" priority="3" stopIfTrue="1">
      <formula>D7=Cod_5</formula>
    </cfRule>
    <cfRule type="expression" dxfId="595" priority="4" stopIfTrue="1">
      <formula>D7=Cod_4</formula>
    </cfRule>
    <cfRule type="expression" dxfId="594" priority="5" stopIfTrue="1">
      <formula>D7=Cod_3</formula>
    </cfRule>
    <cfRule type="expression" dxfId="593" priority="6" stopIfTrue="1">
      <formula>D7=Cod_1</formula>
    </cfRule>
  </conditionalFormatting>
  <dataValidations count="1">
    <dataValidation type="list" errorStyle="warning" allowBlank="1" showInputMessage="1" showErrorMessage="1" errorTitle="Atenție!" error="ID-ul elev pe care l-ați introdus nu se află în foaia Listă elevi. Puteți să faceți clic pe Da pentru a utiliza ID-ul introdus, dar acel ID elev nu va fi disponibil pe foaia Raport prezență elev." sqref="B7:B11">
      <formula1>IDCursant</formula1>
    </dataValidation>
  </dataValidations>
  <printOptions horizontalCentered="1"/>
  <pageMargins left="0.5" right="0.5" top="0.75" bottom="0.75" header="0.3" footer="0.3"/>
  <pageSetup paperSize="9" scale="59" fitToHeight="0" orientation="landscape" verticalDpi="120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075C44B9-B707-434A-A9F0-95252D34B3EF}">
            <x14:dataBar minLength="0" maxLength="100" border="1" negativeBarBorderColorSameAsPositive="0">
              <x14:cfvo type="autoMin"/>
              <x14:cfvo type="num">
                <xm:f>DATEDIF(DATE(AnCalendar,2,1),DATE(AnCalendar,3,1),"d")</xm:f>
              </x14:cfvo>
              <x14:borderColor theme="4"/>
              <x14:negativeFillColor rgb="FFFF0000"/>
              <x14:negativeBorderColor rgb="FFFF0000"/>
              <x14:axisColor rgb="FF000000"/>
            </x14:dataBar>
          </x14:cfRule>
          <xm:sqref>AM7:AM11</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M264"/>
  <sheetViews>
    <sheetView showGridLines="0" zoomScaleNormal="100" workbookViewId="0">
      <pane xSplit="3" ySplit="6" topLeftCell="D7" activePane="bottomRight" state="frozen"/>
      <selection pane="topRight"/>
      <selection pane="bottomLeft"/>
      <selection pane="bottomRight"/>
    </sheetView>
  </sheetViews>
  <sheetFormatPr defaultRowHeight="15" customHeight="1" x14ac:dyDescent="0.25"/>
  <cols>
    <col min="1" max="1" width="2.7109375" style="11" customWidth="1"/>
    <col min="2" max="2" width="10.85546875" style="11" customWidth="1"/>
    <col min="3" max="3" width="32.140625" style="12" bestFit="1" customWidth="1"/>
    <col min="4" max="34" width="5" style="10" customWidth="1"/>
    <col min="35" max="35" width="4.7109375" style="9" customWidth="1"/>
    <col min="36" max="36" width="4.7109375" style="10" customWidth="1"/>
    <col min="37" max="38" width="4.7109375" style="11" customWidth="1"/>
    <col min="39" max="39" width="15.140625" style="11" bestFit="1" customWidth="1"/>
    <col min="40" max="16384" width="9.140625" style="11"/>
  </cols>
  <sheetData>
    <row r="1" spans="1:39" s="1" customFormat="1" ht="42" customHeight="1" x14ac:dyDescent="0.25">
      <c r="A1" s="139" t="s">
        <v>88</v>
      </c>
      <c r="B1" s="38"/>
      <c r="C1" s="38"/>
      <c r="D1" s="39"/>
      <c r="E1" s="39"/>
      <c r="F1" s="39"/>
      <c r="G1" s="39"/>
      <c r="H1" s="39"/>
      <c r="I1" s="39"/>
      <c r="J1" s="39"/>
      <c r="K1" s="39"/>
      <c r="L1" s="39"/>
      <c r="M1" s="39"/>
      <c r="N1" s="39"/>
      <c r="O1" s="39"/>
      <c r="P1" s="39"/>
      <c r="Q1" s="39"/>
      <c r="R1" s="39"/>
      <c r="S1" s="39"/>
      <c r="T1" s="39"/>
      <c r="U1" s="39"/>
      <c r="V1" s="39"/>
      <c r="W1" s="39"/>
      <c r="X1" s="39"/>
      <c r="Y1" s="39"/>
      <c r="Z1" s="39"/>
      <c r="AA1" s="39"/>
      <c r="AB1" s="39"/>
      <c r="AC1" s="38"/>
      <c r="AD1" s="38"/>
      <c r="AE1" s="38"/>
      <c r="AF1" s="38"/>
      <c r="AG1" s="40"/>
      <c r="AH1" s="38"/>
      <c r="AI1" s="38"/>
      <c r="AJ1" s="41"/>
      <c r="AK1" s="38"/>
      <c r="AL1" s="138" t="s">
        <v>71</v>
      </c>
      <c r="AM1" s="57">
        <f>AnCalendar</f>
        <v>2012</v>
      </c>
    </row>
    <row r="2" spans="1:39" customFormat="1" ht="13.5" x14ac:dyDescent="0.25"/>
    <row r="3" spans="1:39" s="32" customFormat="1" ht="12.75" customHeight="1" x14ac:dyDescent="0.25">
      <c r="C3" s="44" t="str">
        <f>CheieCuloareText</f>
        <v>CHEIE CULORI</v>
      </c>
      <c r="D3" s="51" t="str">
        <f>Cod_1</f>
        <v>Î</v>
      </c>
      <c r="E3" s="67" t="str">
        <f>Cod1Text</f>
        <v>Întârziat</v>
      </c>
      <c r="F3" s="58"/>
      <c r="H3" s="52" t="str">
        <f>Cod_2</f>
        <v>M</v>
      </c>
      <c r="I3" s="56" t="str">
        <f>Cod2Text</f>
        <v>Motivat</v>
      </c>
      <c r="L3" s="53" t="str">
        <f>Cod_3</f>
        <v>N</v>
      </c>
      <c r="M3" s="56" t="str">
        <f>Cod3Text</f>
        <v>Nemotivat</v>
      </c>
      <c r="P3" s="54" t="str">
        <f>Cod_4</f>
        <v>P</v>
      </c>
      <c r="Q3" s="56" t="str">
        <f>Cod4Text</f>
        <v>Prezent</v>
      </c>
      <c r="T3" s="55" t="str">
        <f>Cod_5</f>
        <v>Nu</v>
      </c>
      <c r="U3" s="56" t="str">
        <f>Cod5Text</f>
        <v>Nu a fost la școală</v>
      </c>
      <c r="W3"/>
      <c r="X3"/>
      <c r="Y3"/>
      <c r="AD3" s="31"/>
      <c r="AE3" s="31"/>
      <c r="AH3" s="33"/>
      <c r="AI3" s="34"/>
      <c r="AK3" s="35"/>
    </row>
    <row r="4" spans="1:39" customFormat="1" ht="16.5" customHeight="1" x14ac:dyDescent="0.25"/>
    <row r="5" spans="1:39" s="2" customFormat="1" ht="18" customHeight="1" x14ac:dyDescent="0.3">
      <c r="B5" s="60">
        <f>DATE(AnCalendar+1,6,1)</f>
        <v>41426</v>
      </c>
      <c r="C5" s="59"/>
      <c r="D5" s="42" t="str">
        <f>TEXT(WEEKDAY(DATE(AnCalendar+1,6,1),1),"aaa")</f>
        <v>S</v>
      </c>
      <c r="E5" s="42" t="str">
        <f>TEXT(WEEKDAY(DATE(AnCalendar+1,6,2),1),"aaa")</f>
        <v>D</v>
      </c>
      <c r="F5" s="42" t="str">
        <f>TEXT(WEEKDAY(DATE(AnCalendar+1,6,3),1),"aaa")</f>
        <v>L</v>
      </c>
      <c r="G5" s="42" t="str">
        <f>TEXT(WEEKDAY(DATE(AnCalendar+1,6,4),1),"aaa")</f>
        <v>Ma</v>
      </c>
      <c r="H5" s="42" t="str">
        <f>TEXT(WEEKDAY(DATE(AnCalendar+1,6,5),1),"aaa")</f>
        <v>Mi</v>
      </c>
      <c r="I5" s="42" t="str">
        <f>TEXT(WEEKDAY(DATE(AnCalendar+1,6,6),1),"aaa")</f>
        <v>J</v>
      </c>
      <c r="J5" s="42" t="str">
        <f>TEXT(WEEKDAY(DATE(AnCalendar+1,6,7),1),"aaa")</f>
        <v>V</v>
      </c>
      <c r="K5" s="42" t="str">
        <f>TEXT(WEEKDAY(DATE(AnCalendar+1,6,8),1),"aaa")</f>
        <v>S</v>
      </c>
      <c r="L5" s="42" t="str">
        <f>TEXT(WEEKDAY(DATE(AnCalendar+1,6,9),1),"aaa")</f>
        <v>D</v>
      </c>
      <c r="M5" s="42" t="str">
        <f>TEXT(WEEKDAY(DATE(AnCalendar+1,6,10),1),"aaa")</f>
        <v>L</v>
      </c>
      <c r="N5" s="42" t="str">
        <f>TEXT(WEEKDAY(DATE(AnCalendar+1,6,11),1),"aaa")</f>
        <v>Ma</v>
      </c>
      <c r="O5" s="42" t="str">
        <f>TEXT(WEEKDAY(DATE(AnCalendar+1,6,12),1),"aaa")</f>
        <v>Mi</v>
      </c>
      <c r="P5" s="42" t="str">
        <f>TEXT(WEEKDAY(DATE(AnCalendar+1,6,13),1),"aaa")</f>
        <v>J</v>
      </c>
      <c r="Q5" s="42" t="str">
        <f>TEXT(WEEKDAY(DATE(AnCalendar+1,6,14),1),"aaa")</f>
        <v>V</v>
      </c>
      <c r="R5" s="42" t="str">
        <f>TEXT(WEEKDAY(DATE(AnCalendar+1,6,15),1),"aaa")</f>
        <v>S</v>
      </c>
      <c r="S5" s="42" t="str">
        <f>TEXT(WEEKDAY(DATE(AnCalendar+1,6,16),1),"aaa")</f>
        <v>D</v>
      </c>
      <c r="T5" s="42" t="str">
        <f>TEXT(WEEKDAY(DATE(AnCalendar+1,6,17),1),"aaa")</f>
        <v>L</v>
      </c>
      <c r="U5" s="42" t="str">
        <f>TEXT(WEEKDAY(DATE(AnCalendar+1,6,18),1),"aaa")</f>
        <v>Ma</v>
      </c>
      <c r="V5" s="42" t="str">
        <f>TEXT(WEEKDAY(DATE(AnCalendar+1,6,19),1),"aaa")</f>
        <v>Mi</v>
      </c>
      <c r="W5" s="42" t="str">
        <f>TEXT(WEEKDAY(DATE(AnCalendar+1,6,20),1),"aaa")</f>
        <v>J</v>
      </c>
      <c r="X5" s="42" t="str">
        <f>TEXT(WEEKDAY(DATE(AnCalendar+1,6,21),1),"aaa")</f>
        <v>V</v>
      </c>
      <c r="Y5" s="42" t="str">
        <f>TEXT(WEEKDAY(DATE(AnCalendar+1,6,22),1),"aaa")</f>
        <v>S</v>
      </c>
      <c r="Z5" s="42" t="str">
        <f>TEXT(WEEKDAY(DATE(AnCalendar+1,6,23),1),"aaa")</f>
        <v>D</v>
      </c>
      <c r="AA5" s="42" t="str">
        <f>TEXT(WEEKDAY(DATE(AnCalendar+1,6,24),1),"aaa")</f>
        <v>L</v>
      </c>
      <c r="AB5" s="42" t="str">
        <f>TEXT(WEEKDAY(DATE(AnCalendar+1,6,25),1),"aaa")</f>
        <v>Ma</v>
      </c>
      <c r="AC5" s="42" t="str">
        <f>TEXT(WEEKDAY(DATE(AnCalendar+1,6,26),1),"aaa")</f>
        <v>Mi</v>
      </c>
      <c r="AD5" s="42" t="str">
        <f>TEXT(WEEKDAY(DATE(AnCalendar+1,6,27),1),"aaa")</f>
        <v>J</v>
      </c>
      <c r="AE5" s="42" t="str">
        <f>TEXT(WEEKDAY(DATE(AnCalendar+1,6,28),1),"aaa")</f>
        <v>V</v>
      </c>
      <c r="AF5" s="42" t="str">
        <f>TEXT(WEEKDAY(DATE(AnCalendar+1,6,29),1),"aaa")</f>
        <v>S</v>
      </c>
      <c r="AG5" s="42" t="str">
        <f>TEXT(WEEKDAY(DATE(AnCalendar+1,6,30),1),"aaa")</f>
        <v>D</v>
      </c>
      <c r="AH5" s="42"/>
      <c r="AI5" s="116" t="s">
        <v>41</v>
      </c>
      <c r="AJ5" s="116"/>
      <c r="AK5" s="116"/>
      <c r="AL5" s="116"/>
      <c r="AM5" s="116"/>
    </row>
    <row r="6" spans="1:39" ht="14.25" customHeight="1" x14ac:dyDescent="0.25">
      <c r="B6" s="28" t="s">
        <v>34</v>
      </c>
      <c r="C6" s="29" t="s">
        <v>36</v>
      </c>
      <c r="D6" s="30" t="s">
        <v>0</v>
      </c>
      <c r="E6" s="30" t="s">
        <v>1</v>
      </c>
      <c r="F6" s="30" t="s">
        <v>2</v>
      </c>
      <c r="G6" s="30" t="s">
        <v>3</v>
      </c>
      <c r="H6" s="30" t="s">
        <v>4</v>
      </c>
      <c r="I6" s="30" t="s">
        <v>5</v>
      </c>
      <c r="J6" s="30" t="s">
        <v>6</v>
      </c>
      <c r="K6" s="30" t="s">
        <v>7</v>
      </c>
      <c r="L6" s="30" t="s">
        <v>8</v>
      </c>
      <c r="M6" s="30" t="s">
        <v>9</v>
      </c>
      <c r="N6" s="30" t="s">
        <v>10</v>
      </c>
      <c r="O6" s="30" t="s">
        <v>11</v>
      </c>
      <c r="P6" s="30" t="s">
        <v>12</v>
      </c>
      <c r="Q6" s="30" t="s">
        <v>13</v>
      </c>
      <c r="R6" s="30" t="s">
        <v>14</v>
      </c>
      <c r="S6" s="30" t="s">
        <v>15</v>
      </c>
      <c r="T6" s="30" t="s">
        <v>16</v>
      </c>
      <c r="U6" s="30" t="s">
        <v>17</v>
      </c>
      <c r="V6" s="30" t="s">
        <v>18</v>
      </c>
      <c r="W6" s="30" t="s">
        <v>19</v>
      </c>
      <c r="X6" s="30" t="s">
        <v>20</v>
      </c>
      <c r="Y6" s="30" t="s">
        <v>21</v>
      </c>
      <c r="Z6" s="30" t="s">
        <v>22</v>
      </c>
      <c r="AA6" s="30" t="s">
        <v>23</v>
      </c>
      <c r="AB6" s="30" t="s">
        <v>24</v>
      </c>
      <c r="AC6" s="30" t="s">
        <v>25</v>
      </c>
      <c r="AD6" s="30" t="s">
        <v>26</v>
      </c>
      <c r="AE6" s="30" t="s">
        <v>27</v>
      </c>
      <c r="AF6" s="30" t="s">
        <v>28</v>
      </c>
      <c r="AG6" s="30" t="s">
        <v>29</v>
      </c>
      <c r="AH6" s="30" t="s">
        <v>118</v>
      </c>
      <c r="AI6" s="69" t="s">
        <v>37</v>
      </c>
      <c r="AJ6" s="52" t="s">
        <v>39</v>
      </c>
      <c r="AK6" s="53" t="s">
        <v>38</v>
      </c>
      <c r="AL6" s="36" t="s">
        <v>31</v>
      </c>
      <c r="AM6" t="s">
        <v>40</v>
      </c>
    </row>
    <row r="7" spans="1:39" ht="16.5" customHeight="1" x14ac:dyDescent="0.25">
      <c r="B7" s="27"/>
      <c r="C7" s="22" t="str">
        <f>IFERROR(VLOOKUP(PrezențăIunie[[#This Row],[ID elev]],ListăElevi[],18,FALSE),"")</f>
        <v/>
      </c>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6"/>
      <c r="AG7" s="3"/>
      <c r="AH7" s="3"/>
      <c r="AI7" s="37">
        <f>COUNTIF(PrezențăIunie[[#This Row],[1]:[ ]],Cod_1)</f>
        <v>0</v>
      </c>
      <c r="AJ7" s="37">
        <f>COUNTIF(PrezențăIunie[[#This Row],[1]:[ ]],Cod_2)</f>
        <v>0</v>
      </c>
      <c r="AK7" s="37">
        <f>COUNTIF(PrezențăIunie[[#This Row],[1]:[ ]],Cod_3)</f>
        <v>0</v>
      </c>
      <c r="AL7" s="37">
        <f>COUNTIF(PrezențăIunie[[#This Row],[1]:[ ]],Cod_4)</f>
        <v>0</v>
      </c>
      <c r="AM7" s="6">
        <f>SUM(PrezențăIunie[[#This Row],[M]:[N]])</f>
        <v>0</v>
      </c>
    </row>
    <row r="8" spans="1:39" ht="16.5" customHeight="1" x14ac:dyDescent="0.25">
      <c r="B8" s="27"/>
      <c r="C8" s="23" t="str">
        <f>IFERROR(VLOOKUP(PrezențăIunie[[#This Row],[ID elev]],ListăElevi[],18,FALSE),"")</f>
        <v/>
      </c>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6"/>
      <c r="AG8" s="3"/>
      <c r="AH8" s="3"/>
      <c r="AI8" s="37">
        <f>COUNTIF(PrezențăIunie[[#This Row],[1]:[ ]],Cod_1)</f>
        <v>0</v>
      </c>
      <c r="AJ8" s="37">
        <f>COUNTIF(PrezențăIunie[[#This Row],[1]:[ ]],Cod_2)</f>
        <v>0</v>
      </c>
      <c r="AK8" s="37">
        <f>COUNTIF(PrezențăIunie[[#This Row],[1]:[ ]],Cod_3)</f>
        <v>0</v>
      </c>
      <c r="AL8" s="37">
        <f>COUNTIF(PrezențăIunie[[#This Row],[1]:[ ]],Cod_4)</f>
        <v>0</v>
      </c>
      <c r="AM8" s="6">
        <f>SUM(PrezențăIunie[[#This Row],[M]:[N]])</f>
        <v>0</v>
      </c>
    </row>
    <row r="9" spans="1:39" ht="16.5" customHeight="1" x14ac:dyDescent="0.25">
      <c r="B9" s="27"/>
      <c r="C9" s="23" t="str">
        <f>IFERROR(VLOOKUP(PrezențăIunie[[#This Row],[ID elev]],ListăElevi[],18,FALSE),"")</f>
        <v/>
      </c>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6"/>
      <c r="AG9" s="3"/>
      <c r="AH9" s="3"/>
      <c r="AI9" s="37">
        <f>COUNTIF(PrezențăIunie[[#This Row],[1]:[ ]],Cod_1)</f>
        <v>0</v>
      </c>
      <c r="AJ9" s="37">
        <f>COUNTIF(PrezențăIunie[[#This Row],[1]:[ ]],Cod_2)</f>
        <v>0</v>
      </c>
      <c r="AK9" s="37">
        <f>COUNTIF(PrezențăIunie[[#This Row],[1]:[ ]],Cod_3)</f>
        <v>0</v>
      </c>
      <c r="AL9" s="37">
        <f>COUNTIF(PrezențăIunie[[#This Row],[1]:[ ]],Cod_4)</f>
        <v>0</v>
      </c>
      <c r="AM9" s="6">
        <f>SUM(PrezențăIunie[[#This Row],[M]:[N]])</f>
        <v>0</v>
      </c>
    </row>
    <row r="10" spans="1:39" ht="16.5" customHeight="1" x14ac:dyDescent="0.25">
      <c r="B10" s="27"/>
      <c r="C10" s="23" t="str">
        <f>IFERROR(VLOOKUP(PrezențăIunie[[#This Row],[ID elev]],ListăElevi[],18,FALSE),"")</f>
        <v/>
      </c>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6"/>
      <c r="AG10" s="3"/>
      <c r="AH10" s="3"/>
      <c r="AI10" s="37">
        <f>COUNTIF(PrezențăIunie[[#This Row],[1]:[ ]],Cod_1)</f>
        <v>0</v>
      </c>
      <c r="AJ10" s="37">
        <f>COUNTIF(PrezențăIunie[[#This Row],[1]:[ ]],Cod_2)</f>
        <v>0</v>
      </c>
      <c r="AK10" s="37">
        <f>COUNTIF(PrezențăIunie[[#This Row],[1]:[ ]],Cod_3)</f>
        <v>0</v>
      </c>
      <c r="AL10" s="37">
        <f>COUNTIF(PrezențăIunie[[#This Row],[1]:[ ]],Cod_4)</f>
        <v>0</v>
      </c>
      <c r="AM10" s="6">
        <f>SUM(PrezențăIunie[[#This Row],[M]:[N]])</f>
        <v>0</v>
      </c>
    </row>
    <row r="11" spans="1:39" ht="16.5" customHeight="1" x14ac:dyDescent="0.25">
      <c r="B11" s="27"/>
      <c r="C11" s="23" t="str">
        <f>IFERROR(VLOOKUP(PrezențăIunie[[#This Row],[ID elev]],ListăElevi[],18,FALSE),"")</f>
        <v/>
      </c>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6"/>
      <c r="AG11" s="3"/>
      <c r="AH11" s="3"/>
      <c r="AI11" s="37">
        <f>COUNTIF(PrezențăIunie[[#This Row],[1]:[ ]],Cod_1)</f>
        <v>0</v>
      </c>
      <c r="AJ11" s="37">
        <f>COUNTIF(PrezențăIunie[[#This Row],[1]:[ ]],Cod_2)</f>
        <v>0</v>
      </c>
      <c r="AK11" s="37">
        <f>COUNTIF(PrezențăIunie[[#This Row],[1]:[ ]],Cod_3)</f>
        <v>0</v>
      </c>
      <c r="AL11" s="37">
        <f>COUNTIF(PrezențăIunie[[#This Row],[1]:[ ]],Cod_4)</f>
        <v>0</v>
      </c>
      <c r="AM11" s="6">
        <f>SUM(PrezențăIunie[[#This Row],[M]:[N]])</f>
        <v>0</v>
      </c>
    </row>
    <row r="12" spans="1:39" ht="16.5" customHeight="1" x14ac:dyDescent="0.25">
      <c r="B12" s="140"/>
      <c r="C12" s="141" t="s">
        <v>119</v>
      </c>
      <c r="D12" s="142">
        <f>COUNTIF(PrezențăIunie[1],"N")+COUNTIF(PrezențăIunie[1],"M")</f>
        <v>0</v>
      </c>
      <c r="E12" s="142">
        <f>COUNTIF(PrezențăIunie[2],"N")+COUNTIF(PrezențăIunie[2],"M")</f>
        <v>0</v>
      </c>
      <c r="F12" s="142">
        <f>COUNTIF(PrezențăIunie[3],"N")+COUNTIF(PrezențăIunie[3],"M")</f>
        <v>0</v>
      </c>
      <c r="G12" s="142">
        <f>COUNTIF(PrezențăIunie[4],"N")+COUNTIF(PrezențăIunie[4],"M")</f>
        <v>0</v>
      </c>
      <c r="H12" s="142">
        <f>COUNTIF(PrezențăIunie[5],"N")+COUNTIF(PrezențăIunie[5],"M")</f>
        <v>0</v>
      </c>
      <c r="I12" s="142">
        <f>COUNTIF(PrezențăIunie[6],"N")+COUNTIF(PrezențăIunie[6],"M")</f>
        <v>0</v>
      </c>
      <c r="J12" s="142">
        <f>COUNTIF(PrezențăIunie[7],"N")+COUNTIF(PrezențăIunie[7],"M")</f>
        <v>0</v>
      </c>
      <c r="K12" s="142">
        <f>COUNTIF(PrezențăIunie[8],"N")+COUNTIF(PrezențăIunie[8],"M")</f>
        <v>0</v>
      </c>
      <c r="L12" s="142">
        <f>COUNTIF(PrezențăIunie[9],"N")+COUNTIF(PrezențăIunie[9],"M")</f>
        <v>0</v>
      </c>
      <c r="M12" s="142">
        <f>COUNTIF(PrezențăIunie[10],"N")+COUNTIF(PrezențăIunie[10],"M")</f>
        <v>0</v>
      </c>
      <c r="N12" s="142">
        <f>COUNTIF(PrezențăIunie[11],"N")+COUNTIF(PrezențăIunie[11],"M")</f>
        <v>0</v>
      </c>
      <c r="O12" s="142">
        <f>COUNTIF(PrezențăIunie[12],"N")+COUNTIF(PrezențăIunie[12],"M")</f>
        <v>0</v>
      </c>
      <c r="P12" s="142">
        <f>COUNTIF(PrezențăIunie[13],"N")+COUNTIF(PrezențăIunie[13],"M")</f>
        <v>0</v>
      </c>
      <c r="Q12" s="142">
        <f>COUNTIF(PrezențăIunie[14],"N")+COUNTIF(PrezențăIunie[14],"M")</f>
        <v>0</v>
      </c>
      <c r="R12" s="142">
        <f>COUNTIF(PrezențăIunie[15],"N")+COUNTIF(PrezențăIunie[15],"M")</f>
        <v>0</v>
      </c>
      <c r="S12" s="142">
        <f>COUNTIF(PrezențăIunie[16],"N")+COUNTIF(PrezențăIunie[16],"M")</f>
        <v>0</v>
      </c>
      <c r="T12" s="142">
        <f>COUNTIF(PrezențăIunie[17],"N")+COUNTIF(PrezențăIunie[17],"M")</f>
        <v>0</v>
      </c>
      <c r="U12" s="142">
        <f>COUNTIF(PrezențăIunie[18],"N")+COUNTIF(PrezențăIunie[18],"M")</f>
        <v>0</v>
      </c>
      <c r="V12" s="142">
        <f>COUNTIF(PrezențăIunie[19],"N")+COUNTIF(PrezențăIunie[19],"M")</f>
        <v>0</v>
      </c>
      <c r="W12" s="142">
        <f>COUNTIF(PrezențăIunie[20],"N")+COUNTIF(PrezențăIunie[20],"M")</f>
        <v>0</v>
      </c>
      <c r="X12" s="142">
        <f>COUNTIF(PrezențăIunie[21],"N")+COUNTIF(PrezențăIunie[21],"M")</f>
        <v>0</v>
      </c>
      <c r="Y12" s="142">
        <f>COUNTIF(PrezențăIunie[22],"N")+COUNTIF(PrezențăIunie[22],"M")</f>
        <v>0</v>
      </c>
      <c r="Z12" s="142">
        <f>COUNTIF(PrezențăIunie[23],"N")+COUNTIF(PrezențăIunie[23],"M")</f>
        <v>0</v>
      </c>
      <c r="AA12" s="142">
        <f>COUNTIF(PrezențăIunie[24],"N")+COUNTIF(PrezențăIunie[24],"M")</f>
        <v>0</v>
      </c>
      <c r="AB12" s="142">
        <f>COUNTIF(PrezențăIunie[25],"N")+COUNTIF(PrezențăIunie[25],"M")</f>
        <v>0</v>
      </c>
      <c r="AC12" s="142">
        <f>COUNTIF(PrezențăIunie[26],"N")+COUNTIF(PrezențăIunie[26],"M")</f>
        <v>0</v>
      </c>
      <c r="AD12" s="142">
        <f>COUNTIF(PrezențăIunie[27],"N")+COUNTIF(PrezențăIunie[27],"M")</f>
        <v>0</v>
      </c>
      <c r="AE12" s="142">
        <f>COUNTIF(PrezențăIunie[28],"N")+COUNTIF(PrezențăIunie[28],"M")</f>
        <v>0</v>
      </c>
      <c r="AF12" s="142">
        <f>COUNTIF(PrezențăIunie[29],"N")+COUNTIF(PrezențăIunie[29],"M")</f>
        <v>0</v>
      </c>
      <c r="AG12" s="142"/>
      <c r="AH12" s="142"/>
      <c r="AI12" s="142">
        <f>SUBTOTAL(109,PrezențăIunie[Î])</f>
        <v>0</v>
      </c>
      <c r="AJ12" s="142">
        <f>SUBTOTAL(109,PrezențăIunie[M])</f>
        <v>0</v>
      </c>
      <c r="AK12" s="142">
        <f>SUBTOTAL(109,PrezențăIunie[N])</f>
        <v>0</v>
      </c>
      <c r="AL12" s="142">
        <f>SUBTOTAL(109,PrezențăIunie[P])</f>
        <v>0</v>
      </c>
      <c r="AM12" s="142">
        <f>SUBTOTAL(109,PrezențăIunie[Zile de absență])</f>
        <v>0</v>
      </c>
    </row>
    <row r="14" spans="1:39" ht="16.5" customHeight="1" x14ac:dyDescent="0.25"/>
    <row r="15" spans="1:39" ht="16.5" customHeight="1" x14ac:dyDescent="0.25"/>
    <row r="16" spans="1:39"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sheetData>
  <sheetProtection formatCells="0" formatColumns="0" formatRows="0" insertColumns="0" insertRows="0" insertHyperlinks="0" deleteColumns="0" deleteRows="0" sort="0" autoFilter="0" pivotTables="0"/>
  <mergeCells count="1">
    <mergeCell ref="AI5:AM5"/>
  </mergeCells>
  <conditionalFormatting sqref="AM7:AM11">
    <cfRule type="dataBar" priority="1">
      <dataBar>
        <cfvo type="min"/>
        <cfvo type="num" val="DATEDIF(DATE(AnCalendar,2,1),DATE(AnCalendar,3,1),&quot;d&quot;)"/>
        <color theme="4"/>
      </dataBar>
      <extLst>
        <ext xmlns:x14="http://schemas.microsoft.com/office/spreadsheetml/2009/9/main" uri="{B025F937-C7B1-47D3-B67F-A62EFF666E3E}">
          <x14:id>{22C67C28-76AD-46BA-A7A2-13A61F3247FE}</x14:id>
        </ext>
      </extLst>
    </cfRule>
  </conditionalFormatting>
  <conditionalFormatting sqref="D7:AF11">
    <cfRule type="expression" dxfId="552" priority="2" stopIfTrue="1">
      <formula>D7=Cod_2</formula>
    </cfRule>
  </conditionalFormatting>
  <conditionalFormatting sqref="D7:AF11">
    <cfRule type="expression" dxfId="551" priority="3" stopIfTrue="1">
      <formula>D7=Cod_5</formula>
    </cfRule>
    <cfRule type="expression" dxfId="550" priority="4" stopIfTrue="1">
      <formula>D7=Cod_4</formula>
    </cfRule>
    <cfRule type="expression" dxfId="549" priority="5" stopIfTrue="1">
      <formula>D7=Cod_3</formula>
    </cfRule>
    <cfRule type="expression" dxfId="548" priority="6" stopIfTrue="1">
      <formula>D7=Cod_1</formula>
    </cfRule>
  </conditionalFormatting>
  <dataValidations count="1">
    <dataValidation type="list" errorStyle="warning" allowBlank="1" showInputMessage="1" showErrorMessage="1" errorTitle="Atenție!" error="ID-ul elev pe care l-ați introdus nu se află în foaia Listă elevi. Puteți să faceți clic pe Da pentru a utiliza ID-ul introdus, dar acel ID elev nu va fi disponibil pe foaia Raport prezență elev." sqref="B7:B11">
      <formula1>IDCursant</formula1>
    </dataValidation>
  </dataValidations>
  <printOptions horizontalCentered="1"/>
  <pageMargins left="0.5" right="0.5" top="0.75" bottom="0.75" header="0.3" footer="0.3"/>
  <pageSetup paperSize="9" scale="59" fitToHeight="0" orientation="landscape" verticalDpi="120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2C67C28-76AD-46BA-A7A2-13A61F3247FE}">
            <x14:dataBar minLength="0" maxLength="100" border="1" negativeBarBorderColorSameAsPositive="0">
              <x14:cfvo type="autoMin"/>
              <x14:cfvo type="num">
                <xm:f>DATEDIF(DATE(AnCalendar,2,1),DATE(AnCalendar,3,1),"d")</xm:f>
              </x14:cfvo>
              <x14:borderColor theme="4"/>
              <x14:negativeFillColor rgb="FFFF0000"/>
              <x14:negativeBorderColor rgb="FFFF0000"/>
              <x14:axisColor rgb="FF000000"/>
            </x14:dataBar>
          </x14:cfRule>
          <xm:sqref>AM7:AM11</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M264"/>
  <sheetViews>
    <sheetView showGridLines="0" zoomScaleNormal="100" workbookViewId="0">
      <pane xSplit="3" ySplit="6" topLeftCell="D7" activePane="bottomRight" state="frozen"/>
      <selection pane="topRight"/>
      <selection pane="bottomLeft"/>
      <selection pane="bottomRight"/>
    </sheetView>
  </sheetViews>
  <sheetFormatPr defaultRowHeight="15" customHeight="1" x14ac:dyDescent="0.25"/>
  <cols>
    <col min="1" max="1" width="2.7109375" style="11" customWidth="1"/>
    <col min="2" max="2" width="10.85546875" style="11" customWidth="1"/>
    <col min="3" max="3" width="32.140625" style="12" bestFit="1" customWidth="1"/>
    <col min="4" max="34" width="5" style="10" customWidth="1"/>
    <col min="35" max="35" width="4.7109375" style="9" customWidth="1"/>
    <col min="36" max="36" width="4.7109375" style="10" customWidth="1"/>
    <col min="37" max="38" width="4.7109375" style="11" customWidth="1"/>
    <col min="39" max="39" width="15.140625" style="11" bestFit="1" customWidth="1"/>
    <col min="40" max="16384" width="9.140625" style="11"/>
  </cols>
  <sheetData>
    <row r="1" spans="1:39" s="1" customFormat="1" ht="42" customHeight="1" x14ac:dyDescent="0.25">
      <c r="A1" s="139" t="s">
        <v>88</v>
      </c>
      <c r="B1" s="38"/>
      <c r="C1" s="38"/>
      <c r="D1" s="39"/>
      <c r="E1" s="39"/>
      <c r="F1" s="39"/>
      <c r="G1" s="39"/>
      <c r="H1" s="39"/>
      <c r="I1" s="39"/>
      <c r="J1" s="39"/>
      <c r="K1" s="39"/>
      <c r="L1" s="39"/>
      <c r="M1" s="39"/>
      <c r="N1" s="39"/>
      <c r="O1" s="39"/>
      <c r="P1" s="39"/>
      <c r="Q1" s="39"/>
      <c r="R1" s="39"/>
      <c r="S1" s="39"/>
      <c r="T1" s="39"/>
      <c r="U1" s="39"/>
      <c r="V1" s="39"/>
      <c r="W1" s="39"/>
      <c r="X1" s="39"/>
      <c r="Y1" s="39"/>
      <c r="Z1" s="39"/>
      <c r="AA1" s="39"/>
      <c r="AB1" s="39"/>
      <c r="AC1" s="38"/>
      <c r="AD1" s="38"/>
      <c r="AE1" s="38"/>
      <c r="AF1" s="38"/>
      <c r="AG1" s="40"/>
      <c r="AH1" s="38"/>
      <c r="AI1" s="38"/>
      <c r="AJ1" s="41"/>
      <c r="AK1" s="38"/>
      <c r="AL1" s="138" t="s">
        <v>71</v>
      </c>
      <c r="AM1" s="57">
        <f>AnCalendar</f>
        <v>2012</v>
      </c>
    </row>
    <row r="2" spans="1:39" customFormat="1" ht="13.5" x14ac:dyDescent="0.25"/>
    <row r="3" spans="1:39" s="32" customFormat="1" ht="12.75" customHeight="1" x14ac:dyDescent="0.25">
      <c r="C3" s="44" t="str">
        <f>CheieCuloareText</f>
        <v>CHEIE CULORI</v>
      </c>
      <c r="D3" s="51" t="str">
        <f>Cod_1</f>
        <v>Î</v>
      </c>
      <c r="E3" s="67" t="str">
        <f>Cod1Text</f>
        <v>Întârziat</v>
      </c>
      <c r="F3" s="58"/>
      <c r="H3" s="52" t="str">
        <f>Cod_2</f>
        <v>M</v>
      </c>
      <c r="I3" s="56" t="str">
        <f>Cod2Text</f>
        <v>Motivat</v>
      </c>
      <c r="L3" s="53" t="str">
        <f>Cod_3</f>
        <v>N</v>
      </c>
      <c r="M3" s="56" t="str">
        <f>Cod3Text</f>
        <v>Nemotivat</v>
      </c>
      <c r="P3" s="54" t="str">
        <f>Cod_4</f>
        <v>P</v>
      </c>
      <c r="Q3" s="56" t="str">
        <f>Cod4Text</f>
        <v>Prezent</v>
      </c>
      <c r="T3" s="55" t="str">
        <f>Cod_5</f>
        <v>Nu</v>
      </c>
      <c r="U3" s="56" t="str">
        <f>Cod5Text</f>
        <v>Nu a fost la școală</v>
      </c>
      <c r="W3"/>
      <c r="X3"/>
      <c r="Y3"/>
      <c r="AD3" s="31"/>
      <c r="AE3" s="31"/>
      <c r="AH3" s="33"/>
      <c r="AI3" s="34"/>
      <c r="AK3" s="35"/>
    </row>
    <row r="4" spans="1:39" customFormat="1" ht="16.5" customHeight="1" x14ac:dyDescent="0.25"/>
    <row r="5" spans="1:39" s="2" customFormat="1" ht="18" customHeight="1" x14ac:dyDescent="0.3">
      <c r="B5" s="60">
        <f>DATE(AnCalendar+1,7,1)</f>
        <v>41456</v>
      </c>
      <c r="C5" s="59"/>
      <c r="D5" s="42" t="str">
        <f>TEXT(WEEKDAY(DATE(AnCalendar+1,7,1),1),"aaa")</f>
        <v>L</v>
      </c>
      <c r="E5" s="42" t="str">
        <f>TEXT(WEEKDAY(DATE(AnCalendar+1,7,2),1),"aaa")</f>
        <v>Ma</v>
      </c>
      <c r="F5" s="42" t="str">
        <f>TEXT(WEEKDAY(DATE(AnCalendar+1,7,3),1),"aaa")</f>
        <v>Mi</v>
      </c>
      <c r="G5" s="42" t="str">
        <f>TEXT(WEEKDAY(DATE(AnCalendar+1,7,4),1),"aaa")</f>
        <v>J</v>
      </c>
      <c r="H5" s="42" t="str">
        <f>TEXT(WEEKDAY(DATE(AnCalendar+1,7,5),1),"aaa")</f>
        <v>V</v>
      </c>
      <c r="I5" s="42" t="str">
        <f>TEXT(WEEKDAY(DATE(AnCalendar+1,7,6),1),"aaa")</f>
        <v>S</v>
      </c>
      <c r="J5" s="42" t="str">
        <f>TEXT(WEEKDAY(DATE(AnCalendar+1,7,7),1),"aaa")</f>
        <v>D</v>
      </c>
      <c r="K5" s="42" t="str">
        <f>TEXT(WEEKDAY(DATE(AnCalendar+1,7,8),1),"aaa")</f>
        <v>L</v>
      </c>
      <c r="L5" s="42" t="str">
        <f>TEXT(WEEKDAY(DATE(AnCalendar+1,7,9),1),"aaa")</f>
        <v>Ma</v>
      </c>
      <c r="M5" s="42" t="str">
        <f>TEXT(WEEKDAY(DATE(AnCalendar+1,7,10),1),"aaa")</f>
        <v>Mi</v>
      </c>
      <c r="N5" s="42" t="str">
        <f>TEXT(WEEKDAY(DATE(AnCalendar+1,7,11),1),"aaa")</f>
        <v>J</v>
      </c>
      <c r="O5" s="42" t="str">
        <f>TEXT(WEEKDAY(DATE(AnCalendar+1,7,12),1),"aaa")</f>
        <v>V</v>
      </c>
      <c r="P5" s="42" t="str">
        <f>TEXT(WEEKDAY(DATE(AnCalendar+1,7,13),1),"aaa")</f>
        <v>S</v>
      </c>
      <c r="Q5" s="42" t="str">
        <f>TEXT(WEEKDAY(DATE(AnCalendar+1,7,14),1),"aaa")</f>
        <v>D</v>
      </c>
      <c r="R5" s="42" t="str">
        <f>TEXT(WEEKDAY(DATE(AnCalendar+1,7,15),1),"aaa")</f>
        <v>L</v>
      </c>
      <c r="S5" s="42" t="str">
        <f>TEXT(WEEKDAY(DATE(AnCalendar+1,7,16),1),"aaa")</f>
        <v>Ma</v>
      </c>
      <c r="T5" s="42" t="str">
        <f>TEXT(WEEKDAY(DATE(AnCalendar+1,7,17),1),"aaa")</f>
        <v>Mi</v>
      </c>
      <c r="U5" s="42" t="str">
        <f>TEXT(WEEKDAY(DATE(AnCalendar+1,7,18),1),"aaa")</f>
        <v>J</v>
      </c>
      <c r="V5" s="42" t="str">
        <f>TEXT(WEEKDAY(DATE(AnCalendar+1,7,19),1),"aaa")</f>
        <v>V</v>
      </c>
      <c r="W5" s="42" t="str">
        <f>TEXT(WEEKDAY(DATE(AnCalendar+1,7,20),1),"aaa")</f>
        <v>S</v>
      </c>
      <c r="X5" s="42" t="str">
        <f>TEXT(WEEKDAY(DATE(AnCalendar+1,7,21),1),"aaa")</f>
        <v>D</v>
      </c>
      <c r="Y5" s="42" t="str">
        <f>TEXT(WEEKDAY(DATE(AnCalendar+1,7,22),1),"aaa")</f>
        <v>L</v>
      </c>
      <c r="Z5" s="42" t="str">
        <f>TEXT(WEEKDAY(DATE(AnCalendar+1,7,23),1),"aaa")</f>
        <v>Ma</v>
      </c>
      <c r="AA5" s="42" t="str">
        <f>TEXT(WEEKDAY(DATE(AnCalendar+1,7,24),1),"aaa")</f>
        <v>Mi</v>
      </c>
      <c r="AB5" s="42" t="str">
        <f>TEXT(WEEKDAY(DATE(AnCalendar+1,7,25),1),"aaa")</f>
        <v>J</v>
      </c>
      <c r="AC5" s="42" t="str">
        <f>TEXT(WEEKDAY(DATE(AnCalendar+1,7,26),1),"aaa")</f>
        <v>V</v>
      </c>
      <c r="AD5" s="42" t="str">
        <f>TEXT(WEEKDAY(DATE(AnCalendar+1,7,27),1),"aaa")</f>
        <v>S</v>
      </c>
      <c r="AE5" s="42" t="str">
        <f>TEXT(WEEKDAY(DATE(AnCalendar+1,7,28),1),"aaa")</f>
        <v>D</v>
      </c>
      <c r="AF5" s="42" t="str">
        <f>TEXT(WEEKDAY(DATE(AnCalendar+1,7,29),1),"aaa")</f>
        <v>L</v>
      </c>
      <c r="AG5" s="42" t="str">
        <f>TEXT(WEEKDAY(DATE(AnCalendar+1,7,30),1),"aaa")</f>
        <v>Ma</v>
      </c>
      <c r="AH5" s="42" t="str">
        <f>TEXT(WEEKDAY(DATE(AnCalendar+1,7,31),1),"aaa")</f>
        <v>Mi</v>
      </c>
      <c r="AI5" s="116" t="s">
        <v>41</v>
      </c>
      <c r="AJ5" s="116"/>
      <c r="AK5" s="116"/>
      <c r="AL5" s="116"/>
      <c r="AM5" s="116"/>
    </row>
    <row r="6" spans="1:39" ht="14.25" customHeight="1" x14ac:dyDescent="0.25">
      <c r="B6" s="28" t="s">
        <v>34</v>
      </c>
      <c r="C6" s="29" t="s">
        <v>36</v>
      </c>
      <c r="D6" s="30" t="s">
        <v>0</v>
      </c>
      <c r="E6" s="30" t="s">
        <v>1</v>
      </c>
      <c r="F6" s="30" t="s">
        <v>2</v>
      </c>
      <c r="G6" s="30" t="s">
        <v>3</v>
      </c>
      <c r="H6" s="30" t="s">
        <v>4</v>
      </c>
      <c r="I6" s="30" t="s">
        <v>5</v>
      </c>
      <c r="J6" s="30" t="s">
        <v>6</v>
      </c>
      <c r="K6" s="30" t="s">
        <v>7</v>
      </c>
      <c r="L6" s="30" t="s">
        <v>8</v>
      </c>
      <c r="M6" s="30" t="s">
        <v>9</v>
      </c>
      <c r="N6" s="30" t="s">
        <v>10</v>
      </c>
      <c r="O6" s="30" t="s">
        <v>11</v>
      </c>
      <c r="P6" s="30" t="s">
        <v>12</v>
      </c>
      <c r="Q6" s="30" t="s">
        <v>13</v>
      </c>
      <c r="R6" s="30" t="s">
        <v>14</v>
      </c>
      <c r="S6" s="30" t="s">
        <v>15</v>
      </c>
      <c r="T6" s="30" t="s">
        <v>16</v>
      </c>
      <c r="U6" s="30" t="s">
        <v>17</v>
      </c>
      <c r="V6" s="30" t="s">
        <v>18</v>
      </c>
      <c r="W6" s="30" t="s">
        <v>19</v>
      </c>
      <c r="X6" s="30" t="s">
        <v>20</v>
      </c>
      <c r="Y6" s="30" t="s">
        <v>21</v>
      </c>
      <c r="Z6" s="30" t="s">
        <v>22</v>
      </c>
      <c r="AA6" s="30" t="s">
        <v>23</v>
      </c>
      <c r="AB6" s="30" t="s">
        <v>24</v>
      </c>
      <c r="AC6" s="30" t="s">
        <v>25</v>
      </c>
      <c r="AD6" s="30" t="s">
        <v>26</v>
      </c>
      <c r="AE6" s="30" t="s">
        <v>27</v>
      </c>
      <c r="AF6" s="30" t="s">
        <v>28</v>
      </c>
      <c r="AG6" s="30" t="s">
        <v>29</v>
      </c>
      <c r="AH6" s="30" t="s">
        <v>30</v>
      </c>
      <c r="AI6" s="69" t="s">
        <v>37</v>
      </c>
      <c r="AJ6" s="52" t="s">
        <v>39</v>
      </c>
      <c r="AK6" s="53" t="s">
        <v>38</v>
      </c>
      <c r="AL6" s="36" t="s">
        <v>31</v>
      </c>
      <c r="AM6" t="s">
        <v>40</v>
      </c>
    </row>
    <row r="7" spans="1:39" ht="16.5" customHeight="1" x14ac:dyDescent="0.25">
      <c r="B7" s="27"/>
      <c r="C7" s="22" t="str">
        <f>IFERROR(VLOOKUP(PrezențăIulie[[#This Row],[ID elev]],ListăElevi[],18,FALSE),"")</f>
        <v/>
      </c>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6"/>
      <c r="AG7" s="3"/>
      <c r="AH7" s="3"/>
      <c r="AI7" s="37">
        <f>COUNTIF(PrezențăIulie[[#This Row],[1]:[31]],Cod_1)</f>
        <v>0</v>
      </c>
      <c r="AJ7" s="37">
        <f>COUNTIF(PrezențăIulie[[#This Row],[1]:[31]],Cod_2)</f>
        <v>0</v>
      </c>
      <c r="AK7" s="37">
        <f>COUNTIF(PrezențăIulie[[#This Row],[1]:[31]],Cod_3)</f>
        <v>0</v>
      </c>
      <c r="AL7" s="37">
        <f>COUNTIF(PrezențăIulie[[#This Row],[1]:[31]],Cod_4)</f>
        <v>0</v>
      </c>
      <c r="AM7" s="6">
        <f>SUM(PrezențăIulie[[#This Row],[M]:[N]])</f>
        <v>0</v>
      </c>
    </row>
    <row r="8" spans="1:39" ht="16.5" customHeight="1" x14ac:dyDescent="0.25">
      <c r="B8" s="27"/>
      <c r="C8" s="23" t="str">
        <f>IFERROR(VLOOKUP(PrezențăIulie[[#This Row],[ID elev]],ListăElevi[],18,FALSE),"")</f>
        <v/>
      </c>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6"/>
      <c r="AG8" s="3"/>
      <c r="AH8" s="3"/>
      <c r="AI8" s="37">
        <f>COUNTIF(PrezențăIulie[[#This Row],[1]:[31]],Cod_1)</f>
        <v>0</v>
      </c>
      <c r="AJ8" s="37">
        <f>COUNTIF(PrezențăIulie[[#This Row],[1]:[31]],Cod_2)</f>
        <v>0</v>
      </c>
      <c r="AK8" s="37">
        <f>COUNTIF(PrezențăIulie[[#This Row],[1]:[31]],Cod_3)</f>
        <v>0</v>
      </c>
      <c r="AL8" s="37">
        <f>COUNTIF(PrezențăIulie[[#This Row],[1]:[31]],Cod_4)</f>
        <v>0</v>
      </c>
      <c r="AM8" s="6">
        <f>SUM(PrezențăIulie[[#This Row],[M]:[N]])</f>
        <v>0</v>
      </c>
    </row>
    <row r="9" spans="1:39" ht="16.5" customHeight="1" x14ac:dyDescent="0.25">
      <c r="B9" s="27"/>
      <c r="C9" s="23" t="str">
        <f>IFERROR(VLOOKUP(PrezențăIulie[[#This Row],[ID elev]],ListăElevi[],18,FALSE),"")</f>
        <v/>
      </c>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6"/>
      <c r="AG9" s="3"/>
      <c r="AH9" s="3"/>
      <c r="AI9" s="37">
        <f>COUNTIF(PrezențăIulie[[#This Row],[1]:[31]],Cod_1)</f>
        <v>0</v>
      </c>
      <c r="AJ9" s="37">
        <f>COUNTIF(PrezențăIulie[[#This Row],[1]:[31]],Cod_2)</f>
        <v>0</v>
      </c>
      <c r="AK9" s="37">
        <f>COUNTIF(PrezențăIulie[[#This Row],[1]:[31]],Cod_3)</f>
        <v>0</v>
      </c>
      <c r="AL9" s="37">
        <f>COUNTIF(PrezențăIulie[[#This Row],[1]:[31]],Cod_4)</f>
        <v>0</v>
      </c>
      <c r="AM9" s="6">
        <f>SUM(PrezențăIulie[[#This Row],[M]:[N]])</f>
        <v>0</v>
      </c>
    </row>
    <row r="10" spans="1:39" ht="16.5" customHeight="1" x14ac:dyDescent="0.25">
      <c r="B10" s="27"/>
      <c r="C10" s="23" t="str">
        <f>IFERROR(VLOOKUP(PrezențăIulie[[#This Row],[ID elev]],ListăElevi[],18,FALSE),"")</f>
        <v/>
      </c>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6"/>
      <c r="AG10" s="3"/>
      <c r="AH10" s="3"/>
      <c r="AI10" s="37">
        <f>COUNTIF(PrezențăIulie[[#This Row],[1]:[31]],Cod_1)</f>
        <v>0</v>
      </c>
      <c r="AJ10" s="37">
        <f>COUNTIF(PrezențăIulie[[#This Row],[1]:[31]],Cod_2)</f>
        <v>0</v>
      </c>
      <c r="AK10" s="37">
        <f>COUNTIF(PrezențăIulie[[#This Row],[1]:[31]],Cod_3)</f>
        <v>0</v>
      </c>
      <c r="AL10" s="37">
        <f>COUNTIF(PrezențăIulie[[#This Row],[1]:[31]],Cod_4)</f>
        <v>0</v>
      </c>
      <c r="AM10" s="6">
        <f>SUM(PrezențăIulie[[#This Row],[M]:[N]])</f>
        <v>0</v>
      </c>
    </row>
    <row r="11" spans="1:39" ht="16.5" customHeight="1" x14ac:dyDescent="0.25">
      <c r="B11" s="27"/>
      <c r="C11" s="23" t="str">
        <f>IFERROR(VLOOKUP(PrezențăIulie[[#This Row],[ID elev]],ListăElevi[],18,FALSE),"")</f>
        <v/>
      </c>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6"/>
      <c r="AG11" s="3"/>
      <c r="AH11" s="3"/>
      <c r="AI11" s="37">
        <f>COUNTIF(PrezențăIulie[[#This Row],[1]:[31]],Cod_1)</f>
        <v>0</v>
      </c>
      <c r="AJ11" s="37">
        <f>COUNTIF(PrezențăIulie[[#This Row],[1]:[31]],Cod_2)</f>
        <v>0</v>
      </c>
      <c r="AK11" s="37">
        <f>COUNTIF(PrezențăIulie[[#This Row],[1]:[31]],Cod_3)</f>
        <v>0</v>
      </c>
      <c r="AL11" s="37">
        <f>COUNTIF(PrezențăIulie[[#This Row],[1]:[31]],Cod_4)</f>
        <v>0</v>
      </c>
      <c r="AM11" s="6">
        <f>SUM(PrezențăIulie[[#This Row],[M]:[N]])</f>
        <v>0</v>
      </c>
    </row>
    <row r="12" spans="1:39" ht="16.5" customHeight="1" x14ac:dyDescent="0.25">
      <c r="B12" s="140"/>
      <c r="C12" s="141" t="s">
        <v>119</v>
      </c>
      <c r="D12" s="142">
        <f>COUNTIF(PrezențăIulie[1],"N")+COUNTIF(PrezențăIulie[1],"M")</f>
        <v>0</v>
      </c>
      <c r="E12" s="142">
        <f>COUNTIF(PrezențăIulie[2],"N")+COUNTIF(PrezențăIulie[2],"M")</f>
        <v>0</v>
      </c>
      <c r="F12" s="142">
        <f>COUNTIF(PrezențăIulie[3],"N")+COUNTIF(PrezențăIulie[3],"M")</f>
        <v>0</v>
      </c>
      <c r="G12" s="142">
        <f>COUNTIF(PrezențăIulie[4],"N")+COUNTIF(PrezențăIulie[4],"M")</f>
        <v>0</v>
      </c>
      <c r="H12" s="142">
        <f>COUNTIF(PrezențăIulie[5],"N")+COUNTIF(PrezențăIulie[5],"M")</f>
        <v>0</v>
      </c>
      <c r="I12" s="142">
        <f>COUNTIF(PrezențăIulie[6],"N")+COUNTIF(PrezențăIulie[6],"M")</f>
        <v>0</v>
      </c>
      <c r="J12" s="142">
        <f>COUNTIF(PrezențăIulie[7],"N")+COUNTIF(PrezențăIulie[7],"M")</f>
        <v>0</v>
      </c>
      <c r="K12" s="142">
        <f>COUNTIF(PrezențăIulie[8],"N")+COUNTIF(PrezențăIulie[8],"M")</f>
        <v>0</v>
      </c>
      <c r="L12" s="142">
        <f>COUNTIF(PrezențăIulie[9],"N")+COUNTIF(PrezențăIulie[9],"M")</f>
        <v>0</v>
      </c>
      <c r="M12" s="142">
        <f>COUNTIF(PrezențăIulie[10],"N")+COUNTIF(PrezențăIulie[10],"M")</f>
        <v>0</v>
      </c>
      <c r="N12" s="142">
        <f>COUNTIF(PrezențăIulie[11],"N")+COUNTIF(PrezențăIulie[11],"M")</f>
        <v>0</v>
      </c>
      <c r="O12" s="142">
        <f>COUNTIF(PrezențăIulie[12],"N")+COUNTIF(PrezențăIulie[12],"M")</f>
        <v>0</v>
      </c>
      <c r="P12" s="142">
        <f>COUNTIF(PrezențăIulie[13],"N")+COUNTIF(PrezențăIulie[13],"M")</f>
        <v>0</v>
      </c>
      <c r="Q12" s="142">
        <f>COUNTIF(PrezențăIulie[14],"N")+COUNTIF(PrezențăIulie[14],"M")</f>
        <v>0</v>
      </c>
      <c r="R12" s="142">
        <f>COUNTIF(PrezențăIulie[15],"N")+COUNTIF(PrezențăIulie[15],"M")</f>
        <v>0</v>
      </c>
      <c r="S12" s="142">
        <f>COUNTIF(PrezențăIulie[16],"N")+COUNTIF(PrezențăIulie[16],"M")</f>
        <v>0</v>
      </c>
      <c r="T12" s="142">
        <f>COUNTIF(PrezențăIulie[17],"N")+COUNTIF(PrezențăIulie[17],"M")</f>
        <v>0</v>
      </c>
      <c r="U12" s="142">
        <f>COUNTIF(PrezențăIulie[18],"N")+COUNTIF(PrezențăIulie[18],"M")</f>
        <v>0</v>
      </c>
      <c r="V12" s="142">
        <f>COUNTIF(PrezențăIulie[19],"N")+COUNTIF(PrezențăIulie[19],"M")</f>
        <v>0</v>
      </c>
      <c r="W12" s="142">
        <f>COUNTIF(PrezențăIulie[20],"N")+COUNTIF(PrezențăIulie[20],"M")</f>
        <v>0</v>
      </c>
      <c r="X12" s="142">
        <f>COUNTIF(PrezențăIulie[21],"N")+COUNTIF(PrezențăIulie[21],"M")</f>
        <v>0</v>
      </c>
      <c r="Y12" s="142">
        <f>COUNTIF(PrezențăIulie[22],"N")+COUNTIF(PrezențăIulie[22],"M")</f>
        <v>0</v>
      </c>
      <c r="Z12" s="142">
        <f>COUNTIF(PrezențăIulie[23],"N")+COUNTIF(PrezențăIulie[23],"M")</f>
        <v>0</v>
      </c>
      <c r="AA12" s="142">
        <f>COUNTIF(PrezențăIulie[24],"N")+COUNTIF(PrezențăIulie[24],"M")</f>
        <v>0</v>
      </c>
      <c r="AB12" s="142">
        <f>COUNTIF(PrezențăIulie[25],"N")+COUNTIF(PrezențăIulie[25],"M")</f>
        <v>0</v>
      </c>
      <c r="AC12" s="142">
        <f>COUNTIF(PrezențăIulie[26],"N")+COUNTIF(PrezențăIulie[26],"M")</f>
        <v>0</v>
      </c>
      <c r="AD12" s="142">
        <f>COUNTIF(PrezențăIulie[27],"N")+COUNTIF(PrezențăIulie[27],"M")</f>
        <v>0</v>
      </c>
      <c r="AE12" s="142">
        <f>COUNTIF(PrezențăIulie[28],"N")+COUNTIF(PrezențăIulie[28],"M")</f>
        <v>0</v>
      </c>
      <c r="AF12" s="142">
        <f>COUNTIF(PrezențăIulie[29],"N")+COUNTIF(PrezențăIulie[29],"M")</f>
        <v>0</v>
      </c>
      <c r="AG12" s="142"/>
      <c r="AH12" s="142"/>
      <c r="AI12" s="142">
        <f>SUBTOTAL(109,PrezențăIulie[Î])</f>
        <v>0</v>
      </c>
      <c r="AJ12" s="142">
        <f>SUBTOTAL(109,PrezențăIulie[M])</f>
        <v>0</v>
      </c>
      <c r="AK12" s="142">
        <f>SUBTOTAL(109,PrezențăIulie[N])</f>
        <v>0</v>
      </c>
      <c r="AL12" s="142">
        <f>SUBTOTAL(109,PrezențăIulie[P])</f>
        <v>0</v>
      </c>
      <c r="AM12" s="142">
        <f>SUBTOTAL(109,PrezențăIulie[Zile de absență])</f>
        <v>0</v>
      </c>
    </row>
    <row r="14" spans="1:39" ht="16.5" customHeight="1" x14ac:dyDescent="0.25"/>
    <row r="15" spans="1:39" ht="16.5" customHeight="1" x14ac:dyDescent="0.25"/>
    <row r="16" spans="1:39"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sheetData>
  <sheetProtection formatCells="0" formatColumns="0" formatRows="0" insertColumns="0" insertRows="0" insertHyperlinks="0" deleteColumns="0" deleteRows="0" sort="0" autoFilter="0" pivotTables="0"/>
  <mergeCells count="1">
    <mergeCell ref="AI5:AM5"/>
  </mergeCells>
  <conditionalFormatting sqref="AM7:AM11">
    <cfRule type="dataBar" priority="1">
      <dataBar>
        <cfvo type="min"/>
        <cfvo type="num" val="DATEDIF(DATE(AnCalendar,2,1),DATE(AnCalendar,3,1),&quot;d&quot;)"/>
        <color theme="4"/>
      </dataBar>
      <extLst>
        <ext xmlns:x14="http://schemas.microsoft.com/office/spreadsheetml/2009/9/main" uri="{B025F937-C7B1-47D3-B67F-A62EFF666E3E}">
          <x14:id>{9F36FAEC-C62D-409B-BB81-2770CD5BFB3E}</x14:id>
        </ext>
      </extLst>
    </cfRule>
  </conditionalFormatting>
  <conditionalFormatting sqref="D7:AF11">
    <cfRule type="expression" dxfId="507" priority="2" stopIfTrue="1">
      <formula>D7=Cod_2</formula>
    </cfRule>
  </conditionalFormatting>
  <conditionalFormatting sqref="D7:AF11">
    <cfRule type="expression" dxfId="506" priority="3" stopIfTrue="1">
      <formula>D7=Cod_5</formula>
    </cfRule>
    <cfRule type="expression" dxfId="505" priority="4" stopIfTrue="1">
      <formula>D7=Cod_4</formula>
    </cfRule>
    <cfRule type="expression" dxfId="504" priority="5" stopIfTrue="1">
      <formula>D7=Cod_3</formula>
    </cfRule>
    <cfRule type="expression" dxfId="503" priority="6" stopIfTrue="1">
      <formula>D7=Cod_1</formula>
    </cfRule>
  </conditionalFormatting>
  <dataValidations count="1">
    <dataValidation type="list" errorStyle="warning" allowBlank="1" showInputMessage="1" showErrorMessage="1" errorTitle="Atenție!" error="ID-ul elev pe care l-ați introdus nu se află în foaia Listă elevi. Puteți să faceți clic pe Da pentru a utiliza ID-ul introdus, dar acel ID elev nu va fi disponibil pe foaia Raport prezență elev." sqref="B7:B11">
      <formula1>IDCursant</formula1>
    </dataValidation>
  </dataValidations>
  <printOptions horizontalCentered="1"/>
  <pageMargins left="0.5" right="0.5" top="0.75" bottom="0.75" header="0.3" footer="0.3"/>
  <pageSetup paperSize="9" scale="59" fitToHeight="0" orientation="landscape" verticalDpi="120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F36FAEC-C62D-409B-BB81-2770CD5BFB3E}">
            <x14:dataBar minLength="0" maxLength="100" border="1" negativeBarBorderColorSameAsPositive="0">
              <x14:cfvo type="autoMin"/>
              <x14:cfvo type="num">
                <xm:f>DATEDIF(DATE(AnCalendar,2,1),DATE(AnCalendar,3,1),"d")</xm:f>
              </x14:cfvo>
              <x14:borderColor theme="4"/>
              <x14:negativeFillColor rgb="FFFF0000"/>
              <x14:negativeBorderColor rgb="FFFF0000"/>
              <x14:axisColor rgb="FF000000"/>
            </x14:dataBar>
          </x14:cfRule>
          <xm:sqref>AM7:AM11</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AK40"/>
  <sheetViews>
    <sheetView showGridLines="0" zoomScaleNormal="100" workbookViewId="0">
      <selection activeCell="B4" sqref="B4:C4"/>
    </sheetView>
  </sheetViews>
  <sheetFormatPr defaultRowHeight="13.5" x14ac:dyDescent="0.25"/>
  <cols>
    <col min="1" max="1" width="3.42578125" style="19" customWidth="1"/>
    <col min="2" max="2" width="16.85546875" style="19" customWidth="1"/>
    <col min="3" max="33" width="3.28515625" style="19" customWidth="1"/>
    <col min="34" max="37" width="6.140625" style="19" customWidth="1"/>
    <col min="38" max="16384" width="9.140625" style="19"/>
  </cols>
  <sheetData>
    <row r="1" spans="1:37" ht="33" customHeight="1" x14ac:dyDescent="0.25">
      <c r="A1" s="145" t="str">
        <f>"Înregistrare prezență pentru"</f>
        <v>Înregistrare prezență pentru</v>
      </c>
      <c r="B1" s="63"/>
      <c r="C1" s="64"/>
      <c r="D1" s="64"/>
      <c r="E1" s="64"/>
      <c r="F1" s="64"/>
      <c r="G1" s="64"/>
      <c r="H1" s="64"/>
      <c r="I1" s="80" t="str">
        <f>D4</f>
        <v/>
      </c>
      <c r="J1" s="63"/>
      <c r="K1" s="63"/>
      <c r="L1" s="63"/>
      <c r="M1" s="64"/>
      <c r="N1" s="61"/>
      <c r="O1" s="61"/>
      <c r="P1" s="61"/>
      <c r="Q1" s="61"/>
      <c r="R1" s="61"/>
      <c r="S1" s="61"/>
      <c r="T1" s="61"/>
      <c r="U1" s="61"/>
      <c r="V1" s="61"/>
      <c r="W1" s="61"/>
      <c r="X1" s="61"/>
      <c r="Y1" s="61"/>
      <c r="Z1" s="61"/>
      <c r="AA1" s="61"/>
      <c r="AB1" s="61"/>
      <c r="AC1" s="61"/>
      <c r="AD1" s="61"/>
      <c r="AE1" s="61"/>
      <c r="AF1" s="61"/>
      <c r="AG1" s="61"/>
      <c r="AH1" s="61"/>
      <c r="AI1" s="61"/>
      <c r="AJ1" s="61"/>
      <c r="AK1" s="62"/>
    </row>
    <row r="2" spans="1:37" customFormat="1" ht="15" customHeight="1" x14ac:dyDescent="0.25"/>
    <row r="3" spans="1:37" ht="17.25" customHeight="1" x14ac:dyDescent="0.25">
      <c r="B3" s="95" t="s">
        <v>34</v>
      </c>
      <c r="C3" s="96"/>
      <c r="D3" s="123" t="s">
        <v>36</v>
      </c>
      <c r="E3" s="123"/>
      <c r="F3" s="123"/>
      <c r="G3" s="123"/>
      <c r="H3" s="123"/>
      <c r="I3" s="123"/>
      <c r="J3" s="123"/>
      <c r="K3" s="123"/>
      <c r="L3" s="123"/>
      <c r="M3" s="123"/>
      <c r="N3" s="123"/>
      <c r="O3" s="123"/>
      <c r="P3" s="117" t="s">
        <v>42</v>
      </c>
      <c r="Q3" s="117"/>
      <c r="R3" s="117"/>
      <c r="S3" s="117" t="s">
        <v>43</v>
      </c>
      <c r="T3" s="117"/>
      <c r="U3" s="117"/>
      <c r="V3" s="117"/>
      <c r="W3" s="117" t="s">
        <v>44</v>
      </c>
      <c r="X3" s="117"/>
      <c r="Y3" s="117"/>
      <c r="Z3" s="117"/>
      <c r="AA3" s="117"/>
      <c r="AB3" s="117"/>
      <c r="AC3" s="117"/>
      <c r="AD3" s="117"/>
      <c r="AE3" s="124" t="s">
        <v>45</v>
      </c>
      <c r="AF3" s="124"/>
      <c r="AG3" s="117" t="s">
        <v>46</v>
      </c>
      <c r="AH3" s="117"/>
      <c r="AI3" s="117"/>
      <c r="AJ3" s="117"/>
      <c r="AK3" s="104" t="s">
        <v>47</v>
      </c>
    </row>
    <row r="4" spans="1:37" ht="17.25" customHeight="1" x14ac:dyDescent="0.25">
      <c r="B4" s="122"/>
      <c r="C4" s="122"/>
      <c r="D4" s="118" t="str">
        <f>IFERROR(VLOOKUP(CăutareCursant,ListăElevi[],18,FALSE),"")</f>
        <v/>
      </c>
      <c r="E4" s="118"/>
      <c r="F4" s="118"/>
      <c r="G4" s="118"/>
      <c r="H4" s="118"/>
      <c r="I4" s="118"/>
      <c r="J4" s="118"/>
      <c r="K4" s="118"/>
      <c r="L4" s="118"/>
      <c r="M4" s="118"/>
      <c r="N4" s="118"/>
      <c r="O4" s="118"/>
      <c r="P4" s="120" t="str">
        <f>IFERROR(VLOOKUP(CăutareCursant,ListăElevi[],4,FALSE),"")</f>
        <v/>
      </c>
      <c r="Q4" s="120"/>
      <c r="R4" s="120"/>
      <c r="S4" s="121" t="str">
        <f>IFERROR(VLOOKUP(CăutareCursant,ListăElevi[],5,FALSE),"")</f>
        <v/>
      </c>
      <c r="T4" s="121"/>
      <c r="U4" s="121"/>
      <c r="V4" s="121"/>
      <c r="W4" s="122" t="s">
        <v>98</v>
      </c>
      <c r="X4" s="122"/>
      <c r="Y4" s="122"/>
      <c r="Z4" s="122"/>
      <c r="AA4" s="122"/>
      <c r="AB4" s="122"/>
      <c r="AC4" s="122"/>
      <c r="AD4" s="122"/>
      <c r="AE4" s="125">
        <v>7</v>
      </c>
      <c r="AF4" s="125"/>
      <c r="AG4" s="122" t="s">
        <v>99</v>
      </c>
      <c r="AH4" s="122"/>
      <c r="AI4" s="122"/>
      <c r="AJ4" s="122"/>
      <c r="AK4" s="97">
        <v>123</v>
      </c>
    </row>
    <row r="5" spans="1:37" ht="17.25" customHeight="1" x14ac:dyDescent="0.25">
      <c r="B5" s="117" t="s">
        <v>80</v>
      </c>
      <c r="C5" s="117"/>
      <c r="D5" s="117"/>
      <c r="E5" s="117"/>
      <c r="F5" s="117"/>
      <c r="G5" s="117"/>
      <c r="H5" s="117"/>
      <c r="I5" s="117"/>
      <c r="J5" s="117"/>
      <c r="K5" s="117" t="s">
        <v>48</v>
      </c>
      <c r="L5" s="117"/>
      <c r="M5" s="117"/>
      <c r="N5" s="117"/>
      <c r="O5" s="117"/>
      <c r="P5" s="117"/>
      <c r="Q5" s="117"/>
      <c r="R5" s="117"/>
      <c r="S5" s="117"/>
      <c r="T5" s="117"/>
      <c r="U5" s="117"/>
      <c r="V5" s="117"/>
      <c r="W5" s="117" t="s">
        <v>49</v>
      </c>
      <c r="X5" s="117"/>
      <c r="Y5" s="117"/>
      <c r="Z5" s="117"/>
      <c r="AA5" s="117"/>
      <c r="AB5" s="117"/>
      <c r="AC5" s="117"/>
      <c r="AD5" s="117"/>
      <c r="AE5" s="117" t="s">
        <v>50</v>
      </c>
      <c r="AF5" s="117"/>
      <c r="AG5" s="117"/>
      <c r="AH5" s="117"/>
      <c r="AI5" s="117"/>
      <c r="AJ5" s="117"/>
      <c r="AK5" s="117"/>
    </row>
    <row r="6" spans="1:37" ht="17.25" customHeight="1" x14ac:dyDescent="0.25">
      <c r="B6" s="118" t="str">
        <f>IFERROR(VLOOKUP(CăutareCursant,ListăElevi[],6,FALSE),"")</f>
        <v/>
      </c>
      <c r="C6" s="118"/>
      <c r="D6" s="118"/>
      <c r="E6" s="118"/>
      <c r="F6" s="118"/>
      <c r="G6" s="118"/>
      <c r="H6" s="118"/>
      <c r="I6" s="118"/>
      <c r="J6" s="118"/>
      <c r="K6" s="118" t="str">
        <f>IFERROR(VLOOKUP(CăutareCursant,ListăElevi[],7,FALSE),"")</f>
        <v/>
      </c>
      <c r="L6" s="118"/>
      <c r="M6" s="118"/>
      <c r="N6" s="118"/>
      <c r="O6" s="118"/>
      <c r="P6" s="118"/>
      <c r="Q6" s="118"/>
      <c r="R6" s="118"/>
      <c r="S6" s="118"/>
      <c r="T6" s="118"/>
      <c r="U6" s="118"/>
      <c r="V6" s="118"/>
      <c r="W6" s="119" t="str">
        <f>IFERROR(VLOOKUP(CăutareCursant,ListăElevi[],8,FALSE),"")</f>
        <v/>
      </c>
      <c r="X6" s="119"/>
      <c r="Y6" s="119"/>
      <c r="Z6" s="119"/>
      <c r="AA6" s="119"/>
      <c r="AB6" s="119"/>
      <c r="AC6" s="119"/>
      <c r="AD6" s="119"/>
      <c r="AE6" s="119" t="str">
        <f>IFERROR(VLOOKUP(CăutareCursant,ListăElevi[],9,FALSE),"")</f>
        <v/>
      </c>
      <c r="AF6" s="119"/>
      <c r="AG6" s="119"/>
      <c r="AH6" s="119"/>
      <c r="AI6" s="119"/>
      <c r="AJ6" s="119"/>
      <c r="AK6" s="119"/>
    </row>
    <row r="7" spans="1:37" ht="17.25" customHeight="1" x14ac:dyDescent="0.25">
      <c r="B7" s="117" t="s">
        <v>81</v>
      </c>
      <c r="C7" s="117"/>
      <c r="D7" s="117"/>
      <c r="E7" s="117"/>
      <c r="F7" s="117"/>
      <c r="G7" s="117"/>
      <c r="H7" s="117"/>
      <c r="I7" s="117"/>
      <c r="J7" s="117"/>
      <c r="K7" s="117" t="s">
        <v>48</v>
      </c>
      <c r="L7" s="117"/>
      <c r="M7" s="117"/>
      <c r="N7" s="117"/>
      <c r="O7" s="117"/>
      <c r="P7" s="117"/>
      <c r="Q7" s="117"/>
      <c r="R7" s="117"/>
      <c r="S7" s="117"/>
      <c r="T7" s="117"/>
      <c r="U7" s="117"/>
      <c r="V7" s="117"/>
      <c r="W7" s="117" t="s">
        <v>49</v>
      </c>
      <c r="X7" s="117"/>
      <c r="Y7" s="117"/>
      <c r="Z7" s="117"/>
      <c r="AA7" s="117"/>
      <c r="AB7" s="117"/>
      <c r="AC7" s="117"/>
      <c r="AD7" s="117"/>
      <c r="AE7" s="117" t="s">
        <v>50</v>
      </c>
      <c r="AF7" s="117"/>
      <c r="AG7" s="117"/>
      <c r="AH7" s="117"/>
      <c r="AI7" s="117"/>
      <c r="AJ7" s="117"/>
      <c r="AK7" s="117"/>
    </row>
    <row r="8" spans="1:37" ht="17.25" customHeight="1" x14ac:dyDescent="0.25">
      <c r="B8" s="118" t="str">
        <f>IFERROR(VLOOKUP(CăutareCursant,ListăElevi[],10,FALSE),"")</f>
        <v/>
      </c>
      <c r="C8" s="118"/>
      <c r="D8" s="118"/>
      <c r="E8" s="118"/>
      <c r="F8" s="118"/>
      <c r="G8" s="118"/>
      <c r="H8" s="118"/>
      <c r="I8" s="118"/>
      <c r="J8" s="118"/>
      <c r="K8" s="118" t="str">
        <f>IFERROR(VLOOKUP(CăutareCursant,ListăElevi[],11,FALSE),"")</f>
        <v/>
      </c>
      <c r="L8" s="118"/>
      <c r="M8" s="118"/>
      <c r="N8" s="118"/>
      <c r="O8" s="118"/>
      <c r="P8" s="118"/>
      <c r="Q8" s="118"/>
      <c r="R8" s="118"/>
      <c r="S8" s="118"/>
      <c r="T8" s="118"/>
      <c r="U8" s="118"/>
      <c r="V8" s="118"/>
      <c r="W8" s="119" t="str">
        <f>IFERROR(VLOOKUP(CăutareCursant,ListăElevi[],12,FALSE),"")</f>
        <v/>
      </c>
      <c r="X8" s="119"/>
      <c r="Y8" s="119"/>
      <c r="Z8" s="119"/>
      <c r="AA8" s="119"/>
      <c r="AB8" s="119"/>
      <c r="AC8" s="119"/>
      <c r="AD8" s="119"/>
      <c r="AE8" s="119" t="str">
        <f>IFERROR(VLOOKUP(CăutareCursant,ListăElevi[],13,FALSE),"")</f>
        <v/>
      </c>
      <c r="AF8" s="119"/>
      <c r="AG8" s="119"/>
      <c r="AH8" s="119"/>
      <c r="AI8" s="119"/>
      <c r="AJ8" s="119"/>
      <c r="AK8" s="119"/>
    </row>
    <row r="9" spans="1:37" ht="17.25" customHeight="1" x14ac:dyDescent="0.25">
      <c r="B9" s="117" t="s">
        <v>51</v>
      </c>
      <c r="C9" s="117"/>
      <c r="D9" s="117"/>
      <c r="E9" s="117"/>
      <c r="F9" s="117"/>
      <c r="G9" s="117"/>
      <c r="H9" s="117"/>
      <c r="I9" s="117"/>
      <c r="J9" s="117"/>
      <c r="K9" s="117" t="s">
        <v>48</v>
      </c>
      <c r="L9" s="117"/>
      <c r="M9" s="117"/>
      <c r="N9" s="117"/>
      <c r="O9" s="117"/>
      <c r="P9" s="117"/>
      <c r="Q9" s="117"/>
      <c r="R9" s="117"/>
      <c r="S9" s="117"/>
      <c r="T9" s="117"/>
      <c r="U9" s="117"/>
      <c r="V9" s="117"/>
      <c r="W9" s="117" t="s">
        <v>49</v>
      </c>
      <c r="X9" s="117"/>
      <c r="Y9" s="117"/>
      <c r="Z9" s="117"/>
      <c r="AA9" s="117"/>
      <c r="AB9" s="117"/>
      <c r="AC9" s="117"/>
      <c r="AD9" s="117"/>
      <c r="AE9" s="117" t="s">
        <v>50</v>
      </c>
      <c r="AF9" s="117"/>
      <c r="AG9" s="117"/>
      <c r="AH9" s="117"/>
      <c r="AI9" s="117"/>
      <c r="AJ9" s="117"/>
      <c r="AK9" s="117"/>
    </row>
    <row r="10" spans="1:37" ht="17.25" customHeight="1" x14ac:dyDescent="0.25">
      <c r="B10" s="118" t="str">
        <f>IFERROR(VLOOKUP(CăutareCursant,ListăElevi[],14,FALSE),"")</f>
        <v/>
      </c>
      <c r="C10" s="118"/>
      <c r="D10" s="118"/>
      <c r="E10" s="118"/>
      <c r="F10" s="118"/>
      <c r="G10" s="118"/>
      <c r="H10" s="118"/>
      <c r="I10" s="118"/>
      <c r="J10" s="118"/>
      <c r="K10" s="118" t="str">
        <f>IFERROR(VLOOKUP(CăutareCursant,ListăElevi[],15,FALSE),"")</f>
        <v/>
      </c>
      <c r="L10" s="118"/>
      <c r="M10" s="118"/>
      <c r="N10" s="118"/>
      <c r="O10" s="118"/>
      <c r="P10" s="118"/>
      <c r="Q10" s="118"/>
      <c r="R10" s="118"/>
      <c r="S10" s="118"/>
      <c r="T10" s="118"/>
      <c r="U10" s="118"/>
      <c r="V10" s="118"/>
      <c r="W10" s="119" t="str">
        <f>IFERROR(VLOOKUP(CăutareCursant,ListăElevi[],16,FALSE),"")</f>
        <v/>
      </c>
      <c r="X10" s="119"/>
      <c r="Y10" s="119"/>
      <c r="Z10" s="119"/>
      <c r="AA10" s="119"/>
      <c r="AB10" s="119"/>
      <c r="AC10" s="119"/>
      <c r="AD10" s="119"/>
      <c r="AE10" s="119" t="str">
        <f>IFERROR(VLOOKUP(CăutareCursant,ListăElevi[],17,FALSE),"")</f>
        <v/>
      </c>
      <c r="AF10" s="119"/>
      <c r="AG10" s="119"/>
      <c r="AH10" s="119"/>
      <c r="AI10" s="119"/>
      <c r="AJ10" s="119"/>
      <c r="AK10" s="119"/>
    </row>
    <row r="11" spans="1:37" ht="10.5" customHeight="1" x14ac:dyDescent="0.25">
      <c r="B11" s="65"/>
      <c r="C11" s="65"/>
      <c r="D11" s="65"/>
      <c r="E11" s="65"/>
      <c r="F11" s="65"/>
      <c r="G11" s="65"/>
      <c r="H11" s="65"/>
      <c r="I11" s="65"/>
      <c r="J11" s="65"/>
      <c r="K11" s="65"/>
      <c r="L11" s="65"/>
      <c r="M11" s="65"/>
      <c r="N11" s="65"/>
      <c r="O11" s="65"/>
      <c r="P11" s="65"/>
      <c r="Q11" s="65"/>
      <c r="R11" s="65"/>
      <c r="S11" s="65"/>
      <c r="T11" s="65"/>
      <c r="U11" s="65"/>
      <c r="V11" s="65"/>
      <c r="W11" s="66"/>
      <c r="X11" s="66"/>
      <c r="Y11" s="66"/>
      <c r="Z11" s="66"/>
      <c r="AA11" s="66"/>
      <c r="AB11" s="66"/>
      <c r="AC11" s="66"/>
      <c r="AD11" s="66"/>
      <c r="AE11" s="66"/>
      <c r="AF11" s="66"/>
      <c r="AG11" s="66"/>
      <c r="AH11" s="66"/>
      <c r="AI11" s="66"/>
      <c r="AJ11" s="66"/>
      <c r="AK11" s="66"/>
    </row>
    <row r="12" spans="1:37" ht="15.75" customHeight="1" x14ac:dyDescent="0.3">
      <c r="B12" s="70" t="str">
        <f>August!C3</f>
        <v>CHEIE CULORI</v>
      </c>
      <c r="C12" s="71" t="str">
        <f>August!D3</f>
        <v>Î</v>
      </c>
      <c r="D12" s="70" t="str">
        <f>August!E3</f>
        <v>Întârziat</v>
      </c>
      <c r="E12" s="70"/>
      <c r="F12" s="70"/>
      <c r="G12" s="72" t="str">
        <f>August!H3</f>
        <v>M</v>
      </c>
      <c r="H12" s="70" t="str">
        <f>August!I3</f>
        <v>Motivat</v>
      </c>
      <c r="I12" s="70"/>
      <c r="J12" s="70"/>
      <c r="K12" s="73" t="str">
        <f>August!L3</f>
        <v>N</v>
      </c>
      <c r="L12" s="70" t="str">
        <f>August!M3</f>
        <v>Nemotivat</v>
      </c>
      <c r="M12" s="70"/>
      <c r="N12" s="70"/>
      <c r="O12" s="74"/>
      <c r="P12" s="75" t="str">
        <f>August!P3</f>
        <v>P</v>
      </c>
      <c r="Q12" s="70" t="str">
        <f>August!Q3</f>
        <v>Prezent</v>
      </c>
      <c r="R12" s="70"/>
      <c r="S12" s="70"/>
      <c r="T12" s="76" t="str">
        <f>August!T3</f>
        <v>Nu</v>
      </c>
      <c r="U12" s="77" t="str">
        <f>August!U3</f>
        <v>Nu a fost la școală</v>
      </c>
      <c r="V12" s="78"/>
      <c r="W12" s="79"/>
      <c r="X12" s="66"/>
      <c r="Y12" s="66"/>
      <c r="Z12" s="66"/>
      <c r="AA12" s="66"/>
      <c r="AB12" s="66"/>
      <c r="AC12" s="66"/>
      <c r="AD12" s="66"/>
      <c r="AE12" s="66"/>
      <c r="AF12" s="66"/>
      <c r="AG12" s="66"/>
      <c r="AH12" s="66"/>
      <c r="AI12" s="66"/>
      <c r="AJ12" s="66"/>
      <c r="AK12" s="66"/>
    </row>
    <row r="13" spans="1:37" ht="6" customHeight="1" x14ac:dyDescent="0.25"/>
    <row r="14" spans="1:37" ht="16.5" customHeight="1" x14ac:dyDescent="0.25">
      <c r="B14" s="143" t="s">
        <v>87</v>
      </c>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26" t="s">
        <v>58</v>
      </c>
      <c r="AI14" s="126"/>
      <c r="AJ14" s="126"/>
      <c r="AK14" s="126"/>
    </row>
    <row r="15" spans="1:37" ht="14.25" thickBot="1" x14ac:dyDescent="0.3">
      <c r="B15" s="144"/>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05" t="s">
        <v>37</v>
      </c>
      <c r="AI15" s="106" t="s">
        <v>39</v>
      </c>
      <c r="AJ15" s="107" t="s">
        <v>38</v>
      </c>
      <c r="AK15" s="108" t="s">
        <v>31</v>
      </c>
    </row>
    <row r="16" spans="1:37" ht="14.25" x14ac:dyDescent="0.25">
      <c r="B16" s="127" t="s">
        <v>59</v>
      </c>
      <c r="C16" s="98">
        <v>1</v>
      </c>
      <c r="D16" s="98">
        <v>2</v>
      </c>
      <c r="E16" s="98">
        <v>3</v>
      </c>
      <c r="F16" s="98">
        <v>4</v>
      </c>
      <c r="G16" s="98">
        <v>5</v>
      </c>
      <c r="H16" s="98">
        <v>6</v>
      </c>
      <c r="I16" s="98">
        <v>7</v>
      </c>
      <c r="J16" s="98">
        <v>8</v>
      </c>
      <c r="K16" s="98">
        <v>9</v>
      </c>
      <c r="L16" s="98">
        <v>10</v>
      </c>
      <c r="M16" s="98">
        <v>11</v>
      </c>
      <c r="N16" s="98">
        <v>12</v>
      </c>
      <c r="O16" s="98">
        <v>13</v>
      </c>
      <c r="P16" s="98">
        <v>14</v>
      </c>
      <c r="Q16" s="98">
        <v>15</v>
      </c>
      <c r="R16" s="98">
        <v>16</v>
      </c>
      <c r="S16" s="98">
        <v>17</v>
      </c>
      <c r="T16" s="98">
        <v>18</v>
      </c>
      <c r="U16" s="98">
        <v>19</v>
      </c>
      <c r="V16" s="98">
        <v>20</v>
      </c>
      <c r="W16" s="98">
        <v>21</v>
      </c>
      <c r="X16" s="98">
        <v>22</v>
      </c>
      <c r="Y16" s="98">
        <v>23</v>
      </c>
      <c r="Z16" s="98">
        <v>24</v>
      </c>
      <c r="AA16" s="98">
        <v>25</v>
      </c>
      <c r="AB16" s="98">
        <v>26</v>
      </c>
      <c r="AC16" s="98">
        <v>27</v>
      </c>
      <c r="AD16" s="98">
        <v>28</v>
      </c>
      <c r="AE16" s="98">
        <v>29</v>
      </c>
      <c r="AF16" s="98">
        <v>30</v>
      </c>
      <c r="AG16" s="98">
        <v>31</v>
      </c>
      <c r="AH16" s="129">
        <f>COUNTIF($D17:$AH17,Cod_1)</f>
        <v>0</v>
      </c>
      <c r="AI16" s="129">
        <f>COUNTIF($D17:$AH17,Cod_2)</f>
        <v>0</v>
      </c>
      <c r="AJ16" s="129">
        <f>COUNTIF($D17:$AH17,Cod_3)</f>
        <v>0</v>
      </c>
      <c r="AK16" s="129">
        <f>COUNTIF($D17:$AH17,Cod_4)</f>
        <v>0</v>
      </c>
    </row>
    <row r="17" spans="2:37" ht="14.25" x14ac:dyDescent="0.25">
      <c r="B17" s="128"/>
      <c r="C17" s="99" t="str">
        <f>IFERROR(VLOOKUP(CăutareCursant,PrezențăAugust[],3,FALSE),"")</f>
        <v/>
      </c>
      <c r="D17" s="99" t="str">
        <f>IFERROR(VLOOKUP(CăutareCursant,PrezențăAugust[],4,FALSE),"")</f>
        <v/>
      </c>
      <c r="E17" s="99" t="str">
        <f>IFERROR(VLOOKUP(CăutareCursant,PrezențăAugust[],5,FALSE),"")</f>
        <v/>
      </c>
      <c r="F17" s="99" t="str">
        <f>IFERROR(VLOOKUP(CăutareCursant,PrezențăAugust[],6,FALSE),"")</f>
        <v/>
      </c>
      <c r="G17" s="99" t="str">
        <f>IFERROR(VLOOKUP(CăutareCursant,PrezențăAugust[],7,FALSE),"")</f>
        <v/>
      </c>
      <c r="H17" s="99" t="str">
        <f>IFERROR(VLOOKUP(CăutareCursant,PrezențăAugust[],8,FALSE),"")</f>
        <v/>
      </c>
      <c r="I17" s="99" t="str">
        <f>IFERROR(VLOOKUP(CăutareCursant,PrezențăAugust[],9,FALSE),"")</f>
        <v/>
      </c>
      <c r="J17" s="99" t="str">
        <f>IFERROR(VLOOKUP(CăutareCursant,PrezențăAugust[],10,FALSE),"")</f>
        <v/>
      </c>
      <c r="K17" s="99" t="str">
        <f>IFERROR(VLOOKUP(CăutareCursant,PrezențăAugust[],11,FALSE),"")</f>
        <v/>
      </c>
      <c r="L17" s="99" t="str">
        <f>IFERROR(VLOOKUP(CăutareCursant,PrezențăAugust[],12,FALSE),"")</f>
        <v/>
      </c>
      <c r="M17" s="99" t="str">
        <f>IFERROR(VLOOKUP(CăutareCursant,PrezențăAugust[],13,FALSE),"")</f>
        <v/>
      </c>
      <c r="N17" s="99" t="str">
        <f>IFERROR(VLOOKUP(CăutareCursant,PrezențăAugust[],14,FALSE),"")</f>
        <v/>
      </c>
      <c r="O17" s="99" t="str">
        <f>IFERROR(VLOOKUP(CăutareCursant,PrezențăAugust[],15,FALSE),"")</f>
        <v/>
      </c>
      <c r="P17" s="99" t="str">
        <f>IFERROR(VLOOKUP(CăutareCursant,PrezențăAugust[],16,FALSE),"")</f>
        <v/>
      </c>
      <c r="Q17" s="99" t="str">
        <f>IFERROR(VLOOKUP(CăutareCursant,PrezențăAugust[],17,FALSE),"")</f>
        <v/>
      </c>
      <c r="R17" s="99" t="str">
        <f>IFERROR(VLOOKUP(CăutareCursant,PrezențăAugust[],18,FALSE),"")</f>
        <v/>
      </c>
      <c r="S17" s="99" t="str">
        <f>IFERROR(VLOOKUP(CăutareCursant,PrezențăAugust[],19,FALSE),"")</f>
        <v/>
      </c>
      <c r="T17" s="99" t="str">
        <f>IFERROR(VLOOKUP(CăutareCursant,PrezențăAugust[],20,FALSE),"")</f>
        <v/>
      </c>
      <c r="U17" s="99" t="str">
        <f>IFERROR(VLOOKUP(CăutareCursant,PrezențăAugust[],21,FALSE),"")</f>
        <v/>
      </c>
      <c r="V17" s="99" t="str">
        <f>IFERROR(VLOOKUP(CăutareCursant,PrezențăAugust[],22,FALSE),"")</f>
        <v/>
      </c>
      <c r="W17" s="99" t="str">
        <f>IFERROR(VLOOKUP(CăutareCursant,PrezențăAugust[],23,FALSE),"")</f>
        <v/>
      </c>
      <c r="X17" s="99" t="str">
        <f>IFERROR(VLOOKUP(CăutareCursant,PrezențăAugust[],24,FALSE),"")</f>
        <v/>
      </c>
      <c r="Y17" s="99" t="str">
        <f>IFERROR(VLOOKUP(CăutareCursant,PrezențăAugust[],25,FALSE),"")</f>
        <v/>
      </c>
      <c r="Z17" s="99" t="str">
        <f>IFERROR(VLOOKUP(CăutareCursant,PrezențăAugust[],26,FALSE),"")</f>
        <v/>
      </c>
      <c r="AA17" s="99" t="str">
        <f>IFERROR(VLOOKUP(CăutareCursant,PrezențăAugust[],27,FALSE),"")</f>
        <v/>
      </c>
      <c r="AB17" s="99" t="str">
        <f>IFERROR(VLOOKUP(CăutareCursant,PrezențăAugust[],28,FALSE),"")</f>
        <v/>
      </c>
      <c r="AC17" s="99" t="str">
        <f>IFERROR(VLOOKUP(CăutareCursant,PrezențăAugust[],29,FALSE),"")</f>
        <v/>
      </c>
      <c r="AD17" s="99" t="str">
        <f>IFERROR(VLOOKUP(CăutareCursant,PrezențăAugust[],30,FALSE),"")</f>
        <v/>
      </c>
      <c r="AE17" s="99" t="str">
        <f>IFERROR(VLOOKUP(CăutareCursant,PrezențăAugust[],31,FALSE),"")</f>
        <v/>
      </c>
      <c r="AF17" s="99" t="str">
        <f>IFERROR(VLOOKUP(CăutareCursant,PrezențăAugust[],32,FALSE),"")</f>
        <v/>
      </c>
      <c r="AG17" s="99" t="str">
        <f>IFERROR(VLOOKUP(CăutareCursant,PrezențăAugust[],33,FALSE),"")</f>
        <v/>
      </c>
      <c r="AH17" s="130"/>
      <c r="AI17" s="130"/>
      <c r="AJ17" s="130"/>
      <c r="AK17" s="130"/>
    </row>
    <row r="18" spans="2:37" ht="14.25" x14ac:dyDescent="0.25">
      <c r="B18" s="128" t="s">
        <v>60</v>
      </c>
      <c r="C18" s="100">
        <v>1</v>
      </c>
      <c r="D18" s="100">
        <v>2</v>
      </c>
      <c r="E18" s="100">
        <v>3</v>
      </c>
      <c r="F18" s="100">
        <v>4</v>
      </c>
      <c r="G18" s="100">
        <v>5</v>
      </c>
      <c r="H18" s="100">
        <v>6</v>
      </c>
      <c r="I18" s="100">
        <v>7</v>
      </c>
      <c r="J18" s="100">
        <v>8</v>
      </c>
      <c r="K18" s="100">
        <v>9</v>
      </c>
      <c r="L18" s="100">
        <v>10</v>
      </c>
      <c r="M18" s="100">
        <v>11</v>
      </c>
      <c r="N18" s="100">
        <v>12</v>
      </c>
      <c r="O18" s="100">
        <v>13</v>
      </c>
      <c r="P18" s="100">
        <v>14</v>
      </c>
      <c r="Q18" s="100">
        <v>15</v>
      </c>
      <c r="R18" s="100">
        <v>16</v>
      </c>
      <c r="S18" s="100">
        <v>17</v>
      </c>
      <c r="T18" s="100">
        <v>18</v>
      </c>
      <c r="U18" s="100">
        <v>19</v>
      </c>
      <c r="V18" s="100">
        <v>20</v>
      </c>
      <c r="W18" s="100">
        <v>21</v>
      </c>
      <c r="X18" s="100">
        <v>22</v>
      </c>
      <c r="Y18" s="100">
        <v>23</v>
      </c>
      <c r="Z18" s="100">
        <v>24</v>
      </c>
      <c r="AA18" s="100">
        <v>25</v>
      </c>
      <c r="AB18" s="100">
        <v>26</v>
      </c>
      <c r="AC18" s="100">
        <v>27</v>
      </c>
      <c r="AD18" s="100">
        <v>28</v>
      </c>
      <c r="AE18" s="100">
        <v>29</v>
      </c>
      <c r="AF18" s="100">
        <v>30</v>
      </c>
      <c r="AG18" s="100"/>
      <c r="AH18" s="130">
        <f>COUNTIF($D19:$AH19,Cod_1)</f>
        <v>0</v>
      </c>
      <c r="AI18" s="130">
        <f>COUNTIF($D19:$AH19,Cod_2)</f>
        <v>0</v>
      </c>
      <c r="AJ18" s="130">
        <f>COUNTIF($D19:$AH19,Cod_3)</f>
        <v>0</v>
      </c>
      <c r="AK18" s="130">
        <f>COUNTIF($D19:$AH19,Cod_4)</f>
        <v>0</v>
      </c>
    </row>
    <row r="19" spans="2:37" ht="14.25" x14ac:dyDescent="0.25">
      <c r="B19" s="128"/>
      <c r="C19" s="99" t="str">
        <f>IFERROR(VLOOKUP(CăutareCursant,PrezențăSeptembrie[],3,FALSE),"")</f>
        <v/>
      </c>
      <c r="D19" s="99" t="str">
        <f>IFERROR(VLOOKUP(CăutareCursant,PrezențăSeptembrie[],4,FALSE),"")</f>
        <v/>
      </c>
      <c r="E19" s="99" t="str">
        <f>IFERROR(VLOOKUP(CăutareCursant,PrezențăSeptembrie[],5,FALSE),"")</f>
        <v/>
      </c>
      <c r="F19" s="99" t="str">
        <f>IFERROR(VLOOKUP(CăutareCursant,PrezențăSeptembrie[],6,FALSE),"")</f>
        <v/>
      </c>
      <c r="G19" s="99" t="str">
        <f>IFERROR(VLOOKUP(CăutareCursant,PrezențăSeptembrie[],7,FALSE),"")</f>
        <v/>
      </c>
      <c r="H19" s="99" t="str">
        <f>IFERROR(VLOOKUP(CăutareCursant,PrezențăSeptembrie[],8,FALSE),"")</f>
        <v/>
      </c>
      <c r="I19" s="99" t="str">
        <f>IFERROR(VLOOKUP(CăutareCursant,PrezențăSeptembrie[],9,FALSE),"")</f>
        <v/>
      </c>
      <c r="J19" s="99" t="str">
        <f>IFERROR(VLOOKUP(CăutareCursant,PrezențăSeptembrie[],10,FALSE),"")</f>
        <v/>
      </c>
      <c r="K19" s="99" t="str">
        <f>IFERROR(VLOOKUP(CăutareCursant,PrezențăSeptembrie[],11,FALSE),"")</f>
        <v/>
      </c>
      <c r="L19" s="99" t="str">
        <f>IFERROR(VLOOKUP(CăutareCursant,PrezențăSeptembrie[],12,FALSE),"")</f>
        <v/>
      </c>
      <c r="M19" s="99" t="str">
        <f>IFERROR(VLOOKUP(CăutareCursant,PrezențăSeptembrie[],13,FALSE),"")</f>
        <v/>
      </c>
      <c r="N19" s="99" t="str">
        <f>IFERROR(VLOOKUP(CăutareCursant,PrezențăSeptembrie[],14,FALSE),"")</f>
        <v/>
      </c>
      <c r="O19" s="99" t="str">
        <f>IFERROR(VLOOKUP(CăutareCursant,PrezențăSeptembrie[],15,FALSE),"")</f>
        <v/>
      </c>
      <c r="P19" s="99" t="str">
        <f>IFERROR(VLOOKUP(CăutareCursant,PrezențăSeptembrie[],16,FALSE),"")</f>
        <v/>
      </c>
      <c r="Q19" s="99" t="str">
        <f>IFERROR(VLOOKUP(CăutareCursant,PrezențăSeptembrie[],17,FALSE),"")</f>
        <v/>
      </c>
      <c r="R19" s="99" t="str">
        <f>IFERROR(VLOOKUP(CăutareCursant,PrezențăSeptembrie[],18,FALSE),"")</f>
        <v/>
      </c>
      <c r="S19" s="99" t="str">
        <f>IFERROR(VLOOKUP(CăutareCursant,PrezențăSeptembrie[],19,FALSE),"")</f>
        <v/>
      </c>
      <c r="T19" s="99" t="str">
        <f>IFERROR(VLOOKUP(CăutareCursant,PrezențăSeptembrie[],20,FALSE),"")</f>
        <v/>
      </c>
      <c r="U19" s="99" t="str">
        <f>IFERROR(VLOOKUP(CăutareCursant,PrezențăSeptembrie[],21,FALSE),"")</f>
        <v/>
      </c>
      <c r="V19" s="99" t="str">
        <f>IFERROR(VLOOKUP(CăutareCursant,PrezențăSeptembrie[],22,FALSE),"")</f>
        <v/>
      </c>
      <c r="W19" s="99" t="str">
        <f>IFERROR(VLOOKUP(CăutareCursant,PrezențăSeptembrie[],23,FALSE),"")</f>
        <v/>
      </c>
      <c r="X19" s="99" t="str">
        <f>IFERROR(VLOOKUP(CăutareCursant,PrezențăSeptembrie[],24,FALSE),"")</f>
        <v/>
      </c>
      <c r="Y19" s="99" t="str">
        <f>IFERROR(VLOOKUP(CăutareCursant,PrezențăSeptembrie[],25,FALSE),"")</f>
        <v/>
      </c>
      <c r="Z19" s="99" t="str">
        <f>IFERROR(VLOOKUP(CăutareCursant,PrezențăSeptembrie[],26,FALSE),"")</f>
        <v/>
      </c>
      <c r="AA19" s="99" t="str">
        <f>IFERROR(VLOOKUP(CăutareCursant,PrezențăSeptembrie[],27,FALSE),"")</f>
        <v/>
      </c>
      <c r="AB19" s="99" t="str">
        <f>IFERROR(VLOOKUP(CăutareCursant,PrezențăSeptembrie[],28,FALSE),"")</f>
        <v/>
      </c>
      <c r="AC19" s="99" t="str">
        <f>IFERROR(VLOOKUP(CăutareCursant,PrezențăSeptembrie[],29,FALSE),"")</f>
        <v/>
      </c>
      <c r="AD19" s="99" t="str">
        <f>IFERROR(VLOOKUP(CăutareCursant,PrezențăSeptembrie[],30,FALSE),"")</f>
        <v/>
      </c>
      <c r="AE19" s="99" t="str">
        <f>IFERROR(VLOOKUP(CăutareCursant,PrezențăSeptembrie[],31,FALSE),"")</f>
        <v/>
      </c>
      <c r="AF19" s="99" t="str">
        <f>IFERROR(VLOOKUP(CăutareCursant,PrezențăSeptembrie[],32,FALSE),"")</f>
        <v/>
      </c>
      <c r="AG19" s="99"/>
      <c r="AH19" s="130"/>
      <c r="AI19" s="130"/>
      <c r="AJ19" s="130"/>
      <c r="AK19" s="130"/>
    </row>
    <row r="20" spans="2:37" ht="14.25" x14ac:dyDescent="0.25">
      <c r="B20" s="128" t="s">
        <v>61</v>
      </c>
      <c r="C20" s="100">
        <v>1</v>
      </c>
      <c r="D20" s="100">
        <v>2</v>
      </c>
      <c r="E20" s="100">
        <v>3</v>
      </c>
      <c r="F20" s="100">
        <v>4</v>
      </c>
      <c r="G20" s="100">
        <v>5</v>
      </c>
      <c r="H20" s="100">
        <v>6</v>
      </c>
      <c r="I20" s="100">
        <v>7</v>
      </c>
      <c r="J20" s="100">
        <v>8</v>
      </c>
      <c r="K20" s="100">
        <v>9</v>
      </c>
      <c r="L20" s="100">
        <v>10</v>
      </c>
      <c r="M20" s="100">
        <v>11</v>
      </c>
      <c r="N20" s="100">
        <v>12</v>
      </c>
      <c r="O20" s="100">
        <v>13</v>
      </c>
      <c r="P20" s="100">
        <v>14</v>
      </c>
      <c r="Q20" s="100">
        <v>15</v>
      </c>
      <c r="R20" s="100">
        <v>16</v>
      </c>
      <c r="S20" s="100">
        <v>17</v>
      </c>
      <c r="T20" s="100">
        <v>18</v>
      </c>
      <c r="U20" s="100">
        <v>19</v>
      </c>
      <c r="V20" s="100">
        <v>20</v>
      </c>
      <c r="W20" s="100">
        <v>21</v>
      </c>
      <c r="X20" s="100">
        <v>22</v>
      </c>
      <c r="Y20" s="100">
        <v>23</v>
      </c>
      <c r="Z20" s="100">
        <v>24</v>
      </c>
      <c r="AA20" s="100">
        <v>25</v>
      </c>
      <c r="AB20" s="100">
        <v>26</v>
      </c>
      <c r="AC20" s="100">
        <v>27</v>
      </c>
      <c r="AD20" s="100">
        <v>28</v>
      </c>
      <c r="AE20" s="100">
        <v>29</v>
      </c>
      <c r="AF20" s="100">
        <v>30</v>
      </c>
      <c r="AG20" s="100">
        <v>31</v>
      </c>
      <c r="AH20" s="130">
        <f>COUNTIF($D21:$AH21,Cod_1)</f>
        <v>0</v>
      </c>
      <c r="AI20" s="130">
        <f>COUNTIF($D21:$AH21,Cod_2)</f>
        <v>0</v>
      </c>
      <c r="AJ20" s="130">
        <f>COUNTIF($D21:$AH21,Cod_3)</f>
        <v>0</v>
      </c>
      <c r="AK20" s="130">
        <f>COUNTIF($D21:$AH21,Cod_4)</f>
        <v>0</v>
      </c>
    </row>
    <row r="21" spans="2:37" ht="14.25" x14ac:dyDescent="0.25">
      <c r="B21" s="128"/>
      <c r="C21" s="99" t="str">
        <f>IFERROR(VLOOKUP(CăutareCursant,PrezențăOctombrie[],3,FALSE),"")</f>
        <v/>
      </c>
      <c r="D21" s="99" t="str">
        <f>IFERROR(VLOOKUP(CăutareCursant,PrezențăOctombrie[],4,FALSE),"")</f>
        <v/>
      </c>
      <c r="E21" s="99" t="str">
        <f>IFERROR(VLOOKUP(CăutareCursant,PrezențăOctombrie[],5,FALSE),"")</f>
        <v/>
      </c>
      <c r="F21" s="99" t="str">
        <f>IFERROR(VLOOKUP(CăutareCursant,PrezențăOctombrie[],6,FALSE),"")</f>
        <v/>
      </c>
      <c r="G21" s="99" t="str">
        <f>IFERROR(VLOOKUP(CăutareCursant,PrezențăOctombrie[],7,FALSE),"")</f>
        <v/>
      </c>
      <c r="H21" s="99" t="str">
        <f>IFERROR(VLOOKUP(CăutareCursant,PrezențăOctombrie[],8,FALSE),"")</f>
        <v/>
      </c>
      <c r="I21" s="99" t="str">
        <f>IFERROR(VLOOKUP(CăutareCursant,PrezențăOctombrie[],9,FALSE),"")</f>
        <v/>
      </c>
      <c r="J21" s="99" t="str">
        <f>IFERROR(VLOOKUP(CăutareCursant,PrezențăOctombrie[],10,FALSE),"")</f>
        <v/>
      </c>
      <c r="K21" s="99" t="str">
        <f>IFERROR(VLOOKUP(CăutareCursant,PrezențăOctombrie[],11,FALSE),"")</f>
        <v/>
      </c>
      <c r="L21" s="99" t="str">
        <f>IFERROR(VLOOKUP(CăutareCursant,PrezențăOctombrie[],12,FALSE),"")</f>
        <v/>
      </c>
      <c r="M21" s="99" t="str">
        <f>IFERROR(VLOOKUP(CăutareCursant,PrezențăOctombrie[],13,FALSE),"")</f>
        <v/>
      </c>
      <c r="N21" s="99" t="str">
        <f>IFERROR(VLOOKUP(CăutareCursant,PrezențăOctombrie[],14,FALSE),"")</f>
        <v/>
      </c>
      <c r="O21" s="99" t="str">
        <f>IFERROR(VLOOKUP(CăutareCursant,PrezențăOctombrie[],15,FALSE),"")</f>
        <v/>
      </c>
      <c r="P21" s="99" t="str">
        <f>IFERROR(VLOOKUP(CăutareCursant,PrezențăOctombrie[],16,FALSE),"")</f>
        <v/>
      </c>
      <c r="Q21" s="99" t="str">
        <f>IFERROR(VLOOKUP(CăutareCursant,PrezențăOctombrie[],17,FALSE),"")</f>
        <v/>
      </c>
      <c r="R21" s="99" t="str">
        <f>IFERROR(VLOOKUP(CăutareCursant,PrezențăOctombrie[],18,FALSE),"")</f>
        <v/>
      </c>
      <c r="S21" s="99" t="str">
        <f>IFERROR(VLOOKUP(CăutareCursant,PrezențăOctombrie[],19,FALSE),"")</f>
        <v/>
      </c>
      <c r="T21" s="99" t="str">
        <f>IFERROR(VLOOKUP(CăutareCursant,PrezențăOctombrie[],20,FALSE),"")</f>
        <v/>
      </c>
      <c r="U21" s="99" t="str">
        <f>IFERROR(VLOOKUP(CăutareCursant,PrezențăOctombrie[],21,FALSE),"")</f>
        <v/>
      </c>
      <c r="V21" s="99" t="str">
        <f>IFERROR(VLOOKUP(CăutareCursant,PrezențăOctombrie[],22,FALSE),"")</f>
        <v/>
      </c>
      <c r="W21" s="99" t="str">
        <f>IFERROR(VLOOKUP(CăutareCursant,PrezențăOctombrie[],23,FALSE),"")</f>
        <v/>
      </c>
      <c r="X21" s="99" t="str">
        <f>IFERROR(VLOOKUP(CăutareCursant,PrezențăOctombrie[],24,FALSE),"")</f>
        <v/>
      </c>
      <c r="Y21" s="99" t="str">
        <f>IFERROR(VLOOKUP(CăutareCursant,PrezențăOctombrie[],25,FALSE),"")</f>
        <v/>
      </c>
      <c r="Z21" s="99" t="str">
        <f>IFERROR(VLOOKUP(CăutareCursant,PrezențăOctombrie[],26,FALSE),"")</f>
        <v/>
      </c>
      <c r="AA21" s="99" t="str">
        <f>IFERROR(VLOOKUP(CăutareCursant,PrezențăOctombrie[],27,FALSE),"")</f>
        <v/>
      </c>
      <c r="AB21" s="99" t="str">
        <f>IFERROR(VLOOKUP(CăutareCursant,PrezențăOctombrie[],28,FALSE),"")</f>
        <v/>
      </c>
      <c r="AC21" s="99" t="str">
        <f>IFERROR(VLOOKUP(CăutareCursant,PrezențăOctombrie[],29,FALSE),"")</f>
        <v/>
      </c>
      <c r="AD21" s="99" t="str">
        <f>IFERROR(VLOOKUP(CăutareCursant,PrezențăOctombrie[],30,FALSE),"")</f>
        <v/>
      </c>
      <c r="AE21" s="99" t="str">
        <f>IFERROR(VLOOKUP(CăutareCursant,PrezențăOctombrie[],31,FALSE),"")</f>
        <v/>
      </c>
      <c r="AF21" s="99" t="str">
        <f>IFERROR(VLOOKUP(CăutareCursant,PrezențăOctombrie[],32,FALSE),"")</f>
        <v/>
      </c>
      <c r="AG21" s="99" t="str">
        <f>IFERROR(VLOOKUP(CăutareCursant,PrezențăOctombrie[],33,FALSE),"")</f>
        <v/>
      </c>
      <c r="AH21" s="130"/>
      <c r="AI21" s="130"/>
      <c r="AJ21" s="130"/>
      <c r="AK21" s="130"/>
    </row>
    <row r="22" spans="2:37" ht="14.25" x14ac:dyDescent="0.25">
      <c r="B22" s="128" t="s">
        <v>62</v>
      </c>
      <c r="C22" s="100">
        <v>1</v>
      </c>
      <c r="D22" s="100">
        <v>2</v>
      </c>
      <c r="E22" s="100">
        <v>3</v>
      </c>
      <c r="F22" s="100">
        <v>4</v>
      </c>
      <c r="G22" s="100">
        <v>5</v>
      </c>
      <c r="H22" s="100">
        <v>6</v>
      </c>
      <c r="I22" s="100">
        <v>7</v>
      </c>
      <c r="J22" s="100">
        <v>8</v>
      </c>
      <c r="K22" s="100">
        <v>9</v>
      </c>
      <c r="L22" s="100">
        <v>10</v>
      </c>
      <c r="M22" s="100">
        <v>11</v>
      </c>
      <c r="N22" s="100">
        <v>12</v>
      </c>
      <c r="O22" s="100">
        <v>13</v>
      </c>
      <c r="P22" s="100">
        <v>14</v>
      </c>
      <c r="Q22" s="100">
        <v>15</v>
      </c>
      <c r="R22" s="100">
        <v>16</v>
      </c>
      <c r="S22" s="100">
        <v>17</v>
      </c>
      <c r="T22" s="100">
        <v>18</v>
      </c>
      <c r="U22" s="100">
        <v>19</v>
      </c>
      <c r="V22" s="100">
        <v>20</v>
      </c>
      <c r="W22" s="100">
        <v>21</v>
      </c>
      <c r="X22" s="100">
        <v>22</v>
      </c>
      <c r="Y22" s="100">
        <v>23</v>
      </c>
      <c r="Z22" s="100">
        <v>24</v>
      </c>
      <c r="AA22" s="100">
        <v>25</v>
      </c>
      <c r="AB22" s="100">
        <v>26</v>
      </c>
      <c r="AC22" s="100">
        <v>27</v>
      </c>
      <c r="AD22" s="100">
        <v>28</v>
      </c>
      <c r="AE22" s="100">
        <v>29</v>
      </c>
      <c r="AF22" s="100">
        <v>30</v>
      </c>
      <c r="AG22" s="100"/>
      <c r="AH22" s="130">
        <f>COUNTIF($D23:$AH23,Cod_1)</f>
        <v>0</v>
      </c>
      <c r="AI22" s="130">
        <f>COUNTIF($D23:$AH23,Cod_2)</f>
        <v>0</v>
      </c>
      <c r="AJ22" s="130">
        <f>COUNTIF($D23:$AH23,Cod_3)</f>
        <v>0</v>
      </c>
      <c r="AK22" s="130">
        <f>COUNTIF($D23:$AH23,Cod_4)</f>
        <v>0</v>
      </c>
    </row>
    <row r="23" spans="2:37" ht="14.25" x14ac:dyDescent="0.25">
      <c r="B23" s="128"/>
      <c r="C23" s="99" t="str">
        <f>IFERROR(VLOOKUP(CăutareCursant,PrezențăNoiembrie[],3,FALSE),"")</f>
        <v/>
      </c>
      <c r="D23" s="99" t="str">
        <f>IFERROR(VLOOKUP(CăutareCursant,PrezențăNoiembrie[],4,FALSE),"")</f>
        <v/>
      </c>
      <c r="E23" s="99" t="str">
        <f>IFERROR(VLOOKUP(CăutareCursant,PrezențăNoiembrie[],5,FALSE),"")</f>
        <v/>
      </c>
      <c r="F23" s="99" t="str">
        <f>IFERROR(VLOOKUP(CăutareCursant,PrezențăNoiembrie[],6,FALSE),"")</f>
        <v/>
      </c>
      <c r="G23" s="99" t="str">
        <f>IFERROR(VLOOKUP(CăutareCursant,PrezențăNoiembrie[],7,FALSE),"")</f>
        <v/>
      </c>
      <c r="H23" s="99" t="str">
        <f>IFERROR(VLOOKUP(CăutareCursant,PrezențăNoiembrie[],8,FALSE),"")</f>
        <v/>
      </c>
      <c r="I23" s="99" t="str">
        <f>IFERROR(VLOOKUP(CăutareCursant,PrezențăNoiembrie[],9,FALSE),"")</f>
        <v/>
      </c>
      <c r="J23" s="99" t="str">
        <f>IFERROR(VLOOKUP(CăutareCursant,PrezențăNoiembrie[],10,FALSE),"")</f>
        <v/>
      </c>
      <c r="K23" s="99" t="str">
        <f>IFERROR(VLOOKUP(CăutareCursant,PrezențăNoiembrie[],11,FALSE),"")</f>
        <v/>
      </c>
      <c r="L23" s="99" t="str">
        <f>IFERROR(VLOOKUP(CăutareCursant,PrezențăNoiembrie[],12,FALSE),"")</f>
        <v/>
      </c>
      <c r="M23" s="99" t="str">
        <f>IFERROR(VLOOKUP(CăutareCursant,PrezențăNoiembrie[],13,FALSE),"")</f>
        <v/>
      </c>
      <c r="N23" s="99" t="str">
        <f>IFERROR(VLOOKUP(CăutareCursant,PrezențăNoiembrie[],14,FALSE),"")</f>
        <v/>
      </c>
      <c r="O23" s="99" t="str">
        <f>IFERROR(VLOOKUP(CăutareCursant,PrezențăNoiembrie[],15,FALSE),"")</f>
        <v/>
      </c>
      <c r="P23" s="99" t="str">
        <f>IFERROR(VLOOKUP(CăutareCursant,PrezențăNoiembrie[],16,FALSE),"")</f>
        <v/>
      </c>
      <c r="Q23" s="99" t="str">
        <f>IFERROR(VLOOKUP(CăutareCursant,PrezențăNoiembrie[],17,FALSE),"")</f>
        <v/>
      </c>
      <c r="R23" s="99" t="str">
        <f>IFERROR(VLOOKUP(CăutareCursant,PrezențăNoiembrie[],18,FALSE),"")</f>
        <v/>
      </c>
      <c r="S23" s="99" t="str">
        <f>IFERROR(VLOOKUP(CăutareCursant,PrezențăNoiembrie[],19,FALSE),"")</f>
        <v/>
      </c>
      <c r="T23" s="99" t="str">
        <f>IFERROR(VLOOKUP(CăutareCursant,PrezențăNoiembrie[],20,FALSE),"")</f>
        <v/>
      </c>
      <c r="U23" s="99" t="str">
        <f>IFERROR(VLOOKUP(CăutareCursant,PrezențăNoiembrie[],21,FALSE),"")</f>
        <v/>
      </c>
      <c r="V23" s="99" t="str">
        <f>IFERROR(VLOOKUP(CăutareCursant,PrezențăNoiembrie[],22,FALSE),"")</f>
        <v/>
      </c>
      <c r="W23" s="99" t="str">
        <f>IFERROR(VLOOKUP(CăutareCursant,PrezențăNoiembrie[],23,FALSE),"")</f>
        <v/>
      </c>
      <c r="X23" s="99" t="str">
        <f>IFERROR(VLOOKUP(CăutareCursant,PrezențăNoiembrie[],24,FALSE),"")</f>
        <v/>
      </c>
      <c r="Y23" s="99" t="str">
        <f>IFERROR(VLOOKUP(CăutareCursant,PrezențăNoiembrie[],25,FALSE),"")</f>
        <v/>
      </c>
      <c r="Z23" s="99" t="str">
        <f>IFERROR(VLOOKUP(CăutareCursant,PrezențăNoiembrie[],26,FALSE),"")</f>
        <v/>
      </c>
      <c r="AA23" s="99" t="str">
        <f>IFERROR(VLOOKUP(CăutareCursant,PrezențăNoiembrie[],27,FALSE),"")</f>
        <v/>
      </c>
      <c r="AB23" s="99" t="str">
        <f>IFERROR(VLOOKUP(CăutareCursant,PrezențăNoiembrie[],28,FALSE),"")</f>
        <v/>
      </c>
      <c r="AC23" s="99" t="str">
        <f>IFERROR(VLOOKUP(CăutareCursant,PrezențăNoiembrie[],29,FALSE),"")</f>
        <v/>
      </c>
      <c r="AD23" s="99" t="str">
        <f>IFERROR(VLOOKUP(CăutareCursant,PrezențăNoiembrie[],30,FALSE),"")</f>
        <v/>
      </c>
      <c r="AE23" s="99" t="str">
        <f>IFERROR(VLOOKUP(CăutareCursant,PrezențăNoiembrie[],31,FALSE),"")</f>
        <v/>
      </c>
      <c r="AF23" s="99" t="str">
        <f>IFERROR(VLOOKUP(CăutareCursant,PrezențăNoiembrie[],32,FALSE),"")</f>
        <v/>
      </c>
      <c r="AG23" s="99"/>
      <c r="AH23" s="130"/>
      <c r="AI23" s="130"/>
      <c r="AJ23" s="130"/>
      <c r="AK23" s="130"/>
    </row>
    <row r="24" spans="2:37" ht="14.25" x14ac:dyDescent="0.25">
      <c r="B24" s="128" t="s">
        <v>63</v>
      </c>
      <c r="C24" s="100">
        <v>1</v>
      </c>
      <c r="D24" s="100">
        <v>2</v>
      </c>
      <c r="E24" s="100">
        <v>3</v>
      </c>
      <c r="F24" s="100">
        <v>4</v>
      </c>
      <c r="G24" s="100">
        <v>5</v>
      </c>
      <c r="H24" s="100">
        <v>6</v>
      </c>
      <c r="I24" s="100">
        <v>7</v>
      </c>
      <c r="J24" s="100">
        <v>8</v>
      </c>
      <c r="K24" s="100">
        <v>9</v>
      </c>
      <c r="L24" s="100">
        <v>10</v>
      </c>
      <c r="M24" s="100">
        <v>11</v>
      </c>
      <c r="N24" s="100">
        <v>12</v>
      </c>
      <c r="O24" s="100">
        <v>13</v>
      </c>
      <c r="P24" s="100">
        <v>14</v>
      </c>
      <c r="Q24" s="100">
        <v>15</v>
      </c>
      <c r="R24" s="100">
        <v>16</v>
      </c>
      <c r="S24" s="100">
        <v>17</v>
      </c>
      <c r="T24" s="100">
        <v>18</v>
      </c>
      <c r="U24" s="100">
        <v>19</v>
      </c>
      <c r="V24" s="100">
        <v>20</v>
      </c>
      <c r="W24" s="100">
        <v>21</v>
      </c>
      <c r="X24" s="100">
        <v>22</v>
      </c>
      <c r="Y24" s="100">
        <v>23</v>
      </c>
      <c r="Z24" s="100">
        <v>24</v>
      </c>
      <c r="AA24" s="100">
        <v>25</v>
      </c>
      <c r="AB24" s="100">
        <v>26</v>
      </c>
      <c r="AC24" s="100">
        <v>27</v>
      </c>
      <c r="AD24" s="100">
        <v>28</v>
      </c>
      <c r="AE24" s="100">
        <v>29</v>
      </c>
      <c r="AF24" s="100">
        <v>30</v>
      </c>
      <c r="AG24" s="100">
        <v>31</v>
      </c>
      <c r="AH24" s="130">
        <f>COUNTIF($D25:$AH25,Cod_1)</f>
        <v>0</v>
      </c>
      <c r="AI24" s="130">
        <f>COUNTIF($D25:$AH25,Cod_2)</f>
        <v>0</v>
      </c>
      <c r="AJ24" s="130">
        <f>COUNTIF($D25:$AH25,Cod_3)</f>
        <v>0</v>
      </c>
      <c r="AK24" s="130">
        <f>COUNTIF($D25:$AH25,Cod_4)</f>
        <v>0</v>
      </c>
    </row>
    <row r="25" spans="2:37" ht="14.25" x14ac:dyDescent="0.25">
      <c r="B25" s="128"/>
      <c r="C25" s="99" t="str">
        <f>IFERROR(VLOOKUP(CăutareCursant,PrezențăDecembrie[],3,FALSE),"")</f>
        <v/>
      </c>
      <c r="D25" s="99" t="str">
        <f>IFERROR(VLOOKUP(CăutareCursant,PrezențăDecembrie[],4,FALSE),"")</f>
        <v/>
      </c>
      <c r="E25" s="99" t="str">
        <f>IFERROR(VLOOKUP(CăutareCursant,PrezențăDecembrie[],5,FALSE),"")</f>
        <v/>
      </c>
      <c r="F25" s="99" t="str">
        <f>IFERROR(VLOOKUP(CăutareCursant,PrezențăDecembrie[],6,FALSE),"")</f>
        <v/>
      </c>
      <c r="G25" s="99" t="str">
        <f>IFERROR(VLOOKUP(CăutareCursant,PrezențăDecembrie[],7,FALSE),"")</f>
        <v/>
      </c>
      <c r="H25" s="99" t="str">
        <f>IFERROR(VLOOKUP(CăutareCursant,PrezențăDecembrie[],8,FALSE),"")</f>
        <v/>
      </c>
      <c r="I25" s="99" t="str">
        <f>IFERROR(VLOOKUP(CăutareCursant,PrezențăDecembrie[],9,FALSE),"")</f>
        <v/>
      </c>
      <c r="J25" s="99" t="str">
        <f>IFERROR(VLOOKUP(CăutareCursant,PrezențăDecembrie[],10,FALSE),"")</f>
        <v/>
      </c>
      <c r="K25" s="99" t="str">
        <f>IFERROR(VLOOKUP(CăutareCursant,PrezențăDecembrie[],11,FALSE),"")</f>
        <v/>
      </c>
      <c r="L25" s="99" t="str">
        <f>IFERROR(VLOOKUP(CăutareCursant,PrezențăDecembrie[],12,FALSE),"")</f>
        <v/>
      </c>
      <c r="M25" s="99" t="str">
        <f>IFERROR(VLOOKUP(CăutareCursant,PrezențăDecembrie[],13,FALSE),"")</f>
        <v/>
      </c>
      <c r="N25" s="99" t="str">
        <f>IFERROR(VLOOKUP(CăutareCursant,PrezențăDecembrie[],14,FALSE),"")</f>
        <v/>
      </c>
      <c r="O25" s="99" t="str">
        <f>IFERROR(VLOOKUP(CăutareCursant,PrezențăDecembrie[],15,FALSE),"")</f>
        <v/>
      </c>
      <c r="P25" s="99" t="str">
        <f>IFERROR(VLOOKUP(CăutareCursant,PrezențăDecembrie[],16,FALSE),"")</f>
        <v/>
      </c>
      <c r="Q25" s="99" t="str">
        <f>IFERROR(VLOOKUP(CăutareCursant,PrezențăDecembrie[],17,FALSE),"")</f>
        <v/>
      </c>
      <c r="R25" s="99" t="str">
        <f>IFERROR(VLOOKUP(CăutareCursant,PrezențăDecembrie[],18,FALSE),"")</f>
        <v/>
      </c>
      <c r="S25" s="99" t="str">
        <f>IFERROR(VLOOKUP(CăutareCursant,PrezențăDecembrie[],19,FALSE),"")</f>
        <v/>
      </c>
      <c r="T25" s="99" t="str">
        <f>IFERROR(VLOOKUP(CăutareCursant,PrezențăDecembrie[],20,FALSE),"")</f>
        <v/>
      </c>
      <c r="U25" s="99" t="str">
        <f>IFERROR(VLOOKUP(CăutareCursant,PrezențăDecembrie[],21,FALSE),"")</f>
        <v/>
      </c>
      <c r="V25" s="99" t="str">
        <f>IFERROR(VLOOKUP(CăutareCursant,PrezențăDecembrie[],22,FALSE),"")</f>
        <v/>
      </c>
      <c r="W25" s="99" t="str">
        <f>IFERROR(VLOOKUP(CăutareCursant,PrezențăDecembrie[],23,FALSE),"")</f>
        <v/>
      </c>
      <c r="X25" s="99" t="str">
        <f>IFERROR(VLOOKUP(CăutareCursant,PrezențăDecembrie[],24,FALSE),"")</f>
        <v/>
      </c>
      <c r="Y25" s="99" t="str">
        <f>IFERROR(VLOOKUP(CăutareCursant,PrezențăDecembrie[],25,FALSE),"")</f>
        <v/>
      </c>
      <c r="Z25" s="99" t="str">
        <f>IFERROR(VLOOKUP(CăutareCursant,PrezențăDecembrie[],26,FALSE),"")</f>
        <v/>
      </c>
      <c r="AA25" s="99" t="str">
        <f>IFERROR(VLOOKUP(CăutareCursant,PrezențăDecembrie[],27,FALSE),"")</f>
        <v/>
      </c>
      <c r="AB25" s="99" t="str">
        <f>IFERROR(VLOOKUP(CăutareCursant,PrezențăDecembrie[],28,FALSE),"")</f>
        <v/>
      </c>
      <c r="AC25" s="99" t="str">
        <f>IFERROR(VLOOKUP(CăutareCursant,PrezențăDecembrie[],29,FALSE),"")</f>
        <v/>
      </c>
      <c r="AD25" s="99" t="str">
        <f>IFERROR(VLOOKUP(CăutareCursant,PrezențăDecembrie[],30,FALSE),"")</f>
        <v/>
      </c>
      <c r="AE25" s="99" t="str">
        <f>IFERROR(VLOOKUP(CăutareCursant,PrezențăDecembrie[],31,FALSE),"")</f>
        <v/>
      </c>
      <c r="AF25" s="99" t="str">
        <f>IFERROR(VLOOKUP(CăutareCursant,PrezențăDecembrie[],32,FALSE),"")</f>
        <v/>
      </c>
      <c r="AG25" s="99" t="str">
        <f>IFERROR(VLOOKUP(CăutareCursant,PrezențăDecembrie[],33,FALSE),"")</f>
        <v/>
      </c>
      <c r="AH25" s="130"/>
      <c r="AI25" s="130"/>
      <c r="AJ25" s="130"/>
      <c r="AK25" s="130"/>
    </row>
    <row r="26" spans="2:37" ht="14.25" x14ac:dyDescent="0.25">
      <c r="B26" s="128" t="s">
        <v>64</v>
      </c>
      <c r="C26" s="100">
        <v>1</v>
      </c>
      <c r="D26" s="100">
        <v>2</v>
      </c>
      <c r="E26" s="100">
        <v>3</v>
      </c>
      <c r="F26" s="100">
        <v>4</v>
      </c>
      <c r="G26" s="100">
        <v>5</v>
      </c>
      <c r="H26" s="100">
        <v>6</v>
      </c>
      <c r="I26" s="100">
        <v>7</v>
      </c>
      <c r="J26" s="100">
        <v>8</v>
      </c>
      <c r="K26" s="100">
        <v>9</v>
      </c>
      <c r="L26" s="100">
        <v>10</v>
      </c>
      <c r="M26" s="100">
        <v>11</v>
      </c>
      <c r="N26" s="100">
        <v>12</v>
      </c>
      <c r="O26" s="100">
        <v>13</v>
      </c>
      <c r="P26" s="100">
        <v>14</v>
      </c>
      <c r="Q26" s="100">
        <v>15</v>
      </c>
      <c r="R26" s="100">
        <v>16</v>
      </c>
      <c r="S26" s="100">
        <v>17</v>
      </c>
      <c r="T26" s="100">
        <v>18</v>
      </c>
      <c r="U26" s="100">
        <v>19</v>
      </c>
      <c r="V26" s="100">
        <v>20</v>
      </c>
      <c r="W26" s="100">
        <v>21</v>
      </c>
      <c r="X26" s="100">
        <v>22</v>
      </c>
      <c r="Y26" s="100">
        <v>23</v>
      </c>
      <c r="Z26" s="100">
        <v>24</v>
      </c>
      <c r="AA26" s="100">
        <v>25</v>
      </c>
      <c r="AB26" s="100">
        <v>26</v>
      </c>
      <c r="AC26" s="100">
        <v>27</v>
      </c>
      <c r="AD26" s="100">
        <v>28</v>
      </c>
      <c r="AE26" s="100">
        <v>29</v>
      </c>
      <c r="AF26" s="100">
        <v>30</v>
      </c>
      <c r="AG26" s="100">
        <v>31</v>
      </c>
      <c r="AH26" s="130">
        <f>COUNTIF($D27:$AH27,Cod_1)</f>
        <v>0</v>
      </c>
      <c r="AI26" s="130">
        <f>COUNTIF($D27:$AH27,Cod_2)</f>
        <v>0</v>
      </c>
      <c r="AJ26" s="130">
        <f>COUNTIF($D27:$AH27,Cod_3)</f>
        <v>0</v>
      </c>
      <c r="AK26" s="130">
        <f>COUNTIF($D27:$AH27,Cod_4)</f>
        <v>0</v>
      </c>
    </row>
    <row r="27" spans="2:37" ht="14.25" x14ac:dyDescent="0.25">
      <c r="B27" s="128"/>
      <c r="C27" s="99" t="str">
        <f>IFERROR(VLOOKUP(CăutareCursant,PrezențăIanuarie[],3,FALSE),"")</f>
        <v/>
      </c>
      <c r="D27" s="99" t="str">
        <f>IFERROR(VLOOKUP(CăutareCursant,PrezențăIanuarie[],4,FALSE),"")</f>
        <v/>
      </c>
      <c r="E27" s="99" t="str">
        <f>IFERROR(VLOOKUP(CăutareCursant,PrezențăIanuarie[],5,FALSE),"")</f>
        <v/>
      </c>
      <c r="F27" s="99" t="str">
        <f>IFERROR(VLOOKUP(CăutareCursant,PrezențăIanuarie[],6,FALSE),"")</f>
        <v/>
      </c>
      <c r="G27" s="99" t="str">
        <f>IFERROR(VLOOKUP(CăutareCursant,PrezențăIanuarie[],7,FALSE),"")</f>
        <v/>
      </c>
      <c r="H27" s="99" t="str">
        <f>IFERROR(VLOOKUP(CăutareCursant,PrezențăIanuarie[],8,FALSE),"")</f>
        <v/>
      </c>
      <c r="I27" s="99" t="str">
        <f>IFERROR(VLOOKUP(CăutareCursant,PrezențăIanuarie[],9,FALSE),"")</f>
        <v/>
      </c>
      <c r="J27" s="99" t="str">
        <f>IFERROR(VLOOKUP(CăutareCursant,PrezențăIanuarie[],10,FALSE),"")</f>
        <v/>
      </c>
      <c r="K27" s="99" t="str">
        <f>IFERROR(VLOOKUP(CăutareCursant,PrezențăIanuarie[],11,FALSE),"")</f>
        <v/>
      </c>
      <c r="L27" s="99" t="str">
        <f>IFERROR(VLOOKUP(CăutareCursant,PrezențăIanuarie[],12,FALSE),"")</f>
        <v/>
      </c>
      <c r="M27" s="99" t="str">
        <f>IFERROR(VLOOKUP(CăutareCursant,PrezențăIanuarie[],13,FALSE),"")</f>
        <v/>
      </c>
      <c r="N27" s="99" t="str">
        <f>IFERROR(VLOOKUP(CăutareCursant,PrezențăIanuarie[],14,FALSE),"")</f>
        <v/>
      </c>
      <c r="O27" s="99" t="str">
        <f>IFERROR(VLOOKUP(CăutareCursant,PrezențăIanuarie[],15,FALSE),"")</f>
        <v/>
      </c>
      <c r="P27" s="99" t="str">
        <f>IFERROR(VLOOKUP(CăutareCursant,PrezențăIanuarie[],16,FALSE),"")</f>
        <v/>
      </c>
      <c r="Q27" s="99" t="str">
        <f>IFERROR(VLOOKUP(CăutareCursant,PrezențăIanuarie[],17,FALSE),"")</f>
        <v/>
      </c>
      <c r="R27" s="99" t="str">
        <f>IFERROR(VLOOKUP(CăutareCursant,PrezențăIanuarie[],18,FALSE),"")</f>
        <v/>
      </c>
      <c r="S27" s="99" t="str">
        <f>IFERROR(VLOOKUP(CăutareCursant,PrezențăIanuarie[],19,FALSE),"")</f>
        <v/>
      </c>
      <c r="T27" s="99" t="str">
        <f>IFERROR(VLOOKUP(CăutareCursant,PrezențăIanuarie[],20,FALSE),"")</f>
        <v/>
      </c>
      <c r="U27" s="99" t="str">
        <f>IFERROR(VLOOKUP(CăutareCursant,PrezențăIanuarie[],21,FALSE),"")</f>
        <v/>
      </c>
      <c r="V27" s="99" t="str">
        <f>IFERROR(VLOOKUP(CăutareCursant,PrezențăIanuarie[],22,FALSE),"")</f>
        <v/>
      </c>
      <c r="W27" s="99" t="str">
        <f>IFERROR(VLOOKUP(CăutareCursant,PrezențăIanuarie[],23,FALSE),"")</f>
        <v/>
      </c>
      <c r="X27" s="99" t="str">
        <f>IFERROR(VLOOKUP(CăutareCursant,PrezențăIanuarie[],24,FALSE),"")</f>
        <v/>
      </c>
      <c r="Y27" s="99" t="str">
        <f>IFERROR(VLOOKUP(CăutareCursant,PrezențăIanuarie[],25,FALSE),"")</f>
        <v/>
      </c>
      <c r="Z27" s="99" t="str">
        <f>IFERROR(VLOOKUP(CăutareCursant,PrezențăIanuarie[],26,FALSE),"")</f>
        <v/>
      </c>
      <c r="AA27" s="99" t="str">
        <f>IFERROR(VLOOKUP(CăutareCursant,PrezențăIanuarie[],27,FALSE),"")</f>
        <v/>
      </c>
      <c r="AB27" s="99" t="str">
        <f>IFERROR(VLOOKUP(CăutareCursant,PrezențăIanuarie[],28,FALSE),"")</f>
        <v/>
      </c>
      <c r="AC27" s="99" t="str">
        <f>IFERROR(VLOOKUP(CăutareCursant,PrezențăIanuarie[],29,FALSE),"")</f>
        <v/>
      </c>
      <c r="AD27" s="99" t="str">
        <f>IFERROR(VLOOKUP(CăutareCursant,PrezențăIanuarie[],30,FALSE),"")</f>
        <v/>
      </c>
      <c r="AE27" s="99" t="str">
        <f>IFERROR(VLOOKUP(CăutareCursant,PrezențăIanuarie[],31,FALSE),"")</f>
        <v/>
      </c>
      <c r="AF27" s="99" t="str">
        <f>IFERROR(VLOOKUP(CăutareCursant,PrezențăIanuarie[],32,FALSE),"")</f>
        <v/>
      </c>
      <c r="AG27" s="99" t="str">
        <f>IFERROR(VLOOKUP(CăutareCursant,PrezențăIanuarie[],33,FALSE),"")</f>
        <v/>
      </c>
      <c r="AH27" s="130"/>
      <c r="AI27" s="130"/>
      <c r="AJ27" s="130"/>
      <c r="AK27" s="130"/>
    </row>
    <row r="28" spans="2:37" ht="14.25" x14ac:dyDescent="0.25">
      <c r="B28" s="128" t="s">
        <v>65</v>
      </c>
      <c r="C28" s="100">
        <v>1</v>
      </c>
      <c r="D28" s="100">
        <v>2</v>
      </c>
      <c r="E28" s="100">
        <v>3</v>
      </c>
      <c r="F28" s="100">
        <v>4</v>
      </c>
      <c r="G28" s="100">
        <v>5</v>
      </c>
      <c r="H28" s="100">
        <v>6</v>
      </c>
      <c r="I28" s="100">
        <v>7</v>
      </c>
      <c r="J28" s="100">
        <v>8</v>
      </c>
      <c r="K28" s="100">
        <v>9</v>
      </c>
      <c r="L28" s="100">
        <v>10</v>
      </c>
      <c r="M28" s="100">
        <v>11</v>
      </c>
      <c r="N28" s="100">
        <v>12</v>
      </c>
      <c r="O28" s="100">
        <v>13</v>
      </c>
      <c r="P28" s="100">
        <v>14</v>
      </c>
      <c r="Q28" s="100">
        <v>15</v>
      </c>
      <c r="R28" s="100">
        <v>16</v>
      </c>
      <c r="S28" s="100">
        <v>17</v>
      </c>
      <c r="T28" s="100">
        <v>18</v>
      </c>
      <c r="U28" s="100">
        <v>19</v>
      </c>
      <c r="V28" s="100">
        <v>20</v>
      </c>
      <c r="W28" s="100">
        <v>21</v>
      </c>
      <c r="X28" s="100">
        <v>22</v>
      </c>
      <c r="Y28" s="100">
        <v>23</v>
      </c>
      <c r="Z28" s="100">
        <v>24</v>
      </c>
      <c r="AA28" s="100">
        <v>25</v>
      </c>
      <c r="AB28" s="100">
        <v>26</v>
      </c>
      <c r="AC28" s="100">
        <v>27</v>
      </c>
      <c r="AD28" s="100">
        <v>28</v>
      </c>
      <c r="AE28" s="100">
        <v>29</v>
      </c>
      <c r="AF28" s="100"/>
      <c r="AG28" s="100"/>
      <c r="AH28" s="130">
        <f>COUNTIF($D29:$AH29,Cod_1)</f>
        <v>0</v>
      </c>
      <c r="AI28" s="130">
        <f>COUNTIF($D29:$AH29,Cod_2)</f>
        <v>0</v>
      </c>
      <c r="AJ28" s="130">
        <f>COUNTIF($D29:$AH29,Cod_3)</f>
        <v>0</v>
      </c>
      <c r="AK28" s="130">
        <f>COUNTIF($D29:$AH29,Cod_4)</f>
        <v>0</v>
      </c>
    </row>
    <row r="29" spans="2:37" ht="14.25" x14ac:dyDescent="0.25">
      <c r="B29" s="128"/>
      <c r="C29" s="99" t="str">
        <f>IFERROR(VLOOKUP(CăutareCursant,PrezențăFebruarie[],3,FALSE),"")</f>
        <v/>
      </c>
      <c r="D29" s="99" t="str">
        <f>IFERROR(VLOOKUP(CăutareCursant,PrezențăFebruarie[],4,FALSE),"")</f>
        <v/>
      </c>
      <c r="E29" s="99" t="str">
        <f>IFERROR(VLOOKUP(CăutareCursant,PrezențăFebruarie[],5,FALSE),"")</f>
        <v/>
      </c>
      <c r="F29" s="99" t="str">
        <f>IFERROR(VLOOKUP(CăutareCursant,PrezențăFebruarie[],6,FALSE),"")</f>
        <v/>
      </c>
      <c r="G29" s="99" t="str">
        <f>IFERROR(VLOOKUP(CăutareCursant,PrezențăFebruarie[],7,FALSE),"")</f>
        <v/>
      </c>
      <c r="H29" s="99" t="str">
        <f>IFERROR(VLOOKUP(CăutareCursant,PrezențăFebruarie[],8,FALSE),"")</f>
        <v/>
      </c>
      <c r="I29" s="99" t="str">
        <f>IFERROR(VLOOKUP(CăutareCursant,PrezențăFebruarie[],9,FALSE),"")</f>
        <v/>
      </c>
      <c r="J29" s="99" t="str">
        <f>IFERROR(VLOOKUP(CăutareCursant,PrezențăFebruarie[],10,FALSE),"")</f>
        <v/>
      </c>
      <c r="K29" s="99" t="str">
        <f>IFERROR(VLOOKUP(CăutareCursant,PrezențăFebruarie[],11,FALSE),"")</f>
        <v/>
      </c>
      <c r="L29" s="99" t="str">
        <f>IFERROR(VLOOKUP(CăutareCursant,PrezențăFebruarie[],12,FALSE),"")</f>
        <v/>
      </c>
      <c r="M29" s="99" t="str">
        <f>IFERROR(VLOOKUP(CăutareCursant,PrezențăFebruarie[],13,FALSE),"")</f>
        <v/>
      </c>
      <c r="N29" s="99" t="str">
        <f>IFERROR(VLOOKUP(CăutareCursant,PrezențăFebruarie[],14,FALSE),"")</f>
        <v/>
      </c>
      <c r="O29" s="99" t="str">
        <f>IFERROR(VLOOKUP(CăutareCursant,PrezențăFebruarie[],15,FALSE),"")</f>
        <v/>
      </c>
      <c r="P29" s="99" t="str">
        <f>IFERROR(VLOOKUP(CăutareCursant,PrezențăFebruarie[],16,FALSE),"")</f>
        <v/>
      </c>
      <c r="Q29" s="99" t="str">
        <f>IFERROR(VLOOKUP(CăutareCursant,PrezențăFebruarie[],17,FALSE),"")</f>
        <v/>
      </c>
      <c r="R29" s="99" t="str">
        <f>IFERROR(VLOOKUP(CăutareCursant,PrezențăFebruarie[],18,FALSE),"")</f>
        <v/>
      </c>
      <c r="S29" s="99" t="str">
        <f>IFERROR(VLOOKUP(CăutareCursant,PrezențăFebruarie[],19,FALSE),"")</f>
        <v/>
      </c>
      <c r="T29" s="99" t="str">
        <f>IFERROR(VLOOKUP(CăutareCursant,PrezențăFebruarie[],20,FALSE),"")</f>
        <v/>
      </c>
      <c r="U29" s="99" t="str">
        <f>IFERROR(VLOOKUP(CăutareCursant,PrezențăFebruarie[],21,FALSE),"")</f>
        <v/>
      </c>
      <c r="V29" s="99" t="str">
        <f>IFERROR(VLOOKUP(CăutareCursant,PrezențăFebruarie[],22,FALSE),"")</f>
        <v/>
      </c>
      <c r="W29" s="99" t="str">
        <f>IFERROR(VLOOKUP(CăutareCursant,PrezențăFebruarie[],23,FALSE),"")</f>
        <v/>
      </c>
      <c r="X29" s="99" t="str">
        <f>IFERROR(VLOOKUP(CăutareCursant,PrezențăFebruarie[],24,FALSE),"")</f>
        <v/>
      </c>
      <c r="Y29" s="99" t="str">
        <f>IFERROR(VLOOKUP(CăutareCursant,PrezențăFebruarie[],25,FALSE),"")</f>
        <v/>
      </c>
      <c r="Z29" s="99" t="str">
        <f>IFERROR(VLOOKUP(CăutareCursant,PrezențăFebruarie[],26,FALSE),"")</f>
        <v/>
      </c>
      <c r="AA29" s="99" t="str">
        <f>IFERROR(VLOOKUP(CăutareCursant,PrezențăFebruarie[],27,FALSE),"")</f>
        <v/>
      </c>
      <c r="AB29" s="99" t="str">
        <f>IFERROR(VLOOKUP(CăutareCursant,PrezențăFebruarie[],28,FALSE),"")</f>
        <v/>
      </c>
      <c r="AC29" s="99" t="str">
        <f>IFERROR(VLOOKUP(CăutareCursant,PrezențăFebruarie[],29,FALSE),"")</f>
        <v/>
      </c>
      <c r="AD29" s="99" t="str">
        <f>IFERROR(VLOOKUP(CăutareCursant,PrezențăFebruarie[],30,FALSE),"")</f>
        <v/>
      </c>
      <c r="AE29" s="99" t="str">
        <f>IFERROR(VLOOKUP(CăutareCursant,PrezențăFebruarie[],31,FALSE),"")</f>
        <v/>
      </c>
      <c r="AF29" s="99"/>
      <c r="AG29" s="99"/>
      <c r="AH29" s="130"/>
      <c r="AI29" s="130"/>
      <c r="AJ29" s="130"/>
      <c r="AK29" s="130"/>
    </row>
    <row r="30" spans="2:37" ht="14.25" x14ac:dyDescent="0.25">
      <c r="B30" s="128" t="s">
        <v>66</v>
      </c>
      <c r="C30" s="100">
        <v>1</v>
      </c>
      <c r="D30" s="100">
        <v>2</v>
      </c>
      <c r="E30" s="100">
        <v>3</v>
      </c>
      <c r="F30" s="100">
        <v>4</v>
      </c>
      <c r="G30" s="100">
        <v>5</v>
      </c>
      <c r="H30" s="100">
        <v>6</v>
      </c>
      <c r="I30" s="100">
        <v>7</v>
      </c>
      <c r="J30" s="100">
        <v>8</v>
      </c>
      <c r="K30" s="100">
        <v>9</v>
      </c>
      <c r="L30" s="100">
        <v>10</v>
      </c>
      <c r="M30" s="100">
        <v>11</v>
      </c>
      <c r="N30" s="100">
        <v>12</v>
      </c>
      <c r="O30" s="100">
        <v>13</v>
      </c>
      <c r="P30" s="100">
        <v>14</v>
      </c>
      <c r="Q30" s="100">
        <v>15</v>
      </c>
      <c r="R30" s="100">
        <v>16</v>
      </c>
      <c r="S30" s="100">
        <v>17</v>
      </c>
      <c r="T30" s="100">
        <v>18</v>
      </c>
      <c r="U30" s="100">
        <v>19</v>
      </c>
      <c r="V30" s="100">
        <v>20</v>
      </c>
      <c r="W30" s="100">
        <v>21</v>
      </c>
      <c r="X30" s="100">
        <v>22</v>
      </c>
      <c r="Y30" s="100">
        <v>23</v>
      </c>
      <c r="Z30" s="100">
        <v>24</v>
      </c>
      <c r="AA30" s="100">
        <v>25</v>
      </c>
      <c r="AB30" s="100">
        <v>26</v>
      </c>
      <c r="AC30" s="100">
        <v>27</v>
      </c>
      <c r="AD30" s="100">
        <v>28</v>
      </c>
      <c r="AE30" s="100">
        <v>29</v>
      </c>
      <c r="AF30" s="100">
        <v>30</v>
      </c>
      <c r="AG30" s="100">
        <v>31</v>
      </c>
      <c r="AH30" s="130">
        <f>COUNTIF($D31:$AH31,Cod_1)</f>
        <v>0</v>
      </c>
      <c r="AI30" s="130">
        <f>COUNTIF($D31:$AH31,Cod_2)</f>
        <v>0</v>
      </c>
      <c r="AJ30" s="130">
        <f>COUNTIF($D31:$AH31,Cod_3)</f>
        <v>0</v>
      </c>
      <c r="AK30" s="130">
        <f>COUNTIF($D31:$AH31,Cod_4)</f>
        <v>0</v>
      </c>
    </row>
    <row r="31" spans="2:37" ht="14.25" x14ac:dyDescent="0.25">
      <c r="B31" s="128"/>
      <c r="C31" s="99" t="str">
        <f>IFERROR(VLOOKUP(CăutareCursant,PrezențăMartie[],3,FALSE),"")</f>
        <v/>
      </c>
      <c r="D31" s="99" t="str">
        <f>IFERROR(VLOOKUP(CăutareCursant,PrezențăMartie[],4,FALSE),"")</f>
        <v/>
      </c>
      <c r="E31" s="99" t="str">
        <f>IFERROR(VLOOKUP(CăutareCursant,PrezențăMartie[],5,FALSE),"")</f>
        <v/>
      </c>
      <c r="F31" s="99" t="str">
        <f>IFERROR(VLOOKUP(CăutareCursant,PrezențăMartie[],6,FALSE),"")</f>
        <v/>
      </c>
      <c r="G31" s="99" t="str">
        <f>IFERROR(VLOOKUP(CăutareCursant,PrezențăMartie[],7,FALSE),"")</f>
        <v/>
      </c>
      <c r="H31" s="99" t="str">
        <f>IFERROR(VLOOKUP(CăutareCursant,PrezențăMartie[],8,FALSE),"")</f>
        <v/>
      </c>
      <c r="I31" s="99" t="str">
        <f>IFERROR(VLOOKUP(CăutareCursant,PrezențăMartie[],9,FALSE),"")</f>
        <v/>
      </c>
      <c r="J31" s="99" t="str">
        <f>IFERROR(VLOOKUP(CăutareCursant,PrezențăMartie[],10,FALSE),"")</f>
        <v/>
      </c>
      <c r="K31" s="99" t="str">
        <f>IFERROR(VLOOKUP(CăutareCursant,PrezențăMartie[],11,FALSE),"")</f>
        <v/>
      </c>
      <c r="L31" s="99" t="str">
        <f>IFERROR(VLOOKUP(CăutareCursant,PrezențăMartie[],12,FALSE),"")</f>
        <v/>
      </c>
      <c r="M31" s="99" t="str">
        <f>IFERROR(VLOOKUP(CăutareCursant,PrezențăMartie[],13,FALSE),"")</f>
        <v/>
      </c>
      <c r="N31" s="99" t="str">
        <f>IFERROR(VLOOKUP(CăutareCursant,PrezențăMartie[],14,FALSE),"")</f>
        <v/>
      </c>
      <c r="O31" s="99" t="str">
        <f>IFERROR(VLOOKUP(CăutareCursant,PrezențăMartie[],15,FALSE),"")</f>
        <v/>
      </c>
      <c r="P31" s="99" t="str">
        <f>IFERROR(VLOOKUP(CăutareCursant,PrezențăMartie[],16,FALSE),"")</f>
        <v/>
      </c>
      <c r="Q31" s="99" t="str">
        <f>IFERROR(VLOOKUP(CăutareCursant,PrezențăMartie[],17,FALSE),"")</f>
        <v/>
      </c>
      <c r="R31" s="99" t="str">
        <f>IFERROR(VLOOKUP(CăutareCursant,PrezențăMartie[],18,FALSE),"")</f>
        <v/>
      </c>
      <c r="S31" s="99" t="str">
        <f>IFERROR(VLOOKUP(CăutareCursant,PrezențăMartie[],19,FALSE),"")</f>
        <v/>
      </c>
      <c r="T31" s="99" t="str">
        <f>IFERROR(VLOOKUP(CăutareCursant,PrezențăMartie[],20,FALSE),"")</f>
        <v/>
      </c>
      <c r="U31" s="99" t="str">
        <f>IFERROR(VLOOKUP(CăutareCursant,PrezențăMartie[],21,FALSE),"")</f>
        <v/>
      </c>
      <c r="V31" s="99" t="str">
        <f>IFERROR(VLOOKUP(CăutareCursant,PrezențăMartie[],22,FALSE),"")</f>
        <v/>
      </c>
      <c r="W31" s="99" t="str">
        <f>IFERROR(VLOOKUP(CăutareCursant,PrezențăMartie[],23,FALSE),"")</f>
        <v/>
      </c>
      <c r="X31" s="99" t="str">
        <f>IFERROR(VLOOKUP(CăutareCursant,PrezențăMartie[],24,FALSE),"")</f>
        <v/>
      </c>
      <c r="Y31" s="99" t="str">
        <f>IFERROR(VLOOKUP(CăutareCursant,PrezențăMartie[],25,FALSE),"")</f>
        <v/>
      </c>
      <c r="Z31" s="99" t="str">
        <f>IFERROR(VLOOKUP(CăutareCursant,PrezențăMartie[],26,FALSE),"")</f>
        <v/>
      </c>
      <c r="AA31" s="99" t="str">
        <f>IFERROR(VLOOKUP(CăutareCursant,PrezențăMartie[],27,FALSE),"")</f>
        <v/>
      </c>
      <c r="AB31" s="99" t="str">
        <f>IFERROR(VLOOKUP(CăutareCursant,PrezențăMartie[],28,FALSE),"")</f>
        <v/>
      </c>
      <c r="AC31" s="99" t="str">
        <f>IFERROR(VLOOKUP(CăutareCursant,PrezențăMartie[],29,FALSE),"")</f>
        <v/>
      </c>
      <c r="AD31" s="99" t="str">
        <f>IFERROR(VLOOKUP(CăutareCursant,PrezențăMartie[],30,FALSE),"")</f>
        <v/>
      </c>
      <c r="AE31" s="99" t="str">
        <f>IFERROR(VLOOKUP(CăutareCursant,PrezențăMartie[],31,FALSE),"")</f>
        <v/>
      </c>
      <c r="AF31" s="99" t="str">
        <f>IFERROR(VLOOKUP(CăutareCursant,PrezențăMartie[],32,FALSE),"")</f>
        <v/>
      </c>
      <c r="AG31" s="99" t="str">
        <f>IFERROR(VLOOKUP(CăutareCursant,PrezențăMartie[],33,FALSE),"")</f>
        <v/>
      </c>
      <c r="AH31" s="130"/>
      <c r="AI31" s="130"/>
      <c r="AJ31" s="130"/>
      <c r="AK31" s="130"/>
    </row>
    <row r="32" spans="2:37" ht="14.25" x14ac:dyDescent="0.25">
      <c r="B32" s="128" t="s">
        <v>67</v>
      </c>
      <c r="C32" s="100">
        <v>1</v>
      </c>
      <c r="D32" s="100">
        <v>2</v>
      </c>
      <c r="E32" s="100">
        <v>3</v>
      </c>
      <c r="F32" s="100">
        <v>4</v>
      </c>
      <c r="G32" s="100">
        <v>5</v>
      </c>
      <c r="H32" s="100">
        <v>6</v>
      </c>
      <c r="I32" s="100">
        <v>7</v>
      </c>
      <c r="J32" s="100">
        <v>8</v>
      </c>
      <c r="K32" s="100">
        <v>9</v>
      </c>
      <c r="L32" s="100">
        <v>10</v>
      </c>
      <c r="M32" s="100">
        <v>11</v>
      </c>
      <c r="N32" s="100">
        <v>12</v>
      </c>
      <c r="O32" s="100">
        <v>13</v>
      </c>
      <c r="P32" s="100">
        <v>14</v>
      </c>
      <c r="Q32" s="100">
        <v>15</v>
      </c>
      <c r="R32" s="100">
        <v>16</v>
      </c>
      <c r="S32" s="100">
        <v>17</v>
      </c>
      <c r="T32" s="100">
        <v>18</v>
      </c>
      <c r="U32" s="100">
        <v>19</v>
      </c>
      <c r="V32" s="100">
        <v>20</v>
      </c>
      <c r="W32" s="100">
        <v>21</v>
      </c>
      <c r="X32" s="100">
        <v>22</v>
      </c>
      <c r="Y32" s="100">
        <v>23</v>
      </c>
      <c r="Z32" s="100">
        <v>24</v>
      </c>
      <c r="AA32" s="100">
        <v>25</v>
      </c>
      <c r="AB32" s="100">
        <v>26</v>
      </c>
      <c r="AC32" s="100">
        <v>27</v>
      </c>
      <c r="AD32" s="100">
        <v>28</v>
      </c>
      <c r="AE32" s="100">
        <v>29</v>
      </c>
      <c r="AF32" s="100">
        <v>30</v>
      </c>
      <c r="AG32" s="100"/>
      <c r="AH32" s="130">
        <f>COUNTIF($D33:$AH33,Cod_1)</f>
        <v>0</v>
      </c>
      <c r="AI32" s="130">
        <f>COUNTIF($D33:$AH33,Cod_2)</f>
        <v>0</v>
      </c>
      <c r="AJ32" s="130">
        <f>COUNTIF($D33:$AH33,Cod_3)</f>
        <v>0</v>
      </c>
      <c r="AK32" s="130">
        <f>COUNTIF($D33:$AH33,Cod_4)</f>
        <v>0</v>
      </c>
    </row>
    <row r="33" spans="2:37" ht="14.25" x14ac:dyDescent="0.25">
      <c r="B33" s="128"/>
      <c r="C33" s="99" t="str">
        <f>IFERROR(VLOOKUP(CăutareCursant,PrezențăAprilie[],3,FALSE),"")</f>
        <v/>
      </c>
      <c r="D33" s="99" t="str">
        <f>IFERROR(VLOOKUP(CăutareCursant,PrezențăAprilie[],4,FALSE),"")</f>
        <v/>
      </c>
      <c r="E33" s="99" t="str">
        <f>IFERROR(VLOOKUP(CăutareCursant,PrezențăAprilie[],5,FALSE),"")</f>
        <v/>
      </c>
      <c r="F33" s="99" t="str">
        <f>IFERROR(VLOOKUP(CăutareCursant,PrezențăAprilie[],6,FALSE),"")</f>
        <v/>
      </c>
      <c r="G33" s="99" t="str">
        <f>IFERROR(VLOOKUP(CăutareCursant,PrezențăAprilie[],7,FALSE),"")</f>
        <v/>
      </c>
      <c r="H33" s="99" t="str">
        <f>IFERROR(VLOOKUP(CăutareCursant,PrezențăAprilie[],8,FALSE),"")</f>
        <v/>
      </c>
      <c r="I33" s="99" t="str">
        <f>IFERROR(VLOOKUP(CăutareCursant,PrezențăAprilie[],9,FALSE),"")</f>
        <v/>
      </c>
      <c r="J33" s="99" t="str">
        <f>IFERROR(VLOOKUP(CăutareCursant,PrezențăAprilie[],10,FALSE),"")</f>
        <v/>
      </c>
      <c r="K33" s="99" t="str">
        <f>IFERROR(VLOOKUP(CăutareCursant,PrezențăAprilie[],11,FALSE),"")</f>
        <v/>
      </c>
      <c r="L33" s="99" t="str">
        <f>IFERROR(VLOOKUP(CăutareCursant,PrezențăAprilie[],12,FALSE),"")</f>
        <v/>
      </c>
      <c r="M33" s="99" t="str">
        <f>IFERROR(VLOOKUP(CăutareCursant,PrezențăAprilie[],13,FALSE),"")</f>
        <v/>
      </c>
      <c r="N33" s="99" t="str">
        <f>IFERROR(VLOOKUP(CăutareCursant,PrezențăAprilie[],14,FALSE),"")</f>
        <v/>
      </c>
      <c r="O33" s="99" t="str">
        <f>IFERROR(VLOOKUP(CăutareCursant,PrezențăAprilie[],15,FALSE),"")</f>
        <v/>
      </c>
      <c r="P33" s="99" t="str">
        <f>IFERROR(VLOOKUP(CăutareCursant,PrezențăAprilie[],16,FALSE),"")</f>
        <v/>
      </c>
      <c r="Q33" s="99" t="str">
        <f>IFERROR(VLOOKUP(CăutareCursant,PrezențăAprilie[],17,FALSE),"")</f>
        <v/>
      </c>
      <c r="R33" s="99" t="str">
        <f>IFERROR(VLOOKUP(CăutareCursant,PrezențăAprilie[],18,FALSE),"")</f>
        <v/>
      </c>
      <c r="S33" s="99" t="str">
        <f>IFERROR(VLOOKUP(CăutareCursant,PrezențăAprilie[],19,FALSE),"")</f>
        <v/>
      </c>
      <c r="T33" s="99" t="str">
        <f>IFERROR(VLOOKUP(CăutareCursant,PrezențăAprilie[],20,FALSE),"")</f>
        <v/>
      </c>
      <c r="U33" s="99" t="str">
        <f>IFERROR(VLOOKUP(CăutareCursant,PrezențăAprilie[],21,FALSE),"")</f>
        <v/>
      </c>
      <c r="V33" s="99" t="str">
        <f>IFERROR(VLOOKUP(CăutareCursant,PrezențăAprilie[],22,FALSE),"")</f>
        <v/>
      </c>
      <c r="W33" s="99" t="str">
        <f>IFERROR(VLOOKUP(CăutareCursant,PrezențăAprilie[],23,FALSE),"")</f>
        <v/>
      </c>
      <c r="X33" s="99" t="str">
        <f>IFERROR(VLOOKUP(CăutareCursant,PrezențăAprilie[],24,FALSE),"")</f>
        <v/>
      </c>
      <c r="Y33" s="99" t="str">
        <f>IFERROR(VLOOKUP(CăutareCursant,PrezențăAprilie[],25,FALSE),"")</f>
        <v/>
      </c>
      <c r="Z33" s="99" t="str">
        <f>IFERROR(VLOOKUP(CăutareCursant,PrezențăAprilie[],26,FALSE),"")</f>
        <v/>
      </c>
      <c r="AA33" s="99" t="str">
        <f>IFERROR(VLOOKUP(CăutareCursant,PrezențăAprilie[],27,FALSE),"")</f>
        <v/>
      </c>
      <c r="AB33" s="99" t="str">
        <f>IFERROR(VLOOKUP(CăutareCursant,PrezențăAprilie[],28,FALSE),"")</f>
        <v/>
      </c>
      <c r="AC33" s="99" t="str">
        <f>IFERROR(VLOOKUP(CăutareCursant,PrezențăAprilie[],29,FALSE),"")</f>
        <v/>
      </c>
      <c r="AD33" s="99" t="str">
        <f>IFERROR(VLOOKUP(CăutareCursant,PrezențăAprilie[],30,FALSE),"")</f>
        <v/>
      </c>
      <c r="AE33" s="99" t="str">
        <f>IFERROR(VLOOKUP(CăutareCursant,PrezențăAprilie[],31,FALSE),"")</f>
        <v/>
      </c>
      <c r="AF33" s="99" t="str">
        <f>IFERROR(VLOOKUP(CăutareCursant,PrezențăAprilie[],32,FALSE),"")</f>
        <v/>
      </c>
      <c r="AG33" s="99"/>
      <c r="AH33" s="130"/>
      <c r="AI33" s="130"/>
      <c r="AJ33" s="130"/>
      <c r="AK33" s="130"/>
    </row>
    <row r="34" spans="2:37" ht="14.25" x14ac:dyDescent="0.25">
      <c r="B34" s="128" t="s">
        <v>68</v>
      </c>
      <c r="C34" s="100">
        <v>1</v>
      </c>
      <c r="D34" s="100">
        <v>2</v>
      </c>
      <c r="E34" s="100">
        <v>3</v>
      </c>
      <c r="F34" s="100">
        <v>4</v>
      </c>
      <c r="G34" s="100">
        <v>5</v>
      </c>
      <c r="H34" s="100">
        <v>6</v>
      </c>
      <c r="I34" s="100">
        <v>7</v>
      </c>
      <c r="J34" s="100">
        <v>8</v>
      </c>
      <c r="K34" s="100">
        <v>9</v>
      </c>
      <c r="L34" s="100">
        <v>10</v>
      </c>
      <c r="M34" s="100">
        <v>11</v>
      </c>
      <c r="N34" s="100">
        <v>12</v>
      </c>
      <c r="O34" s="100">
        <v>13</v>
      </c>
      <c r="P34" s="100">
        <v>14</v>
      </c>
      <c r="Q34" s="100">
        <v>15</v>
      </c>
      <c r="R34" s="100">
        <v>16</v>
      </c>
      <c r="S34" s="100">
        <v>17</v>
      </c>
      <c r="T34" s="100">
        <v>18</v>
      </c>
      <c r="U34" s="100">
        <v>19</v>
      </c>
      <c r="V34" s="100">
        <v>20</v>
      </c>
      <c r="W34" s="100">
        <v>21</v>
      </c>
      <c r="X34" s="100">
        <v>22</v>
      </c>
      <c r="Y34" s="100">
        <v>23</v>
      </c>
      <c r="Z34" s="100">
        <v>24</v>
      </c>
      <c r="AA34" s="100">
        <v>25</v>
      </c>
      <c r="AB34" s="100">
        <v>26</v>
      </c>
      <c r="AC34" s="100">
        <v>27</v>
      </c>
      <c r="AD34" s="100">
        <v>28</v>
      </c>
      <c r="AE34" s="100">
        <v>29</v>
      </c>
      <c r="AF34" s="100">
        <v>30</v>
      </c>
      <c r="AG34" s="100">
        <v>31</v>
      </c>
      <c r="AH34" s="130">
        <f>COUNTIF($D35:$AH35,Cod_1)</f>
        <v>0</v>
      </c>
      <c r="AI34" s="130">
        <f>COUNTIF($D35:$AH35,Cod_2)</f>
        <v>0</v>
      </c>
      <c r="AJ34" s="130">
        <f>COUNTIF($D35:$AH35,Cod_3)</f>
        <v>0</v>
      </c>
      <c r="AK34" s="130">
        <f>COUNTIF($D35:$AH35,Cod_4)</f>
        <v>0</v>
      </c>
    </row>
    <row r="35" spans="2:37" ht="14.25" x14ac:dyDescent="0.25">
      <c r="B35" s="128"/>
      <c r="C35" s="99" t="str">
        <f>IFERROR(VLOOKUP(CăutareCursant,PrezențăMai[],3,FALSE),"")</f>
        <v/>
      </c>
      <c r="D35" s="99" t="str">
        <f>IFERROR(VLOOKUP(CăutareCursant,PrezențăMai[],4,FALSE),"")</f>
        <v/>
      </c>
      <c r="E35" s="99" t="str">
        <f>IFERROR(VLOOKUP(CăutareCursant,PrezențăMai[],5,FALSE),"")</f>
        <v/>
      </c>
      <c r="F35" s="99" t="str">
        <f>IFERROR(VLOOKUP(CăutareCursant,PrezențăMai[],6,FALSE),"")</f>
        <v/>
      </c>
      <c r="G35" s="99" t="str">
        <f>IFERROR(VLOOKUP(CăutareCursant,PrezențăMai[],7,FALSE),"")</f>
        <v/>
      </c>
      <c r="H35" s="99" t="str">
        <f>IFERROR(VLOOKUP(CăutareCursant,PrezențăMai[],8,FALSE),"")</f>
        <v/>
      </c>
      <c r="I35" s="99" t="str">
        <f>IFERROR(VLOOKUP(CăutareCursant,PrezențăMai[],9,FALSE),"")</f>
        <v/>
      </c>
      <c r="J35" s="99" t="str">
        <f>IFERROR(VLOOKUP(CăutareCursant,PrezențăMai[],10,FALSE),"")</f>
        <v/>
      </c>
      <c r="K35" s="99" t="str">
        <f>IFERROR(VLOOKUP(CăutareCursant,PrezențăMai[],11,FALSE),"")</f>
        <v/>
      </c>
      <c r="L35" s="99" t="str">
        <f>IFERROR(VLOOKUP(CăutareCursant,PrezențăMai[],12,FALSE),"")</f>
        <v/>
      </c>
      <c r="M35" s="99" t="str">
        <f>IFERROR(VLOOKUP(CăutareCursant,PrezențăMai[],13,FALSE),"")</f>
        <v/>
      </c>
      <c r="N35" s="99" t="str">
        <f>IFERROR(VLOOKUP(CăutareCursant,PrezențăMai[],14,FALSE),"")</f>
        <v/>
      </c>
      <c r="O35" s="99" t="str">
        <f>IFERROR(VLOOKUP(CăutareCursant,PrezențăMai[],15,FALSE),"")</f>
        <v/>
      </c>
      <c r="P35" s="99" t="str">
        <f>IFERROR(VLOOKUP(CăutareCursant,PrezențăMai[],16,FALSE),"")</f>
        <v/>
      </c>
      <c r="Q35" s="99" t="str">
        <f>IFERROR(VLOOKUP(CăutareCursant,PrezențăMai[],17,FALSE),"")</f>
        <v/>
      </c>
      <c r="R35" s="99" t="str">
        <f>IFERROR(VLOOKUP(CăutareCursant,PrezențăMai[],18,FALSE),"")</f>
        <v/>
      </c>
      <c r="S35" s="99" t="str">
        <f>IFERROR(VLOOKUP(CăutareCursant,PrezențăMai[],19,FALSE),"")</f>
        <v/>
      </c>
      <c r="T35" s="99" t="str">
        <f>IFERROR(VLOOKUP(CăutareCursant,PrezențăMai[],20,FALSE),"")</f>
        <v/>
      </c>
      <c r="U35" s="99" t="str">
        <f>IFERROR(VLOOKUP(CăutareCursant,PrezențăMai[],21,FALSE),"")</f>
        <v/>
      </c>
      <c r="V35" s="99" t="str">
        <f>IFERROR(VLOOKUP(CăutareCursant,PrezențăMai[],22,FALSE),"")</f>
        <v/>
      </c>
      <c r="W35" s="99" t="str">
        <f>IFERROR(VLOOKUP(CăutareCursant,PrezențăMai[],23,FALSE),"")</f>
        <v/>
      </c>
      <c r="X35" s="99" t="str">
        <f>IFERROR(VLOOKUP(CăutareCursant,PrezențăMai[],24,FALSE),"")</f>
        <v/>
      </c>
      <c r="Y35" s="99" t="str">
        <f>IFERROR(VLOOKUP(CăutareCursant,PrezențăMai[],25,FALSE),"")</f>
        <v/>
      </c>
      <c r="Z35" s="99" t="str">
        <f>IFERROR(VLOOKUP(CăutareCursant,PrezențăMai[],26,FALSE),"")</f>
        <v/>
      </c>
      <c r="AA35" s="99" t="str">
        <f>IFERROR(VLOOKUP(CăutareCursant,PrezențăMai[],27,FALSE),"")</f>
        <v/>
      </c>
      <c r="AB35" s="99" t="str">
        <f>IFERROR(VLOOKUP(CăutareCursant,PrezențăMai[],28,FALSE),"")</f>
        <v/>
      </c>
      <c r="AC35" s="99" t="str">
        <f>IFERROR(VLOOKUP(CăutareCursant,PrezențăMai[],29,FALSE),"")</f>
        <v/>
      </c>
      <c r="AD35" s="99" t="str">
        <f>IFERROR(VLOOKUP(CăutareCursant,PrezențăMai[],30,FALSE),"")</f>
        <v/>
      </c>
      <c r="AE35" s="99" t="str">
        <f>IFERROR(VLOOKUP(CăutareCursant,PrezențăMai[],31,FALSE),"")</f>
        <v/>
      </c>
      <c r="AF35" s="99" t="str">
        <f>IFERROR(VLOOKUP(CăutareCursant,PrezențăMai[],32,FALSE),"")</f>
        <v/>
      </c>
      <c r="AG35" s="99" t="str">
        <f>IFERROR(VLOOKUP(CăutareCursant,PrezențăMai[],33,FALSE),"")</f>
        <v/>
      </c>
      <c r="AH35" s="130"/>
      <c r="AI35" s="130"/>
      <c r="AJ35" s="130"/>
      <c r="AK35" s="130"/>
    </row>
    <row r="36" spans="2:37" ht="14.25" x14ac:dyDescent="0.25">
      <c r="B36" s="133" t="s">
        <v>69</v>
      </c>
      <c r="C36" s="100">
        <v>1</v>
      </c>
      <c r="D36" s="100">
        <v>2</v>
      </c>
      <c r="E36" s="100">
        <v>3</v>
      </c>
      <c r="F36" s="100">
        <v>4</v>
      </c>
      <c r="G36" s="100">
        <v>5</v>
      </c>
      <c r="H36" s="100">
        <v>6</v>
      </c>
      <c r="I36" s="100">
        <v>7</v>
      </c>
      <c r="J36" s="100">
        <v>8</v>
      </c>
      <c r="K36" s="100">
        <v>9</v>
      </c>
      <c r="L36" s="100">
        <v>10</v>
      </c>
      <c r="M36" s="100">
        <v>11</v>
      </c>
      <c r="N36" s="100">
        <v>12</v>
      </c>
      <c r="O36" s="100">
        <v>13</v>
      </c>
      <c r="P36" s="100">
        <v>14</v>
      </c>
      <c r="Q36" s="100">
        <v>15</v>
      </c>
      <c r="R36" s="100">
        <v>16</v>
      </c>
      <c r="S36" s="100">
        <v>17</v>
      </c>
      <c r="T36" s="100">
        <v>18</v>
      </c>
      <c r="U36" s="100">
        <v>19</v>
      </c>
      <c r="V36" s="100">
        <v>20</v>
      </c>
      <c r="W36" s="100">
        <v>21</v>
      </c>
      <c r="X36" s="100">
        <v>22</v>
      </c>
      <c r="Y36" s="100">
        <v>23</v>
      </c>
      <c r="Z36" s="100">
        <v>24</v>
      </c>
      <c r="AA36" s="100">
        <v>25</v>
      </c>
      <c r="AB36" s="100">
        <v>26</v>
      </c>
      <c r="AC36" s="100">
        <v>27</v>
      </c>
      <c r="AD36" s="100">
        <v>28</v>
      </c>
      <c r="AE36" s="100">
        <v>29</v>
      </c>
      <c r="AF36" s="100">
        <v>30</v>
      </c>
      <c r="AG36" s="100"/>
      <c r="AH36" s="131">
        <f>COUNTIF($D37:$AH37,Cod_1)</f>
        <v>0</v>
      </c>
      <c r="AI36" s="131">
        <f>COUNTIF($D37:$AH37,Cod_2)</f>
        <v>0</v>
      </c>
      <c r="AJ36" s="131">
        <f>COUNTIF($D37:$AH37,Cod_3)</f>
        <v>0</v>
      </c>
      <c r="AK36" s="131">
        <f>COUNTIF($D37:$AH37,Cod_4)</f>
        <v>0</v>
      </c>
    </row>
    <row r="37" spans="2:37" ht="14.25" x14ac:dyDescent="0.25">
      <c r="B37" s="127"/>
      <c r="C37" s="99" t="str">
        <f>IFERROR(VLOOKUP(CăutareCursant,PrezențăIunie[],3,FALSE),"")</f>
        <v/>
      </c>
      <c r="D37" s="99" t="str">
        <f>IFERROR(VLOOKUP(CăutareCursant,PrezențăIunie[],4,FALSE),"")</f>
        <v/>
      </c>
      <c r="E37" s="99" t="str">
        <f>IFERROR(VLOOKUP(CăutareCursant,PrezențăIunie[],5,FALSE),"")</f>
        <v/>
      </c>
      <c r="F37" s="99" t="str">
        <f>IFERROR(VLOOKUP(CăutareCursant,PrezențăIunie[],6,FALSE),"")</f>
        <v/>
      </c>
      <c r="G37" s="99" t="str">
        <f>IFERROR(VLOOKUP(CăutareCursant,PrezențăIunie[],7,FALSE),"")</f>
        <v/>
      </c>
      <c r="H37" s="99" t="str">
        <f>IFERROR(VLOOKUP(CăutareCursant,PrezențăIunie[],8,FALSE),"")</f>
        <v/>
      </c>
      <c r="I37" s="99" t="str">
        <f>IFERROR(VLOOKUP(CăutareCursant,PrezențăIunie[],9,FALSE),"")</f>
        <v/>
      </c>
      <c r="J37" s="99" t="str">
        <f>IFERROR(VLOOKUP(CăutareCursant,PrezențăIunie[],10,FALSE),"")</f>
        <v/>
      </c>
      <c r="K37" s="99" t="str">
        <f>IFERROR(VLOOKUP(CăutareCursant,PrezențăIunie[],11,FALSE),"")</f>
        <v/>
      </c>
      <c r="L37" s="99" t="str">
        <f>IFERROR(VLOOKUP(CăutareCursant,PrezențăIunie[],12,FALSE),"")</f>
        <v/>
      </c>
      <c r="M37" s="99" t="str">
        <f>IFERROR(VLOOKUP(CăutareCursant,PrezențăIunie[],13,FALSE),"")</f>
        <v/>
      </c>
      <c r="N37" s="99" t="str">
        <f>IFERROR(VLOOKUP(CăutareCursant,PrezențăIunie[],14,FALSE),"")</f>
        <v/>
      </c>
      <c r="O37" s="99" t="str">
        <f>IFERROR(VLOOKUP(CăutareCursant,PrezențăIunie[],15,FALSE),"")</f>
        <v/>
      </c>
      <c r="P37" s="99" t="str">
        <f>IFERROR(VLOOKUP(CăutareCursant,PrezențăIunie[],16,FALSE),"")</f>
        <v/>
      </c>
      <c r="Q37" s="99" t="str">
        <f>IFERROR(VLOOKUP(CăutareCursant,PrezențăIunie[],17,FALSE),"")</f>
        <v/>
      </c>
      <c r="R37" s="99" t="str">
        <f>IFERROR(VLOOKUP(CăutareCursant,PrezențăIunie[],18,FALSE),"")</f>
        <v/>
      </c>
      <c r="S37" s="99" t="str">
        <f>IFERROR(VLOOKUP(CăutareCursant,PrezențăIunie[],19,FALSE),"")</f>
        <v/>
      </c>
      <c r="T37" s="99" t="str">
        <f>IFERROR(VLOOKUP(CăutareCursant,PrezențăIunie[],20,FALSE),"")</f>
        <v/>
      </c>
      <c r="U37" s="99" t="str">
        <f>IFERROR(VLOOKUP(CăutareCursant,PrezențăIunie[],21,FALSE),"")</f>
        <v/>
      </c>
      <c r="V37" s="99" t="str">
        <f>IFERROR(VLOOKUP(CăutareCursant,PrezențăIunie[],22,FALSE),"")</f>
        <v/>
      </c>
      <c r="W37" s="99" t="str">
        <f>IFERROR(VLOOKUP(CăutareCursant,PrezențăIunie[],23,FALSE),"")</f>
        <v/>
      </c>
      <c r="X37" s="99" t="str">
        <f>IFERROR(VLOOKUP(CăutareCursant,PrezențăIunie[],24,FALSE),"")</f>
        <v/>
      </c>
      <c r="Y37" s="99" t="str">
        <f>IFERROR(VLOOKUP(CăutareCursant,PrezențăIunie[],25,FALSE),"")</f>
        <v/>
      </c>
      <c r="Z37" s="99" t="str">
        <f>IFERROR(VLOOKUP(CăutareCursant,PrezențăIunie[],26,FALSE),"")</f>
        <v/>
      </c>
      <c r="AA37" s="99" t="str">
        <f>IFERROR(VLOOKUP(CăutareCursant,PrezențăIunie[],27,FALSE),"")</f>
        <v/>
      </c>
      <c r="AB37" s="99" t="str">
        <f>IFERROR(VLOOKUP(CăutareCursant,PrezențăIunie[],28,FALSE),"")</f>
        <v/>
      </c>
      <c r="AC37" s="99" t="str">
        <f>IFERROR(VLOOKUP(CăutareCursant,PrezențăIunie[],29,FALSE),"")</f>
        <v/>
      </c>
      <c r="AD37" s="99" t="str">
        <f>IFERROR(VLOOKUP(CăutareCursant,PrezențăIunie[],30,FALSE),"")</f>
        <v/>
      </c>
      <c r="AE37" s="99" t="str">
        <f>IFERROR(VLOOKUP(CăutareCursant,PrezențăIunie[],31,FALSE),"")</f>
        <v/>
      </c>
      <c r="AF37" s="99" t="str">
        <f>IFERROR(VLOOKUP(CăutareCursant,PrezențăIunie[],32,FALSE),"")</f>
        <v/>
      </c>
      <c r="AG37" s="99"/>
      <c r="AH37" s="129"/>
      <c r="AI37" s="129"/>
      <c r="AJ37" s="129"/>
      <c r="AK37" s="129"/>
    </row>
    <row r="38" spans="2:37" ht="14.25" x14ac:dyDescent="0.25">
      <c r="B38" s="133" t="s">
        <v>70</v>
      </c>
      <c r="C38" s="100">
        <v>1</v>
      </c>
      <c r="D38" s="100">
        <v>2</v>
      </c>
      <c r="E38" s="100">
        <v>3</v>
      </c>
      <c r="F38" s="100">
        <v>4</v>
      </c>
      <c r="G38" s="100">
        <v>5</v>
      </c>
      <c r="H38" s="100">
        <v>6</v>
      </c>
      <c r="I38" s="100">
        <v>7</v>
      </c>
      <c r="J38" s="100">
        <v>8</v>
      </c>
      <c r="K38" s="100">
        <v>9</v>
      </c>
      <c r="L38" s="100">
        <v>10</v>
      </c>
      <c r="M38" s="100">
        <v>11</v>
      </c>
      <c r="N38" s="100">
        <v>12</v>
      </c>
      <c r="O38" s="100">
        <v>13</v>
      </c>
      <c r="P38" s="100">
        <v>14</v>
      </c>
      <c r="Q38" s="100">
        <v>15</v>
      </c>
      <c r="R38" s="100">
        <v>16</v>
      </c>
      <c r="S38" s="100">
        <v>17</v>
      </c>
      <c r="T38" s="100">
        <v>18</v>
      </c>
      <c r="U38" s="100">
        <v>19</v>
      </c>
      <c r="V38" s="100">
        <v>20</v>
      </c>
      <c r="W38" s="100">
        <v>21</v>
      </c>
      <c r="X38" s="100">
        <v>22</v>
      </c>
      <c r="Y38" s="100">
        <v>23</v>
      </c>
      <c r="Z38" s="100">
        <v>24</v>
      </c>
      <c r="AA38" s="100">
        <v>25</v>
      </c>
      <c r="AB38" s="100">
        <v>26</v>
      </c>
      <c r="AC38" s="100">
        <v>27</v>
      </c>
      <c r="AD38" s="100">
        <v>28</v>
      </c>
      <c r="AE38" s="100">
        <v>29</v>
      </c>
      <c r="AF38" s="100">
        <v>30</v>
      </c>
      <c r="AG38" s="100">
        <v>31</v>
      </c>
      <c r="AH38" s="131">
        <f>COUNTIF($D39:$AH39,Cod_1)</f>
        <v>0</v>
      </c>
      <c r="AI38" s="131">
        <f>COUNTIF($D39:$AH39,Cod_2)</f>
        <v>0</v>
      </c>
      <c r="AJ38" s="131">
        <f>COUNTIF($D39:$AH39,Cod_3)</f>
        <v>0</v>
      </c>
      <c r="AK38" s="131">
        <f>COUNTIF($D39:$AH39,Cod_4)</f>
        <v>0</v>
      </c>
    </row>
    <row r="39" spans="2:37" ht="14.25" x14ac:dyDescent="0.25">
      <c r="B39" s="127"/>
      <c r="C39" s="99" t="str">
        <f>IFERROR(VLOOKUP(CăutareCursant,PrezențăIulie[],3,FALSE),"")</f>
        <v/>
      </c>
      <c r="D39" s="99" t="str">
        <f>IFERROR(VLOOKUP(CăutareCursant,PrezențăIulie[],4,FALSE),"")</f>
        <v/>
      </c>
      <c r="E39" s="99" t="str">
        <f>IFERROR(VLOOKUP(CăutareCursant,PrezențăIulie[],5,FALSE),"")</f>
        <v/>
      </c>
      <c r="F39" s="99" t="str">
        <f>IFERROR(VLOOKUP(CăutareCursant,PrezențăIulie[],6,FALSE),"")</f>
        <v/>
      </c>
      <c r="G39" s="99" t="str">
        <f>IFERROR(VLOOKUP(CăutareCursant,PrezențăIulie[],7,FALSE),"")</f>
        <v/>
      </c>
      <c r="H39" s="99" t="str">
        <f>IFERROR(VLOOKUP(CăutareCursant,PrezențăIulie[],8,FALSE),"")</f>
        <v/>
      </c>
      <c r="I39" s="99" t="str">
        <f>IFERROR(VLOOKUP(CăutareCursant,PrezențăIulie[],9,FALSE),"")</f>
        <v/>
      </c>
      <c r="J39" s="99" t="str">
        <f>IFERROR(VLOOKUP(CăutareCursant,PrezențăIulie[],10,FALSE),"")</f>
        <v/>
      </c>
      <c r="K39" s="99" t="str">
        <f>IFERROR(VLOOKUP(CăutareCursant,PrezențăIulie[],11,FALSE),"")</f>
        <v/>
      </c>
      <c r="L39" s="99" t="str">
        <f>IFERROR(VLOOKUP(CăutareCursant,PrezențăIulie[],12,FALSE),"")</f>
        <v/>
      </c>
      <c r="M39" s="99" t="str">
        <f>IFERROR(VLOOKUP(CăutareCursant,PrezențăIulie[],13,FALSE),"")</f>
        <v/>
      </c>
      <c r="N39" s="99" t="str">
        <f>IFERROR(VLOOKUP(CăutareCursant,PrezențăIulie[],14,FALSE),"")</f>
        <v/>
      </c>
      <c r="O39" s="99" t="str">
        <f>IFERROR(VLOOKUP(CăutareCursant,PrezențăIulie[],15,FALSE),"")</f>
        <v/>
      </c>
      <c r="P39" s="99" t="str">
        <f>IFERROR(VLOOKUP(CăutareCursant,PrezențăIulie[],16,FALSE),"")</f>
        <v/>
      </c>
      <c r="Q39" s="99" t="str">
        <f>IFERROR(VLOOKUP(CăutareCursant,PrezențăIulie[],17,FALSE),"")</f>
        <v/>
      </c>
      <c r="R39" s="99" t="str">
        <f>IFERROR(VLOOKUP(CăutareCursant,PrezențăIulie[],18,FALSE),"")</f>
        <v/>
      </c>
      <c r="S39" s="99" t="str">
        <f>IFERROR(VLOOKUP(CăutareCursant,PrezențăIulie[],19,FALSE),"")</f>
        <v/>
      </c>
      <c r="T39" s="99" t="str">
        <f>IFERROR(VLOOKUP(CăutareCursant,PrezențăIulie[],20,FALSE),"")</f>
        <v/>
      </c>
      <c r="U39" s="99" t="str">
        <f>IFERROR(VLOOKUP(CăutareCursant,PrezențăIulie[],21,FALSE),"")</f>
        <v/>
      </c>
      <c r="V39" s="99" t="str">
        <f>IFERROR(VLOOKUP(CăutareCursant,PrezențăIulie[],22,FALSE),"")</f>
        <v/>
      </c>
      <c r="W39" s="99" t="str">
        <f>IFERROR(VLOOKUP(CăutareCursant,PrezențăIulie[],23,FALSE),"")</f>
        <v/>
      </c>
      <c r="X39" s="99" t="str">
        <f>IFERROR(VLOOKUP(CăutareCursant,PrezențăIulie[],24,FALSE),"")</f>
        <v/>
      </c>
      <c r="Y39" s="99" t="str">
        <f>IFERROR(VLOOKUP(CăutareCursant,PrezențăIulie[],25,FALSE),"")</f>
        <v/>
      </c>
      <c r="Z39" s="99" t="str">
        <f>IFERROR(VLOOKUP(CăutareCursant,PrezențăIulie[],26,FALSE),"")</f>
        <v/>
      </c>
      <c r="AA39" s="99" t="str">
        <f>IFERROR(VLOOKUP(CăutareCursant,PrezențăIulie[],27,FALSE),"")</f>
        <v/>
      </c>
      <c r="AB39" s="99" t="str">
        <f>IFERROR(VLOOKUP(CăutareCursant,PrezențăIulie[],28,FALSE),"")</f>
        <v/>
      </c>
      <c r="AC39" s="99" t="str">
        <f>IFERROR(VLOOKUP(CăutareCursant,PrezențăIulie[],29,FALSE),"")</f>
        <v/>
      </c>
      <c r="AD39" s="99" t="str">
        <f>IFERROR(VLOOKUP(CăutareCursant,PrezențăIulie[],30,FALSE),"")</f>
        <v/>
      </c>
      <c r="AE39" s="99" t="str">
        <f>IFERROR(VLOOKUP(CăutareCursant,PrezențăIulie[],31,FALSE),"")</f>
        <v/>
      </c>
      <c r="AF39" s="99" t="str">
        <f>IFERROR(VLOOKUP(CăutareCursant,PrezențăIulie[],32,FALSE),"")</f>
        <v/>
      </c>
      <c r="AG39" s="99" t="str">
        <f>IFERROR(VLOOKUP(CăutareCursant,PrezențăIulie[],33,FALSE),"")</f>
        <v/>
      </c>
      <c r="AH39" s="129"/>
      <c r="AI39" s="129"/>
      <c r="AJ39" s="129"/>
      <c r="AK39" s="129"/>
    </row>
    <row r="40" spans="2:37" ht="14.25" x14ac:dyDescent="0.3">
      <c r="B40" s="101"/>
      <c r="C40" s="101"/>
      <c r="D40" s="101"/>
      <c r="E40" s="101"/>
      <c r="F40" s="101"/>
      <c r="G40" s="101"/>
      <c r="H40" s="101"/>
      <c r="I40" s="101"/>
      <c r="J40" s="101"/>
      <c r="K40" s="101"/>
      <c r="L40" s="101"/>
      <c r="M40" s="101"/>
      <c r="N40" s="101"/>
      <c r="O40" s="101"/>
      <c r="P40" s="101"/>
      <c r="Q40" s="101"/>
      <c r="R40" s="101"/>
      <c r="S40" s="102"/>
      <c r="T40" s="102"/>
      <c r="U40" s="102"/>
      <c r="V40" s="102"/>
      <c r="W40" s="102"/>
      <c r="X40" s="102"/>
      <c r="Y40" s="102"/>
      <c r="Z40" s="102"/>
      <c r="AA40" s="102"/>
      <c r="AB40" s="102"/>
      <c r="AC40" s="102"/>
      <c r="AD40" s="102"/>
      <c r="AE40" s="132" t="s">
        <v>41</v>
      </c>
      <c r="AF40" s="132"/>
      <c r="AG40" s="132"/>
      <c r="AH40" s="103">
        <f>SUM(AH16:AH39)</f>
        <v>0</v>
      </c>
      <c r="AI40" s="103">
        <f>SUM(AI16:AI39)</f>
        <v>0</v>
      </c>
      <c r="AJ40" s="103">
        <f>SUM(AJ16:AJ39)</f>
        <v>0</v>
      </c>
      <c r="AK40" s="103">
        <f>SUM(AK16:AK39)</f>
        <v>0</v>
      </c>
    </row>
  </sheetData>
  <sheetProtection sheet="1" objects="1" scenarios="1" formatColumns="0" formatRows="0" selectLockedCells="1"/>
  <mergeCells count="100">
    <mergeCell ref="AK38:AK39"/>
    <mergeCell ref="AE40:AG40"/>
    <mergeCell ref="B34:B35"/>
    <mergeCell ref="AH34:AH35"/>
    <mergeCell ref="AI34:AI35"/>
    <mergeCell ref="AJ34:AJ35"/>
    <mergeCell ref="B38:B39"/>
    <mergeCell ref="AH38:AH39"/>
    <mergeCell ref="AI38:AI39"/>
    <mergeCell ref="AJ38:AJ39"/>
    <mergeCell ref="AK34:AK35"/>
    <mergeCell ref="B36:B37"/>
    <mergeCell ref="AH36:AH37"/>
    <mergeCell ref="AI36:AI37"/>
    <mergeCell ref="AJ36:AJ37"/>
    <mergeCell ref="AK36:AK37"/>
    <mergeCell ref="B30:B31"/>
    <mergeCell ref="AH30:AH31"/>
    <mergeCell ref="AI30:AI31"/>
    <mergeCell ref="AJ30:AJ31"/>
    <mergeCell ref="AK30:AK31"/>
    <mergeCell ref="B32:B33"/>
    <mergeCell ref="AH32:AH33"/>
    <mergeCell ref="AI32:AI33"/>
    <mergeCell ref="AJ32:AJ33"/>
    <mergeCell ref="AK32:AK33"/>
    <mergeCell ref="B26:B27"/>
    <mergeCell ref="AH26:AH27"/>
    <mergeCell ref="AI26:AI27"/>
    <mergeCell ref="AJ26:AJ27"/>
    <mergeCell ref="AK26:AK27"/>
    <mergeCell ref="B28:B29"/>
    <mergeCell ref="AH28:AH29"/>
    <mergeCell ref="AI28:AI29"/>
    <mergeCell ref="AJ28:AJ29"/>
    <mergeCell ref="AK28:AK29"/>
    <mergeCell ref="B22:B23"/>
    <mergeCell ref="AH22:AH23"/>
    <mergeCell ref="AI22:AI23"/>
    <mergeCell ref="AJ22:AJ23"/>
    <mergeCell ref="AK22:AK23"/>
    <mergeCell ref="B24:B25"/>
    <mergeCell ref="AH24:AH25"/>
    <mergeCell ref="AI24:AI25"/>
    <mergeCell ref="AJ24:AJ25"/>
    <mergeCell ref="AK24:AK25"/>
    <mergeCell ref="B18:B19"/>
    <mergeCell ref="AH18:AH19"/>
    <mergeCell ref="AI18:AI19"/>
    <mergeCell ref="AJ18:AJ19"/>
    <mergeCell ref="AK18:AK19"/>
    <mergeCell ref="B20:B21"/>
    <mergeCell ref="AH20:AH21"/>
    <mergeCell ref="AI20:AI21"/>
    <mergeCell ref="AJ20:AJ21"/>
    <mergeCell ref="AK20:AK21"/>
    <mergeCell ref="AH14:AK14"/>
    <mergeCell ref="B16:B17"/>
    <mergeCell ref="AH16:AH17"/>
    <mergeCell ref="AI16:AI17"/>
    <mergeCell ref="AJ16:AJ17"/>
    <mergeCell ref="AK16:AK17"/>
    <mergeCell ref="B4:C4"/>
    <mergeCell ref="D4:O4"/>
    <mergeCell ref="D3:O3"/>
    <mergeCell ref="B14:AG15"/>
    <mergeCell ref="AE3:AF3"/>
    <mergeCell ref="AE4:AF4"/>
    <mergeCell ref="AG3:AJ3"/>
    <mergeCell ref="AG4:AJ4"/>
    <mergeCell ref="B9:J9"/>
    <mergeCell ref="K9:V9"/>
    <mergeCell ref="W9:AD9"/>
    <mergeCell ref="AE9:AK9"/>
    <mergeCell ref="B10:J10"/>
    <mergeCell ref="K10:V10"/>
    <mergeCell ref="W10:AD10"/>
    <mergeCell ref="AE10:AK10"/>
    <mergeCell ref="P3:R3"/>
    <mergeCell ref="S3:V3"/>
    <mergeCell ref="W3:AD3"/>
    <mergeCell ref="W5:AD5"/>
    <mergeCell ref="P4:R4"/>
    <mergeCell ref="S4:V4"/>
    <mergeCell ref="W4:AD4"/>
    <mergeCell ref="B7:J7"/>
    <mergeCell ref="K7:V7"/>
    <mergeCell ref="W7:AD7"/>
    <mergeCell ref="AE7:AK7"/>
    <mergeCell ref="B8:J8"/>
    <mergeCell ref="K8:V8"/>
    <mergeCell ref="W8:AD8"/>
    <mergeCell ref="AE8:AK8"/>
    <mergeCell ref="AE5:AK5"/>
    <mergeCell ref="B6:J6"/>
    <mergeCell ref="K6:V6"/>
    <mergeCell ref="W6:AD6"/>
    <mergeCell ref="AE6:AK6"/>
    <mergeCell ref="B5:J5"/>
    <mergeCell ref="K5:V5"/>
  </mergeCells>
  <conditionalFormatting sqref="C17:AG17 C21:AG21 C23:AF23 C25:AG25 C27:AG27 C31:AG31 C33:AF33 C35:AG35 C37:AG37 C39:AG39 C29:AG29 C19:AG19">
    <cfRule type="expression" dxfId="462" priority="150">
      <formula>C17=Cod_1</formula>
    </cfRule>
  </conditionalFormatting>
  <conditionalFormatting sqref="C17:AG17 C21:AG21 C23:AF23 C25:AG25 C27:AG27 C31:AG31 C33:AF33 C35:AG35 C37:AG37 C39:AG39 C29:AG29 C19:AG19">
    <cfRule type="expression" dxfId="461" priority="162">
      <formula>C17=Cod_2</formula>
    </cfRule>
  </conditionalFormatting>
  <conditionalFormatting sqref="C17:AG17 C21:AG21 C23:AF23 C25:AG25 C27:AG27 C31:AG31 C33:AF33 C35:AG35 C37:AG37 C39:AG39 C29:AG29 C19:AG19">
    <cfRule type="expression" dxfId="460" priority="174">
      <formula>C17=Cod_3</formula>
    </cfRule>
  </conditionalFormatting>
  <conditionalFormatting sqref="C17:AG17 C21:AG21 C23:AF23 C25:AG25 C27:AG27 C31:AG31 C33:AF33 C35:AG35 C37:AG37 C39:AG39 C29:AG29 C19:AG19">
    <cfRule type="expression" dxfId="459" priority="186">
      <formula>C17=Cod_4</formula>
    </cfRule>
  </conditionalFormatting>
  <conditionalFormatting sqref="C17:AG17 C21:AG21 C23:AF23 C25:AG25 C27:AG27 C31:AG31 C33:AF33 C35:AG35 C37:AG37 C39:AG39 C29:AG29 C19:AG19">
    <cfRule type="expression" dxfId="458" priority="199">
      <formula>C17=Cod_5</formula>
    </cfRule>
  </conditionalFormatting>
  <conditionalFormatting sqref="AE28">
    <cfRule type="expression" dxfId="457" priority="200">
      <formula>DATE(AnCalendar+1,2,AE28)&gt;EOMONTH(DATE(AnCalendar+1,1,1),1)</formula>
    </cfRule>
  </conditionalFormatting>
  <dataValidations count="2">
    <dataValidation type="list" errorStyle="warning" allowBlank="1" showInputMessage="1" showErrorMessage="1" errorTitle="Atenție!" error="Pentru a vedea detaliile din foaia Listă elevi, trebuie să fie selectat un elev din lista verticală. Puteți face clic pe Da și utilizați intrarea dvs., dar restul detaliilor elevului vor rămâne goale. " sqref="B4:C4">
      <formula1>IDCursant</formula1>
    </dataValidation>
    <dataValidation allowBlank="1" showInputMessage="1" showErrorMessage="1" errorTitle="Nume necunoscut elev" error="Selectați un student din listă. Puteți să adăugați sau să eliminați nume din listă în foaia de lucru Listă elevi." sqref="D4"/>
  </dataValidations>
  <printOptions horizontalCentered="1"/>
  <pageMargins left="0.25" right="0.25" top="0.75" bottom="0.75" header="0.3" footer="0.3"/>
  <pageSetup paperSize="9"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sheetPr>
  <dimension ref="A1:S245"/>
  <sheetViews>
    <sheetView showGridLines="0" zoomScaleNormal="100" workbookViewId="0">
      <pane xSplit="2" ySplit="3" topLeftCell="C4" activePane="bottomRight" state="frozen"/>
      <selection pane="topRight" activeCell="C1" sqref="C1"/>
      <selection pane="bottomLeft" activeCell="A4" sqref="A4"/>
      <selection pane="bottomRight"/>
    </sheetView>
  </sheetViews>
  <sheetFormatPr defaultRowHeight="13.5" x14ac:dyDescent="0.25"/>
  <cols>
    <col min="1" max="1" width="2.7109375" customWidth="1"/>
    <col min="2" max="2" width="14.42578125" customWidth="1"/>
    <col min="3" max="19" width="26.5703125" customWidth="1"/>
  </cols>
  <sheetData>
    <row r="1" spans="1:19" ht="42" customHeight="1" x14ac:dyDescent="0.3">
      <c r="A1" s="93" t="s">
        <v>120</v>
      </c>
      <c r="B1" s="81"/>
      <c r="C1" s="81"/>
      <c r="D1" s="81"/>
      <c r="E1" s="81"/>
      <c r="F1" s="81"/>
      <c r="G1" s="81"/>
      <c r="H1" s="81"/>
      <c r="I1" s="81"/>
      <c r="J1" s="81"/>
      <c r="K1" s="81"/>
      <c r="L1" s="81"/>
      <c r="M1" s="81"/>
      <c r="N1" s="81"/>
      <c r="O1" s="81"/>
      <c r="P1" s="81"/>
      <c r="Q1" s="81"/>
      <c r="R1" s="81"/>
      <c r="S1" s="43"/>
    </row>
    <row r="3" spans="1:19" s="15" customFormat="1" ht="39.75" customHeight="1" x14ac:dyDescent="0.25">
      <c r="B3" s="135" t="s">
        <v>34</v>
      </c>
      <c r="C3" s="136" t="s">
        <v>32</v>
      </c>
      <c r="D3" s="136" t="s">
        <v>33</v>
      </c>
      <c r="E3" s="135" t="s">
        <v>42</v>
      </c>
      <c r="F3" s="135" t="s">
        <v>43</v>
      </c>
      <c r="G3" s="136" t="s">
        <v>73</v>
      </c>
      <c r="H3" s="135" t="s">
        <v>74</v>
      </c>
      <c r="I3" s="135" t="s">
        <v>117</v>
      </c>
      <c r="J3" s="135" t="s">
        <v>75</v>
      </c>
      <c r="K3" s="135" t="s">
        <v>79</v>
      </c>
      <c r="L3" s="135" t="s">
        <v>76</v>
      </c>
      <c r="M3" s="135" t="s">
        <v>77</v>
      </c>
      <c r="N3" s="135" t="s">
        <v>78</v>
      </c>
      <c r="O3" s="136" t="s">
        <v>51</v>
      </c>
      <c r="P3" s="136" t="s">
        <v>53</v>
      </c>
      <c r="Q3" s="135" t="s">
        <v>54</v>
      </c>
      <c r="R3" s="135" t="s">
        <v>55</v>
      </c>
      <c r="S3" s="136" t="s">
        <v>56</v>
      </c>
    </row>
    <row r="4" spans="1:19" ht="15.75" customHeight="1" x14ac:dyDescent="0.25">
      <c r="B4" s="13" t="s">
        <v>91</v>
      </c>
      <c r="C4" t="s">
        <v>89</v>
      </c>
      <c r="D4" s="13" t="s">
        <v>90</v>
      </c>
      <c r="E4" s="16" t="s">
        <v>52</v>
      </c>
      <c r="F4" s="17">
        <v>35517</v>
      </c>
      <c r="G4" s="13" t="s">
        <v>92</v>
      </c>
      <c r="H4" s="13" t="s">
        <v>90</v>
      </c>
      <c r="I4" s="20">
        <v>1235550134</v>
      </c>
      <c r="J4" s="20">
        <v>2345550134</v>
      </c>
      <c r="K4" s="18" t="s">
        <v>93</v>
      </c>
      <c r="L4" s="18" t="s">
        <v>72</v>
      </c>
      <c r="M4" s="20">
        <v>1235550134</v>
      </c>
      <c r="N4" s="20">
        <v>2345550134</v>
      </c>
      <c r="O4" s="13" t="s">
        <v>100</v>
      </c>
      <c r="P4" s="13" t="s">
        <v>57</v>
      </c>
      <c r="Q4" s="20">
        <v>7895550189</v>
      </c>
      <c r="R4" s="20">
        <v>7895550134</v>
      </c>
      <c r="S4" t="str">
        <f>ListăElevi[[#This Row],[Prenume elev]]&amp;" " &amp;ListăElevi[[#This Row],[Nume elev]]</f>
        <v>David Alexander</v>
      </c>
    </row>
    <row r="5" spans="1:19" ht="15.75" customHeight="1" x14ac:dyDescent="0.25">
      <c r="B5" s="13" t="s">
        <v>94</v>
      </c>
      <c r="C5" t="s">
        <v>35</v>
      </c>
      <c r="D5" s="13">
        <v>2</v>
      </c>
      <c r="E5" s="16"/>
      <c r="F5" s="17"/>
      <c r="G5" s="13"/>
      <c r="H5" s="13"/>
      <c r="I5" s="20"/>
      <c r="J5" s="20"/>
      <c r="K5" s="18"/>
      <c r="L5" s="18"/>
      <c r="M5" s="20"/>
      <c r="N5" s="20"/>
      <c r="O5" s="13"/>
      <c r="P5" s="13"/>
      <c r="Q5" s="20"/>
      <c r="R5" s="20"/>
      <c r="S5" t="str">
        <f>ListăElevi[[#This Row],[Prenume elev]]&amp;" " &amp;ListăElevi[[#This Row],[Nume elev]]</f>
        <v>Elev 2</v>
      </c>
    </row>
    <row r="6" spans="1:19" ht="15.75" customHeight="1" x14ac:dyDescent="0.25">
      <c r="B6" s="13" t="s">
        <v>95</v>
      </c>
      <c r="C6" t="s">
        <v>35</v>
      </c>
      <c r="D6" s="13">
        <v>3</v>
      </c>
      <c r="E6" s="16"/>
      <c r="F6" s="17"/>
      <c r="G6" s="13"/>
      <c r="H6" s="13"/>
      <c r="I6" s="20"/>
      <c r="J6" s="20"/>
      <c r="K6" s="18"/>
      <c r="L6" s="18"/>
      <c r="M6" s="20"/>
      <c r="N6" s="20"/>
      <c r="O6" s="13"/>
      <c r="P6" s="13"/>
      <c r="Q6" s="20"/>
      <c r="R6" s="20"/>
      <c r="S6" t="str">
        <f>ListăElevi[[#This Row],[Prenume elev]]&amp;" " &amp;ListăElevi[[#This Row],[Nume elev]]</f>
        <v>Elev 3</v>
      </c>
    </row>
    <row r="7" spans="1:19" ht="15.75" customHeight="1" x14ac:dyDescent="0.25">
      <c r="B7" s="13" t="s">
        <v>96</v>
      </c>
      <c r="C7" t="s">
        <v>35</v>
      </c>
      <c r="D7" s="13">
        <v>4</v>
      </c>
      <c r="E7" s="16"/>
      <c r="F7" s="17"/>
      <c r="G7" s="13"/>
      <c r="H7" s="13"/>
      <c r="I7" s="20"/>
      <c r="J7" s="20"/>
      <c r="K7" s="18"/>
      <c r="L7" s="18"/>
      <c r="M7" s="20"/>
      <c r="N7" s="20"/>
      <c r="O7" s="13"/>
      <c r="P7" s="13"/>
      <c r="Q7" s="20"/>
      <c r="R7" s="20"/>
      <c r="S7" t="str">
        <f>ListăElevi[[#This Row],[Prenume elev]]&amp;" " &amp;ListăElevi[[#This Row],[Nume elev]]</f>
        <v>Elev 4</v>
      </c>
    </row>
    <row r="8" spans="1:19" ht="15.75" customHeight="1" x14ac:dyDescent="0.25">
      <c r="B8" s="13" t="s">
        <v>97</v>
      </c>
      <c r="C8" t="s">
        <v>35</v>
      </c>
      <c r="D8" s="13">
        <v>5</v>
      </c>
      <c r="E8" s="16"/>
      <c r="F8" s="17"/>
      <c r="G8" s="13"/>
      <c r="H8" s="13"/>
      <c r="I8" s="20"/>
      <c r="J8" s="20"/>
      <c r="K8" s="18"/>
      <c r="L8" s="18"/>
      <c r="M8" s="20"/>
      <c r="N8" s="20"/>
      <c r="O8" s="13"/>
      <c r="P8" s="13"/>
      <c r="Q8" s="20"/>
      <c r="R8" s="20"/>
      <c r="S8" s="14" t="str">
        <f>ListăElevi[[#This Row],[Prenume elev]]&amp;" " &amp;ListăElevi[[#This Row],[Nume elev]]</f>
        <v>Elev 5</v>
      </c>
    </row>
    <row r="9" spans="1:19" ht="15.75" customHeight="1" x14ac:dyDescent="0.25"/>
    <row r="10" spans="1:19" ht="15.75" customHeight="1" x14ac:dyDescent="0.25"/>
    <row r="11" spans="1:19" ht="15.75" customHeight="1" x14ac:dyDescent="0.25"/>
    <row r="12" spans="1:19" ht="15.75" customHeight="1" x14ac:dyDescent="0.25"/>
    <row r="13" spans="1:19" ht="15.75" customHeight="1" x14ac:dyDescent="0.25"/>
    <row r="14" spans="1:19" ht="15.75" customHeight="1" x14ac:dyDescent="0.25"/>
    <row r="15" spans="1:19" ht="15.75" customHeight="1" x14ac:dyDescent="0.25"/>
    <row r="16" spans="1:19"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sheetData>
  <pageMargins left="0.25" right="0.25" top="0.75" bottom="0.75" header="0.3" footer="0.3"/>
  <pageSetup paperSize="9" scale="85" fitToWidth="0" fitToHeight="0" orientation="landscape"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4" tint="-0.499984740745262"/>
    <pageSetUpPr fitToPage="1"/>
  </sheetPr>
  <dimension ref="A1:AN346"/>
  <sheetViews>
    <sheetView showGridLines="0" zoomScaleNormal="100" workbookViewId="0">
      <pane xSplit="3" ySplit="6" topLeftCell="D7" activePane="bottomRight" state="frozen"/>
      <selection pane="topRight"/>
      <selection pane="bottomLeft"/>
      <selection pane="bottomRight"/>
    </sheetView>
  </sheetViews>
  <sheetFormatPr defaultRowHeight="15" customHeight="1" x14ac:dyDescent="0.25"/>
  <cols>
    <col min="1" max="1" width="2.7109375" style="11" customWidth="1"/>
    <col min="2" max="2" width="10.85546875" style="11" customWidth="1"/>
    <col min="3" max="3" width="32.140625" style="12" bestFit="1" customWidth="1"/>
    <col min="4" max="34" width="5" style="10" customWidth="1"/>
    <col min="35" max="35" width="4.7109375" style="9" customWidth="1"/>
    <col min="36" max="36" width="4.7109375" style="10" customWidth="1"/>
    <col min="37" max="38" width="4.7109375" style="11" customWidth="1"/>
    <col min="39" max="39" width="15.140625" style="11" bestFit="1" customWidth="1"/>
    <col min="40" max="16384" width="9.140625" style="11"/>
  </cols>
  <sheetData>
    <row r="1" spans="1:40" s="1" customFormat="1" ht="42" customHeight="1" x14ac:dyDescent="0.25">
      <c r="A1" s="137" t="s">
        <v>88</v>
      </c>
      <c r="B1" s="38"/>
      <c r="C1" s="38"/>
      <c r="D1" s="39"/>
      <c r="E1" s="39"/>
      <c r="F1" s="39"/>
      <c r="G1" s="39"/>
      <c r="H1" s="39"/>
      <c r="I1" s="39"/>
      <c r="J1" s="39"/>
      <c r="K1" s="39"/>
      <c r="L1" s="39"/>
      <c r="M1" s="39"/>
      <c r="N1" s="39"/>
      <c r="O1" s="39"/>
      <c r="P1" s="39"/>
      <c r="Q1" s="39"/>
      <c r="R1" s="39"/>
      <c r="S1" s="39"/>
      <c r="T1" s="39"/>
      <c r="U1" s="39"/>
      <c r="V1" s="39"/>
      <c r="W1" s="39"/>
      <c r="X1" s="39"/>
      <c r="Y1" s="39"/>
      <c r="Z1" s="39"/>
      <c r="AA1" s="39"/>
      <c r="AB1" s="39"/>
      <c r="AC1" s="38"/>
      <c r="AD1" s="38"/>
      <c r="AE1" s="38"/>
      <c r="AF1" s="38"/>
      <c r="AG1" s="40"/>
      <c r="AH1" s="38"/>
      <c r="AI1" s="38"/>
      <c r="AJ1" s="41"/>
      <c r="AK1" s="38"/>
      <c r="AL1" s="138" t="s">
        <v>71</v>
      </c>
      <c r="AM1" s="57">
        <v>2012</v>
      </c>
    </row>
    <row r="2" spans="1:40" customFormat="1" ht="13.5" x14ac:dyDescent="0.25"/>
    <row r="3" spans="1:40" s="32" customFormat="1" ht="12.75" customHeight="1" x14ac:dyDescent="0.25">
      <c r="C3" s="44" t="s">
        <v>111</v>
      </c>
      <c r="D3" s="51" t="s">
        <v>37</v>
      </c>
      <c r="E3" s="67" t="s">
        <v>82</v>
      </c>
      <c r="F3" s="58"/>
      <c r="H3" s="52" t="s">
        <v>39</v>
      </c>
      <c r="I3" s="56" t="s">
        <v>83</v>
      </c>
      <c r="L3" s="53" t="s">
        <v>38</v>
      </c>
      <c r="M3" s="56" t="s">
        <v>84</v>
      </c>
      <c r="P3" s="54" t="s">
        <v>31</v>
      </c>
      <c r="Q3" s="56" t="s">
        <v>85</v>
      </c>
      <c r="T3" s="55" t="s">
        <v>129</v>
      </c>
      <c r="U3" s="56" t="s">
        <v>86</v>
      </c>
      <c r="W3"/>
      <c r="X3"/>
      <c r="Y3"/>
      <c r="AD3" s="31"/>
      <c r="AE3" s="31"/>
      <c r="AH3" s="33"/>
      <c r="AI3" s="34"/>
      <c r="AK3" s="35"/>
    </row>
    <row r="4" spans="1:40" customFormat="1" ht="16.5" customHeight="1" x14ac:dyDescent="0.25"/>
    <row r="5" spans="1:40" s="2" customFormat="1" ht="18" customHeight="1" x14ac:dyDescent="0.3">
      <c r="B5" s="60">
        <f>DATE(AnCalendar,8,1)</f>
        <v>41122</v>
      </c>
      <c r="C5" s="59"/>
      <c r="D5" s="42" t="str">
        <f>TEXT(WEEKDAY(DATE(AnCalendar,8,1),1),"aaa")</f>
        <v>Mi</v>
      </c>
      <c r="E5" s="42" t="str">
        <f>TEXT(WEEKDAY(DATE(AnCalendar,8,2),1),"aaa")</f>
        <v>J</v>
      </c>
      <c r="F5" s="42" t="str">
        <f>TEXT(WEEKDAY(DATE(AnCalendar,8,3),1),"aaa")</f>
        <v>V</v>
      </c>
      <c r="G5" s="42" t="str">
        <f>TEXT(WEEKDAY(DATE(AnCalendar,8,4),1),"aaa")</f>
        <v>S</v>
      </c>
      <c r="H5" s="42" t="str">
        <f>TEXT(WEEKDAY(DATE(AnCalendar,8,5),1),"aaa")</f>
        <v>D</v>
      </c>
      <c r="I5" s="42" t="str">
        <f>TEXT(WEEKDAY(DATE(AnCalendar,8,6),1),"aaa")</f>
        <v>L</v>
      </c>
      <c r="J5" s="42" t="str">
        <f>TEXT(WEEKDAY(DATE(AnCalendar,8,7),1),"aaa")</f>
        <v>Ma</v>
      </c>
      <c r="K5" s="42" t="str">
        <f>TEXT(WEEKDAY(DATE(AnCalendar,8,8),1),"aaa")</f>
        <v>Mi</v>
      </c>
      <c r="L5" s="42" t="str">
        <f>TEXT(WEEKDAY(DATE(AnCalendar,8,9),1),"aaa")</f>
        <v>J</v>
      </c>
      <c r="M5" s="42" t="str">
        <f>TEXT(WEEKDAY(DATE(AnCalendar,8,10),1),"aaa")</f>
        <v>V</v>
      </c>
      <c r="N5" s="42" t="str">
        <f>TEXT(WEEKDAY(DATE(AnCalendar,8,11),1),"aaa")</f>
        <v>S</v>
      </c>
      <c r="O5" s="42" t="str">
        <f>TEXT(WEEKDAY(DATE(AnCalendar,8,12),1),"aaa")</f>
        <v>D</v>
      </c>
      <c r="P5" s="42" t="str">
        <f>TEXT(WEEKDAY(DATE(AnCalendar,8,13),1),"aaa")</f>
        <v>L</v>
      </c>
      <c r="Q5" s="42" t="str">
        <f>TEXT(WEEKDAY(DATE(AnCalendar,8,14),1),"aaa")</f>
        <v>Ma</v>
      </c>
      <c r="R5" s="42" t="str">
        <f>TEXT(WEEKDAY(DATE(AnCalendar,8,15),1),"aaa")</f>
        <v>Mi</v>
      </c>
      <c r="S5" s="42" t="str">
        <f>TEXT(WEEKDAY(DATE(AnCalendar,8,16),1),"aaa")</f>
        <v>J</v>
      </c>
      <c r="T5" s="42" t="str">
        <f>TEXT(WEEKDAY(DATE(AnCalendar,8,17),1),"aaa")</f>
        <v>V</v>
      </c>
      <c r="U5" s="42" t="str">
        <f>TEXT(WEEKDAY(DATE(AnCalendar,8,18),1),"aaa")</f>
        <v>S</v>
      </c>
      <c r="V5" s="42" t="str">
        <f>TEXT(WEEKDAY(DATE(AnCalendar,8,19),1),"aaa")</f>
        <v>D</v>
      </c>
      <c r="W5" s="42" t="str">
        <f>TEXT(WEEKDAY(DATE(AnCalendar,8,20),1),"aaa")</f>
        <v>L</v>
      </c>
      <c r="X5" s="42" t="str">
        <f>TEXT(WEEKDAY(DATE(AnCalendar,8,21),1),"aaa")</f>
        <v>Ma</v>
      </c>
      <c r="Y5" s="42" t="str">
        <f>TEXT(WEEKDAY(DATE(AnCalendar,8,22),1),"aaa")</f>
        <v>Mi</v>
      </c>
      <c r="Z5" s="42" t="str">
        <f>TEXT(WEEKDAY(DATE(AnCalendar,8,23),1),"aaa")</f>
        <v>J</v>
      </c>
      <c r="AA5" s="42" t="str">
        <f>TEXT(WEEKDAY(DATE(AnCalendar,8,24),1),"aaa")</f>
        <v>V</v>
      </c>
      <c r="AB5" s="42" t="str">
        <f>TEXT(WEEKDAY(DATE(AnCalendar,8,25),1),"aaa")</f>
        <v>S</v>
      </c>
      <c r="AC5" s="42" t="str">
        <f>TEXT(WEEKDAY(DATE(AnCalendar,8,26),1),"aaa")</f>
        <v>D</v>
      </c>
      <c r="AD5" s="42" t="str">
        <f>TEXT(WEEKDAY(DATE(AnCalendar,8,27),1),"aaa")</f>
        <v>L</v>
      </c>
      <c r="AE5" s="42" t="str">
        <f>TEXT(WEEKDAY(DATE(AnCalendar,8,28),1),"aaa")</f>
        <v>Ma</v>
      </c>
      <c r="AF5" s="42" t="str">
        <f>TEXT(WEEKDAY(DATE(AnCalendar,8,29),1),"aaa")</f>
        <v>Mi</v>
      </c>
      <c r="AG5" s="42" t="str">
        <f>TEXT(WEEKDAY(DATE(AnCalendar,8,30),1),"aaa")</f>
        <v>J</v>
      </c>
      <c r="AH5" s="42" t="str">
        <f>TEXT(WEEKDAY(DATE(AnCalendar,8,31),1),"aaa")</f>
        <v>V</v>
      </c>
      <c r="AI5" s="113" t="s">
        <v>41</v>
      </c>
      <c r="AJ5" s="114"/>
      <c r="AK5" s="114"/>
      <c r="AL5" s="114"/>
      <c r="AM5" s="115"/>
    </row>
    <row r="6" spans="1:40" s="5" customFormat="1" ht="14.25" customHeight="1" x14ac:dyDescent="0.25">
      <c r="B6" s="45" t="s">
        <v>34</v>
      </c>
      <c r="C6" s="46" t="s">
        <v>36</v>
      </c>
      <c r="D6" s="3" t="s">
        <v>0</v>
      </c>
      <c r="E6" s="3" t="s">
        <v>1</v>
      </c>
      <c r="F6" s="3" t="s">
        <v>2</v>
      </c>
      <c r="G6" s="3" t="s">
        <v>3</v>
      </c>
      <c r="H6" s="3" t="s">
        <v>4</v>
      </c>
      <c r="I6" s="3" t="s">
        <v>5</v>
      </c>
      <c r="J6" s="3" t="s">
        <v>6</v>
      </c>
      <c r="K6" s="3" t="s">
        <v>7</v>
      </c>
      <c r="L6" s="3" t="s">
        <v>8</v>
      </c>
      <c r="M6" s="3" t="s">
        <v>9</v>
      </c>
      <c r="N6" s="3" t="s">
        <v>10</v>
      </c>
      <c r="O6" s="3" t="s">
        <v>11</v>
      </c>
      <c r="P6" s="3" t="s">
        <v>12</v>
      </c>
      <c r="Q6" s="3" t="s">
        <v>13</v>
      </c>
      <c r="R6" s="3" t="s">
        <v>14</v>
      </c>
      <c r="S6" s="3" t="s">
        <v>15</v>
      </c>
      <c r="T6" s="3" t="s">
        <v>16</v>
      </c>
      <c r="U6" s="3" t="s">
        <v>17</v>
      </c>
      <c r="V6" s="3" t="s">
        <v>18</v>
      </c>
      <c r="W6" s="3" t="s">
        <v>19</v>
      </c>
      <c r="X6" s="3" t="s">
        <v>20</v>
      </c>
      <c r="Y6" s="3" t="s">
        <v>21</v>
      </c>
      <c r="Z6" s="3" t="s">
        <v>22</v>
      </c>
      <c r="AA6" s="3" t="s">
        <v>23</v>
      </c>
      <c r="AB6" s="3" t="s">
        <v>24</v>
      </c>
      <c r="AC6" s="3" t="s">
        <v>25</v>
      </c>
      <c r="AD6" s="3" t="s">
        <v>26</v>
      </c>
      <c r="AE6" s="3" t="s">
        <v>27</v>
      </c>
      <c r="AF6" s="3" t="s">
        <v>28</v>
      </c>
      <c r="AG6" s="3" t="s">
        <v>29</v>
      </c>
      <c r="AH6" s="3" t="s">
        <v>30</v>
      </c>
      <c r="AI6" s="88" t="s">
        <v>37</v>
      </c>
      <c r="AJ6" s="52" t="s">
        <v>39</v>
      </c>
      <c r="AK6" s="53" t="s">
        <v>38</v>
      </c>
      <c r="AL6" s="68" t="s">
        <v>31</v>
      </c>
      <c r="AM6" s="50" t="s">
        <v>40</v>
      </c>
      <c r="AN6" s="4"/>
    </row>
    <row r="7" spans="1:40" s="5" customFormat="1" ht="16.5" customHeight="1" x14ac:dyDescent="0.25">
      <c r="B7" s="47" t="s">
        <v>91</v>
      </c>
      <c r="C7" t="str">
        <f>IFERROR(VLOOKUP(PrezențăAugust[[#This Row],[ID elev]],ListăElevi[],18,FALSE),"")</f>
        <v>David Alexander</v>
      </c>
      <c r="D7" s="24" t="s">
        <v>31</v>
      </c>
      <c r="E7" s="24" t="s">
        <v>31</v>
      </c>
      <c r="F7" s="24" t="s">
        <v>37</v>
      </c>
      <c r="G7" s="24" t="s">
        <v>37</v>
      </c>
      <c r="H7" s="24" t="s">
        <v>31</v>
      </c>
      <c r="I7" s="24" t="s">
        <v>129</v>
      </c>
      <c r="J7" s="24" t="s">
        <v>129</v>
      </c>
      <c r="K7" s="24" t="s">
        <v>31</v>
      </c>
      <c r="L7" s="24" t="s">
        <v>31</v>
      </c>
      <c r="M7" s="24" t="s">
        <v>39</v>
      </c>
      <c r="N7" s="24" t="s">
        <v>31</v>
      </c>
      <c r="O7" s="24" t="s">
        <v>31</v>
      </c>
      <c r="P7" s="24" t="s">
        <v>129</v>
      </c>
      <c r="Q7" s="24" t="s">
        <v>129</v>
      </c>
      <c r="R7" s="24" t="s">
        <v>31</v>
      </c>
      <c r="S7" s="24" t="s">
        <v>31</v>
      </c>
      <c r="T7" s="24" t="s">
        <v>31</v>
      </c>
      <c r="U7" s="24" t="s">
        <v>31</v>
      </c>
      <c r="V7" s="24" t="s">
        <v>31</v>
      </c>
      <c r="W7" s="24" t="s">
        <v>129</v>
      </c>
      <c r="X7" s="24" t="s">
        <v>129</v>
      </c>
      <c r="Y7" s="24" t="s">
        <v>31</v>
      </c>
      <c r="Z7" s="24" t="s">
        <v>31</v>
      </c>
      <c r="AA7" s="24" t="s">
        <v>31</v>
      </c>
      <c r="AB7" s="24" t="s">
        <v>31</v>
      </c>
      <c r="AC7" s="24" t="s">
        <v>31</v>
      </c>
      <c r="AD7" s="24" t="s">
        <v>129</v>
      </c>
      <c r="AE7" s="24" t="s">
        <v>129</v>
      </c>
      <c r="AF7" s="24" t="s">
        <v>31</v>
      </c>
      <c r="AG7" s="24" t="s">
        <v>31</v>
      </c>
      <c r="AH7" s="24" t="s">
        <v>31</v>
      </c>
      <c r="AI7" s="6">
        <f>COUNTIF(PrezențăAugust[[#This Row],[1]:[31]],Cod_1)</f>
        <v>2</v>
      </c>
      <c r="AJ7" s="49">
        <f>COUNTIF(PrezențăAugust[[#This Row],[1]:[31]],Cod_2)</f>
        <v>1</v>
      </c>
      <c r="AK7" s="49">
        <f>COUNTIF(PrezențăAugust[[#This Row],[1]:[31]],Cod_3)</f>
        <v>0</v>
      </c>
      <c r="AL7" s="49">
        <f>COUNTIF(PrezențăAugust[[#This Row],[1]:[31]],Cod_4)</f>
        <v>20</v>
      </c>
      <c r="AM7" s="6">
        <f>SUM(PrezențăAugust[[#This Row],[M]:[N]])</f>
        <v>1</v>
      </c>
      <c r="AN7" s="4"/>
    </row>
    <row r="8" spans="1:40" s="5" customFormat="1" ht="16.5" customHeight="1" x14ac:dyDescent="0.25">
      <c r="B8" s="47" t="s">
        <v>94</v>
      </c>
      <c r="C8" t="str">
        <f>IFERROR(VLOOKUP(PrezențăAugust[[#This Row],[ID elev]],ListăElevi[],18,FALSE),"")</f>
        <v>Elev 2</v>
      </c>
      <c r="D8" s="24" t="s">
        <v>31</v>
      </c>
      <c r="E8" s="24" t="s">
        <v>38</v>
      </c>
      <c r="F8" s="24" t="s">
        <v>31</v>
      </c>
      <c r="G8" s="24" t="s">
        <v>31</v>
      </c>
      <c r="H8" s="24" t="s">
        <v>31</v>
      </c>
      <c r="I8" s="24" t="s">
        <v>129</v>
      </c>
      <c r="J8" s="24" t="s">
        <v>129</v>
      </c>
      <c r="K8" s="24" t="s">
        <v>31</v>
      </c>
      <c r="L8" s="24" t="s">
        <v>39</v>
      </c>
      <c r="M8" s="24" t="s">
        <v>39</v>
      </c>
      <c r="N8" s="24" t="s">
        <v>39</v>
      </c>
      <c r="O8" s="24" t="s">
        <v>39</v>
      </c>
      <c r="P8" s="24" t="s">
        <v>129</v>
      </c>
      <c r="Q8" s="24" t="s">
        <v>129</v>
      </c>
      <c r="R8" s="24" t="s">
        <v>31</v>
      </c>
      <c r="S8" s="24" t="s">
        <v>31</v>
      </c>
      <c r="T8" s="24" t="s">
        <v>31</v>
      </c>
      <c r="U8" s="24" t="s">
        <v>31</v>
      </c>
      <c r="V8" s="24" t="s">
        <v>31</v>
      </c>
      <c r="W8" s="24" t="s">
        <v>129</v>
      </c>
      <c r="X8" s="24" t="s">
        <v>129</v>
      </c>
      <c r="Y8" s="24" t="s">
        <v>31</v>
      </c>
      <c r="Z8" s="24" t="s">
        <v>31</v>
      </c>
      <c r="AA8" s="24" t="s">
        <v>31</v>
      </c>
      <c r="AB8" s="24" t="s">
        <v>37</v>
      </c>
      <c r="AC8" s="24" t="s">
        <v>37</v>
      </c>
      <c r="AD8" s="24" t="s">
        <v>129</v>
      </c>
      <c r="AE8" s="24" t="s">
        <v>129</v>
      </c>
      <c r="AF8" s="24" t="s">
        <v>31</v>
      </c>
      <c r="AG8" s="24" t="s">
        <v>31</v>
      </c>
      <c r="AH8" s="24" t="s">
        <v>31</v>
      </c>
      <c r="AI8" s="6">
        <f>COUNTIF(PrezențăAugust[[#This Row],[1]:[31]],Cod_1)</f>
        <v>2</v>
      </c>
      <c r="AJ8" s="49">
        <f>COUNTIF(PrezențăAugust[[#This Row],[1]:[31]],Cod_2)</f>
        <v>4</v>
      </c>
      <c r="AK8" s="49">
        <f>COUNTIF(PrezențăAugust[[#This Row],[1]:[31]],Cod_3)</f>
        <v>1</v>
      </c>
      <c r="AL8" s="49">
        <f>COUNTIF(PrezențăAugust[[#This Row],[1]:[31]],Cod_4)</f>
        <v>16</v>
      </c>
      <c r="AM8" s="6">
        <f>SUM(PrezențăAugust[[#This Row],[M]:[N]])</f>
        <v>5</v>
      </c>
      <c r="AN8" s="4"/>
    </row>
    <row r="9" spans="1:40" s="8" customFormat="1" ht="16.5" customHeight="1" x14ac:dyDescent="0.25">
      <c r="B9" s="47" t="s">
        <v>95</v>
      </c>
      <c r="C9" t="str">
        <f>IFERROR(VLOOKUP(PrezențăAugust[[#This Row],[ID elev]],ListăElevi[],18,FALSE),"")</f>
        <v>Elev 3</v>
      </c>
      <c r="D9" s="24" t="s">
        <v>31</v>
      </c>
      <c r="E9" s="24" t="s">
        <v>39</v>
      </c>
      <c r="F9" s="24" t="s">
        <v>31</v>
      </c>
      <c r="G9" s="24" t="s">
        <v>31</v>
      </c>
      <c r="H9" s="24" t="s">
        <v>31</v>
      </c>
      <c r="I9" s="24" t="s">
        <v>129</v>
      </c>
      <c r="J9" s="24" t="s">
        <v>129</v>
      </c>
      <c r="K9" s="24" t="s">
        <v>31</v>
      </c>
      <c r="L9" s="24" t="s">
        <v>31</v>
      </c>
      <c r="M9" s="24" t="s">
        <v>38</v>
      </c>
      <c r="N9" s="24" t="s">
        <v>31</v>
      </c>
      <c r="O9" s="24" t="s">
        <v>31</v>
      </c>
      <c r="P9" s="24" t="s">
        <v>129</v>
      </c>
      <c r="Q9" s="24" t="s">
        <v>129</v>
      </c>
      <c r="R9" s="24" t="s">
        <v>31</v>
      </c>
      <c r="S9" s="24" t="s">
        <v>31</v>
      </c>
      <c r="T9" s="24" t="s">
        <v>31</v>
      </c>
      <c r="U9" s="24" t="s">
        <v>31</v>
      </c>
      <c r="V9" s="24" t="s">
        <v>31</v>
      </c>
      <c r="W9" s="24" t="s">
        <v>129</v>
      </c>
      <c r="X9" s="24" t="s">
        <v>129</v>
      </c>
      <c r="Y9" s="24" t="s">
        <v>31</v>
      </c>
      <c r="Z9" s="24" t="s">
        <v>31</v>
      </c>
      <c r="AA9" s="24" t="s">
        <v>39</v>
      </c>
      <c r="AB9" s="24" t="s">
        <v>39</v>
      </c>
      <c r="AC9" s="24" t="s">
        <v>31</v>
      </c>
      <c r="AD9" s="24" t="s">
        <v>129</v>
      </c>
      <c r="AE9" s="24" t="s">
        <v>129</v>
      </c>
      <c r="AF9" s="24" t="s">
        <v>31</v>
      </c>
      <c r="AG9" s="24" t="s">
        <v>31</v>
      </c>
      <c r="AH9" s="24" t="s">
        <v>31</v>
      </c>
      <c r="AI9" s="6">
        <f>COUNTIF(PrezențăAugust[[#This Row],[1]:[31]],Cod_1)</f>
        <v>0</v>
      </c>
      <c r="AJ9" s="49">
        <f>COUNTIF(PrezențăAugust[[#This Row],[1]:[31]],Cod_2)</f>
        <v>3</v>
      </c>
      <c r="AK9" s="49">
        <f>COUNTIF(PrezențăAugust[[#This Row],[1]:[31]],Cod_3)</f>
        <v>1</v>
      </c>
      <c r="AL9" s="49">
        <f>COUNTIF(PrezențăAugust[[#This Row],[1]:[31]],Cod_4)</f>
        <v>19</v>
      </c>
      <c r="AM9" s="6">
        <f>SUM(PrezențăAugust[[#This Row],[M]:[N]])</f>
        <v>4</v>
      </c>
      <c r="AN9" s="7"/>
    </row>
    <row r="10" spans="1:40" ht="16.5" customHeight="1" x14ac:dyDescent="0.25">
      <c r="B10" s="47" t="s">
        <v>96</v>
      </c>
      <c r="C10" t="str">
        <f>IFERROR(VLOOKUP(PrezențăAugust[[#This Row],[ID elev]],ListăElevi[],18,FALSE),"")</f>
        <v>Elev 4</v>
      </c>
      <c r="D10" s="24" t="s">
        <v>31</v>
      </c>
      <c r="E10" s="24" t="s">
        <v>31</v>
      </c>
      <c r="F10" s="24" t="s">
        <v>31</v>
      </c>
      <c r="G10" s="24" t="s">
        <v>31</v>
      </c>
      <c r="H10" s="24" t="s">
        <v>31</v>
      </c>
      <c r="I10" s="24" t="s">
        <v>129</v>
      </c>
      <c r="J10" s="24" t="s">
        <v>129</v>
      </c>
      <c r="K10" s="24" t="s">
        <v>31</v>
      </c>
      <c r="L10" s="24" t="s">
        <v>31</v>
      </c>
      <c r="M10" s="24" t="s">
        <v>31</v>
      </c>
      <c r="N10" s="24" t="s">
        <v>31</v>
      </c>
      <c r="O10" s="24" t="s">
        <v>31</v>
      </c>
      <c r="P10" s="24" t="s">
        <v>129</v>
      </c>
      <c r="Q10" s="24" t="s">
        <v>129</v>
      </c>
      <c r="R10" s="24" t="s">
        <v>31</v>
      </c>
      <c r="S10" s="24" t="s">
        <v>31</v>
      </c>
      <c r="T10" s="24" t="s">
        <v>31</v>
      </c>
      <c r="U10" s="24" t="s">
        <v>31</v>
      </c>
      <c r="V10" s="24" t="s">
        <v>31</v>
      </c>
      <c r="W10" s="24" t="s">
        <v>129</v>
      </c>
      <c r="X10" s="24" t="s">
        <v>129</v>
      </c>
      <c r="Y10" s="24" t="s">
        <v>31</v>
      </c>
      <c r="Z10" s="24" t="s">
        <v>38</v>
      </c>
      <c r="AA10" s="24" t="s">
        <v>31</v>
      </c>
      <c r="AB10" s="24" t="s">
        <v>31</v>
      </c>
      <c r="AC10" s="24" t="s">
        <v>39</v>
      </c>
      <c r="AD10" s="24" t="s">
        <v>129</v>
      </c>
      <c r="AE10" s="24" t="s">
        <v>129</v>
      </c>
      <c r="AF10" s="24" t="s">
        <v>31</v>
      </c>
      <c r="AG10" s="24" t="s">
        <v>39</v>
      </c>
      <c r="AH10" s="24" t="s">
        <v>31</v>
      </c>
      <c r="AI10" s="6">
        <f>COUNTIF(PrezențăAugust[[#This Row],[1]:[31]],Cod_1)</f>
        <v>0</v>
      </c>
      <c r="AJ10" s="49">
        <f>COUNTIF(PrezențăAugust[[#This Row],[1]:[31]],Cod_2)</f>
        <v>2</v>
      </c>
      <c r="AK10" s="49">
        <f>COUNTIF(PrezențăAugust[[#This Row],[1]:[31]],Cod_3)</f>
        <v>1</v>
      </c>
      <c r="AL10" s="49">
        <f>COUNTIF(PrezențăAugust[[#This Row],[1]:[31]],Cod_4)</f>
        <v>20</v>
      </c>
      <c r="AM10" s="6">
        <f>SUM(PrezențăAugust[[#This Row],[M]:[N]])</f>
        <v>3</v>
      </c>
      <c r="AN10" s="10"/>
    </row>
    <row r="11" spans="1:40" ht="16.5" customHeight="1" x14ac:dyDescent="0.25">
      <c r="B11" s="47" t="s">
        <v>97</v>
      </c>
      <c r="C11" t="str">
        <f>IFERROR(VLOOKUP(PrezențăAugust[[#This Row],[ID elev]],ListăElevi[],18,FALSE),"")</f>
        <v>Elev 5</v>
      </c>
      <c r="D11" s="24" t="s">
        <v>31</v>
      </c>
      <c r="E11" s="24" t="s">
        <v>31</v>
      </c>
      <c r="F11" s="24" t="s">
        <v>31</v>
      </c>
      <c r="G11" s="24" t="s">
        <v>31</v>
      </c>
      <c r="H11" s="24" t="s">
        <v>31</v>
      </c>
      <c r="I11" s="24" t="s">
        <v>129</v>
      </c>
      <c r="J11" s="24" t="s">
        <v>129</v>
      </c>
      <c r="K11" s="24" t="s">
        <v>31</v>
      </c>
      <c r="L11" s="24" t="s">
        <v>31</v>
      </c>
      <c r="M11" s="24" t="s">
        <v>31</v>
      </c>
      <c r="N11" s="24" t="s">
        <v>31</v>
      </c>
      <c r="O11" s="24" t="s">
        <v>31</v>
      </c>
      <c r="P11" s="24" t="s">
        <v>129</v>
      </c>
      <c r="Q11" s="24" t="s">
        <v>129</v>
      </c>
      <c r="R11" s="24" t="s">
        <v>31</v>
      </c>
      <c r="S11" s="24" t="s">
        <v>31</v>
      </c>
      <c r="T11" s="24" t="s">
        <v>31</v>
      </c>
      <c r="U11" s="24" t="s">
        <v>31</v>
      </c>
      <c r="V11" s="24" t="s">
        <v>31</v>
      </c>
      <c r="W11" s="24" t="s">
        <v>129</v>
      </c>
      <c r="X11" s="24" t="s">
        <v>129</v>
      </c>
      <c r="Y11" s="24" t="s">
        <v>31</v>
      </c>
      <c r="Z11" s="24" t="s">
        <v>31</v>
      </c>
      <c r="AA11" s="24" t="s">
        <v>31</v>
      </c>
      <c r="AB11" s="24" t="s">
        <v>31</v>
      </c>
      <c r="AC11" s="24" t="s">
        <v>31</v>
      </c>
      <c r="AD11" s="24" t="s">
        <v>129</v>
      </c>
      <c r="AE11" s="24" t="s">
        <v>129</v>
      </c>
      <c r="AF11" s="24" t="s">
        <v>31</v>
      </c>
      <c r="AG11" s="24" t="s">
        <v>31</v>
      </c>
      <c r="AH11" s="24" t="s">
        <v>31</v>
      </c>
      <c r="AI11" s="6">
        <f>COUNTIF(PrezențăAugust[[#This Row],[1]:[31]],Cod_1)</f>
        <v>0</v>
      </c>
      <c r="AJ11" s="49">
        <f>COUNTIF(PrezențăAugust[[#This Row],[1]:[31]],Cod_2)</f>
        <v>0</v>
      </c>
      <c r="AK11" s="49">
        <f>COUNTIF(PrezențăAugust[[#This Row],[1]:[31]],Cod_3)</f>
        <v>0</v>
      </c>
      <c r="AL11" s="49">
        <f>COUNTIF(PrezențăAugust[[#This Row],[1]:[31]],Cod_4)</f>
        <v>23</v>
      </c>
      <c r="AM11" s="6">
        <f>SUM(PrezențăAugust[[#This Row],[M]:[N]])</f>
        <v>0</v>
      </c>
      <c r="AN11" s="10"/>
    </row>
    <row r="12" spans="1:40" ht="16.5" customHeight="1" x14ac:dyDescent="0.25">
      <c r="B12" s="140"/>
      <c r="C12" s="141" t="s">
        <v>119</v>
      </c>
      <c r="D12" s="142">
        <f>COUNTIF(PrezențăAugust[1],"N")+COUNTIF(PrezențăAugust[1],"M")</f>
        <v>0</v>
      </c>
      <c r="E12" s="142">
        <f>COUNTIF(PrezențăAugust[2],"N")+COUNTIF(PrezențăAugust[2],"M")</f>
        <v>2</v>
      </c>
      <c r="F12" s="142">
        <f>COUNTIF(PrezențăAugust[3],"N")+COUNTIF(PrezențăAugust[3],"M")</f>
        <v>0</v>
      </c>
      <c r="G12" s="142">
        <f>COUNTIF(PrezențăAugust[4],"N")+COUNTIF(PrezențăAugust[4],"M")</f>
        <v>0</v>
      </c>
      <c r="H12" s="142">
        <f>COUNTIF(PrezențăAugust[5],"N")+COUNTIF(PrezențăAugust[5],"M")</f>
        <v>0</v>
      </c>
      <c r="I12" s="142">
        <f>COUNTIF(PrezențăAugust[6],"N")+COUNTIF(PrezențăAugust[6],"M")</f>
        <v>0</v>
      </c>
      <c r="J12" s="142">
        <f>COUNTIF(PrezențăAugust[7],"N")+COUNTIF(PrezențăAugust[7],"M")</f>
        <v>0</v>
      </c>
      <c r="K12" s="142">
        <f>COUNTIF(PrezențăAugust[8],"N")+COUNTIF(PrezențăAugust[8],"M")</f>
        <v>0</v>
      </c>
      <c r="L12" s="142">
        <f>COUNTIF(PrezențăAugust[9],"N")+COUNTIF(PrezențăAugust[9],"M")</f>
        <v>1</v>
      </c>
      <c r="M12" s="142">
        <f>COUNTIF(PrezențăAugust[10],"N")+COUNTIF(PrezențăAugust[10],"M")</f>
        <v>3</v>
      </c>
      <c r="N12" s="142">
        <f>COUNTIF(PrezențăAugust[11],"N")+COUNTIF(PrezențăAugust[11],"M")</f>
        <v>1</v>
      </c>
      <c r="O12" s="142">
        <f>COUNTIF(PrezențăAugust[12],"N")+COUNTIF(PrezențăAugust[12],"M")</f>
        <v>1</v>
      </c>
      <c r="P12" s="142">
        <f>COUNTIF(PrezențăAugust[13],"N")+COUNTIF(PrezențăAugust[13],"M")</f>
        <v>0</v>
      </c>
      <c r="Q12" s="142">
        <f>COUNTIF(PrezențăAugust[14],"N")+COUNTIF(PrezențăAugust[14],"M")</f>
        <v>0</v>
      </c>
      <c r="R12" s="142">
        <f>COUNTIF(PrezențăAugust[15],"N")+COUNTIF(PrezențăAugust[15],"M")</f>
        <v>0</v>
      </c>
      <c r="S12" s="142">
        <f>COUNTIF(PrezențăAugust[16],"N")+COUNTIF(PrezențăAugust[16],"M")</f>
        <v>0</v>
      </c>
      <c r="T12" s="142">
        <f>COUNTIF(PrezențăAugust[17],"N")+COUNTIF(PrezențăAugust[17],"M")</f>
        <v>0</v>
      </c>
      <c r="U12" s="142">
        <f>COUNTIF(PrezențăAugust[18],"N")+COUNTIF(PrezențăAugust[18],"M")</f>
        <v>0</v>
      </c>
      <c r="V12" s="142">
        <f>COUNTIF(PrezențăAugust[19],"N")+COUNTIF(PrezențăAugust[19],"M")</f>
        <v>0</v>
      </c>
      <c r="W12" s="142">
        <f>COUNTIF(PrezențăAugust[20],"N")+COUNTIF(PrezențăAugust[20],"M")</f>
        <v>0</v>
      </c>
      <c r="X12" s="142">
        <f>COUNTIF(PrezențăAugust[21],"N")+COUNTIF(PrezențăAugust[21],"M")</f>
        <v>0</v>
      </c>
      <c r="Y12" s="142">
        <f>COUNTIF(PrezențăAugust[22],"N")+COUNTIF(PrezențăAugust[22],"M")</f>
        <v>0</v>
      </c>
      <c r="Z12" s="142">
        <f>COUNTIF(PrezențăAugust[23],"N")+COUNTIF(PrezențăAugust[23],"M")</f>
        <v>1</v>
      </c>
      <c r="AA12" s="142">
        <f>COUNTIF(PrezențăAugust[24],"N")+COUNTIF(PrezențăAugust[24],"M")</f>
        <v>1</v>
      </c>
      <c r="AB12" s="142">
        <f>COUNTIF(PrezențăAugust[25],"N")+COUNTIF(PrezențăAugust[25],"M")</f>
        <v>1</v>
      </c>
      <c r="AC12" s="142">
        <f>COUNTIF(PrezențăAugust[26],"N")+COUNTIF(PrezențăAugust[26],"M")</f>
        <v>1</v>
      </c>
      <c r="AD12" s="142">
        <f>COUNTIF(PrezențăAugust[27],"N")+COUNTIF(PrezențăAugust[27],"M")</f>
        <v>0</v>
      </c>
      <c r="AE12" s="142">
        <f>COUNTIF(PrezențăAugust[28],"N")+COUNTIF(PrezențăAugust[28],"M")</f>
        <v>0</v>
      </c>
      <c r="AF12" s="142">
        <f>COUNTIF(PrezențăAugust[29],"N")+COUNTIF(PrezențăAugust[29],"M")</f>
        <v>0</v>
      </c>
      <c r="AG12" s="142">
        <f>COUNTIF(PrezențăAugust[30],"N")+COUNTIF(PrezențăAugust[30],"M")</f>
        <v>1</v>
      </c>
      <c r="AH12" s="142">
        <f>COUNTIF(PrezențăAugust[31],"N")+COUNTIF(PrezențăAugust[31],"M")</f>
        <v>0</v>
      </c>
      <c r="AI12" s="142">
        <f>SUBTOTAL(109,PrezențăAugust[Î])</f>
        <v>4</v>
      </c>
      <c r="AJ12" s="142">
        <f>SUBTOTAL(109,PrezențăAugust[M])</f>
        <v>10</v>
      </c>
      <c r="AK12" s="142">
        <f>SUBTOTAL(109,PrezențăAugust[P])</f>
        <v>98</v>
      </c>
      <c r="AL12" s="142">
        <f>SUBTOTAL(109,PrezențăAugust[P])</f>
        <v>98</v>
      </c>
      <c r="AM12" s="142">
        <f>SUBTOTAL(109,PrezențăAugust[Zile de absență])</f>
        <v>13</v>
      </c>
    </row>
    <row r="14" spans="1:40" ht="16.5" customHeight="1" x14ac:dyDescent="0.25"/>
    <row r="15" spans="1:40" ht="16.5" customHeight="1" x14ac:dyDescent="0.25"/>
    <row r="16" spans="1:40"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sheetData>
  <sheetProtection formatCells="0" formatColumns="0" formatRows="0" insertColumns="0" insertRows="0" insertHyperlinks="0" deleteColumns="0" deleteRows="0" sort="0" autoFilter="0" pivotTables="0"/>
  <mergeCells count="1">
    <mergeCell ref="AI5:AM5"/>
  </mergeCells>
  <conditionalFormatting sqref="D7:AI11">
    <cfRule type="expression" dxfId="969" priority="137" stopIfTrue="1">
      <formula>D7=Cod_2</formula>
    </cfRule>
  </conditionalFormatting>
  <conditionalFormatting sqref="D7:AH11">
    <cfRule type="expression" dxfId="968" priority="146" stopIfTrue="1">
      <formula>D7=Cod_5</formula>
    </cfRule>
    <cfRule type="expression" dxfId="967" priority="147" stopIfTrue="1">
      <formula>D7=Cod_4</formula>
    </cfRule>
    <cfRule type="expression" dxfId="966" priority="148" stopIfTrue="1">
      <formula>D7=Cod_3</formula>
    </cfRule>
    <cfRule type="expression" dxfId="965" priority="149" stopIfTrue="1">
      <formula>D7=Cod_1</formula>
    </cfRule>
  </conditionalFormatting>
  <conditionalFormatting sqref="AM7:AM11">
    <cfRule type="dataBar" priority="202">
      <dataBar>
        <cfvo type="min"/>
        <cfvo type="num" val="31"/>
        <color theme="4"/>
      </dataBar>
      <extLst>
        <ext xmlns:x14="http://schemas.microsoft.com/office/spreadsheetml/2009/9/main" uri="{B025F937-C7B1-47D3-B67F-A62EFF666E3E}">
          <x14:id>{ECCE2C3C-1B01-4700-B60E-DAAAB19A9C1A}</x14:id>
        </ext>
      </extLst>
    </cfRule>
  </conditionalFormatting>
  <dataValidations disablePrompts="1" count="1">
    <dataValidation type="list" errorStyle="warning" allowBlank="1" showInputMessage="1" showErrorMessage="1" errorTitle="Atenție!" error="ID-ul elev pe care l-ați introdus nu se află în foaia Listă elevi. Puteți să faceți clic pe Da pentru a utiliza ID-ul introdus, dar acel ID elev nu va fi disponibil pe foaia Raport prezență elev." sqref="B7:B11">
      <formula1>IDCursant</formula1>
    </dataValidation>
  </dataValidations>
  <printOptions horizontalCentered="1"/>
  <pageMargins left="0.5" right="0.5" top="0.75" bottom="0.75" header="0.3" footer="0.3"/>
  <pageSetup paperSize="9" scale="59" fitToHeight="0" orientation="landscape"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Incrementare/Decrementare 1">
              <controlPr defaultSize="0" print="0" autoPict="0" altText="Calendar Year Spinner. Click the spinner to change the school calendar year or type the year in cell AM.">
                <anchor moveWithCells="1" sizeWithCells="1">
                  <from>
                    <xdr:col>39</xdr:col>
                    <xdr:colOff>38100</xdr:colOff>
                    <xdr:row>0</xdr:row>
                    <xdr:rowOff>104775</xdr:rowOff>
                  </from>
                  <to>
                    <xdr:col>39</xdr:col>
                    <xdr:colOff>209550</xdr:colOff>
                    <xdr:row>0</xdr:row>
                    <xdr:rowOff>419100</xdr:rowOff>
                  </to>
                </anchor>
              </controlPr>
            </control>
          </mc:Choice>
        </mc:AlternateContent>
      </controls>
    </mc:Choice>
  </mc:AlternateContent>
  <tableParts count="1">
    <tablePart r:id="rId5"/>
  </tableParts>
  <extLst>
    <ext xmlns:x14="http://schemas.microsoft.com/office/spreadsheetml/2009/9/main" uri="{78C0D931-6437-407d-A8EE-F0AAD7539E65}">
      <x14:conditionalFormattings>
        <x14:conditionalFormatting xmlns:xm="http://schemas.microsoft.com/office/excel/2006/main">
          <x14:cfRule type="dataBar" id="{ECCE2C3C-1B01-4700-B60E-DAAAB19A9C1A}">
            <x14:dataBar minLength="0" maxLength="100" border="1" negativeBarBorderColorSameAsPositive="0">
              <x14:cfvo type="autoMin"/>
              <x14:cfvo type="num">
                <xm:f>31</xm:f>
              </x14:cfvo>
              <x14:borderColor theme="4"/>
              <x14:negativeFillColor rgb="FFFF0000"/>
              <x14:negativeBorderColor rgb="FFFF0000"/>
              <x14:axisColor rgb="FF000000"/>
            </x14:dataBar>
          </x14:cfRule>
          <xm:sqref>AM7:AM11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AN346"/>
  <sheetViews>
    <sheetView showGridLines="0" zoomScaleNormal="100" workbookViewId="0">
      <pane xSplit="3" ySplit="6" topLeftCell="D7" activePane="bottomRight" state="frozen"/>
      <selection pane="topRight"/>
      <selection pane="bottomLeft"/>
      <selection pane="bottomRight"/>
    </sheetView>
  </sheetViews>
  <sheetFormatPr defaultRowHeight="15" customHeight="1" x14ac:dyDescent="0.25"/>
  <cols>
    <col min="1" max="1" width="2.7109375" style="11" customWidth="1"/>
    <col min="2" max="2" width="10.85546875" style="11" customWidth="1"/>
    <col min="3" max="3" width="32" style="12" bestFit="1" customWidth="1"/>
    <col min="4" max="34" width="5" style="10" customWidth="1"/>
    <col min="35" max="35" width="4.7109375" style="9" customWidth="1"/>
    <col min="36" max="36" width="4.7109375" style="10" customWidth="1"/>
    <col min="37" max="38" width="4.7109375" style="11" customWidth="1"/>
    <col min="39" max="39" width="15.140625" style="11" bestFit="1" customWidth="1"/>
    <col min="40" max="16384" width="9.140625" style="11"/>
  </cols>
  <sheetData>
    <row r="1" spans="1:40" s="1" customFormat="1" ht="42" customHeight="1" x14ac:dyDescent="0.25">
      <c r="A1" s="139" t="s">
        <v>88</v>
      </c>
      <c r="B1" s="38"/>
      <c r="C1" s="38"/>
      <c r="D1" s="39"/>
      <c r="E1" s="39"/>
      <c r="F1" s="39"/>
      <c r="G1" s="39"/>
      <c r="H1" s="39"/>
      <c r="I1" s="39"/>
      <c r="J1" s="39"/>
      <c r="K1" s="39"/>
      <c r="L1" s="39"/>
      <c r="M1" s="39"/>
      <c r="N1" s="39"/>
      <c r="O1" s="39"/>
      <c r="P1" s="39"/>
      <c r="Q1" s="39"/>
      <c r="R1" s="39"/>
      <c r="S1" s="39"/>
      <c r="T1" s="39"/>
      <c r="U1" s="39"/>
      <c r="V1" s="39"/>
      <c r="W1" s="39"/>
      <c r="X1" s="39"/>
      <c r="Y1" s="39"/>
      <c r="Z1" s="39"/>
      <c r="AA1" s="39"/>
      <c r="AB1" s="39"/>
      <c r="AC1" s="38"/>
      <c r="AD1" s="38"/>
      <c r="AE1" s="38"/>
      <c r="AF1" s="38"/>
      <c r="AG1" s="40"/>
      <c r="AH1" s="38"/>
      <c r="AI1" s="38"/>
      <c r="AJ1" s="41"/>
      <c r="AK1" s="38"/>
      <c r="AL1" s="138" t="s">
        <v>71</v>
      </c>
      <c r="AM1" s="57">
        <f>AnCalendar</f>
        <v>2012</v>
      </c>
    </row>
    <row r="2" spans="1:40" customFormat="1" ht="13.5" x14ac:dyDescent="0.25"/>
    <row r="3" spans="1:40" s="32" customFormat="1" ht="12.75" customHeight="1" x14ac:dyDescent="0.25">
      <c r="C3" s="44" t="str">
        <f>CheieCuloareText</f>
        <v>CHEIE CULORI</v>
      </c>
      <c r="D3" s="51" t="str">
        <f>Cod_1</f>
        <v>Î</v>
      </c>
      <c r="E3" s="67" t="str">
        <f>Cod1Text</f>
        <v>Întârziat</v>
      </c>
      <c r="F3" s="58"/>
      <c r="H3" s="52" t="str">
        <f>Cod_2</f>
        <v>M</v>
      </c>
      <c r="I3" s="56" t="str">
        <f>Cod2Text</f>
        <v>Motivat</v>
      </c>
      <c r="L3" s="53" t="str">
        <f>Cod_3</f>
        <v>N</v>
      </c>
      <c r="M3" s="56" t="str">
        <f>Cod3Text</f>
        <v>Nemotivat</v>
      </c>
      <c r="P3" s="54" t="str">
        <f>Cod_4</f>
        <v>P</v>
      </c>
      <c r="Q3" s="56" t="str">
        <f>Cod4Text</f>
        <v>Prezent</v>
      </c>
      <c r="T3" s="55" t="str">
        <f>Cod_5</f>
        <v>Nu</v>
      </c>
      <c r="U3" s="56" t="str">
        <f>Cod5Text</f>
        <v>Nu a fost la școală</v>
      </c>
      <c r="W3"/>
      <c r="X3"/>
      <c r="Y3"/>
      <c r="AD3" s="31"/>
      <c r="AE3" s="31"/>
      <c r="AH3" s="33"/>
      <c r="AI3" s="34"/>
      <c r="AK3" s="35"/>
    </row>
    <row r="4" spans="1:40" customFormat="1" ht="16.5" customHeight="1" x14ac:dyDescent="0.25"/>
    <row r="5" spans="1:40" s="2" customFormat="1" ht="18" customHeight="1" x14ac:dyDescent="0.3">
      <c r="B5" s="60">
        <f>DATE(AnCalendar,9,1)</f>
        <v>41153</v>
      </c>
      <c r="C5" s="59"/>
      <c r="D5" s="42" t="str">
        <f>TEXT(WEEKDAY(DATE(AnCalendar,9,1),1),"aaa")</f>
        <v>S</v>
      </c>
      <c r="E5" s="42" t="str">
        <f>TEXT(WEEKDAY(DATE(AnCalendar,9,2),1),"aaa")</f>
        <v>D</v>
      </c>
      <c r="F5" s="42" t="str">
        <f>TEXT(WEEKDAY(DATE(AnCalendar,9,3),1),"aaa")</f>
        <v>L</v>
      </c>
      <c r="G5" s="42" t="str">
        <f>TEXT(WEEKDAY(DATE(AnCalendar,9,4),1),"aaa")</f>
        <v>Ma</v>
      </c>
      <c r="H5" s="42" t="str">
        <f>TEXT(WEEKDAY(DATE(AnCalendar,9,5),1),"aaa")</f>
        <v>Mi</v>
      </c>
      <c r="I5" s="42" t="str">
        <f>TEXT(WEEKDAY(DATE(AnCalendar,9,6),1),"aaa")</f>
        <v>J</v>
      </c>
      <c r="J5" s="42" t="str">
        <f>TEXT(WEEKDAY(DATE(AnCalendar,9,7),1),"aaa")</f>
        <v>V</v>
      </c>
      <c r="K5" s="42" t="str">
        <f>TEXT(WEEKDAY(DATE(AnCalendar,9,8),1),"aaa")</f>
        <v>S</v>
      </c>
      <c r="L5" s="42" t="str">
        <f>TEXT(WEEKDAY(DATE(AnCalendar,9,9),1),"aaa")</f>
        <v>D</v>
      </c>
      <c r="M5" s="42" t="str">
        <f>TEXT(WEEKDAY(DATE(AnCalendar,9,10),1),"aaa")</f>
        <v>L</v>
      </c>
      <c r="N5" s="42" t="str">
        <f>TEXT(WEEKDAY(DATE(AnCalendar,9,11),1),"aaa")</f>
        <v>Ma</v>
      </c>
      <c r="O5" s="42" t="str">
        <f>TEXT(WEEKDAY(DATE(AnCalendar,9,12),1),"aaa")</f>
        <v>Mi</v>
      </c>
      <c r="P5" s="42" t="str">
        <f>TEXT(WEEKDAY(DATE(AnCalendar,9,13),1),"aaa")</f>
        <v>J</v>
      </c>
      <c r="Q5" s="42" t="str">
        <f>TEXT(WEEKDAY(DATE(AnCalendar,9,14),1),"aaa")</f>
        <v>V</v>
      </c>
      <c r="R5" s="42" t="str">
        <f>TEXT(WEEKDAY(DATE(AnCalendar,9,15),1),"aaa")</f>
        <v>S</v>
      </c>
      <c r="S5" s="42" t="str">
        <f>TEXT(WEEKDAY(DATE(AnCalendar,9,16),1),"aaa")</f>
        <v>D</v>
      </c>
      <c r="T5" s="42" t="str">
        <f>TEXT(WEEKDAY(DATE(AnCalendar,9,17),1),"aaa")</f>
        <v>L</v>
      </c>
      <c r="U5" s="42" t="str">
        <f>TEXT(WEEKDAY(DATE(AnCalendar,9,18),1),"aaa")</f>
        <v>Ma</v>
      </c>
      <c r="V5" s="42" t="str">
        <f>TEXT(WEEKDAY(DATE(AnCalendar,9,19),1),"aaa")</f>
        <v>Mi</v>
      </c>
      <c r="W5" s="42" t="str">
        <f>TEXT(WEEKDAY(DATE(AnCalendar,9,20),1),"aaa")</f>
        <v>J</v>
      </c>
      <c r="X5" s="42" t="str">
        <f>TEXT(WEEKDAY(DATE(AnCalendar,9,21),1),"aaa")</f>
        <v>V</v>
      </c>
      <c r="Y5" s="42" t="str">
        <f>TEXT(WEEKDAY(DATE(AnCalendar,9,22),1),"aaa")</f>
        <v>S</v>
      </c>
      <c r="Z5" s="42" t="str">
        <f>TEXT(WEEKDAY(DATE(AnCalendar,9,23),1),"aaa")</f>
        <v>D</v>
      </c>
      <c r="AA5" s="42" t="str">
        <f>TEXT(WEEKDAY(DATE(AnCalendar,9,24),1),"aaa")</f>
        <v>L</v>
      </c>
      <c r="AB5" s="42" t="str">
        <f>TEXT(WEEKDAY(DATE(AnCalendar,9,25),1),"aaa")</f>
        <v>Ma</v>
      </c>
      <c r="AC5" s="42" t="str">
        <f>TEXT(WEEKDAY(DATE(AnCalendar,9,26),1),"aaa")</f>
        <v>Mi</v>
      </c>
      <c r="AD5" s="42" t="str">
        <f>TEXT(WEEKDAY(DATE(AnCalendar,9,27),1),"aaa")</f>
        <v>J</v>
      </c>
      <c r="AE5" s="42" t="str">
        <f>TEXT(WEEKDAY(DATE(AnCalendar,9,28),1),"aaa")</f>
        <v>V</v>
      </c>
      <c r="AF5" s="42" t="str">
        <f>TEXT(WEEKDAY(DATE(AnCalendar,9,29),1),"aaa")</f>
        <v>S</v>
      </c>
      <c r="AG5" s="42" t="str">
        <f>TEXT(WEEKDAY(DATE(AnCalendar,9,30),1),"aaa")</f>
        <v>D</v>
      </c>
      <c r="AH5" s="42"/>
      <c r="AI5" s="113" t="s">
        <v>41</v>
      </c>
      <c r="AJ5" s="114"/>
      <c r="AK5" s="114"/>
      <c r="AL5" s="114"/>
      <c r="AM5" s="115"/>
    </row>
    <row r="6" spans="1:40" s="5" customFormat="1" ht="14.25" customHeight="1" x14ac:dyDescent="0.25">
      <c r="B6" s="45" t="s">
        <v>34</v>
      </c>
      <c r="C6" s="46" t="s">
        <v>36</v>
      </c>
      <c r="D6" s="3" t="s">
        <v>0</v>
      </c>
      <c r="E6" s="3" t="s">
        <v>1</v>
      </c>
      <c r="F6" s="3" t="s">
        <v>2</v>
      </c>
      <c r="G6" s="3" t="s">
        <v>3</v>
      </c>
      <c r="H6" s="3" t="s">
        <v>4</v>
      </c>
      <c r="I6" s="3" t="s">
        <v>5</v>
      </c>
      <c r="J6" s="3" t="s">
        <v>6</v>
      </c>
      <c r="K6" s="3" t="s">
        <v>7</v>
      </c>
      <c r="L6" s="3" t="s">
        <v>8</v>
      </c>
      <c r="M6" s="3" t="s">
        <v>9</v>
      </c>
      <c r="N6" s="3" t="s">
        <v>10</v>
      </c>
      <c r="O6" s="3" t="s">
        <v>11</v>
      </c>
      <c r="P6" s="3" t="s">
        <v>12</v>
      </c>
      <c r="Q6" s="3" t="s">
        <v>13</v>
      </c>
      <c r="R6" s="3" t="s">
        <v>14</v>
      </c>
      <c r="S6" s="3" t="s">
        <v>15</v>
      </c>
      <c r="T6" s="3" t="s">
        <v>16</v>
      </c>
      <c r="U6" s="3" t="s">
        <v>17</v>
      </c>
      <c r="V6" s="3" t="s">
        <v>18</v>
      </c>
      <c r="W6" s="3" t="s">
        <v>19</v>
      </c>
      <c r="X6" s="3" t="s">
        <v>20</v>
      </c>
      <c r="Y6" s="3" t="s">
        <v>21</v>
      </c>
      <c r="Z6" s="3" t="s">
        <v>22</v>
      </c>
      <c r="AA6" s="3" t="s">
        <v>23</v>
      </c>
      <c r="AB6" s="3" t="s">
        <v>24</v>
      </c>
      <c r="AC6" s="3" t="s">
        <v>25</v>
      </c>
      <c r="AD6" s="3" t="s">
        <v>26</v>
      </c>
      <c r="AE6" s="3" t="s">
        <v>27</v>
      </c>
      <c r="AF6" s="3" t="s">
        <v>28</v>
      </c>
      <c r="AG6" s="3" t="s">
        <v>29</v>
      </c>
      <c r="AH6" s="3" t="s">
        <v>118</v>
      </c>
      <c r="AI6" s="88" t="s">
        <v>37</v>
      </c>
      <c r="AJ6" s="52" t="s">
        <v>39</v>
      </c>
      <c r="AK6" s="53" t="s">
        <v>38</v>
      </c>
      <c r="AL6" s="68" t="s">
        <v>31</v>
      </c>
      <c r="AM6" s="50" t="s">
        <v>40</v>
      </c>
      <c r="AN6" s="4"/>
    </row>
    <row r="7" spans="1:40" s="5" customFormat="1" ht="16.5" customHeight="1" x14ac:dyDescent="0.25">
      <c r="B7" s="47"/>
      <c r="C7" s="48" t="str">
        <f>IFERROR(VLOOKUP(PrezențăSeptembrie[[#This Row],[ID elev]],ListăElevi[],18,FALSE),"")</f>
        <v/>
      </c>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6"/>
      <c r="AG7" s="24"/>
      <c r="AH7" s="24"/>
      <c r="AI7" s="6">
        <f>COUNTIF(PrezențăSeptembrie[[#This Row],[1]:[ ]],Cod_1)</f>
        <v>0</v>
      </c>
      <c r="AJ7" s="49">
        <f>COUNTIF(PrezențăSeptembrie[[#This Row],[1]:[ ]],Cod_2)</f>
        <v>0</v>
      </c>
      <c r="AK7" s="49">
        <f>COUNTIF(PrezențăSeptembrie[[#This Row],[1]:[ ]],Cod_3)</f>
        <v>0</v>
      </c>
      <c r="AL7" s="49">
        <f>COUNTIF(PrezențăSeptembrie[[#This Row],[1]:[ ]],Cod_4)</f>
        <v>0</v>
      </c>
      <c r="AM7" s="6">
        <f>SUM(PrezențăSeptembrie[[#This Row],[M]:[N]])</f>
        <v>0</v>
      </c>
      <c r="AN7" s="4"/>
    </row>
    <row r="8" spans="1:40" s="5" customFormat="1" ht="16.5" customHeight="1" x14ac:dyDescent="0.25">
      <c r="B8" s="47"/>
      <c r="C8" s="21" t="str">
        <f>IFERROR(VLOOKUP(PrezențăSeptembrie[[#This Row],[ID elev]],ListăElevi[],18,FALSE),"")</f>
        <v/>
      </c>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6"/>
      <c r="AG8" s="24"/>
      <c r="AH8" s="24"/>
      <c r="AI8" s="6">
        <f>COUNTIF(PrezențăSeptembrie[[#This Row],[1]:[ ]],Cod_1)</f>
        <v>0</v>
      </c>
      <c r="AJ8" s="49">
        <f>COUNTIF(PrezențăSeptembrie[[#This Row],[1]:[ ]],Cod_2)</f>
        <v>0</v>
      </c>
      <c r="AK8" s="49">
        <f>COUNTIF(PrezențăSeptembrie[[#This Row],[1]:[ ]],Cod_3)</f>
        <v>0</v>
      </c>
      <c r="AL8" s="49">
        <f>COUNTIF(PrezențăSeptembrie[[#This Row],[1]:[ ]],Cod_4)</f>
        <v>0</v>
      </c>
      <c r="AM8" s="6">
        <f>SUM(PrezențăSeptembrie[[#This Row],[M]:[N]])</f>
        <v>0</v>
      </c>
      <c r="AN8" s="4"/>
    </row>
    <row r="9" spans="1:40" s="8" customFormat="1" ht="16.5" customHeight="1" x14ac:dyDescent="0.25">
      <c r="B9" s="47"/>
      <c r="C9" s="21" t="str">
        <f>IFERROR(VLOOKUP(PrezențăSeptembrie[[#This Row],[ID elev]],ListăElevi[],18,FALSE),"")</f>
        <v/>
      </c>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6"/>
      <c r="AG9" s="24"/>
      <c r="AH9" s="24"/>
      <c r="AI9" s="6">
        <f>COUNTIF(PrezențăSeptembrie[[#This Row],[1]:[ ]],Cod_1)</f>
        <v>0</v>
      </c>
      <c r="AJ9" s="49">
        <f>COUNTIF(PrezențăSeptembrie[[#This Row],[1]:[ ]],Cod_2)</f>
        <v>0</v>
      </c>
      <c r="AK9" s="49">
        <f>COUNTIF(PrezențăSeptembrie[[#This Row],[1]:[ ]],Cod_3)</f>
        <v>0</v>
      </c>
      <c r="AL9" s="49">
        <f>COUNTIF(PrezențăSeptembrie[[#This Row],[1]:[ ]],Cod_4)</f>
        <v>0</v>
      </c>
      <c r="AM9" s="6">
        <f>SUM(PrezențăSeptembrie[[#This Row],[M]:[N]])</f>
        <v>0</v>
      </c>
      <c r="AN9" s="7"/>
    </row>
    <row r="10" spans="1:40" ht="16.5" customHeight="1" x14ac:dyDescent="0.25">
      <c r="B10" s="47"/>
      <c r="C10" s="21" t="str">
        <f>IFERROR(VLOOKUP(PrezențăSeptembrie[[#This Row],[ID elev]],ListăElevi[],18,FALSE),"")</f>
        <v/>
      </c>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6"/>
      <c r="AG10" s="24"/>
      <c r="AH10" s="24"/>
      <c r="AI10" s="6">
        <f>COUNTIF(PrezențăSeptembrie[[#This Row],[1]:[ ]],Cod_1)</f>
        <v>0</v>
      </c>
      <c r="AJ10" s="49">
        <f>COUNTIF(PrezențăSeptembrie[[#This Row],[1]:[ ]],Cod_2)</f>
        <v>0</v>
      </c>
      <c r="AK10" s="49">
        <f>COUNTIF(PrezențăSeptembrie[[#This Row],[1]:[ ]],Cod_3)</f>
        <v>0</v>
      </c>
      <c r="AL10" s="49">
        <f>COUNTIF(PrezențăSeptembrie[[#This Row],[1]:[ ]],Cod_4)</f>
        <v>0</v>
      </c>
      <c r="AM10" s="6">
        <f>SUM(PrezențăSeptembrie[[#This Row],[M]:[N]])</f>
        <v>0</v>
      </c>
      <c r="AN10" s="10"/>
    </row>
    <row r="11" spans="1:40" ht="16.5" customHeight="1" x14ac:dyDescent="0.25">
      <c r="B11" s="47"/>
      <c r="C11" s="21" t="str">
        <f>IFERROR(VLOOKUP(PrezențăSeptembrie[[#This Row],[ID elev]],ListăElevi[],18,FALSE),"")</f>
        <v/>
      </c>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6"/>
      <c r="AG11" s="24"/>
      <c r="AH11" s="24"/>
      <c r="AI11" s="6">
        <f>COUNTIF(PrezențăSeptembrie[[#This Row],[1]:[ ]],Cod_1)</f>
        <v>0</v>
      </c>
      <c r="AJ11" s="49">
        <f>COUNTIF(PrezențăSeptembrie[[#This Row],[1]:[ ]],Cod_2)</f>
        <v>0</v>
      </c>
      <c r="AK11" s="49">
        <f>COUNTIF(PrezențăSeptembrie[[#This Row],[1]:[ ]],Cod_3)</f>
        <v>0</v>
      </c>
      <c r="AL11" s="49">
        <f>COUNTIF(PrezențăSeptembrie[[#This Row],[1]:[ ]],Cod_4)</f>
        <v>0</v>
      </c>
      <c r="AM11" s="6">
        <f>SUM(PrezențăSeptembrie[[#This Row],[M]:[N]])</f>
        <v>0</v>
      </c>
      <c r="AN11" s="10"/>
    </row>
    <row r="12" spans="1:40" ht="16.5" customHeight="1" x14ac:dyDescent="0.25">
      <c r="B12" s="140"/>
      <c r="C12" s="141" t="s">
        <v>119</v>
      </c>
      <c r="D12" s="142">
        <f>COUNTIF(PrezențăSeptembrie[1],"N")+COUNTIF(PrezențăSeptembrie[1],"M")</f>
        <v>0</v>
      </c>
      <c r="E12" s="142">
        <f>COUNTIF(PrezențăSeptembrie[2],"N")+COUNTIF(PrezențăSeptembrie[2],"M")</f>
        <v>0</v>
      </c>
      <c r="F12" s="142">
        <f>COUNTIF(PrezențăSeptembrie[3],"N")+COUNTIF(PrezențăSeptembrie[3],"M")</f>
        <v>0</v>
      </c>
      <c r="G12" s="142">
        <f>COUNTIF(PrezențăSeptembrie[4],"N")+COUNTIF(PrezențăSeptembrie[4],"M")</f>
        <v>0</v>
      </c>
      <c r="H12" s="142">
        <f>COUNTIF(PrezențăSeptembrie[5],"N")+COUNTIF(PrezențăSeptembrie[5],"M")</f>
        <v>0</v>
      </c>
      <c r="I12" s="142">
        <f>COUNTIF(PrezențăSeptembrie[6],"N")+COUNTIF(PrezențăSeptembrie[6],"M")</f>
        <v>0</v>
      </c>
      <c r="J12" s="142">
        <f>COUNTIF(PrezențăSeptembrie[7],"N")+COUNTIF(PrezențăSeptembrie[7],"M")</f>
        <v>0</v>
      </c>
      <c r="K12" s="142">
        <f>COUNTIF(PrezențăSeptembrie[8],"N")+COUNTIF(PrezențăSeptembrie[8],"M")</f>
        <v>0</v>
      </c>
      <c r="L12" s="142">
        <f>COUNTIF(PrezențăSeptembrie[9],"N")+COUNTIF(PrezențăSeptembrie[9],"M")</f>
        <v>0</v>
      </c>
      <c r="M12" s="142">
        <f>COUNTIF(PrezențăSeptembrie[10],"N")+COUNTIF(PrezențăSeptembrie[10],"M")</f>
        <v>0</v>
      </c>
      <c r="N12" s="142">
        <f>COUNTIF(PrezențăSeptembrie[11],"N")+COUNTIF(PrezențăSeptembrie[11],"M")</f>
        <v>0</v>
      </c>
      <c r="O12" s="142">
        <f>COUNTIF(PrezențăSeptembrie[12],"N")+COUNTIF(PrezențăSeptembrie[12],"M")</f>
        <v>0</v>
      </c>
      <c r="P12" s="142">
        <f>COUNTIF(PrezențăSeptembrie[13],"N")+COUNTIF(PrezențăSeptembrie[13],"M")</f>
        <v>0</v>
      </c>
      <c r="Q12" s="142">
        <f>COUNTIF(PrezențăSeptembrie[14],"N")+COUNTIF(PrezențăSeptembrie[14],"M")</f>
        <v>0</v>
      </c>
      <c r="R12" s="142">
        <f>COUNTIF(PrezențăSeptembrie[15],"N")+COUNTIF(PrezențăSeptembrie[15],"M")</f>
        <v>0</v>
      </c>
      <c r="S12" s="142">
        <f>COUNTIF(PrezențăSeptembrie[16],"N")+COUNTIF(PrezențăSeptembrie[16],"M")</f>
        <v>0</v>
      </c>
      <c r="T12" s="142">
        <f>COUNTIF(PrezențăSeptembrie[17],"N")+COUNTIF(PrezențăSeptembrie[17],"M")</f>
        <v>0</v>
      </c>
      <c r="U12" s="142">
        <f>COUNTIF(PrezențăSeptembrie[18],"N")+COUNTIF(PrezențăSeptembrie[18],"M")</f>
        <v>0</v>
      </c>
      <c r="V12" s="142">
        <f>COUNTIF(PrezențăSeptembrie[19],"N")+COUNTIF(PrezențăSeptembrie[19],"M")</f>
        <v>0</v>
      </c>
      <c r="W12" s="142">
        <f>COUNTIF(PrezențăSeptembrie[20],"N")+COUNTIF(PrezențăSeptembrie[20],"M")</f>
        <v>0</v>
      </c>
      <c r="X12" s="142">
        <f>COUNTIF(PrezențăSeptembrie[21],"N")+COUNTIF(PrezențăSeptembrie[21],"M")</f>
        <v>0</v>
      </c>
      <c r="Y12" s="142">
        <f>COUNTIF(PrezențăSeptembrie[22],"N")+COUNTIF(PrezențăSeptembrie[22],"M")</f>
        <v>0</v>
      </c>
      <c r="Z12" s="142">
        <f>COUNTIF(PrezențăSeptembrie[23],"N")+COUNTIF(PrezențăSeptembrie[23],"M")</f>
        <v>0</v>
      </c>
      <c r="AA12" s="142">
        <f>COUNTIF(PrezențăSeptembrie[24],"N")+COUNTIF(PrezențăSeptembrie[24],"M")</f>
        <v>0</v>
      </c>
      <c r="AB12" s="142">
        <f>COUNTIF(PrezențăSeptembrie[25],"N")+COUNTIF(PrezențăSeptembrie[25],"M")</f>
        <v>0</v>
      </c>
      <c r="AC12" s="142">
        <f>COUNTIF(PrezențăSeptembrie[26],"N")+COUNTIF(PrezențăSeptembrie[26],"M")</f>
        <v>0</v>
      </c>
      <c r="AD12" s="142">
        <f>COUNTIF(PrezențăSeptembrie[27],"N")+COUNTIF(PrezențăSeptembrie[27],"M")</f>
        <v>0</v>
      </c>
      <c r="AE12" s="142">
        <f>COUNTIF(PrezențăSeptembrie[28],"N")+COUNTIF(PrezențăSeptembrie[28],"M")</f>
        <v>0</v>
      </c>
      <c r="AF12" s="142">
        <f>COUNTIF(PrezențăSeptembrie[29],"N")+COUNTIF(PrezențăSeptembrie[29],"M")</f>
        <v>0</v>
      </c>
      <c r="AG12" s="142">
        <f>COUNTIF(PrezențăSeptembrie[30],"N")+COUNTIF(PrezențăSeptembrie[30],"M")</f>
        <v>0</v>
      </c>
      <c r="AH12" s="142">
        <f>COUNTIF(PrezențăSeptembrie[[ ]],"N")+COUNTIF(PrezențăSeptembrie[[ ]],"M")</f>
        <v>0</v>
      </c>
      <c r="AI12" s="142">
        <f>SUBTOTAL(109,PrezențăSeptembrie[Î])</f>
        <v>0</v>
      </c>
      <c r="AJ12" s="142">
        <f>SUBTOTAL(109,PrezențăSeptembrie[M])</f>
        <v>0</v>
      </c>
      <c r="AK12" s="142">
        <f>SUBTOTAL(109,PrezențăSeptembrie[N])</f>
        <v>0</v>
      </c>
      <c r="AL12" s="142">
        <f>SUBTOTAL(109,PrezențăSeptembrie[P])</f>
        <v>0</v>
      </c>
      <c r="AM12" s="142">
        <f>SUBTOTAL(109,PrezențăSeptembrie[Zile de absență])</f>
        <v>0</v>
      </c>
    </row>
    <row r="14" spans="1:40" ht="16.5" customHeight="1" x14ac:dyDescent="0.25"/>
    <row r="15" spans="1:40" ht="16.5" customHeight="1" x14ac:dyDescent="0.25"/>
    <row r="16" spans="1:40"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sheetData>
  <sheetProtection formatCells="0" formatColumns="0" formatRows="0" insertColumns="0" insertRows="0" insertHyperlinks="0" deleteColumns="0" deleteRows="0" sort="0" autoFilter="0" pivotTables="0"/>
  <mergeCells count="1">
    <mergeCell ref="AI5:AM5"/>
  </mergeCells>
  <conditionalFormatting sqref="AM7:AM11">
    <cfRule type="dataBar" priority="6">
      <dataBar>
        <cfvo type="min"/>
        <cfvo type="num" val="31"/>
        <color theme="4"/>
      </dataBar>
      <extLst>
        <ext xmlns:x14="http://schemas.microsoft.com/office/spreadsheetml/2009/9/main" uri="{B025F937-C7B1-47D3-B67F-A62EFF666E3E}">
          <x14:id>{FCDE13DD-578E-4A81-A4F7-3A892C41EF0D}</x14:id>
        </ext>
      </extLst>
    </cfRule>
  </conditionalFormatting>
  <conditionalFormatting sqref="AG7:AI11">
    <cfRule type="expression" dxfId="959" priority="7" stopIfTrue="1">
      <formula>AG7=Cod_2</formula>
    </cfRule>
  </conditionalFormatting>
  <conditionalFormatting sqref="AG7:AH11">
    <cfRule type="expression" dxfId="958" priority="8" stopIfTrue="1">
      <formula>AG7=Cod_5</formula>
    </cfRule>
    <cfRule type="expression" dxfId="957" priority="9" stopIfTrue="1">
      <formula>AG7=Cod_4</formula>
    </cfRule>
    <cfRule type="expression" dxfId="956" priority="10" stopIfTrue="1">
      <formula>AG7=Cod_3</formula>
    </cfRule>
    <cfRule type="expression" dxfId="955" priority="11" stopIfTrue="1">
      <formula>AG7=Cod_1</formula>
    </cfRule>
  </conditionalFormatting>
  <conditionalFormatting sqref="D7:AF11">
    <cfRule type="expression" dxfId="954" priority="1" stopIfTrue="1">
      <formula>D7=Cod_2</formula>
    </cfRule>
  </conditionalFormatting>
  <conditionalFormatting sqref="D7:AF11">
    <cfRule type="expression" dxfId="953" priority="2" stopIfTrue="1">
      <formula>D7=Cod_5</formula>
    </cfRule>
    <cfRule type="expression" dxfId="952" priority="3" stopIfTrue="1">
      <formula>D7=Cod_4</formula>
    </cfRule>
    <cfRule type="expression" dxfId="951" priority="4" stopIfTrue="1">
      <formula>D7=Cod_3</formula>
    </cfRule>
    <cfRule type="expression" dxfId="950" priority="5" stopIfTrue="1">
      <formula>D7=Cod_1</formula>
    </cfRule>
  </conditionalFormatting>
  <dataValidations count="1">
    <dataValidation type="list" errorStyle="warning" allowBlank="1" showInputMessage="1" showErrorMessage="1" errorTitle="Atenție!" error="ID-ul elev pe care l-ați introdus nu se află în foaia Listă elevi. Puteți să faceți clic pe Da pentru a utiliza ID-ul introdus, dar acel ID elev nu va fi disponibil pe foaia Raport prezență elev." sqref="B7:B11">
      <formula1>IDCursant</formula1>
    </dataValidation>
  </dataValidations>
  <printOptions horizontalCentered="1"/>
  <pageMargins left="0.5" right="0.5" top="0.75" bottom="0.75" header="0.3" footer="0.3"/>
  <pageSetup paperSize="9" scale="59" fitToHeight="0" orientation="landscape" verticalDpi="120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CDE13DD-578E-4A81-A4F7-3A892C41EF0D}">
            <x14:dataBar minLength="0" maxLength="100" border="1" negativeBarBorderColorSameAsPositive="0">
              <x14:cfvo type="autoMin"/>
              <x14:cfvo type="num">
                <xm:f>31</xm:f>
              </x14:cfvo>
              <x14:borderColor theme="4"/>
              <x14:negativeFillColor rgb="FFFF0000"/>
              <x14:negativeBorderColor rgb="FFFF0000"/>
              <x14:axisColor rgb="FF000000"/>
            </x14:dataBar>
          </x14:cfRule>
          <xm:sqref>AM7:AM11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N346"/>
  <sheetViews>
    <sheetView showGridLines="0" zoomScaleNormal="100" workbookViewId="0">
      <pane xSplit="3" ySplit="6" topLeftCell="D7" activePane="bottomRight" state="frozen"/>
      <selection pane="topRight"/>
      <selection pane="bottomLeft"/>
      <selection pane="bottomRight"/>
    </sheetView>
  </sheetViews>
  <sheetFormatPr defaultRowHeight="15" customHeight="1" x14ac:dyDescent="0.25"/>
  <cols>
    <col min="1" max="1" width="2.7109375" style="11" customWidth="1"/>
    <col min="2" max="2" width="10.85546875" style="11" customWidth="1"/>
    <col min="3" max="3" width="32.140625" style="12" bestFit="1" customWidth="1"/>
    <col min="4" max="34" width="5" style="10" customWidth="1"/>
    <col min="35" max="35" width="4.7109375" style="9" customWidth="1"/>
    <col min="36" max="36" width="4.7109375" style="10" customWidth="1"/>
    <col min="37" max="38" width="4.7109375" style="11" customWidth="1"/>
    <col min="39" max="39" width="15.140625" style="11" bestFit="1" customWidth="1"/>
    <col min="40" max="16384" width="9.140625" style="11"/>
  </cols>
  <sheetData>
    <row r="1" spans="1:40" s="1" customFormat="1" ht="42" customHeight="1" x14ac:dyDescent="0.25">
      <c r="A1" s="139" t="s">
        <v>88</v>
      </c>
      <c r="B1" s="38"/>
      <c r="C1" s="38"/>
      <c r="D1" s="39"/>
      <c r="E1" s="39"/>
      <c r="F1" s="39"/>
      <c r="G1" s="39"/>
      <c r="H1" s="39"/>
      <c r="I1" s="39"/>
      <c r="J1" s="39"/>
      <c r="K1" s="39"/>
      <c r="L1" s="39"/>
      <c r="M1" s="39"/>
      <c r="N1" s="39"/>
      <c r="O1" s="39"/>
      <c r="P1" s="39"/>
      <c r="Q1" s="39"/>
      <c r="R1" s="39"/>
      <c r="S1" s="39"/>
      <c r="T1" s="39"/>
      <c r="U1" s="39"/>
      <c r="V1" s="39"/>
      <c r="W1" s="39"/>
      <c r="X1" s="39"/>
      <c r="Y1" s="39"/>
      <c r="Z1" s="39"/>
      <c r="AA1" s="39"/>
      <c r="AB1" s="39"/>
      <c r="AC1" s="38"/>
      <c r="AD1" s="38"/>
      <c r="AE1" s="38"/>
      <c r="AF1" s="38"/>
      <c r="AG1" s="40"/>
      <c r="AH1" s="38"/>
      <c r="AI1" s="38"/>
      <c r="AJ1" s="41"/>
      <c r="AK1" s="38"/>
      <c r="AL1" s="138" t="s">
        <v>71</v>
      </c>
      <c r="AM1" s="57">
        <f>AnCalendar</f>
        <v>2012</v>
      </c>
    </row>
    <row r="2" spans="1:40" customFormat="1" ht="13.5" x14ac:dyDescent="0.25"/>
    <row r="3" spans="1:40" s="32" customFormat="1" ht="12.75" customHeight="1" x14ac:dyDescent="0.25">
      <c r="C3" s="44" t="str">
        <f>CheieCuloareText</f>
        <v>CHEIE CULORI</v>
      </c>
      <c r="D3" s="51" t="str">
        <f>Cod_1</f>
        <v>Î</v>
      </c>
      <c r="E3" s="67" t="str">
        <f>Cod1Text</f>
        <v>Întârziat</v>
      </c>
      <c r="F3" s="58"/>
      <c r="H3" s="52" t="str">
        <f>Cod_2</f>
        <v>M</v>
      </c>
      <c r="I3" s="56" t="str">
        <f>Cod2Text</f>
        <v>Motivat</v>
      </c>
      <c r="L3" s="53" t="str">
        <f>Cod_3</f>
        <v>N</v>
      </c>
      <c r="M3" s="56" t="str">
        <f>Cod3Text</f>
        <v>Nemotivat</v>
      </c>
      <c r="P3" s="54" t="str">
        <f>Cod_4</f>
        <v>P</v>
      </c>
      <c r="Q3" s="56" t="str">
        <f>Cod4Text</f>
        <v>Prezent</v>
      </c>
      <c r="T3" s="55" t="str">
        <f>Cod_5</f>
        <v>Nu</v>
      </c>
      <c r="U3" s="56" t="str">
        <f>Cod5Text</f>
        <v>Nu a fost la școală</v>
      </c>
      <c r="W3"/>
      <c r="X3"/>
      <c r="Y3"/>
      <c r="AD3" s="31"/>
      <c r="AE3" s="31"/>
      <c r="AH3" s="33"/>
      <c r="AI3" s="34"/>
      <c r="AK3" s="35"/>
    </row>
    <row r="4" spans="1:40" customFormat="1" ht="16.5" customHeight="1" x14ac:dyDescent="0.25"/>
    <row r="5" spans="1:40" s="2" customFormat="1" ht="18" customHeight="1" x14ac:dyDescent="0.3">
      <c r="B5" s="60">
        <f>DATE(AnCalendar,10,1)</f>
        <v>41183</v>
      </c>
      <c r="C5" s="59"/>
      <c r="D5" s="42" t="str">
        <f>TEXT(WEEKDAY(DATE(AnCalendar,10,1),1),"aaa")</f>
        <v>L</v>
      </c>
      <c r="E5" s="42" t="str">
        <f>TEXT(WEEKDAY(DATE(AnCalendar,10,2),1),"aaa")</f>
        <v>Ma</v>
      </c>
      <c r="F5" s="42" t="str">
        <f>TEXT(WEEKDAY(DATE(AnCalendar,10,3),1),"aaa")</f>
        <v>Mi</v>
      </c>
      <c r="G5" s="42" t="str">
        <f>TEXT(WEEKDAY(DATE(AnCalendar,10,4),1),"aaa")</f>
        <v>J</v>
      </c>
      <c r="H5" s="42" t="str">
        <f>TEXT(WEEKDAY(DATE(AnCalendar,10,5),1),"aaa")</f>
        <v>V</v>
      </c>
      <c r="I5" s="42" t="str">
        <f>TEXT(WEEKDAY(DATE(AnCalendar,10,6),1),"aaa")</f>
        <v>S</v>
      </c>
      <c r="J5" s="42" t="str">
        <f>TEXT(WEEKDAY(DATE(AnCalendar,10,7),1),"aaa")</f>
        <v>D</v>
      </c>
      <c r="K5" s="42" t="str">
        <f>TEXT(WEEKDAY(DATE(AnCalendar,10,8),1),"aaa")</f>
        <v>L</v>
      </c>
      <c r="L5" s="42" t="str">
        <f>TEXT(WEEKDAY(DATE(AnCalendar,10,9),1),"aaa")</f>
        <v>Ma</v>
      </c>
      <c r="M5" s="42" t="str">
        <f>TEXT(WEEKDAY(DATE(AnCalendar,10,10),1),"aaa")</f>
        <v>Mi</v>
      </c>
      <c r="N5" s="42" t="str">
        <f>TEXT(WEEKDAY(DATE(AnCalendar,10,11),1),"aaa")</f>
        <v>J</v>
      </c>
      <c r="O5" s="42" t="str">
        <f>TEXT(WEEKDAY(DATE(AnCalendar,10,12),1),"aaa")</f>
        <v>V</v>
      </c>
      <c r="P5" s="42" t="str">
        <f>TEXT(WEEKDAY(DATE(AnCalendar,10,13),1),"aaa")</f>
        <v>S</v>
      </c>
      <c r="Q5" s="42" t="str">
        <f>TEXT(WEEKDAY(DATE(AnCalendar,10,14),1),"aaa")</f>
        <v>D</v>
      </c>
      <c r="R5" s="42" t="str">
        <f>TEXT(WEEKDAY(DATE(AnCalendar,10,15),1),"aaa")</f>
        <v>L</v>
      </c>
      <c r="S5" s="42" t="str">
        <f>TEXT(WEEKDAY(DATE(AnCalendar,10,16),1),"aaa")</f>
        <v>Ma</v>
      </c>
      <c r="T5" s="42" t="str">
        <f>TEXT(WEEKDAY(DATE(AnCalendar,10,17),1),"aaa")</f>
        <v>Mi</v>
      </c>
      <c r="U5" s="42" t="str">
        <f>TEXT(WEEKDAY(DATE(AnCalendar,10,18),1),"aaa")</f>
        <v>J</v>
      </c>
      <c r="V5" s="42" t="str">
        <f>TEXT(WEEKDAY(DATE(AnCalendar,10,19),1),"aaa")</f>
        <v>V</v>
      </c>
      <c r="W5" s="42" t="str">
        <f>TEXT(WEEKDAY(DATE(AnCalendar,10,20),1),"aaa")</f>
        <v>S</v>
      </c>
      <c r="X5" s="42" t="str">
        <f>TEXT(WEEKDAY(DATE(AnCalendar,10,21),1),"aaa")</f>
        <v>D</v>
      </c>
      <c r="Y5" s="42" t="str">
        <f>TEXT(WEEKDAY(DATE(AnCalendar,10,22),1),"aaa")</f>
        <v>L</v>
      </c>
      <c r="Z5" s="42" t="str">
        <f>TEXT(WEEKDAY(DATE(AnCalendar,10,23),1),"aaa")</f>
        <v>Ma</v>
      </c>
      <c r="AA5" s="42" t="str">
        <f>TEXT(WEEKDAY(DATE(AnCalendar,10,24),1),"aaa")</f>
        <v>Mi</v>
      </c>
      <c r="AB5" s="42" t="str">
        <f>TEXT(WEEKDAY(DATE(AnCalendar,10,25),1),"aaa")</f>
        <v>J</v>
      </c>
      <c r="AC5" s="42" t="str">
        <f>TEXT(WEEKDAY(DATE(AnCalendar,10,26),1),"aaa")</f>
        <v>V</v>
      </c>
      <c r="AD5" s="42" t="str">
        <f>TEXT(WEEKDAY(DATE(AnCalendar,10,27),1),"aaa")</f>
        <v>S</v>
      </c>
      <c r="AE5" s="42" t="str">
        <f>TEXT(WEEKDAY(DATE(AnCalendar,10,28),1),"aaa")</f>
        <v>D</v>
      </c>
      <c r="AF5" s="42" t="str">
        <f>TEXT(WEEKDAY(DATE(AnCalendar,10,29),1),"aaa")</f>
        <v>L</v>
      </c>
      <c r="AG5" s="42" t="str">
        <f>TEXT(WEEKDAY(DATE(AnCalendar,10,30),1),"aaa")</f>
        <v>Ma</v>
      </c>
      <c r="AH5" s="42" t="str">
        <f>TEXT(WEEKDAY(DATE(AnCalendar,10,31),1),"aaa")</f>
        <v>Mi</v>
      </c>
      <c r="AI5" s="113" t="s">
        <v>41</v>
      </c>
      <c r="AJ5" s="114"/>
      <c r="AK5" s="114"/>
      <c r="AL5" s="114"/>
      <c r="AM5" s="115"/>
    </row>
    <row r="6" spans="1:40" s="5" customFormat="1" ht="14.25" customHeight="1" x14ac:dyDescent="0.25">
      <c r="B6" s="45" t="s">
        <v>34</v>
      </c>
      <c r="C6" s="46" t="s">
        <v>36</v>
      </c>
      <c r="D6" s="3" t="s">
        <v>0</v>
      </c>
      <c r="E6" s="3" t="s">
        <v>1</v>
      </c>
      <c r="F6" s="3" t="s">
        <v>2</v>
      </c>
      <c r="G6" s="3" t="s">
        <v>3</v>
      </c>
      <c r="H6" s="3" t="s">
        <v>4</v>
      </c>
      <c r="I6" s="3" t="s">
        <v>5</v>
      </c>
      <c r="J6" s="3" t="s">
        <v>6</v>
      </c>
      <c r="K6" s="3" t="s">
        <v>7</v>
      </c>
      <c r="L6" s="3" t="s">
        <v>8</v>
      </c>
      <c r="M6" s="3" t="s">
        <v>9</v>
      </c>
      <c r="N6" s="3" t="s">
        <v>10</v>
      </c>
      <c r="O6" s="3" t="s">
        <v>11</v>
      </c>
      <c r="P6" s="3" t="s">
        <v>12</v>
      </c>
      <c r="Q6" s="3" t="s">
        <v>13</v>
      </c>
      <c r="R6" s="3" t="s">
        <v>14</v>
      </c>
      <c r="S6" s="3" t="s">
        <v>15</v>
      </c>
      <c r="T6" s="3" t="s">
        <v>16</v>
      </c>
      <c r="U6" s="3" t="s">
        <v>17</v>
      </c>
      <c r="V6" s="3" t="s">
        <v>18</v>
      </c>
      <c r="W6" s="3" t="s">
        <v>19</v>
      </c>
      <c r="X6" s="3" t="s">
        <v>20</v>
      </c>
      <c r="Y6" s="3" t="s">
        <v>21</v>
      </c>
      <c r="Z6" s="3" t="s">
        <v>22</v>
      </c>
      <c r="AA6" s="3" t="s">
        <v>23</v>
      </c>
      <c r="AB6" s="3" t="s">
        <v>24</v>
      </c>
      <c r="AC6" s="3" t="s">
        <v>25</v>
      </c>
      <c r="AD6" s="3" t="s">
        <v>26</v>
      </c>
      <c r="AE6" s="3" t="s">
        <v>27</v>
      </c>
      <c r="AF6" s="3" t="s">
        <v>28</v>
      </c>
      <c r="AG6" s="3" t="s">
        <v>29</v>
      </c>
      <c r="AH6" s="3" t="s">
        <v>30</v>
      </c>
      <c r="AI6" s="88" t="s">
        <v>37</v>
      </c>
      <c r="AJ6" s="52" t="s">
        <v>39</v>
      </c>
      <c r="AK6" s="53" t="s">
        <v>38</v>
      </c>
      <c r="AL6" s="68" t="s">
        <v>31</v>
      </c>
      <c r="AM6" s="50" t="s">
        <v>40</v>
      </c>
      <c r="AN6" s="4"/>
    </row>
    <row r="7" spans="1:40" s="5" customFormat="1" ht="16.5" customHeight="1" x14ac:dyDescent="0.25">
      <c r="B7" s="47"/>
      <c r="C7" s="48" t="str">
        <f>IFERROR(VLOOKUP(PrezențăOctombrie[[#This Row],[ID elev]],ListăElevi[],18,FALSE),"")</f>
        <v/>
      </c>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6"/>
      <c r="AG7" s="24"/>
      <c r="AH7" s="24"/>
      <c r="AI7" s="6">
        <f>COUNTIF(PrezențăOctombrie[[#This Row],[1]:[31]],Cod_1)</f>
        <v>0</v>
      </c>
      <c r="AJ7" s="49">
        <f>COUNTIF(PrezențăOctombrie[[#This Row],[1]:[31]],Cod_2)</f>
        <v>0</v>
      </c>
      <c r="AK7" s="49">
        <f>COUNTIF(PrezențăOctombrie[[#This Row],[1]:[31]],Cod_3)</f>
        <v>0</v>
      </c>
      <c r="AL7" s="49">
        <f>COUNTIF(PrezențăOctombrie[[#This Row],[1]:[31]],Cod_4)</f>
        <v>0</v>
      </c>
      <c r="AM7" s="6">
        <f>SUM(PrezențăOctombrie[[#This Row],[M]:[N]])</f>
        <v>0</v>
      </c>
      <c r="AN7" s="4"/>
    </row>
    <row r="8" spans="1:40" s="5" customFormat="1" ht="16.5" customHeight="1" x14ac:dyDescent="0.25">
      <c r="B8" s="47"/>
      <c r="C8" s="21" t="str">
        <f>IFERROR(VLOOKUP(PrezențăOctombrie[[#This Row],[ID elev]],ListăElevi[],18,FALSE),"")</f>
        <v/>
      </c>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6"/>
      <c r="AG8" s="24"/>
      <c r="AH8" s="24"/>
      <c r="AI8" s="6">
        <f>COUNTIF(PrezențăOctombrie[[#This Row],[1]:[31]],Cod_1)</f>
        <v>0</v>
      </c>
      <c r="AJ8" s="49">
        <f>COUNTIF(PrezențăOctombrie[[#This Row],[1]:[31]],Cod_2)</f>
        <v>0</v>
      </c>
      <c r="AK8" s="49">
        <f>COUNTIF(PrezențăOctombrie[[#This Row],[1]:[31]],Cod_3)</f>
        <v>0</v>
      </c>
      <c r="AL8" s="49">
        <f>COUNTIF(PrezențăOctombrie[[#This Row],[1]:[31]],Cod_4)</f>
        <v>0</v>
      </c>
      <c r="AM8" s="6">
        <f>SUM(PrezențăOctombrie[[#This Row],[M]:[N]])</f>
        <v>0</v>
      </c>
      <c r="AN8" s="4"/>
    </row>
    <row r="9" spans="1:40" s="8" customFormat="1" ht="16.5" customHeight="1" x14ac:dyDescent="0.25">
      <c r="B9" s="47"/>
      <c r="C9" s="21" t="str">
        <f>IFERROR(VLOOKUP(PrezențăOctombrie[[#This Row],[ID elev]],ListăElevi[],18,FALSE),"")</f>
        <v/>
      </c>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6"/>
      <c r="AG9" s="24"/>
      <c r="AH9" s="24"/>
      <c r="AI9" s="6">
        <f>COUNTIF(PrezențăOctombrie[[#This Row],[1]:[31]],Cod_1)</f>
        <v>0</v>
      </c>
      <c r="AJ9" s="49">
        <f>COUNTIF(PrezențăOctombrie[[#This Row],[1]:[31]],Cod_2)</f>
        <v>0</v>
      </c>
      <c r="AK9" s="49">
        <f>COUNTIF(PrezențăOctombrie[[#This Row],[1]:[31]],Cod_3)</f>
        <v>0</v>
      </c>
      <c r="AL9" s="49">
        <f>COUNTIF(PrezențăOctombrie[[#This Row],[1]:[31]],Cod_4)</f>
        <v>0</v>
      </c>
      <c r="AM9" s="6">
        <f>SUM(PrezențăOctombrie[[#This Row],[M]:[N]])</f>
        <v>0</v>
      </c>
      <c r="AN9" s="7"/>
    </row>
    <row r="10" spans="1:40" ht="16.5" customHeight="1" x14ac:dyDescent="0.25">
      <c r="B10" s="47"/>
      <c r="C10" s="21" t="str">
        <f>IFERROR(VLOOKUP(PrezențăOctombrie[[#This Row],[ID elev]],ListăElevi[],18,FALSE),"")</f>
        <v/>
      </c>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6"/>
      <c r="AG10" s="24"/>
      <c r="AH10" s="24"/>
      <c r="AI10" s="6">
        <f>COUNTIF(PrezențăOctombrie[[#This Row],[1]:[31]],Cod_1)</f>
        <v>0</v>
      </c>
      <c r="AJ10" s="49">
        <f>COUNTIF(PrezențăOctombrie[[#This Row],[1]:[31]],Cod_2)</f>
        <v>0</v>
      </c>
      <c r="AK10" s="49">
        <f>COUNTIF(PrezențăOctombrie[[#This Row],[1]:[31]],Cod_3)</f>
        <v>0</v>
      </c>
      <c r="AL10" s="49">
        <f>COUNTIF(PrezențăOctombrie[[#This Row],[1]:[31]],Cod_4)</f>
        <v>0</v>
      </c>
      <c r="AM10" s="6">
        <f>SUM(PrezențăOctombrie[[#This Row],[M]:[N]])</f>
        <v>0</v>
      </c>
      <c r="AN10" s="10"/>
    </row>
    <row r="11" spans="1:40" ht="16.5" customHeight="1" x14ac:dyDescent="0.25">
      <c r="B11" s="47"/>
      <c r="C11" s="21" t="str">
        <f>IFERROR(VLOOKUP(PrezențăOctombrie[[#This Row],[ID elev]],ListăElevi[],18,FALSE),"")</f>
        <v/>
      </c>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6"/>
      <c r="AG11" s="24"/>
      <c r="AH11" s="24"/>
      <c r="AI11" s="6">
        <f>COUNTIF(PrezențăOctombrie[[#This Row],[1]:[31]],Cod_1)</f>
        <v>0</v>
      </c>
      <c r="AJ11" s="49">
        <f>COUNTIF(PrezențăOctombrie[[#This Row],[1]:[31]],Cod_2)</f>
        <v>0</v>
      </c>
      <c r="AK11" s="49">
        <f>COUNTIF(PrezențăOctombrie[[#This Row],[1]:[31]],Cod_3)</f>
        <v>0</v>
      </c>
      <c r="AL11" s="49">
        <f>COUNTIF(PrezențăOctombrie[[#This Row],[1]:[31]],Cod_4)</f>
        <v>0</v>
      </c>
      <c r="AM11" s="6">
        <f>SUM(PrezențăOctombrie[[#This Row],[M]:[N]])</f>
        <v>0</v>
      </c>
      <c r="AN11" s="10"/>
    </row>
    <row r="12" spans="1:40" ht="16.5" customHeight="1" x14ac:dyDescent="0.25">
      <c r="B12" s="140"/>
      <c r="C12" s="141" t="s">
        <v>119</v>
      </c>
      <c r="D12" s="142">
        <f>COUNTIF(PrezențăOctombrie[1],"N")+COUNTIF(PrezențăOctombrie[1],"M")</f>
        <v>0</v>
      </c>
      <c r="E12" s="142">
        <f>COUNTIF(PrezențăOctombrie[2],"N")+COUNTIF(PrezențăOctombrie[2],"M")</f>
        <v>0</v>
      </c>
      <c r="F12" s="142">
        <f>COUNTIF(PrezențăOctombrie[3],"N")+COUNTIF(PrezențăOctombrie[3],"M")</f>
        <v>0</v>
      </c>
      <c r="G12" s="142">
        <f>COUNTIF(PrezențăOctombrie[4],"N")+COUNTIF(PrezențăOctombrie[4],"M")</f>
        <v>0</v>
      </c>
      <c r="H12" s="142">
        <f>COUNTIF(PrezențăOctombrie[5],"N")+COUNTIF(PrezențăOctombrie[5],"M")</f>
        <v>0</v>
      </c>
      <c r="I12" s="142">
        <f>COUNTIF(PrezențăOctombrie[6],"N")+COUNTIF(PrezențăOctombrie[6],"M")</f>
        <v>0</v>
      </c>
      <c r="J12" s="142">
        <f>COUNTIF(PrezențăOctombrie[7],"N")+COUNTIF(PrezențăOctombrie[7],"M")</f>
        <v>0</v>
      </c>
      <c r="K12" s="142">
        <f>COUNTIF(PrezențăOctombrie[8],"N")+COUNTIF(PrezențăOctombrie[8],"M")</f>
        <v>0</v>
      </c>
      <c r="L12" s="142">
        <f>COUNTIF(PrezențăOctombrie[9],"N")+COUNTIF(PrezențăOctombrie[9],"M")</f>
        <v>0</v>
      </c>
      <c r="M12" s="142">
        <f>COUNTIF(PrezențăOctombrie[10],"N")+COUNTIF(PrezențăOctombrie[10],"M")</f>
        <v>0</v>
      </c>
      <c r="N12" s="142">
        <f>COUNTIF(PrezențăOctombrie[11],"N")+COUNTIF(PrezențăOctombrie[11],"M")</f>
        <v>0</v>
      </c>
      <c r="O12" s="142">
        <f>COUNTIF(PrezențăOctombrie[12],"N")+COUNTIF(PrezențăOctombrie[12],"M")</f>
        <v>0</v>
      </c>
      <c r="P12" s="142">
        <f>COUNTIF(PrezențăOctombrie[13],"N")+COUNTIF(PrezențăOctombrie[13],"M")</f>
        <v>0</v>
      </c>
      <c r="Q12" s="142">
        <f>COUNTIF(PrezențăOctombrie[14],"N")+COUNTIF(PrezențăOctombrie[14],"M")</f>
        <v>0</v>
      </c>
      <c r="R12" s="142">
        <f>COUNTIF(PrezențăOctombrie[15],"N")+COUNTIF(PrezențăOctombrie[15],"M")</f>
        <v>0</v>
      </c>
      <c r="S12" s="142">
        <f>COUNTIF(PrezențăOctombrie[16],"N")+COUNTIF(PrezențăOctombrie[16],"M")</f>
        <v>0</v>
      </c>
      <c r="T12" s="142">
        <f>COUNTIF(PrezențăOctombrie[17],"N")+COUNTIF(PrezențăOctombrie[17],"M")</f>
        <v>0</v>
      </c>
      <c r="U12" s="142">
        <f>COUNTIF(PrezențăOctombrie[18],"N")+COUNTIF(PrezențăOctombrie[18],"M")</f>
        <v>0</v>
      </c>
      <c r="V12" s="142">
        <f>COUNTIF(PrezențăOctombrie[19],"N")+COUNTIF(PrezențăOctombrie[19],"M")</f>
        <v>0</v>
      </c>
      <c r="W12" s="142">
        <f>COUNTIF(PrezențăOctombrie[20],"N")+COUNTIF(PrezențăOctombrie[20],"M")</f>
        <v>0</v>
      </c>
      <c r="X12" s="142">
        <f>COUNTIF(PrezențăOctombrie[21],"N")+COUNTIF(PrezențăOctombrie[21],"M")</f>
        <v>0</v>
      </c>
      <c r="Y12" s="142">
        <f>COUNTIF(PrezențăOctombrie[22],"N")+COUNTIF(PrezențăOctombrie[22],"M")</f>
        <v>0</v>
      </c>
      <c r="Z12" s="142">
        <f>COUNTIF(PrezențăOctombrie[23],"N")+COUNTIF(PrezențăOctombrie[23],"M")</f>
        <v>0</v>
      </c>
      <c r="AA12" s="142">
        <f>COUNTIF(PrezențăOctombrie[24],"N")+COUNTIF(PrezențăOctombrie[24],"M")</f>
        <v>0</v>
      </c>
      <c r="AB12" s="142">
        <f>COUNTIF(PrezențăOctombrie[25],"N")+COUNTIF(PrezențăOctombrie[25],"M")</f>
        <v>0</v>
      </c>
      <c r="AC12" s="142">
        <f>COUNTIF(PrezențăOctombrie[26],"N")+COUNTIF(PrezențăOctombrie[26],"M")</f>
        <v>0</v>
      </c>
      <c r="AD12" s="142">
        <f>COUNTIF(PrezențăOctombrie[27],"N")+COUNTIF(PrezențăOctombrie[27],"M")</f>
        <v>0</v>
      </c>
      <c r="AE12" s="142">
        <f>COUNTIF(PrezențăOctombrie[28],"N")+COUNTIF(PrezențăOctombrie[28],"M")</f>
        <v>0</v>
      </c>
      <c r="AF12" s="142">
        <f>COUNTIF(PrezențăOctombrie[29],"N")+COUNTIF(PrezențăOctombrie[29],"M")</f>
        <v>0</v>
      </c>
      <c r="AG12" s="142">
        <f>COUNTIF(PrezențăOctombrie[30],"N")+COUNTIF(PrezențăOctombrie[30],"M")</f>
        <v>0</v>
      </c>
      <c r="AH12" s="142">
        <f>COUNTIF(PrezențăOctombrie[31],"N")+COUNTIF(PrezențăOctombrie[31],"M")</f>
        <v>0</v>
      </c>
      <c r="AI12" s="142">
        <f>SUBTOTAL(109,PrezențăOctombrie[Î])</f>
        <v>0</v>
      </c>
      <c r="AJ12" s="142">
        <f>SUBTOTAL(109,PrezențăOctombrie[M])</f>
        <v>0</v>
      </c>
      <c r="AK12" s="142">
        <f>SUBTOTAL(109,PrezențăOctombrie[P])</f>
        <v>0</v>
      </c>
      <c r="AL12" s="142">
        <f>SUBTOTAL(109,PrezențăOctombrie[P])</f>
        <v>0</v>
      </c>
      <c r="AM12" s="142">
        <f>SUBTOTAL(109,PrezențăOctombrie[Zile de absență])</f>
        <v>0</v>
      </c>
    </row>
    <row r="14" spans="1:40" ht="16.5" customHeight="1" x14ac:dyDescent="0.25"/>
    <row r="15" spans="1:40" ht="16.5" customHeight="1" x14ac:dyDescent="0.25"/>
    <row r="16" spans="1:40"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sheetData>
  <sheetProtection formatCells="0" formatColumns="0" formatRows="0" insertColumns="0" insertRows="0" insertHyperlinks="0" deleteColumns="0" deleteRows="0" sort="0" autoFilter="0" pivotTables="0"/>
  <mergeCells count="1">
    <mergeCell ref="AI5:AM5"/>
  </mergeCells>
  <conditionalFormatting sqref="AM7:AM11">
    <cfRule type="dataBar" priority="6">
      <dataBar>
        <cfvo type="min"/>
        <cfvo type="num" val="31"/>
        <color theme="4"/>
      </dataBar>
      <extLst>
        <ext xmlns:x14="http://schemas.microsoft.com/office/spreadsheetml/2009/9/main" uri="{B025F937-C7B1-47D3-B67F-A62EFF666E3E}">
          <x14:id>{6EA17848-2AAC-40C7-98F3-52AFCDA9173D}</x14:id>
        </ext>
      </extLst>
    </cfRule>
  </conditionalFormatting>
  <conditionalFormatting sqref="AG7:AI11">
    <cfRule type="expression" dxfId="914" priority="7" stopIfTrue="1">
      <formula>AG7=Cod_2</formula>
    </cfRule>
  </conditionalFormatting>
  <conditionalFormatting sqref="AG7:AH11">
    <cfRule type="expression" dxfId="913" priority="8" stopIfTrue="1">
      <formula>AG7=Cod_5</formula>
    </cfRule>
    <cfRule type="expression" dxfId="912" priority="9" stopIfTrue="1">
      <formula>AG7=Cod_4</formula>
    </cfRule>
    <cfRule type="expression" dxfId="911" priority="10" stopIfTrue="1">
      <formula>AG7=Cod_3</formula>
    </cfRule>
    <cfRule type="expression" dxfId="910" priority="11" stopIfTrue="1">
      <formula>AG7=Cod_1</formula>
    </cfRule>
  </conditionalFormatting>
  <conditionalFormatting sqref="D7:AF11">
    <cfRule type="expression" dxfId="909" priority="1" stopIfTrue="1">
      <formula>D7=Cod_2</formula>
    </cfRule>
  </conditionalFormatting>
  <conditionalFormatting sqref="D7:AF11">
    <cfRule type="expression" dxfId="908" priority="2" stopIfTrue="1">
      <formula>D7=Cod_5</formula>
    </cfRule>
    <cfRule type="expression" dxfId="907" priority="3" stopIfTrue="1">
      <formula>D7=Cod_4</formula>
    </cfRule>
    <cfRule type="expression" dxfId="906" priority="4" stopIfTrue="1">
      <formula>D7=Cod_3</formula>
    </cfRule>
    <cfRule type="expression" dxfId="905" priority="5" stopIfTrue="1">
      <formula>D7=Cod_1</formula>
    </cfRule>
  </conditionalFormatting>
  <dataValidations count="1">
    <dataValidation type="list" errorStyle="warning" allowBlank="1" showInputMessage="1" showErrorMessage="1" errorTitle="Atenție!" error="ID-ul elev pe care l-ați introdus nu se află în foaia Listă elevi. Puteți să faceți clic pe Da pentru a utiliza ID-ul introdus, dar acel ID elev nu va fi disponibil pe foaia Raport prezență elev." sqref="B7:B11">
      <formula1>IDCursant</formula1>
    </dataValidation>
  </dataValidations>
  <printOptions horizontalCentered="1"/>
  <pageMargins left="0.5" right="0.5" top="0.75" bottom="0.75" header="0.3" footer="0.3"/>
  <pageSetup paperSize="9" scale="59" fitToHeight="0" orientation="landscape" verticalDpi="120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6EA17848-2AAC-40C7-98F3-52AFCDA9173D}">
            <x14:dataBar minLength="0" maxLength="100" border="1" negativeBarBorderColorSameAsPositive="0">
              <x14:cfvo type="autoMin"/>
              <x14:cfvo type="num">
                <xm:f>31</xm:f>
              </x14:cfvo>
              <x14:borderColor theme="4"/>
              <x14:negativeFillColor rgb="FFFF0000"/>
              <x14:negativeBorderColor rgb="FFFF0000"/>
              <x14:axisColor rgb="FF000000"/>
            </x14:dataBar>
          </x14:cfRule>
          <xm:sqref>AM7:AM11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N346"/>
  <sheetViews>
    <sheetView showGridLines="0" zoomScaleNormal="100" workbookViewId="0">
      <pane xSplit="3" ySplit="6" topLeftCell="D7" activePane="bottomRight" state="frozen"/>
      <selection pane="topRight"/>
      <selection pane="bottomLeft"/>
      <selection pane="bottomRight"/>
    </sheetView>
  </sheetViews>
  <sheetFormatPr defaultRowHeight="15" customHeight="1" x14ac:dyDescent="0.25"/>
  <cols>
    <col min="1" max="1" width="2.7109375" style="11" customWidth="1"/>
    <col min="2" max="2" width="10.85546875" style="11" customWidth="1"/>
    <col min="3" max="3" width="32.140625" style="12" bestFit="1" customWidth="1"/>
    <col min="4" max="34" width="5" style="10" customWidth="1"/>
    <col min="35" max="35" width="4.7109375" style="9" customWidth="1"/>
    <col min="36" max="36" width="4.7109375" style="10" customWidth="1"/>
    <col min="37" max="38" width="4.7109375" style="11" customWidth="1"/>
    <col min="39" max="39" width="15.140625" style="11" bestFit="1" customWidth="1"/>
    <col min="40" max="16384" width="9.140625" style="11"/>
  </cols>
  <sheetData>
    <row r="1" spans="1:40" s="1" customFormat="1" ht="42" customHeight="1" x14ac:dyDescent="0.25">
      <c r="A1" s="139" t="s">
        <v>88</v>
      </c>
      <c r="B1" s="38"/>
      <c r="C1" s="38"/>
      <c r="D1" s="39"/>
      <c r="E1" s="39"/>
      <c r="F1" s="39"/>
      <c r="G1" s="39"/>
      <c r="H1" s="39"/>
      <c r="I1" s="39"/>
      <c r="J1" s="39"/>
      <c r="K1" s="39"/>
      <c r="L1" s="39"/>
      <c r="M1" s="39"/>
      <c r="N1" s="39"/>
      <c r="O1" s="39"/>
      <c r="P1" s="39"/>
      <c r="Q1" s="39"/>
      <c r="R1" s="39"/>
      <c r="S1" s="39"/>
      <c r="T1" s="39"/>
      <c r="U1" s="39"/>
      <c r="V1" s="39"/>
      <c r="W1" s="39"/>
      <c r="X1" s="39"/>
      <c r="Y1" s="39"/>
      <c r="Z1" s="39"/>
      <c r="AA1" s="39"/>
      <c r="AB1" s="39"/>
      <c r="AC1" s="38"/>
      <c r="AD1" s="38"/>
      <c r="AE1" s="38"/>
      <c r="AF1" s="38"/>
      <c r="AG1" s="40"/>
      <c r="AH1" s="38"/>
      <c r="AI1" s="38"/>
      <c r="AJ1" s="41"/>
      <c r="AK1" s="38"/>
      <c r="AL1" s="138" t="s">
        <v>71</v>
      </c>
      <c r="AM1" s="57">
        <f>AnCalendar</f>
        <v>2012</v>
      </c>
    </row>
    <row r="2" spans="1:40" customFormat="1" ht="13.5" x14ac:dyDescent="0.25"/>
    <row r="3" spans="1:40" s="32" customFormat="1" ht="12.75" customHeight="1" x14ac:dyDescent="0.25">
      <c r="C3" s="44" t="str">
        <f>CheieCuloareText</f>
        <v>CHEIE CULORI</v>
      </c>
      <c r="D3" s="51" t="str">
        <f>Cod_1</f>
        <v>Î</v>
      </c>
      <c r="E3" s="67" t="str">
        <f>Cod1Text</f>
        <v>Întârziat</v>
      </c>
      <c r="F3" s="58"/>
      <c r="H3" s="52" t="str">
        <f>Cod_2</f>
        <v>M</v>
      </c>
      <c r="I3" s="56" t="str">
        <f>Cod2Text</f>
        <v>Motivat</v>
      </c>
      <c r="L3" s="53" t="str">
        <f>Cod_3</f>
        <v>N</v>
      </c>
      <c r="M3" s="56" t="str">
        <f>Cod3Text</f>
        <v>Nemotivat</v>
      </c>
      <c r="P3" s="54" t="str">
        <f>Cod_4</f>
        <v>P</v>
      </c>
      <c r="Q3" s="56" t="str">
        <f>Cod4Text</f>
        <v>Prezent</v>
      </c>
      <c r="T3" s="55" t="str">
        <f>Cod_5</f>
        <v>Nu</v>
      </c>
      <c r="U3" s="56" t="str">
        <f>Cod5Text</f>
        <v>Nu a fost la școală</v>
      </c>
      <c r="W3"/>
      <c r="X3"/>
      <c r="Y3"/>
      <c r="AD3" s="31"/>
      <c r="AE3" s="31"/>
      <c r="AH3" s="33"/>
      <c r="AI3" s="34"/>
      <c r="AK3" s="35"/>
    </row>
    <row r="4" spans="1:40" customFormat="1" ht="16.5" customHeight="1" x14ac:dyDescent="0.25"/>
    <row r="5" spans="1:40" s="2" customFormat="1" ht="18" customHeight="1" x14ac:dyDescent="0.3">
      <c r="B5" s="60">
        <f>DATE(AnCalendar,11,1)</f>
        <v>41214</v>
      </c>
      <c r="C5" s="59"/>
      <c r="D5" s="42" t="str">
        <f>TEXT(WEEKDAY(DATE(AnCalendar,11,1),1),"aaa")</f>
        <v>J</v>
      </c>
      <c r="E5" s="42" t="str">
        <f>TEXT(WEEKDAY(DATE(AnCalendar,11,2),1),"aaa")</f>
        <v>V</v>
      </c>
      <c r="F5" s="42" t="str">
        <f>TEXT(WEEKDAY(DATE(AnCalendar,11,3),1),"aaa")</f>
        <v>S</v>
      </c>
      <c r="G5" s="42" t="str">
        <f>TEXT(WEEKDAY(DATE(AnCalendar,11,4),1),"aaa")</f>
        <v>D</v>
      </c>
      <c r="H5" s="42" t="str">
        <f>TEXT(WEEKDAY(DATE(AnCalendar,11,5),1),"aaa")</f>
        <v>L</v>
      </c>
      <c r="I5" s="42" t="str">
        <f>TEXT(WEEKDAY(DATE(AnCalendar,11,6),1),"aaa")</f>
        <v>Ma</v>
      </c>
      <c r="J5" s="42" t="str">
        <f>TEXT(WEEKDAY(DATE(AnCalendar,11,7),1),"aaa")</f>
        <v>Mi</v>
      </c>
      <c r="K5" s="42" t="str">
        <f>TEXT(WEEKDAY(DATE(AnCalendar,11,8),1),"aaa")</f>
        <v>J</v>
      </c>
      <c r="L5" s="42" t="str">
        <f>TEXT(WEEKDAY(DATE(AnCalendar,11,9),1),"aaa")</f>
        <v>V</v>
      </c>
      <c r="M5" s="42" t="str">
        <f>TEXT(WEEKDAY(DATE(AnCalendar,11,10),1),"aaa")</f>
        <v>S</v>
      </c>
      <c r="N5" s="42" t="str">
        <f>TEXT(WEEKDAY(DATE(AnCalendar,11,11),1),"aaa")</f>
        <v>D</v>
      </c>
      <c r="O5" s="42" t="str">
        <f>TEXT(WEEKDAY(DATE(AnCalendar,11,12),1),"aaa")</f>
        <v>L</v>
      </c>
      <c r="P5" s="42" t="str">
        <f>TEXT(WEEKDAY(DATE(AnCalendar,11,13),1),"aaa")</f>
        <v>Ma</v>
      </c>
      <c r="Q5" s="42" t="str">
        <f>TEXT(WEEKDAY(DATE(AnCalendar,11,14),1),"aaa")</f>
        <v>Mi</v>
      </c>
      <c r="R5" s="42" t="str">
        <f>TEXT(WEEKDAY(DATE(AnCalendar,11,15),1),"aaa")</f>
        <v>J</v>
      </c>
      <c r="S5" s="42" t="str">
        <f>TEXT(WEEKDAY(DATE(AnCalendar,11,16),1),"aaa")</f>
        <v>V</v>
      </c>
      <c r="T5" s="42" t="str">
        <f>TEXT(WEEKDAY(DATE(AnCalendar,11,17),1),"aaa")</f>
        <v>S</v>
      </c>
      <c r="U5" s="42" t="str">
        <f>TEXT(WEEKDAY(DATE(AnCalendar,11,18),1),"aaa")</f>
        <v>D</v>
      </c>
      <c r="V5" s="42" t="str">
        <f>TEXT(WEEKDAY(DATE(AnCalendar,11,19),1),"aaa")</f>
        <v>L</v>
      </c>
      <c r="W5" s="42" t="str">
        <f>TEXT(WEEKDAY(DATE(AnCalendar,11,20),1),"aaa")</f>
        <v>Ma</v>
      </c>
      <c r="X5" s="42" t="str">
        <f>TEXT(WEEKDAY(DATE(AnCalendar,11,21),1),"aaa")</f>
        <v>Mi</v>
      </c>
      <c r="Y5" s="42" t="str">
        <f>TEXT(WEEKDAY(DATE(AnCalendar,11,22),1),"aaa")</f>
        <v>J</v>
      </c>
      <c r="Z5" s="42" t="str">
        <f>TEXT(WEEKDAY(DATE(AnCalendar,11,23),1),"aaa")</f>
        <v>V</v>
      </c>
      <c r="AA5" s="42" t="str">
        <f>TEXT(WEEKDAY(DATE(AnCalendar,11,24),1),"aaa")</f>
        <v>S</v>
      </c>
      <c r="AB5" s="42" t="str">
        <f>TEXT(WEEKDAY(DATE(AnCalendar,11,25),1),"aaa")</f>
        <v>D</v>
      </c>
      <c r="AC5" s="42" t="str">
        <f>TEXT(WEEKDAY(DATE(AnCalendar,11,26),1),"aaa")</f>
        <v>L</v>
      </c>
      <c r="AD5" s="42" t="str">
        <f>TEXT(WEEKDAY(DATE(AnCalendar,11,27),1),"aaa")</f>
        <v>Ma</v>
      </c>
      <c r="AE5" s="42" t="str">
        <f>TEXT(WEEKDAY(DATE(AnCalendar,11,28),1),"aaa")</f>
        <v>Mi</v>
      </c>
      <c r="AF5" s="42" t="str">
        <f>TEXT(WEEKDAY(DATE(AnCalendar,11,29),1),"aaa")</f>
        <v>J</v>
      </c>
      <c r="AG5" s="42" t="str">
        <f>TEXT(WEEKDAY(DATE(AnCalendar,11,30),1),"aaa")</f>
        <v>V</v>
      </c>
      <c r="AH5" s="42"/>
      <c r="AI5" s="113" t="s">
        <v>41</v>
      </c>
      <c r="AJ5" s="114"/>
      <c r="AK5" s="114"/>
      <c r="AL5" s="114"/>
      <c r="AM5" s="115"/>
    </row>
    <row r="6" spans="1:40" s="5" customFormat="1" ht="14.25" customHeight="1" x14ac:dyDescent="0.25">
      <c r="B6" s="45" t="s">
        <v>34</v>
      </c>
      <c r="C6" s="46" t="s">
        <v>36</v>
      </c>
      <c r="D6" s="3" t="s">
        <v>0</v>
      </c>
      <c r="E6" s="3" t="s">
        <v>1</v>
      </c>
      <c r="F6" s="3" t="s">
        <v>2</v>
      </c>
      <c r="G6" s="3" t="s">
        <v>3</v>
      </c>
      <c r="H6" s="3" t="s">
        <v>4</v>
      </c>
      <c r="I6" s="3" t="s">
        <v>5</v>
      </c>
      <c r="J6" s="3" t="s">
        <v>6</v>
      </c>
      <c r="K6" s="3" t="s">
        <v>7</v>
      </c>
      <c r="L6" s="3" t="s">
        <v>8</v>
      </c>
      <c r="M6" s="3" t="s">
        <v>9</v>
      </c>
      <c r="N6" s="3" t="s">
        <v>10</v>
      </c>
      <c r="O6" s="3" t="s">
        <v>11</v>
      </c>
      <c r="P6" s="3" t="s">
        <v>12</v>
      </c>
      <c r="Q6" s="3" t="s">
        <v>13</v>
      </c>
      <c r="R6" s="3" t="s">
        <v>14</v>
      </c>
      <c r="S6" s="3" t="s">
        <v>15</v>
      </c>
      <c r="T6" s="3" t="s">
        <v>16</v>
      </c>
      <c r="U6" s="3" t="s">
        <v>17</v>
      </c>
      <c r="V6" s="3" t="s">
        <v>18</v>
      </c>
      <c r="W6" s="3" t="s">
        <v>19</v>
      </c>
      <c r="X6" s="3" t="s">
        <v>20</v>
      </c>
      <c r="Y6" s="3" t="s">
        <v>21</v>
      </c>
      <c r="Z6" s="3" t="s">
        <v>22</v>
      </c>
      <c r="AA6" s="3" t="s">
        <v>23</v>
      </c>
      <c r="AB6" s="3" t="s">
        <v>24</v>
      </c>
      <c r="AC6" s="3" t="s">
        <v>25</v>
      </c>
      <c r="AD6" s="3" t="s">
        <v>26</v>
      </c>
      <c r="AE6" s="3" t="s">
        <v>27</v>
      </c>
      <c r="AF6" s="3" t="s">
        <v>28</v>
      </c>
      <c r="AG6" s="3" t="s">
        <v>29</v>
      </c>
      <c r="AH6" s="3" t="s">
        <v>118</v>
      </c>
      <c r="AI6" s="88" t="s">
        <v>37</v>
      </c>
      <c r="AJ6" s="52" t="s">
        <v>39</v>
      </c>
      <c r="AK6" s="53" t="s">
        <v>38</v>
      </c>
      <c r="AL6" s="68" t="s">
        <v>31</v>
      </c>
      <c r="AM6" s="50" t="s">
        <v>40</v>
      </c>
      <c r="AN6" s="4"/>
    </row>
    <row r="7" spans="1:40" s="5" customFormat="1" ht="16.5" customHeight="1" x14ac:dyDescent="0.25">
      <c r="B7" s="47"/>
      <c r="C7" s="48" t="str">
        <f>IFERROR(VLOOKUP(PrezențăNoiembrie[[#This Row],[ID elev]],ListăElevi[],18,FALSE),"")</f>
        <v/>
      </c>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6"/>
      <c r="AG7" s="24"/>
      <c r="AH7" s="24"/>
      <c r="AI7" s="6">
        <f>COUNTIF(PrezențăNoiembrie[[#This Row],[1]:[ ]],Cod_1)</f>
        <v>0</v>
      </c>
      <c r="AJ7" s="49">
        <f>COUNTIF(PrezențăNoiembrie[[#This Row],[1]:[ ]],Cod_2)</f>
        <v>0</v>
      </c>
      <c r="AK7" s="49">
        <f>COUNTIF(PrezențăNoiembrie[[#This Row],[1]:[ ]],Cod_3)</f>
        <v>0</v>
      </c>
      <c r="AL7" s="49">
        <f>COUNTIF(PrezențăNoiembrie[[#This Row],[1]:[ ]],Cod_4)</f>
        <v>0</v>
      </c>
      <c r="AM7" s="6">
        <f>SUM(PrezențăNoiembrie[[#This Row],[M]:[N]])</f>
        <v>0</v>
      </c>
      <c r="AN7" s="4"/>
    </row>
    <row r="8" spans="1:40" s="5" customFormat="1" ht="16.5" customHeight="1" x14ac:dyDescent="0.25">
      <c r="B8" s="47"/>
      <c r="C8" s="21" t="str">
        <f>IFERROR(VLOOKUP(PrezențăNoiembrie[[#This Row],[ID elev]],ListăElevi[],18,FALSE),"")</f>
        <v/>
      </c>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6"/>
      <c r="AG8" s="24"/>
      <c r="AH8" s="24"/>
      <c r="AI8" s="6">
        <f>COUNTIF(PrezențăNoiembrie[[#This Row],[1]:[ ]],Cod_1)</f>
        <v>0</v>
      </c>
      <c r="AJ8" s="49">
        <f>COUNTIF(PrezențăNoiembrie[[#This Row],[1]:[ ]],Cod_2)</f>
        <v>0</v>
      </c>
      <c r="AK8" s="49">
        <f>COUNTIF(PrezențăNoiembrie[[#This Row],[1]:[ ]],Cod_3)</f>
        <v>0</v>
      </c>
      <c r="AL8" s="49">
        <f>COUNTIF(PrezențăNoiembrie[[#This Row],[1]:[ ]],Cod_4)</f>
        <v>0</v>
      </c>
      <c r="AM8" s="6">
        <f>SUM(PrezențăNoiembrie[[#This Row],[M]:[N]])</f>
        <v>0</v>
      </c>
      <c r="AN8" s="4"/>
    </row>
    <row r="9" spans="1:40" s="8" customFormat="1" ht="16.5" customHeight="1" x14ac:dyDescent="0.25">
      <c r="B9" s="47"/>
      <c r="C9" s="21" t="str">
        <f>IFERROR(VLOOKUP(PrezențăNoiembrie[[#This Row],[ID elev]],ListăElevi[],18,FALSE),"")</f>
        <v/>
      </c>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6"/>
      <c r="AG9" s="24"/>
      <c r="AH9" s="24"/>
      <c r="AI9" s="6">
        <f>COUNTIF(PrezențăNoiembrie[[#This Row],[1]:[ ]],Cod_1)</f>
        <v>0</v>
      </c>
      <c r="AJ9" s="49">
        <f>COUNTIF(PrezențăNoiembrie[[#This Row],[1]:[ ]],Cod_2)</f>
        <v>0</v>
      </c>
      <c r="AK9" s="49">
        <f>COUNTIF(PrezențăNoiembrie[[#This Row],[1]:[ ]],Cod_3)</f>
        <v>0</v>
      </c>
      <c r="AL9" s="49">
        <f>COUNTIF(PrezențăNoiembrie[[#This Row],[1]:[ ]],Cod_4)</f>
        <v>0</v>
      </c>
      <c r="AM9" s="6">
        <f>SUM(PrezențăNoiembrie[[#This Row],[M]:[N]])</f>
        <v>0</v>
      </c>
      <c r="AN9" s="7"/>
    </row>
    <row r="10" spans="1:40" ht="16.5" customHeight="1" x14ac:dyDescent="0.25">
      <c r="B10" s="47"/>
      <c r="C10" s="21" t="str">
        <f>IFERROR(VLOOKUP(PrezențăNoiembrie[[#This Row],[ID elev]],ListăElevi[],18,FALSE),"")</f>
        <v/>
      </c>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6"/>
      <c r="AG10" s="24"/>
      <c r="AH10" s="24"/>
      <c r="AI10" s="6">
        <f>COUNTIF(PrezențăNoiembrie[[#This Row],[1]:[ ]],Cod_1)</f>
        <v>0</v>
      </c>
      <c r="AJ10" s="49">
        <f>COUNTIF(PrezențăNoiembrie[[#This Row],[1]:[ ]],Cod_2)</f>
        <v>0</v>
      </c>
      <c r="AK10" s="49">
        <f>COUNTIF(PrezențăNoiembrie[[#This Row],[1]:[ ]],Cod_3)</f>
        <v>0</v>
      </c>
      <c r="AL10" s="49">
        <f>COUNTIF(PrezențăNoiembrie[[#This Row],[1]:[ ]],Cod_4)</f>
        <v>0</v>
      </c>
      <c r="AM10" s="6">
        <f>SUM(PrezențăNoiembrie[[#This Row],[M]:[N]])</f>
        <v>0</v>
      </c>
      <c r="AN10" s="10"/>
    </row>
    <row r="11" spans="1:40" ht="16.5" customHeight="1" x14ac:dyDescent="0.25">
      <c r="B11" s="47"/>
      <c r="C11" s="21" t="str">
        <f>IFERROR(VLOOKUP(PrezențăNoiembrie[[#This Row],[ID elev]],ListăElevi[],18,FALSE),"")</f>
        <v/>
      </c>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6"/>
      <c r="AG11" s="24"/>
      <c r="AH11" s="24"/>
      <c r="AI11" s="6">
        <f>COUNTIF(PrezențăNoiembrie[[#This Row],[1]:[ ]],Cod_1)</f>
        <v>0</v>
      </c>
      <c r="AJ11" s="49">
        <f>COUNTIF(PrezențăNoiembrie[[#This Row],[1]:[ ]],Cod_2)</f>
        <v>0</v>
      </c>
      <c r="AK11" s="49">
        <f>COUNTIF(PrezențăNoiembrie[[#This Row],[1]:[ ]],Cod_3)</f>
        <v>0</v>
      </c>
      <c r="AL11" s="49">
        <f>COUNTIF(PrezențăNoiembrie[[#This Row],[1]:[ ]],Cod_4)</f>
        <v>0</v>
      </c>
      <c r="AM11" s="6">
        <f>SUM(PrezențăNoiembrie[[#This Row],[M]:[N]])</f>
        <v>0</v>
      </c>
      <c r="AN11" s="10"/>
    </row>
    <row r="12" spans="1:40" ht="16.5" customHeight="1" x14ac:dyDescent="0.25">
      <c r="B12" s="140"/>
      <c r="C12" s="141" t="s">
        <v>119</v>
      </c>
      <c r="D12" s="142">
        <f>COUNTIF(PrezențăNoiembrie[1],"N")+COUNTIF(PrezențăNoiembrie[1],"M")</f>
        <v>0</v>
      </c>
      <c r="E12" s="142">
        <f>COUNTIF(PrezențăNoiembrie[2],"N")+COUNTIF(PrezențăNoiembrie[2],"M")</f>
        <v>0</v>
      </c>
      <c r="F12" s="142">
        <f>COUNTIF(PrezențăNoiembrie[3],"N")+COUNTIF(PrezențăNoiembrie[3],"M")</f>
        <v>0</v>
      </c>
      <c r="G12" s="142">
        <f>COUNTIF(PrezențăNoiembrie[4],"N")+COUNTIF(PrezențăNoiembrie[4],"M")</f>
        <v>0</v>
      </c>
      <c r="H12" s="142">
        <f>COUNTIF(PrezențăNoiembrie[5],"N")+COUNTIF(PrezențăNoiembrie[5],"M")</f>
        <v>0</v>
      </c>
      <c r="I12" s="142">
        <f>COUNTIF(PrezențăNoiembrie[6],"N")+COUNTIF(PrezențăNoiembrie[6],"M")</f>
        <v>0</v>
      </c>
      <c r="J12" s="142">
        <f>COUNTIF(PrezențăNoiembrie[7],"N")+COUNTIF(PrezențăNoiembrie[7],"M")</f>
        <v>0</v>
      </c>
      <c r="K12" s="142">
        <f>COUNTIF(PrezențăNoiembrie[8],"N")+COUNTIF(PrezențăNoiembrie[8],"M")</f>
        <v>0</v>
      </c>
      <c r="L12" s="142">
        <f>COUNTIF(PrezențăNoiembrie[9],"N")+COUNTIF(PrezențăNoiembrie[9],"M")</f>
        <v>0</v>
      </c>
      <c r="M12" s="142">
        <f>COUNTIF(PrezențăNoiembrie[10],"N")+COUNTIF(PrezențăNoiembrie[10],"M")</f>
        <v>0</v>
      </c>
      <c r="N12" s="142">
        <f>COUNTIF(PrezențăNoiembrie[11],"N")+COUNTIF(PrezențăNoiembrie[11],"M")</f>
        <v>0</v>
      </c>
      <c r="O12" s="142">
        <f>COUNTIF(PrezențăNoiembrie[12],"N")+COUNTIF(PrezențăNoiembrie[12],"M")</f>
        <v>0</v>
      </c>
      <c r="P12" s="142">
        <f>COUNTIF(PrezențăNoiembrie[13],"N")+COUNTIF(PrezențăNoiembrie[13],"M")</f>
        <v>0</v>
      </c>
      <c r="Q12" s="142">
        <f>COUNTIF(PrezențăNoiembrie[14],"N")+COUNTIF(PrezențăNoiembrie[14],"M")</f>
        <v>0</v>
      </c>
      <c r="R12" s="142">
        <f>COUNTIF(PrezențăNoiembrie[15],"N")+COUNTIF(PrezențăNoiembrie[15],"M")</f>
        <v>0</v>
      </c>
      <c r="S12" s="142">
        <f>COUNTIF(PrezențăNoiembrie[16],"N")+COUNTIF(PrezențăNoiembrie[16],"M")</f>
        <v>0</v>
      </c>
      <c r="T12" s="142">
        <f>COUNTIF(PrezențăNoiembrie[17],"N")+COUNTIF(PrezențăNoiembrie[17],"M")</f>
        <v>0</v>
      </c>
      <c r="U12" s="142">
        <f>COUNTIF(PrezențăNoiembrie[18],"N")+COUNTIF(PrezențăNoiembrie[18],"M")</f>
        <v>0</v>
      </c>
      <c r="V12" s="142">
        <f>COUNTIF(PrezențăNoiembrie[19],"N")+COUNTIF(PrezențăNoiembrie[19],"M")</f>
        <v>0</v>
      </c>
      <c r="W12" s="142">
        <f>COUNTIF(PrezențăNoiembrie[20],"N")+COUNTIF(PrezențăNoiembrie[20],"M")</f>
        <v>0</v>
      </c>
      <c r="X12" s="142">
        <f>COUNTIF(PrezențăNoiembrie[21],"N")+COUNTIF(PrezențăNoiembrie[21],"M")</f>
        <v>0</v>
      </c>
      <c r="Y12" s="142">
        <f>COUNTIF(PrezențăNoiembrie[22],"N")+COUNTIF(PrezențăNoiembrie[22],"M")</f>
        <v>0</v>
      </c>
      <c r="Z12" s="142">
        <f>COUNTIF(PrezențăNoiembrie[23],"N")+COUNTIF(PrezențăNoiembrie[23],"M")</f>
        <v>0</v>
      </c>
      <c r="AA12" s="142">
        <f>COUNTIF(PrezențăNoiembrie[24],"N")+COUNTIF(PrezențăNoiembrie[24],"M")</f>
        <v>0</v>
      </c>
      <c r="AB12" s="142">
        <f>COUNTIF(PrezențăNoiembrie[25],"N")+COUNTIF(PrezențăNoiembrie[25],"M")</f>
        <v>0</v>
      </c>
      <c r="AC12" s="142">
        <f>COUNTIF(PrezențăNoiembrie[26],"N")+COUNTIF(PrezențăNoiembrie[26],"M")</f>
        <v>0</v>
      </c>
      <c r="AD12" s="142">
        <f>COUNTIF(PrezențăNoiembrie[27],"N")+COUNTIF(PrezențăNoiembrie[27],"M")</f>
        <v>0</v>
      </c>
      <c r="AE12" s="142">
        <f>COUNTIF(PrezențăNoiembrie[28],"N")+COUNTIF(PrezențăNoiembrie[28],"M")</f>
        <v>0</v>
      </c>
      <c r="AF12" s="142">
        <f>COUNTIF(PrezențăNoiembrie[29],"N")+COUNTIF(PrezențăNoiembrie[29],"M")</f>
        <v>0</v>
      </c>
      <c r="AG12" s="142">
        <f>COUNTIF(PrezențăNoiembrie[30],"N")+COUNTIF(PrezențăNoiembrie[30],"M")</f>
        <v>0</v>
      </c>
      <c r="AH12" s="142">
        <f>COUNTIF(PrezențăNoiembrie[[ ]],"N")+COUNTIF(PrezențăNoiembrie[[ ]],"M")</f>
        <v>0</v>
      </c>
      <c r="AI12" s="142">
        <f>SUBTOTAL(109,PrezențăNoiembrie[Î])</f>
        <v>0</v>
      </c>
      <c r="AJ12" s="142">
        <f>SUBTOTAL(109,PrezențăNoiembrie[M])</f>
        <v>0</v>
      </c>
      <c r="AK12" s="142">
        <f>SUBTOTAL(109,PrezențăNoiembrie[N])</f>
        <v>0</v>
      </c>
      <c r="AL12" s="142">
        <f>SUBTOTAL(109,PrezențăNoiembrie[P])</f>
        <v>0</v>
      </c>
      <c r="AM12" s="142">
        <f>SUBTOTAL(109,PrezențăNoiembrie[Zile de absență])</f>
        <v>0</v>
      </c>
    </row>
    <row r="14" spans="1:40" ht="16.5" customHeight="1" x14ac:dyDescent="0.25"/>
    <row r="15" spans="1:40" ht="16.5" customHeight="1" x14ac:dyDescent="0.25"/>
    <row r="16" spans="1:40"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sheetData>
  <sheetProtection formatCells="0" formatColumns="0" formatRows="0" insertColumns="0" insertRows="0" insertHyperlinks="0" deleteColumns="0" deleteRows="0" sort="0" autoFilter="0" pivotTables="0"/>
  <mergeCells count="1">
    <mergeCell ref="AI5:AM5"/>
  </mergeCells>
  <conditionalFormatting sqref="AM7:AM11">
    <cfRule type="dataBar" priority="6">
      <dataBar>
        <cfvo type="min"/>
        <cfvo type="num" val="31"/>
        <color theme="4"/>
      </dataBar>
      <extLst>
        <ext xmlns:x14="http://schemas.microsoft.com/office/spreadsheetml/2009/9/main" uri="{B025F937-C7B1-47D3-B67F-A62EFF666E3E}">
          <x14:id>{4EF7D5CF-EA6D-4C42-92A1-96F3633946CC}</x14:id>
        </ext>
      </extLst>
    </cfRule>
  </conditionalFormatting>
  <conditionalFormatting sqref="AG7:AI11">
    <cfRule type="expression" dxfId="869" priority="7" stopIfTrue="1">
      <formula>AG7=Cod_2</formula>
    </cfRule>
  </conditionalFormatting>
  <conditionalFormatting sqref="AG7:AH11">
    <cfRule type="expression" dxfId="868" priority="8" stopIfTrue="1">
      <formula>AG7=Cod_5</formula>
    </cfRule>
    <cfRule type="expression" dxfId="867" priority="9" stopIfTrue="1">
      <formula>AG7=Cod_4</formula>
    </cfRule>
    <cfRule type="expression" dxfId="866" priority="10" stopIfTrue="1">
      <formula>AG7=Cod_3</formula>
    </cfRule>
    <cfRule type="expression" dxfId="865" priority="11" stopIfTrue="1">
      <formula>AG7=Cod_1</formula>
    </cfRule>
  </conditionalFormatting>
  <conditionalFormatting sqref="D7:AF11">
    <cfRule type="expression" dxfId="864" priority="1" stopIfTrue="1">
      <formula>D7=Cod_2</formula>
    </cfRule>
  </conditionalFormatting>
  <conditionalFormatting sqref="D7:AF11">
    <cfRule type="expression" dxfId="863" priority="2" stopIfTrue="1">
      <formula>D7=Cod_5</formula>
    </cfRule>
    <cfRule type="expression" dxfId="862" priority="3" stopIfTrue="1">
      <formula>D7=Cod_4</formula>
    </cfRule>
    <cfRule type="expression" dxfId="861" priority="4" stopIfTrue="1">
      <formula>D7=Cod_3</formula>
    </cfRule>
    <cfRule type="expression" dxfId="860" priority="5" stopIfTrue="1">
      <formula>D7=Cod_1</formula>
    </cfRule>
  </conditionalFormatting>
  <dataValidations count="1">
    <dataValidation type="list" errorStyle="warning" allowBlank="1" showInputMessage="1" showErrorMessage="1" errorTitle="Atenție!" error="ID-ul elev pe care l-ați introdus nu se află în foaia Listă elevi. Puteți să faceți clic pe Da pentru a utiliza ID-ul introdus, dar acel ID elev nu va fi disponibil pe foaia Raport prezență elev." sqref="B7:B11">
      <formula1>IDCursant</formula1>
    </dataValidation>
  </dataValidations>
  <printOptions horizontalCentered="1"/>
  <pageMargins left="0.5" right="0.5" top="0.75" bottom="0.75" header="0.3" footer="0.3"/>
  <pageSetup paperSize="9" scale="59" fitToHeight="0" orientation="landscape" verticalDpi="120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4EF7D5CF-EA6D-4C42-92A1-96F3633946CC}">
            <x14:dataBar minLength="0" maxLength="100" border="1" negativeBarBorderColorSameAsPositive="0">
              <x14:cfvo type="autoMin"/>
              <x14:cfvo type="num">
                <xm:f>31</xm:f>
              </x14:cfvo>
              <x14:borderColor theme="4"/>
              <x14:negativeFillColor rgb="FFFF0000"/>
              <x14:negativeBorderColor rgb="FFFF0000"/>
              <x14:axisColor rgb="FF000000"/>
            </x14:dataBar>
          </x14:cfRule>
          <xm:sqref>AM7:AM11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N346"/>
  <sheetViews>
    <sheetView showGridLines="0" zoomScaleNormal="100" workbookViewId="0">
      <pane xSplit="3" ySplit="6" topLeftCell="D7" activePane="bottomRight" state="frozen"/>
      <selection pane="topRight"/>
      <selection pane="bottomLeft"/>
      <selection pane="bottomRight"/>
    </sheetView>
  </sheetViews>
  <sheetFormatPr defaultRowHeight="15" customHeight="1" x14ac:dyDescent="0.25"/>
  <cols>
    <col min="1" max="1" width="2.7109375" style="11" customWidth="1"/>
    <col min="2" max="2" width="10.85546875" style="11" customWidth="1"/>
    <col min="3" max="3" width="32.140625" style="12" bestFit="1" customWidth="1"/>
    <col min="4" max="34" width="5" style="10" customWidth="1"/>
    <col min="35" max="35" width="4.7109375" style="9" customWidth="1"/>
    <col min="36" max="36" width="4.7109375" style="10" customWidth="1"/>
    <col min="37" max="38" width="4.7109375" style="11" customWidth="1"/>
    <col min="39" max="39" width="15.140625" style="11" bestFit="1" customWidth="1"/>
    <col min="40" max="16384" width="9.140625" style="11"/>
  </cols>
  <sheetData>
    <row r="1" spans="1:40" s="1" customFormat="1" ht="42" customHeight="1" x14ac:dyDescent="0.25">
      <c r="A1" s="139" t="s">
        <v>88</v>
      </c>
      <c r="B1" s="38"/>
      <c r="C1" s="38"/>
      <c r="D1" s="39"/>
      <c r="E1" s="39"/>
      <c r="F1" s="39"/>
      <c r="G1" s="39"/>
      <c r="H1" s="39"/>
      <c r="I1" s="39"/>
      <c r="J1" s="39"/>
      <c r="K1" s="39"/>
      <c r="L1" s="39"/>
      <c r="M1" s="39"/>
      <c r="N1" s="39"/>
      <c r="O1" s="39"/>
      <c r="P1" s="39"/>
      <c r="Q1" s="39"/>
      <c r="R1" s="39"/>
      <c r="S1" s="39"/>
      <c r="T1" s="39"/>
      <c r="U1" s="39"/>
      <c r="V1" s="39"/>
      <c r="W1" s="39"/>
      <c r="X1" s="39"/>
      <c r="Y1" s="39"/>
      <c r="Z1" s="39"/>
      <c r="AA1" s="39"/>
      <c r="AB1" s="39"/>
      <c r="AC1" s="38"/>
      <c r="AD1" s="38"/>
      <c r="AE1" s="38"/>
      <c r="AF1" s="38"/>
      <c r="AG1" s="40"/>
      <c r="AH1" s="38"/>
      <c r="AI1" s="38"/>
      <c r="AJ1" s="41"/>
      <c r="AK1" s="38"/>
      <c r="AL1" s="138" t="s">
        <v>71</v>
      </c>
      <c r="AM1" s="57">
        <f>AnCalendar</f>
        <v>2012</v>
      </c>
    </row>
    <row r="2" spans="1:40" customFormat="1" ht="13.5" x14ac:dyDescent="0.25"/>
    <row r="3" spans="1:40" s="32" customFormat="1" ht="12.75" customHeight="1" x14ac:dyDescent="0.25">
      <c r="C3" s="44" t="str">
        <f>CheieCuloareText</f>
        <v>CHEIE CULORI</v>
      </c>
      <c r="D3" s="51" t="str">
        <f>Cod_1</f>
        <v>Î</v>
      </c>
      <c r="E3" s="67" t="str">
        <f>Cod1Text</f>
        <v>Întârziat</v>
      </c>
      <c r="F3" s="58"/>
      <c r="H3" s="52" t="str">
        <f>Cod_2</f>
        <v>M</v>
      </c>
      <c r="I3" s="56" t="str">
        <f>Cod2Text</f>
        <v>Motivat</v>
      </c>
      <c r="L3" s="53" t="str">
        <f>Cod_3</f>
        <v>N</v>
      </c>
      <c r="M3" s="56" t="str">
        <f>Cod3Text</f>
        <v>Nemotivat</v>
      </c>
      <c r="P3" s="54" t="str">
        <f>Cod_4</f>
        <v>P</v>
      </c>
      <c r="Q3" s="56" t="str">
        <f>Cod4Text</f>
        <v>Prezent</v>
      </c>
      <c r="T3" s="55" t="str">
        <f>Cod_5</f>
        <v>Nu</v>
      </c>
      <c r="U3" s="56" t="str">
        <f>Cod5Text</f>
        <v>Nu a fost la școală</v>
      </c>
      <c r="W3"/>
      <c r="X3"/>
      <c r="Y3"/>
      <c r="AD3" s="31"/>
      <c r="AE3" s="31"/>
      <c r="AH3" s="33"/>
      <c r="AI3" s="34"/>
      <c r="AK3" s="35"/>
    </row>
    <row r="4" spans="1:40" customFormat="1" ht="16.5" customHeight="1" x14ac:dyDescent="0.25"/>
    <row r="5" spans="1:40" s="2" customFormat="1" ht="18" customHeight="1" x14ac:dyDescent="0.3">
      <c r="B5" s="60">
        <f>DATE(AnCalendar,12,1)</f>
        <v>41244</v>
      </c>
      <c r="C5" s="59"/>
      <c r="D5" s="42" t="str">
        <f>TEXT(WEEKDAY(DATE(AnCalendar,12,1),1),"aaa")</f>
        <v>S</v>
      </c>
      <c r="E5" s="42" t="str">
        <f>TEXT(WEEKDAY(DATE(AnCalendar,12,2),1),"aaa")</f>
        <v>D</v>
      </c>
      <c r="F5" s="42" t="str">
        <f>TEXT(WEEKDAY(DATE(AnCalendar,12,3),1),"aaa")</f>
        <v>L</v>
      </c>
      <c r="G5" s="42" t="str">
        <f>TEXT(WEEKDAY(DATE(AnCalendar,12,4),1),"aaa")</f>
        <v>Ma</v>
      </c>
      <c r="H5" s="42" t="str">
        <f>TEXT(WEEKDAY(DATE(AnCalendar,12,5),1),"aaa")</f>
        <v>Mi</v>
      </c>
      <c r="I5" s="42" t="str">
        <f>TEXT(WEEKDAY(DATE(AnCalendar,12,6),1),"aaa")</f>
        <v>J</v>
      </c>
      <c r="J5" s="42" t="str">
        <f>TEXT(WEEKDAY(DATE(AnCalendar,12,7),1),"aaa")</f>
        <v>V</v>
      </c>
      <c r="K5" s="42" t="str">
        <f>TEXT(WEEKDAY(DATE(AnCalendar,12,8),1),"aaa")</f>
        <v>S</v>
      </c>
      <c r="L5" s="42" t="str">
        <f>TEXT(WEEKDAY(DATE(AnCalendar,12,9),1),"aaa")</f>
        <v>D</v>
      </c>
      <c r="M5" s="42" t="str">
        <f>TEXT(WEEKDAY(DATE(AnCalendar,12,10),1),"aaa")</f>
        <v>L</v>
      </c>
      <c r="N5" s="42" t="str">
        <f>TEXT(WEEKDAY(DATE(AnCalendar,12,11),1),"aaa")</f>
        <v>Ma</v>
      </c>
      <c r="O5" s="42" t="str">
        <f>TEXT(WEEKDAY(DATE(AnCalendar,12,12),1),"aaa")</f>
        <v>Mi</v>
      </c>
      <c r="P5" s="42" t="str">
        <f>TEXT(WEEKDAY(DATE(AnCalendar,12,13),1),"aaa")</f>
        <v>J</v>
      </c>
      <c r="Q5" s="42" t="str">
        <f>TEXT(WEEKDAY(DATE(AnCalendar,12,14),1),"aaa")</f>
        <v>V</v>
      </c>
      <c r="R5" s="42" t="str">
        <f>TEXT(WEEKDAY(DATE(AnCalendar,12,15),1),"aaa")</f>
        <v>S</v>
      </c>
      <c r="S5" s="42" t="str">
        <f>TEXT(WEEKDAY(DATE(AnCalendar,12,16),1),"aaa")</f>
        <v>D</v>
      </c>
      <c r="T5" s="42" t="str">
        <f>TEXT(WEEKDAY(DATE(AnCalendar,12,17),1),"aaa")</f>
        <v>L</v>
      </c>
      <c r="U5" s="42" t="str">
        <f>TEXT(WEEKDAY(DATE(AnCalendar,12,18),1),"aaa")</f>
        <v>Ma</v>
      </c>
      <c r="V5" s="42" t="str">
        <f>TEXT(WEEKDAY(DATE(AnCalendar,12,19),1),"aaa")</f>
        <v>Mi</v>
      </c>
      <c r="W5" s="42" t="str">
        <f>TEXT(WEEKDAY(DATE(AnCalendar,12,20),1),"aaa")</f>
        <v>J</v>
      </c>
      <c r="X5" s="42" t="str">
        <f>TEXT(WEEKDAY(DATE(AnCalendar,12,21),1),"aaa")</f>
        <v>V</v>
      </c>
      <c r="Y5" s="42" t="str">
        <f>TEXT(WEEKDAY(DATE(AnCalendar,12,22),1),"aaa")</f>
        <v>S</v>
      </c>
      <c r="Z5" s="42" t="str">
        <f>TEXT(WEEKDAY(DATE(AnCalendar,12,23),1),"aaa")</f>
        <v>D</v>
      </c>
      <c r="AA5" s="42" t="str">
        <f>TEXT(WEEKDAY(DATE(AnCalendar,12,24),1),"aaa")</f>
        <v>L</v>
      </c>
      <c r="AB5" s="42" t="str">
        <f>TEXT(WEEKDAY(DATE(AnCalendar,12,25),1),"aaa")</f>
        <v>Ma</v>
      </c>
      <c r="AC5" s="42" t="str">
        <f>TEXT(WEEKDAY(DATE(AnCalendar,12,26),1),"aaa")</f>
        <v>Mi</v>
      </c>
      <c r="AD5" s="42" t="str">
        <f>TEXT(WEEKDAY(DATE(AnCalendar,12,27),1),"aaa")</f>
        <v>J</v>
      </c>
      <c r="AE5" s="42" t="str">
        <f>TEXT(WEEKDAY(DATE(AnCalendar,12,28),1),"aaa")</f>
        <v>V</v>
      </c>
      <c r="AF5" s="42" t="str">
        <f>TEXT(WEEKDAY(DATE(AnCalendar,12,29),1),"aaa")</f>
        <v>S</v>
      </c>
      <c r="AG5" s="42" t="str">
        <f>TEXT(WEEKDAY(DATE(AnCalendar,12,30),1),"aaa")</f>
        <v>D</v>
      </c>
      <c r="AH5" s="42" t="str">
        <f>TEXT(WEEKDAY(DATE(AnCalendar,12,31),1),"aaa")</f>
        <v>L</v>
      </c>
      <c r="AI5" s="113" t="s">
        <v>41</v>
      </c>
      <c r="AJ5" s="114"/>
      <c r="AK5" s="114"/>
      <c r="AL5" s="114"/>
      <c r="AM5" s="115"/>
    </row>
    <row r="6" spans="1:40" s="5" customFormat="1" ht="14.25" customHeight="1" x14ac:dyDescent="0.25">
      <c r="B6" s="45" t="s">
        <v>34</v>
      </c>
      <c r="C6" s="46" t="s">
        <v>36</v>
      </c>
      <c r="D6" s="3" t="s">
        <v>0</v>
      </c>
      <c r="E6" s="3" t="s">
        <v>1</v>
      </c>
      <c r="F6" s="3" t="s">
        <v>2</v>
      </c>
      <c r="G6" s="3" t="s">
        <v>3</v>
      </c>
      <c r="H6" s="3" t="s">
        <v>4</v>
      </c>
      <c r="I6" s="3" t="s">
        <v>5</v>
      </c>
      <c r="J6" s="3" t="s">
        <v>6</v>
      </c>
      <c r="K6" s="3" t="s">
        <v>7</v>
      </c>
      <c r="L6" s="3" t="s">
        <v>8</v>
      </c>
      <c r="M6" s="3" t="s">
        <v>9</v>
      </c>
      <c r="N6" s="3" t="s">
        <v>10</v>
      </c>
      <c r="O6" s="3" t="s">
        <v>11</v>
      </c>
      <c r="P6" s="3" t="s">
        <v>12</v>
      </c>
      <c r="Q6" s="3" t="s">
        <v>13</v>
      </c>
      <c r="R6" s="3" t="s">
        <v>14</v>
      </c>
      <c r="S6" s="3" t="s">
        <v>15</v>
      </c>
      <c r="T6" s="3" t="s">
        <v>16</v>
      </c>
      <c r="U6" s="3" t="s">
        <v>17</v>
      </c>
      <c r="V6" s="3" t="s">
        <v>18</v>
      </c>
      <c r="W6" s="3" t="s">
        <v>19</v>
      </c>
      <c r="X6" s="3" t="s">
        <v>20</v>
      </c>
      <c r="Y6" s="3" t="s">
        <v>21</v>
      </c>
      <c r="Z6" s="3" t="s">
        <v>22</v>
      </c>
      <c r="AA6" s="3" t="s">
        <v>23</v>
      </c>
      <c r="AB6" s="3" t="s">
        <v>24</v>
      </c>
      <c r="AC6" s="3" t="s">
        <v>25</v>
      </c>
      <c r="AD6" s="3" t="s">
        <v>26</v>
      </c>
      <c r="AE6" s="3" t="s">
        <v>27</v>
      </c>
      <c r="AF6" s="3" t="s">
        <v>28</v>
      </c>
      <c r="AG6" s="3" t="s">
        <v>29</v>
      </c>
      <c r="AH6" s="3" t="s">
        <v>30</v>
      </c>
      <c r="AI6" s="88" t="s">
        <v>37</v>
      </c>
      <c r="AJ6" s="52" t="s">
        <v>39</v>
      </c>
      <c r="AK6" s="53" t="s">
        <v>38</v>
      </c>
      <c r="AL6" s="68" t="s">
        <v>31</v>
      </c>
      <c r="AM6" s="50" t="s">
        <v>40</v>
      </c>
      <c r="AN6" s="4"/>
    </row>
    <row r="7" spans="1:40" s="5" customFormat="1" ht="16.5" customHeight="1" x14ac:dyDescent="0.25">
      <c r="B7" s="47"/>
      <c r="C7" s="48" t="str">
        <f>IFERROR(VLOOKUP(PrezențăDecembrie[[#This Row],[ID elev]],ListăElevi[],18,FALSE),"")</f>
        <v/>
      </c>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6"/>
      <c r="AG7" s="24"/>
      <c r="AH7" s="24"/>
      <c r="AI7" s="6">
        <f>COUNTIF(PrezențăDecembrie[[#This Row],[1]:[31]],Cod_1)</f>
        <v>0</v>
      </c>
      <c r="AJ7" s="49">
        <f>COUNTIF(PrezențăDecembrie[[#This Row],[1]:[31]],Cod_2)</f>
        <v>0</v>
      </c>
      <c r="AK7" s="49">
        <f>COUNTIF(PrezențăDecembrie[[#This Row],[1]:[31]],Cod_3)</f>
        <v>0</v>
      </c>
      <c r="AL7" s="49">
        <f>COUNTIF(PrezențăDecembrie[[#This Row],[1]:[31]],Cod_4)</f>
        <v>0</v>
      </c>
      <c r="AM7" s="6">
        <f>SUM(PrezențăDecembrie[[#This Row],[M]:[N]])</f>
        <v>0</v>
      </c>
      <c r="AN7" s="4"/>
    </row>
    <row r="8" spans="1:40" s="5" customFormat="1" ht="16.5" customHeight="1" x14ac:dyDescent="0.25">
      <c r="B8" s="47"/>
      <c r="C8" s="21" t="str">
        <f>IFERROR(VLOOKUP(PrezențăDecembrie[[#This Row],[ID elev]],ListăElevi[],18,FALSE),"")</f>
        <v/>
      </c>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6"/>
      <c r="AG8" s="24"/>
      <c r="AH8" s="24"/>
      <c r="AI8" s="6">
        <f>COUNTIF(PrezențăDecembrie[[#This Row],[1]:[31]],Cod_1)</f>
        <v>0</v>
      </c>
      <c r="AJ8" s="49">
        <f>COUNTIF(PrezențăDecembrie[[#This Row],[1]:[31]],Cod_2)</f>
        <v>0</v>
      </c>
      <c r="AK8" s="49">
        <f>COUNTIF(PrezențăDecembrie[[#This Row],[1]:[31]],Cod_3)</f>
        <v>0</v>
      </c>
      <c r="AL8" s="49">
        <f>COUNTIF(PrezențăDecembrie[[#This Row],[1]:[31]],Cod_4)</f>
        <v>0</v>
      </c>
      <c r="AM8" s="6">
        <f>SUM(PrezențăDecembrie[[#This Row],[M]:[N]])</f>
        <v>0</v>
      </c>
      <c r="AN8" s="4"/>
    </row>
    <row r="9" spans="1:40" s="8" customFormat="1" ht="16.5" customHeight="1" x14ac:dyDescent="0.25">
      <c r="B9" s="47"/>
      <c r="C9" s="21" t="str">
        <f>IFERROR(VLOOKUP(PrezențăDecembrie[[#This Row],[ID elev]],ListăElevi[],18,FALSE),"")</f>
        <v/>
      </c>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6"/>
      <c r="AG9" s="24"/>
      <c r="AH9" s="24"/>
      <c r="AI9" s="6">
        <f>COUNTIF(PrezențăDecembrie[[#This Row],[1]:[31]],Cod_1)</f>
        <v>0</v>
      </c>
      <c r="AJ9" s="49">
        <f>COUNTIF(PrezențăDecembrie[[#This Row],[1]:[31]],Cod_2)</f>
        <v>0</v>
      </c>
      <c r="AK9" s="49">
        <f>COUNTIF(PrezențăDecembrie[[#This Row],[1]:[31]],Cod_3)</f>
        <v>0</v>
      </c>
      <c r="AL9" s="49">
        <f>COUNTIF(PrezențăDecembrie[[#This Row],[1]:[31]],Cod_4)</f>
        <v>0</v>
      </c>
      <c r="AM9" s="6">
        <f>SUM(PrezențăDecembrie[[#This Row],[M]:[N]])</f>
        <v>0</v>
      </c>
      <c r="AN9" s="7"/>
    </row>
    <row r="10" spans="1:40" ht="16.5" customHeight="1" x14ac:dyDescent="0.25">
      <c r="B10" s="47"/>
      <c r="C10" s="21" t="str">
        <f>IFERROR(VLOOKUP(PrezențăDecembrie[[#This Row],[ID elev]],ListăElevi[],18,FALSE),"")</f>
        <v/>
      </c>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6"/>
      <c r="AG10" s="24"/>
      <c r="AH10" s="24"/>
      <c r="AI10" s="6">
        <f>COUNTIF(PrezențăDecembrie[[#This Row],[1]:[31]],Cod_1)</f>
        <v>0</v>
      </c>
      <c r="AJ10" s="49">
        <f>COUNTIF(PrezențăDecembrie[[#This Row],[1]:[31]],Cod_2)</f>
        <v>0</v>
      </c>
      <c r="AK10" s="49">
        <f>COUNTIF(PrezențăDecembrie[[#This Row],[1]:[31]],Cod_3)</f>
        <v>0</v>
      </c>
      <c r="AL10" s="49">
        <f>COUNTIF(PrezențăDecembrie[[#This Row],[1]:[31]],Cod_4)</f>
        <v>0</v>
      </c>
      <c r="AM10" s="6">
        <f>SUM(PrezențăDecembrie[[#This Row],[M]:[N]])</f>
        <v>0</v>
      </c>
      <c r="AN10" s="10"/>
    </row>
    <row r="11" spans="1:40" ht="16.5" customHeight="1" x14ac:dyDescent="0.25">
      <c r="B11" s="47"/>
      <c r="C11" s="21" t="str">
        <f>IFERROR(VLOOKUP(PrezențăDecembrie[[#This Row],[ID elev]],ListăElevi[],18,FALSE),"")</f>
        <v/>
      </c>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6"/>
      <c r="AG11" s="24"/>
      <c r="AH11" s="24"/>
      <c r="AI11" s="6">
        <f>COUNTIF(PrezențăDecembrie[[#This Row],[1]:[31]],Cod_1)</f>
        <v>0</v>
      </c>
      <c r="AJ11" s="49">
        <f>COUNTIF(PrezențăDecembrie[[#This Row],[1]:[31]],Cod_2)</f>
        <v>0</v>
      </c>
      <c r="AK11" s="49">
        <f>COUNTIF(PrezențăDecembrie[[#This Row],[1]:[31]],Cod_3)</f>
        <v>0</v>
      </c>
      <c r="AL11" s="49">
        <f>COUNTIF(PrezențăDecembrie[[#This Row],[1]:[31]],Cod_4)</f>
        <v>0</v>
      </c>
      <c r="AM11" s="6">
        <f>SUM(PrezențăDecembrie[[#This Row],[M]:[N]])</f>
        <v>0</v>
      </c>
      <c r="AN11" s="10"/>
    </row>
    <row r="12" spans="1:40" ht="16.5" customHeight="1" x14ac:dyDescent="0.25">
      <c r="B12" s="140"/>
      <c r="C12" s="141" t="s">
        <v>119</v>
      </c>
      <c r="D12" s="142">
        <f>COUNTIF(PrezențăDecembrie[1],"N")+COUNTIF(PrezențăDecembrie[1],"M")</f>
        <v>0</v>
      </c>
      <c r="E12" s="142">
        <f>COUNTIF(PrezențăDecembrie[2],"N")+COUNTIF(PrezențăDecembrie[2],"M")</f>
        <v>0</v>
      </c>
      <c r="F12" s="142">
        <f>COUNTIF(PrezențăDecembrie[3],"N")+COUNTIF(PrezențăDecembrie[3],"M")</f>
        <v>0</v>
      </c>
      <c r="G12" s="142">
        <f>COUNTIF(PrezențăDecembrie[4],"N")+COUNTIF(PrezențăDecembrie[4],"M")</f>
        <v>0</v>
      </c>
      <c r="H12" s="142">
        <f>COUNTIF(PrezențăDecembrie[5],"N")+COUNTIF(PrezențăDecembrie[5],"M")</f>
        <v>0</v>
      </c>
      <c r="I12" s="142">
        <f>COUNTIF(PrezențăDecembrie[6],"N")+COUNTIF(PrezențăDecembrie[6],"M")</f>
        <v>0</v>
      </c>
      <c r="J12" s="142">
        <f>COUNTIF(PrezențăDecembrie[7],"N")+COUNTIF(PrezențăDecembrie[7],"M")</f>
        <v>0</v>
      </c>
      <c r="K12" s="142">
        <f>COUNTIF(PrezențăDecembrie[8],"N")+COUNTIF(PrezențăDecembrie[8],"M")</f>
        <v>0</v>
      </c>
      <c r="L12" s="142">
        <f>COUNTIF(PrezențăDecembrie[9],"N")+COUNTIF(PrezențăDecembrie[9],"M")</f>
        <v>0</v>
      </c>
      <c r="M12" s="142">
        <f>COUNTIF(PrezențăDecembrie[10],"N")+COUNTIF(PrezențăDecembrie[10],"M")</f>
        <v>0</v>
      </c>
      <c r="N12" s="142">
        <f>COUNTIF(PrezențăDecembrie[11],"N")+COUNTIF(PrezențăDecembrie[11],"M")</f>
        <v>0</v>
      </c>
      <c r="O12" s="142">
        <f>COUNTIF(PrezențăDecembrie[12],"N")+COUNTIF(PrezențăDecembrie[12],"M")</f>
        <v>0</v>
      </c>
      <c r="P12" s="142">
        <f>COUNTIF(PrezențăDecembrie[13],"N")+COUNTIF(PrezențăDecembrie[13],"M")</f>
        <v>0</v>
      </c>
      <c r="Q12" s="142">
        <f>COUNTIF(PrezențăDecembrie[14],"N")+COUNTIF(PrezențăDecembrie[14],"M")</f>
        <v>0</v>
      </c>
      <c r="R12" s="142">
        <f>COUNTIF(PrezențăDecembrie[15],"N")+COUNTIF(PrezențăDecembrie[15],"M")</f>
        <v>0</v>
      </c>
      <c r="S12" s="142">
        <f>COUNTIF(PrezențăDecembrie[16],"N")+COUNTIF(PrezențăDecembrie[16],"M")</f>
        <v>0</v>
      </c>
      <c r="T12" s="142">
        <f>COUNTIF(PrezențăDecembrie[17],"N")+COUNTIF(PrezențăDecembrie[17],"M")</f>
        <v>0</v>
      </c>
      <c r="U12" s="142">
        <f>COUNTIF(PrezențăDecembrie[18],"N")+COUNTIF(PrezențăDecembrie[18],"M")</f>
        <v>0</v>
      </c>
      <c r="V12" s="142">
        <f>COUNTIF(PrezențăDecembrie[19],"N")+COUNTIF(PrezențăDecembrie[19],"M")</f>
        <v>0</v>
      </c>
      <c r="W12" s="142">
        <f>COUNTIF(PrezențăDecembrie[20],"N")+COUNTIF(PrezențăDecembrie[20],"M")</f>
        <v>0</v>
      </c>
      <c r="X12" s="142">
        <f>COUNTIF(PrezențăDecembrie[21],"N")+COUNTIF(PrezențăDecembrie[21],"M")</f>
        <v>0</v>
      </c>
      <c r="Y12" s="142">
        <f>COUNTIF(PrezențăDecembrie[22],"N")+COUNTIF(PrezențăDecembrie[22],"M")</f>
        <v>0</v>
      </c>
      <c r="Z12" s="142">
        <f>COUNTIF(PrezențăDecembrie[23],"N")+COUNTIF(PrezențăDecembrie[23],"M")</f>
        <v>0</v>
      </c>
      <c r="AA12" s="142">
        <f>COUNTIF(PrezențăDecembrie[24],"N")+COUNTIF(PrezențăDecembrie[24],"M")</f>
        <v>0</v>
      </c>
      <c r="AB12" s="142">
        <f>COUNTIF(PrezențăDecembrie[25],"N")+COUNTIF(PrezențăDecembrie[25],"M")</f>
        <v>0</v>
      </c>
      <c r="AC12" s="142">
        <f>COUNTIF(PrezențăDecembrie[26],"N")+COUNTIF(PrezențăDecembrie[26],"M")</f>
        <v>0</v>
      </c>
      <c r="AD12" s="142">
        <f>COUNTIF(PrezențăDecembrie[27],"N")+COUNTIF(PrezențăDecembrie[27],"M")</f>
        <v>0</v>
      </c>
      <c r="AE12" s="142">
        <f>COUNTIF(PrezențăDecembrie[28],"N")+COUNTIF(PrezențăDecembrie[28],"M")</f>
        <v>0</v>
      </c>
      <c r="AF12" s="142">
        <f>COUNTIF(PrezențăDecembrie[29],"N")+COUNTIF(PrezențăDecembrie[29],"M")</f>
        <v>0</v>
      </c>
      <c r="AG12" s="142">
        <f>COUNTIF(PrezențăDecembrie[30],"N")+COUNTIF(PrezențăDecembrie[30],"M")</f>
        <v>0</v>
      </c>
      <c r="AH12" s="142">
        <f>COUNTIF(PrezențăDecembrie[31],"N")+COUNTIF(PrezențăDecembrie[31],"M")</f>
        <v>0</v>
      </c>
      <c r="AI12" s="142">
        <f>SUBTOTAL(109,PrezențăDecembrie[Î])</f>
        <v>0</v>
      </c>
      <c r="AJ12" s="142">
        <f>SUBTOTAL(109,PrezențăDecembrie[M])</f>
        <v>0</v>
      </c>
      <c r="AK12" s="142">
        <f>SUBTOTAL(109,PrezențăDecembrie[N])</f>
        <v>0</v>
      </c>
      <c r="AL12" s="142">
        <f>SUBTOTAL(109,PrezențăDecembrie[P])</f>
        <v>0</v>
      </c>
      <c r="AM12" s="142">
        <f>SUBTOTAL(109,PrezențăDecembrie[Zile de absență])</f>
        <v>0</v>
      </c>
    </row>
    <row r="14" spans="1:40" ht="16.5" customHeight="1" x14ac:dyDescent="0.25"/>
    <row r="15" spans="1:40" ht="16.5" customHeight="1" x14ac:dyDescent="0.25"/>
    <row r="16" spans="1:40"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sheetData>
  <sheetProtection formatCells="0" formatColumns="0" formatRows="0" insertColumns="0" insertRows="0" insertHyperlinks="0" deleteColumns="0" deleteRows="0" sort="0" autoFilter="0" pivotTables="0"/>
  <mergeCells count="1">
    <mergeCell ref="AI5:AM5"/>
  </mergeCells>
  <conditionalFormatting sqref="AM7:AM11">
    <cfRule type="dataBar" priority="6">
      <dataBar>
        <cfvo type="min"/>
        <cfvo type="num" val="31"/>
        <color theme="4"/>
      </dataBar>
      <extLst>
        <ext xmlns:x14="http://schemas.microsoft.com/office/spreadsheetml/2009/9/main" uri="{B025F937-C7B1-47D3-B67F-A62EFF666E3E}">
          <x14:id>{F1B3F415-3C3C-4616-B9AA-9BBD8C09A1CE}</x14:id>
        </ext>
      </extLst>
    </cfRule>
  </conditionalFormatting>
  <conditionalFormatting sqref="AG7:AI11">
    <cfRule type="expression" dxfId="824" priority="7" stopIfTrue="1">
      <formula>AG7=Cod_2</formula>
    </cfRule>
  </conditionalFormatting>
  <conditionalFormatting sqref="AG7:AH11">
    <cfRule type="expression" dxfId="823" priority="8" stopIfTrue="1">
      <formula>AG7=Cod_5</formula>
    </cfRule>
    <cfRule type="expression" dxfId="822" priority="9" stopIfTrue="1">
      <formula>AG7=Cod_4</formula>
    </cfRule>
    <cfRule type="expression" dxfId="821" priority="10" stopIfTrue="1">
      <formula>AG7=Cod_3</formula>
    </cfRule>
    <cfRule type="expression" dxfId="820" priority="11" stopIfTrue="1">
      <formula>AG7=Cod_1</formula>
    </cfRule>
  </conditionalFormatting>
  <conditionalFormatting sqref="D7:AF11">
    <cfRule type="expression" dxfId="819" priority="1" stopIfTrue="1">
      <formula>D7=Cod_2</formula>
    </cfRule>
  </conditionalFormatting>
  <conditionalFormatting sqref="D7:AF11">
    <cfRule type="expression" dxfId="818" priority="2" stopIfTrue="1">
      <formula>D7=Cod_5</formula>
    </cfRule>
    <cfRule type="expression" dxfId="817" priority="3" stopIfTrue="1">
      <formula>D7=Cod_4</formula>
    </cfRule>
    <cfRule type="expression" dxfId="816" priority="4" stopIfTrue="1">
      <formula>D7=Cod_3</formula>
    </cfRule>
    <cfRule type="expression" dxfId="815" priority="5" stopIfTrue="1">
      <formula>D7=Cod_1</formula>
    </cfRule>
  </conditionalFormatting>
  <dataValidations count="1">
    <dataValidation type="list" errorStyle="warning" allowBlank="1" showInputMessage="1" showErrorMessage="1" errorTitle="Atenție!" error="ID-ul elev pe care l-ați introdus nu se află în foaia Listă elevi. Puteți să faceți clic pe Da pentru a utiliza ID-ul introdus, dar acel ID elev nu va fi disponibil pe foaia Raport prezență elev." sqref="B7:B11">
      <formula1>IDCursant</formula1>
    </dataValidation>
  </dataValidations>
  <printOptions horizontalCentered="1"/>
  <pageMargins left="0.5" right="0.5" top="0.75" bottom="0.75" header="0.3" footer="0.3"/>
  <pageSetup paperSize="9" scale="59" fitToHeight="0" orientation="landscape" verticalDpi="120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1B3F415-3C3C-4616-B9AA-9BBD8C09A1CE}">
            <x14:dataBar minLength="0" maxLength="100" border="1" negativeBarBorderColorSameAsPositive="0">
              <x14:cfvo type="autoMin"/>
              <x14:cfvo type="num">
                <xm:f>31</xm:f>
              </x14:cfvo>
              <x14:borderColor theme="4"/>
              <x14:negativeFillColor rgb="FFFF0000"/>
              <x14:negativeBorderColor rgb="FFFF0000"/>
              <x14:axisColor rgb="FF000000"/>
            </x14:dataBar>
          </x14:cfRule>
          <xm:sqref>AM7:AM11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M264"/>
  <sheetViews>
    <sheetView showGridLines="0" zoomScaleNormal="100" workbookViewId="0">
      <pane xSplit="3" ySplit="6" topLeftCell="D7" activePane="bottomRight" state="frozen"/>
      <selection pane="topRight"/>
      <selection pane="bottomLeft"/>
      <selection pane="bottomRight"/>
    </sheetView>
  </sheetViews>
  <sheetFormatPr defaultRowHeight="15" customHeight="1" x14ac:dyDescent="0.25"/>
  <cols>
    <col min="1" max="1" width="2.7109375" style="11" customWidth="1"/>
    <col min="2" max="2" width="10.85546875" style="11" customWidth="1"/>
    <col min="3" max="3" width="32.140625" style="12" bestFit="1" customWidth="1"/>
    <col min="4" max="34" width="5" style="10" customWidth="1"/>
    <col min="35" max="35" width="4.7109375" style="9" customWidth="1"/>
    <col min="36" max="36" width="4.7109375" style="10" customWidth="1"/>
    <col min="37" max="38" width="4.7109375" style="11" customWidth="1"/>
    <col min="39" max="39" width="15.140625" style="11" bestFit="1" customWidth="1"/>
    <col min="40" max="16384" width="9.140625" style="11"/>
  </cols>
  <sheetData>
    <row r="1" spans="1:39" s="1" customFormat="1" ht="42" customHeight="1" x14ac:dyDescent="0.25">
      <c r="A1" s="139" t="s">
        <v>88</v>
      </c>
      <c r="B1" s="38"/>
      <c r="C1" s="38"/>
      <c r="D1" s="39"/>
      <c r="E1" s="39"/>
      <c r="F1" s="39"/>
      <c r="G1" s="39"/>
      <c r="H1" s="39"/>
      <c r="I1" s="39"/>
      <c r="J1" s="39"/>
      <c r="K1" s="39"/>
      <c r="L1" s="39"/>
      <c r="M1" s="39"/>
      <c r="N1" s="39"/>
      <c r="O1" s="39"/>
      <c r="P1" s="39"/>
      <c r="Q1" s="39"/>
      <c r="R1" s="39"/>
      <c r="S1" s="39"/>
      <c r="T1" s="39"/>
      <c r="U1" s="39"/>
      <c r="V1" s="39"/>
      <c r="W1" s="39"/>
      <c r="X1" s="39"/>
      <c r="Y1" s="39"/>
      <c r="Z1" s="39"/>
      <c r="AA1" s="39"/>
      <c r="AB1" s="39"/>
      <c r="AC1" s="38"/>
      <c r="AD1" s="38"/>
      <c r="AE1" s="38"/>
      <c r="AF1" s="38"/>
      <c r="AG1" s="40"/>
      <c r="AH1" s="38"/>
      <c r="AI1" s="38"/>
      <c r="AJ1" s="41"/>
      <c r="AK1" s="38"/>
      <c r="AL1" s="138" t="s">
        <v>71</v>
      </c>
      <c r="AM1" s="57">
        <f>AnCalendar</f>
        <v>2012</v>
      </c>
    </row>
    <row r="2" spans="1:39" customFormat="1" ht="13.5" x14ac:dyDescent="0.25"/>
    <row r="3" spans="1:39" s="32" customFormat="1" ht="12.75" customHeight="1" x14ac:dyDescent="0.25">
      <c r="C3" s="44" t="str">
        <f>CheieCuloareText</f>
        <v>CHEIE CULORI</v>
      </c>
      <c r="D3" s="51" t="str">
        <f>Cod_1</f>
        <v>Î</v>
      </c>
      <c r="E3" s="67" t="str">
        <f>Cod1Text</f>
        <v>Întârziat</v>
      </c>
      <c r="F3" s="58"/>
      <c r="H3" s="52" t="str">
        <f>Cod_2</f>
        <v>M</v>
      </c>
      <c r="I3" s="56" t="str">
        <f>Cod2Text</f>
        <v>Motivat</v>
      </c>
      <c r="L3" s="53" t="str">
        <f>Cod_3</f>
        <v>N</v>
      </c>
      <c r="M3" s="56" t="str">
        <f>Cod3Text</f>
        <v>Nemotivat</v>
      </c>
      <c r="P3" s="54" t="str">
        <f>Cod_4</f>
        <v>P</v>
      </c>
      <c r="Q3" s="56" t="str">
        <f>Cod4Text</f>
        <v>Prezent</v>
      </c>
      <c r="T3" s="55" t="str">
        <f>Cod_5</f>
        <v>Nu</v>
      </c>
      <c r="U3" s="56" t="str">
        <f>Cod5Text</f>
        <v>Nu a fost la școală</v>
      </c>
      <c r="W3"/>
      <c r="X3"/>
      <c r="Y3"/>
      <c r="AD3" s="31"/>
      <c r="AE3" s="31"/>
      <c r="AH3" s="33"/>
      <c r="AI3" s="34"/>
      <c r="AK3" s="35"/>
    </row>
    <row r="4" spans="1:39" customFormat="1" ht="16.5" customHeight="1" x14ac:dyDescent="0.25"/>
    <row r="5" spans="1:39" s="2" customFormat="1" ht="18" customHeight="1" x14ac:dyDescent="0.3">
      <c r="B5" s="60">
        <f>DATE(AnCalendar+1,1,1)</f>
        <v>41275</v>
      </c>
      <c r="C5" s="59"/>
      <c r="D5" s="42" t="str">
        <f>TEXT(WEEKDAY(DATE(AnCalendar+1,1,1),1),"aaa")</f>
        <v>Ma</v>
      </c>
      <c r="E5" s="42" t="str">
        <f>TEXT(WEEKDAY(DATE(AnCalendar+1,1,2),1),"aaa")</f>
        <v>Mi</v>
      </c>
      <c r="F5" s="42" t="str">
        <f>TEXT(WEEKDAY(DATE(AnCalendar+1,1,3),1),"aaa")</f>
        <v>J</v>
      </c>
      <c r="G5" s="42" t="str">
        <f>TEXT(WEEKDAY(DATE(AnCalendar+1,1,4),1),"aaa")</f>
        <v>V</v>
      </c>
      <c r="H5" s="42" t="str">
        <f>TEXT(WEEKDAY(DATE(AnCalendar+1,1,5),1),"aaa")</f>
        <v>S</v>
      </c>
      <c r="I5" s="42" t="str">
        <f>TEXT(WEEKDAY(DATE(AnCalendar+1,1,6),1),"aaa")</f>
        <v>D</v>
      </c>
      <c r="J5" s="42" t="str">
        <f>TEXT(WEEKDAY(DATE(AnCalendar+1,1,7),1),"aaa")</f>
        <v>L</v>
      </c>
      <c r="K5" s="42" t="str">
        <f>TEXT(WEEKDAY(DATE(AnCalendar+1,1,8),1),"aaa")</f>
        <v>Ma</v>
      </c>
      <c r="L5" s="42" t="str">
        <f>TEXT(WEEKDAY(DATE(AnCalendar+1,1,9),1),"aaa")</f>
        <v>Mi</v>
      </c>
      <c r="M5" s="42" t="str">
        <f>TEXT(WEEKDAY(DATE(AnCalendar+1,1,10),1),"aaa")</f>
        <v>J</v>
      </c>
      <c r="N5" s="42" t="str">
        <f>TEXT(WEEKDAY(DATE(AnCalendar+1,1,11),1),"aaa")</f>
        <v>V</v>
      </c>
      <c r="O5" s="42" t="str">
        <f>TEXT(WEEKDAY(DATE(AnCalendar+1,1,12),1),"aaa")</f>
        <v>S</v>
      </c>
      <c r="P5" s="42" t="str">
        <f>TEXT(WEEKDAY(DATE(AnCalendar+1,1,13),1),"aaa")</f>
        <v>D</v>
      </c>
      <c r="Q5" s="42" t="str">
        <f>TEXT(WEEKDAY(DATE(AnCalendar+1,1,14),1),"aaa")</f>
        <v>L</v>
      </c>
      <c r="R5" s="42" t="str">
        <f>TEXT(WEEKDAY(DATE(AnCalendar+1,1,15),1),"aaa")</f>
        <v>Ma</v>
      </c>
      <c r="S5" s="42" t="str">
        <f>TEXT(WEEKDAY(DATE(AnCalendar+1,1,16),1),"aaa")</f>
        <v>Mi</v>
      </c>
      <c r="T5" s="42" t="str">
        <f>TEXT(WEEKDAY(DATE(AnCalendar+1,1,17),1),"aaa")</f>
        <v>J</v>
      </c>
      <c r="U5" s="42" t="str">
        <f>TEXT(WEEKDAY(DATE(AnCalendar+1,1,18),1),"aaa")</f>
        <v>V</v>
      </c>
      <c r="V5" s="42" t="str">
        <f>TEXT(WEEKDAY(DATE(AnCalendar+1,1,19),1),"aaa")</f>
        <v>S</v>
      </c>
      <c r="W5" s="42" t="str">
        <f>TEXT(WEEKDAY(DATE(AnCalendar+1,1,20),1),"aaa")</f>
        <v>D</v>
      </c>
      <c r="X5" s="42" t="str">
        <f>TEXT(WEEKDAY(DATE(AnCalendar+1,1,21),1),"aaa")</f>
        <v>L</v>
      </c>
      <c r="Y5" s="42" t="str">
        <f>TEXT(WEEKDAY(DATE(AnCalendar+1,1,22),1),"aaa")</f>
        <v>Ma</v>
      </c>
      <c r="Z5" s="42" t="str">
        <f>TEXT(WEEKDAY(DATE(AnCalendar+1,1,23),1),"aaa")</f>
        <v>Mi</v>
      </c>
      <c r="AA5" s="42" t="str">
        <f>TEXT(WEEKDAY(DATE(AnCalendar+1,1,24),1),"aaa")</f>
        <v>J</v>
      </c>
      <c r="AB5" s="42" t="str">
        <f>TEXT(WEEKDAY(DATE(AnCalendar+1,1,25),1),"aaa")</f>
        <v>V</v>
      </c>
      <c r="AC5" s="42" t="str">
        <f>TEXT(WEEKDAY(DATE(AnCalendar+1,1,26),1),"aaa")</f>
        <v>S</v>
      </c>
      <c r="AD5" s="42" t="str">
        <f>TEXT(WEEKDAY(DATE(AnCalendar+1,1,27),1),"aaa")</f>
        <v>D</v>
      </c>
      <c r="AE5" s="42" t="str">
        <f>TEXT(WEEKDAY(DATE(AnCalendar+1,1,28),1),"aaa")</f>
        <v>L</v>
      </c>
      <c r="AF5" s="42" t="str">
        <f>TEXT(WEEKDAY(DATE(AnCalendar+1,1,29),1),"aaa")</f>
        <v>Ma</v>
      </c>
      <c r="AG5" s="42" t="str">
        <f>TEXT(WEEKDAY(DATE(AnCalendar+1,1,30),1),"aaa")</f>
        <v>Mi</v>
      </c>
      <c r="AH5" s="42" t="str">
        <f>TEXT(WEEKDAY(DATE(AnCalendar+1,1,31),1),"aaa")</f>
        <v>J</v>
      </c>
      <c r="AI5" s="116" t="s">
        <v>41</v>
      </c>
      <c r="AJ5" s="116"/>
      <c r="AK5" s="116"/>
      <c r="AL5" s="116"/>
      <c r="AM5" s="116"/>
    </row>
    <row r="6" spans="1:39" ht="14.25" customHeight="1" x14ac:dyDescent="0.25">
      <c r="B6" s="28" t="s">
        <v>34</v>
      </c>
      <c r="C6" s="29" t="s">
        <v>36</v>
      </c>
      <c r="D6" s="30" t="s">
        <v>0</v>
      </c>
      <c r="E6" s="30" t="s">
        <v>1</v>
      </c>
      <c r="F6" s="30" t="s">
        <v>2</v>
      </c>
      <c r="G6" s="30" t="s">
        <v>3</v>
      </c>
      <c r="H6" s="30" t="s">
        <v>4</v>
      </c>
      <c r="I6" s="30" t="s">
        <v>5</v>
      </c>
      <c r="J6" s="30" t="s">
        <v>6</v>
      </c>
      <c r="K6" s="30" t="s">
        <v>7</v>
      </c>
      <c r="L6" s="30" t="s">
        <v>8</v>
      </c>
      <c r="M6" s="30" t="s">
        <v>9</v>
      </c>
      <c r="N6" s="30" t="s">
        <v>10</v>
      </c>
      <c r="O6" s="30" t="s">
        <v>11</v>
      </c>
      <c r="P6" s="30" t="s">
        <v>12</v>
      </c>
      <c r="Q6" s="30" t="s">
        <v>13</v>
      </c>
      <c r="R6" s="30" t="s">
        <v>14</v>
      </c>
      <c r="S6" s="30" t="s">
        <v>15</v>
      </c>
      <c r="T6" s="30" t="s">
        <v>16</v>
      </c>
      <c r="U6" s="30" t="s">
        <v>17</v>
      </c>
      <c r="V6" s="30" t="s">
        <v>18</v>
      </c>
      <c r="W6" s="30" t="s">
        <v>19</v>
      </c>
      <c r="X6" s="30" t="s">
        <v>20</v>
      </c>
      <c r="Y6" s="30" t="s">
        <v>21</v>
      </c>
      <c r="Z6" s="30" t="s">
        <v>22</v>
      </c>
      <c r="AA6" s="30" t="s">
        <v>23</v>
      </c>
      <c r="AB6" s="30" t="s">
        <v>24</v>
      </c>
      <c r="AC6" s="30" t="s">
        <v>25</v>
      </c>
      <c r="AD6" s="30" t="s">
        <v>26</v>
      </c>
      <c r="AE6" s="30" t="s">
        <v>27</v>
      </c>
      <c r="AF6" s="30" t="s">
        <v>28</v>
      </c>
      <c r="AG6" s="30" t="s">
        <v>29</v>
      </c>
      <c r="AH6" s="30" t="s">
        <v>30</v>
      </c>
      <c r="AI6" s="69" t="s">
        <v>37</v>
      </c>
      <c r="AJ6" s="52" t="s">
        <v>39</v>
      </c>
      <c r="AK6" s="53" t="s">
        <v>38</v>
      </c>
      <c r="AL6" s="36" t="s">
        <v>31</v>
      </c>
      <c r="AM6" t="s">
        <v>40</v>
      </c>
    </row>
    <row r="7" spans="1:39" ht="16.5" customHeight="1" x14ac:dyDescent="0.25">
      <c r="B7" s="27"/>
      <c r="C7" s="22" t="str">
        <f>IFERROR(VLOOKUP(PrezențăIanuarie[[#This Row],[ID elev]],ListăElevi[],18,FALSE),"")</f>
        <v/>
      </c>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6"/>
      <c r="AG7" s="3"/>
      <c r="AH7" s="3"/>
      <c r="AI7" s="37">
        <f>COUNTIF(PrezențăIanuarie[[#This Row],[1]:[31]],Cod_1)</f>
        <v>0</v>
      </c>
      <c r="AJ7" s="37">
        <f>COUNTIF(PrezențăIanuarie[[#This Row],[1]:[31]],Cod_2)</f>
        <v>0</v>
      </c>
      <c r="AK7" s="37">
        <f>COUNTIF(PrezențăIanuarie[[#This Row],[1]:[31]],Cod_3)</f>
        <v>0</v>
      </c>
      <c r="AL7" s="37">
        <f>COUNTIF(PrezențăIanuarie[[#This Row],[1]:[31]],Cod_4)</f>
        <v>0</v>
      </c>
      <c r="AM7" s="6">
        <f>SUM(PrezențăIanuarie[[#This Row],[M]:[N]])</f>
        <v>0</v>
      </c>
    </row>
    <row r="8" spans="1:39" ht="16.5" customHeight="1" x14ac:dyDescent="0.25">
      <c r="B8" s="27"/>
      <c r="C8" s="23" t="str">
        <f>IFERROR(VLOOKUP(PrezențăIanuarie[[#This Row],[ID elev]],ListăElevi[],18,FALSE),"")</f>
        <v/>
      </c>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6"/>
      <c r="AG8" s="3"/>
      <c r="AH8" s="3"/>
      <c r="AI8" s="37">
        <f>COUNTIF(PrezențăIanuarie[[#This Row],[1]:[31]],Cod_1)</f>
        <v>0</v>
      </c>
      <c r="AJ8" s="37">
        <f>COUNTIF(PrezențăIanuarie[[#This Row],[1]:[31]],Cod_2)</f>
        <v>0</v>
      </c>
      <c r="AK8" s="37">
        <f>COUNTIF(PrezențăIanuarie[[#This Row],[1]:[31]],Cod_3)</f>
        <v>0</v>
      </c>
      <c r="AL8" s="37">
        <f>COUNTIF(PrezențăIanuarie[[#This Row],[1]:[31]],Cod_4)</f>
        <v>0</v>
      </c>
      <c r="AM8" s="6">
        <f>SUM(PrezențăIanuarie[[#This Row],[M]:[N]])</f>
        <v>0</v>
      </c>
    </row>
    <row r="9" spans="1:39" ht="16.5" customHeight="1" x14ac:dyDescent="0.25">
      <c r="B9" s="27"/>
      <c r="C9" s="23" t="str">
        <f>IFERROR(VLOOKUP(PrezențăIanuarie[[#This Row],[ID elev]],ListăElevi[],18,FALSE),"")</f>
        <v/>
      </c>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6"/>
      <c r="AG9" s="3"/>
      <c r="AH9" s="3"/>
      <c r="AI9" s="37">
        <f>COUNTIF(PrezențăIanuarie[[#This Row],[1]:[31]],Cod_1)</f>
        <v>0</v>
      </c>
      <c r="AJ9" s="37">
        <f>COUNTIF(PrezențăIanuarie[[#This Row],[1]:[31]],Cod_2)</f>
        <v>0</v>
      </c>
      <c r="AK9" s="37">
        <f>COUNTIF(PrezențăIanuarie[[#This Row],[1]:[31]],Cod_3)</f>
        <v>0</v>
      </c>
      <c r="AL9" s="37">
        <f>COUNTIF(PrezențăIanuarie[[#This Row],[1]:[31]],Cod_4)</f>
        <v>0</v>
      </c>
      <c r="AM9" s="6">
        <f>SUM(PrezențăIanuarie[[#This Row],[M]:[N]])</f>
        <v>0</v>
      </c>
    </row>
    <row r="10" spans="1:39" ht="16.5" customHeight="1" x14ac:dyDescent="0.25">
      <c r="B10" s="27"/>
      <c r="C10" s="23" t="str">
        <f>IFERROR(VLOOKUP(PrezențăIanuarie[[#This Row],[ID elev]],ListăElevi[],18,FALSE),"")</f>
        <v/>
      </c>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6"/>
      <c r="AG10" s="3"/>
      <c r="AH10" s="3"/>
      <c r="AI10" s="37">
        <f>COUNTIF(PrezențăIanuarie[[#This Row],[1]:[31]],Cod_1)</f>
        <v>0</v>
      </c>
      <c r="AJ10" s="37">
        <f>COUNTIF(PrezențăIanuarie[[#This Row],[1]:[31]],Cod_2)</f>
        <v>0</v>
      </c>
      <c r="AK10" s="37">
        <f>COUNTIF(PrezențăIanuarie[[#This Row],[1]:[31]],Cod_3)</f>
        <v>0</v>
      </c>
      <c r="AL10" s="37">
        <f>COUNTIF(PrezențăIanuarie[[#This Row],[1]:[31]],Cod_4)</f>
        <v>0</v>
      </c>
      <c r="AM10" s="6">
        <f>SUM(PrezențăIanuarie[[#This Row],[M]:[N]])</f>
        <v>0</v>
      </c>
    </row>
    <row r="11" spans="1:39" ht="16.5" customHeight="1" x14ac:dyDescent="0.25">
      <c r="B11" s="27"/>
      <c r="C11" s="23" t="str">
        <f>IFERROR(VLOOKUP(PrezențăIanuarie[[#This Row],[ID elev]],ListăElevi[],18,FALSE),"")</f>
        <v/>
      </c>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6"/>
      <c r="AG11" s="3"/>
      <c r="AH11" s="3"/>
      <c r="AI11" s="37">
        <f>COUNTIF(PrezențăIanuarie[[#This Row],[1]:[31]],Cod_1)</f>
        <v>0</v>
      </c>
      <c r="AJ11" s="37">
        <f>COUNTIF(PrezențăIanuarie[[#This Row],[1]:[31]],Cod_2)</f>
        <v>0</v>
      </c>
      <c r="AK11" s="37">
        <f>COUNTIF(PrezențăIanuarie[[#This Row],[1]:[31]],Cod_3)</f>
        <v>0</v>
      </c>
      <c r="AL11" s="37">
        <f>COUNTIF(PrezențăIanuarie[[#This Row],[1]:[31]],Cod_4)</f>
        <v>0</v>
      </c>
      <c r="AM11" s="6">
        <f>SUM(PrezențăIanuarie[[#This Row],[M]:[N]])</f>
        <v>0</v>
      </c>
    </row>
    <row r="12" spans="1:39" ht="16.5" customHeight="1" x14ac:dyDescent="0.25">
      <c r="B12" s="140"/>
      <c r="C12" s="141" t="s">
        <v>119</v>
      </c>
      <c r="D12" s="142">
        <f>COUNTIF(PrezențăIanuarie[1],"N")+COUNTIF(PrezențăIanuarie[1],"M")</f>
        <v>0</v>
      </c>
      <c r="E12" s="142">
        <f>COUNTIF(PrezențăIanuarie[2],"N")+COUNTIF(PrezențăIanuarie[2],"M")</f>
        <v>0</v>
      </c>
      <c r="F12" s="142">
        <f>COUNTIF(PrezențăIanuarie[3],"N")+COUNTIF(PrezențăIanuarie[3],"M")</f>
        <v>0</v>
      </c>
      <c r="G12" s="142">
        <f>COUNTIF(PrezențăIanuarie[4],"N")+COUNTIF(PrezențăIanuarie[4],"M")</f>
        <v>0</v>
      </c>
      <c r="H12" s="142">
        <f>COUNTIF(PrezențăIanuarie[5],"N")+COUNTIF(PrezențăIanuarie[5],"M")</f>
        <v>0</v>
      </c>
      <c r="I12" s="142">
        <f>COUNTIF(PrezențăIanuarie[6],"N")+COUNTIF(PrezențăIanuarie[6],"M")</f>
        <v>0</v>
      </c>
      <c r="J12" s="142">
        <f>COUNTIF(PrezențăIanuarie[7],"N")+COUNTIF(PrezențăIanuarie[7],"M")</f>
        <v>0</v>
      </c>
      <c r="K12" s="142">
        <f>COUNTIF(PrezențăIanuarie[8],"N")+COUNTIF(PrezențăIanuarie[8],"M")</f>
        <v>0</v>
      </c>
      <c r="L12" s="142">
        <f>COUNTIF(PrezențăIanuarie[9],"N")+COUNTIF(PrezențăIanuarie[9],"M")</f>
        <v>0</v>
      </c>
      <c r="M12" s="142">
        <f>COUNTIF(PrezențăIanuarie[10],"N")+COUNTIF(PrezențăIanuarie[10],"M")</f>
        <v>0</v>
      </c>
      <c r="N12" s="142">
        <f>COUNTIF(PrezențăIanuarie[11],"N")+COUNTIF(PrezențăIanuarie[11],"M")</f>
        <v>0</v>
      </c>
      <c r="O12" s="142">
        <f>COUNTIF(PrezențăIanuarie[12],"N")+COUNTIF(PrezențăIanuarie[12],"M")</f>
        <v>0</v>
      </c>
      <c r="P12" s="142">
        <f>COUNTIF(PrezențăIanuarie[13],"N")+COUNTIF(PrezențăIanuarie[13],"M")</f>
        <v>0</v>
      </c>
      <c r="Q12" s="142">
        <f>COUNTIF(PrezențăIanuarie[14],"N")+COUNTIF(PrezențăIanuarie[14],"M")</f>
        <v>0</v>
      </c>
      <c r="R12" s="142">
        <f>COUNTIF(PrezențăIanuarie[15],"N")+COUNTIF(PrezențăIanuarie[15],"M")</f>
        <v>0</v>
      </c>
      <c r="S12" s="142">
        <f>COUNTIF(PrezențăIanuarie[16],"N")+COUNTIF(PrezențăIanuarie[16],"M")</f>
        <v>0</v>
      </c>
      <c r="T12" s="142">
        <f>COUNTIF(PrezențăIanuarie[17],"N")+COUNTIF(PrezențăIanuarie[17],"M")</f>
        <v>0</v>
      </c>
      <c r="U12" s="142">
        <f>COUNTIF(PrezențăIanuarie[18],"N")+COUNTIF(PrezențăIanuarie[18],"M")</f>
        <v>0</v>
      </c>
      <c r="V12" s="142">
        <f>COUNTIF(PrezențăIanuarie[19],"N")+COUNTIF(PrezențăIanuarie[19],"M")</f>
        <v>0</v>
      </c>
      <c r="W12" s="142">
        <f>COUNTIF(PrezențăIanuarie[20],"N")+COUNTIF(PrezențăIanuarie[20],"M")</f>
        <v>0</v>
      </c>
      <c r="X12" s="142">
        <f>COUNTIF(PrezențăIanuarie[21],"N")+COUNTIF(PrezențăIanuarie[21],"M")</f>
        <v>0</v>
      </c>
      <c r="Y12" s="142">
        <f>COUNTIF(PrezențăIanuarie[22],"N")+COUNTIF(PrezențăIanuarie[22],"M")</f>
        <v>0</v>
      </c>
      <c r="Z12" s="142">
        <f>COUNTIF(PrezențăIanuarie[23],"N")+COUNTIF(PrezențăIanuarie[23],"M")</f>
        <v>0</v>
      </c>
      <c r="AA12" s="142">
        <f>COUNTIF(PrezențăIanuarie[24],"N")+COUNTIF(PrezențăIanuarie[24],"M")</f>
        <v>0</v>
      </c>
      <c r="AB12" s="142">
        <f>COUNTIF(PrezențăIanuarie[25],"N")+COUNTIF(PrezențăIanuarie[25],"M")</f>
        <v>0</v>
      </c>
      <c r="AC12" s="142">
        <f>COUNTIF(PrezențăIanuarie[26],"N")+COUNTIF(PrezențăIanuarie[26],"M")</f>
        <v>0</v>
      </c>
      <c r="AD12" s="142">
        <f>COUNTIF(PrezențăIanuarie[27],"N")+COUNTIF(PrezențăIanuarie[27],"M")</f>
        <v>0</v>
      </c>
      <c r="AE12" s="142">
        <f>COUNTIF(PrezențăIanuarie[28],"N")+COUNTIF(PrezențăIanuarie[28],"M")</f>
        <v>0</v>
      </c>
      <c r="AF12" s="142">
        <f>COUNTIF(PrezențăIanuarie[29],"N")+COUNTIF(PrezențăIanuarie[29],"M")</f>
        <v>0</v>
      </c>
      <c r="AG12" s="142"/>
      <c r="AH12" s="142"/>
      <c r="AI12" s="142">
        <f>SUBTOTAL(109,PrezențăIanuarie[Î])</f>
        <v>0</v>
      </c>
      <c r="AJ12" s="142">
        <f>SUBTOTAL(109,PrezențăIanuarie[M])</f>
        <v>0</v>
      </c>
      <c r="AK12" s="142">
        <f>SUBTOTAL(109,PrezențăIanuarie[N])</f>
        <v>0</v>
      </c>
      <c r="AL12" s="142">
        <f>SUBTOTAL(109,PrezențăIanuarie[P])</f>
        <v>0</v>
      </c>
      <c r="AM12" s="142">
        <f>SUBTOTAL(109,PrezențăIanuarie[Zile de absență])</f>
        <v>0</v>
      </c>
    </row>
    <row r="14" spans="1:39" ht="16.5" customHeight="1" x14ac:dyDescent="0.25"/>
    <row r="15" spans="1:39" ht="16.5" customHeight="1" x14ac:dyDescent="0.25"/>
    <row r="16" spans="1:39"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sheetData>
  <sheetProtection formatCells="0" formatColumns="0" formatRows="0" insertColumns="0" insertRows="0" insertHyperlinks="0" deleteColumns="0" deleteRows="0" sort="0" autoFilter="0" pivotTables="0"/>
  <mergeCells count="1">
    <mergeCell ref="AI5:AM5"/>
  </mergeCells>
  <conditionalFormatting sqref="AM7:AM11">
    <cfRule type="dataBar" priority="3">
      <dataBar>
        <cfvo type="min"/>
        <cfvo type="num" val="DATEDIF(DATE(AnCalendar,2,1),DATE(AnCalendar,3,1),&quot;d&quot;)"/>
        <color theme="4"/>
      </dataBar>
      <extLst>
        <ext xmlns:x14="http://schemas.microsoft.com/office/spreadsheetml/2009/9/main" uri="{B025F937-C7B1-47D3-B67F-A62EFF666E3E}">
          <x14:id>{14404821-1BA2-401A-A36D-E7C5CA142FF7}</x14:id>
        </ext>
      </extLst>
    </cfRule>
  </conditionalFormatting>
  <conditionalFormatting sqref="D7:AF11">
    <cfRule type="expression" dxfId="779" priority="4" stopIfTrue="1">
      <formula>D7=Cod_2</formula>
    </cfRule>
  </conditionalFormatting>
  <conditionalFormatting sqref="D7:AF11">
    <cfRule type="expression" dxfId="778" priority="5" stopIfTrue="1">
      <formula>D7=Cod_5</formula>
    </cfRule>
    <cfRule type="expression" dxfId="777" priority="6" stopIfTrue="1">
      <formula>D7=Cod_4</formula>
    </cfRule>
    <cfRule type="expression" dxfId="776" priority="7" stopIfTrue="1">
      <formula>D7=Cod_3</formula>
    </cfRule>
    <cfRule type="expression" dxfId="775" priority="8" stopIfTrue="1">
      <formula>D7=Cod_1</formula>
    </cfRule>
  </conditionalFormatting>
  <dataValidations count="1">
    <dataValidation type="list" errorStyle="warning" allowBlank="1" showInputMessage="1" showErrorMessage="1" errorTitle="Atenție!" error="ID-ul elev pe care l-ați introdus nu se află în foaia Listă elevi. Puteți să faceți clic pe Da pentru a utiliza ID-ul introdus, dar acel ID elev nu va fi disponibil pe foaia Raport prezență elev." sqref="B7:B11">
      <formula1>IDCursant</formula1>
    </dataValidation>
  </dataValidations>
  <printOptions horizontalCentered="1"/>
  <pageMargins left="0.5" right="0.5" top="0.75" bottom="0.75" header="0.3" footer="0.3"/>
  <pageSetup paperSize="9" scale="59" fitToHeight="0" orientation="landscape" verticalDpi="120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4404821-1BA2-401A-A36D-E7C5CA142FF7}">
            <x14:dataBar minLength="0" maxLength="100" border="1" negativeBarBorderColorSameAsPositive="0">
              <x14:cfvo type="autoMin"/>
              <x14:cfvo type="num">
                <xm:f>DATEDIF(DATE(AnCalendar,2,1),DATE(AnCalendar,3,1),"d")</xm:f>
              </x14:cfvo>
              <x14:borderColor theme="4"/>
              <x14:negativeFillColor rgb="FFFF0000"/>
              <x14:negativeBorderColor rgb="FFFF0000"/>
              <x14:axisColor rgb="FF000000"/>
            </x14:dataBar>
          </x14:cfRule>
          <xm:sqref>AM7:AM11</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499984740745262"/>
    <pageSetUpPr fitToPage="1"/>
  </sheetPr>
  <dimension ref="A1:AM264"/>
  <sheetViews>
    <sheetView showGridLines="0" zoomScaleNormal="100" workbookViewId="0">
      <pane xSplit="3" ySplit="6" topLeftCell="D7" activePane="bottomRight" state="frozen"/>
      <selection pane="topRight"/>
      <selection pane="bottomLeft"/>
      <selection pane="bottomRight"/>
    </sheetView>
  </sheetViews>
  <sheetFormatPr defaultRowHeight="15" customHeight="1" x14ac:dyDescent="0.25"/>
  <cols>
    <col min="1" max="1" width="2.7109375" style="11" customWidth="1"/>
    <col min="2" max="2" width="10.85546875" style="11" customWidth="1"/>
    <col min="3" max="3" width="32.140625" style="12" bestFit="1" customWidth="1"/>
    <col min="4" max="34" width="5" style="10" customWidth="1"/>
    <col min="35" max="35" width="4.7109375" style="9" customWidth="1"/>
    <col min="36" max="36" width="4.7109375" style="10" customWidth="1"/>
    <col min="37" max="38" width="4.7109375" style="11" customWidth="1"/>
    <col min="39" max="39" width="15.140625" style="11" bestFit="1" customWidth="1"/>
    <col min="40" max="16384" width="9.140625" style="11"/>
  </cols>
  <sheetData>
    <row r="1" spans="1:39" s="1" customFormat="1" ht="42" customHeight="1" x14ac:dyDescent="0.25">
      <c r="A1" s="139" t="s">
        <v>88</v>
      </c>
      <c r="B1" s="38"/>
      <c r="C1" s="38"/>
      <c r="D1" s="39"/>
      <c r="E1" s="39"/>
      <c r="F1" s="39"/>
      <c r="G1" s="39"/>
      <c r="H1" s="39"/>
      <c r="I1" s="39"/>
      <c r="J1" s="39"/>
      <c r="K1" s="39"/>
      <c r="L1" s="39"/>
      <c r="M1" s="39"/>
      <c r="N1" s="39"/>
      <c r="O1" s="39"/>
      <c r="P1" s="39"/>
      <c r="Q1" s="39"/>
      <c r="R1" s="39"/>
      <c r="S1" s="39"/>
      <c r="T1" s="39"/>
      <c r="U1" s="39"/>
      <c r="V1" s="39"/>
      <c r="W1" s="39"/>
      <c r="X1" s="39"/>
      <c r="Y1" s="39"/>
      <c r="Z1" s="39"/>
      <c r="AA1" s="39"/>
      <c r="AB1" s="39"/>
      <c r="AC1" s="38"/>
      <c r="AD1" s="38"/>
      <c r="AE1" s="38"/>
      <c r="AF1" s="38"/>
      <c r="AG1" s="40"/>
      <c r="AH1" s="38"/>
      <c r="AI1" s="38"/>
      <c r="AJ1" s="41"/>
      <c r="AK1" s="38"/>
      <c r="AL1" s="138" t="s">
        <v>71</v>
      </c>
      <c r="AM1" s="57">
        <f>AnCalendar</f>
        <v>2012</v>
      </c>
    </row>
    <row r="2" spans="1:39" customFormat="1" ht="13.5" x14ac:dyDescent="0.25"/>
    <row r="3" spans="1:39" s="32" customFormat="1" ht="12.75" customHeight="1" x14ac:dyDescent="0.25">
      <c r="C3" s="44" t="str">
        <f>CheieCuloareText</f>
        <v>CHEIE CULORI</v>
      </c>
      <c r="D3" s="51" t="str">
        <f>Cod_1</f>
        <v>Î</v>
      </c>
      <c r="E3" s="67" t="str">
        <f>Cod1Text</f>
        <v>Întârziat</v>
      </c>
      <c r="F3" s="58"/>
      <c r="H3" s="52" t="str">
        <f>Cod_2</f>
        <v>M</v>
      </c>
      <c r="I3" s="56" t="str">
        <f>Cod2Text</f>
        <v>Motivat</v>
      </c>
      <c r="L3" s="53" t="str">
        <f>Cod_3</f>
        <v>N</v>
      </c>
      <c r="M3" s="56" t="str">
        <f>Cod3Text</f>
        <v>Nemotivat</v>
      </c>
      <c r="P3" s="54" t="str">
        <f>Cod_4</f>
        <v>P</v>
      </c>
      <c r="Q3" s="56" t="str">
        <f>Cod4Text</f>
        <v>Prezent</v>
      </c>
      <c r="T3" s="55" t="str">
        <f>Cod_5</f>
        <v>Nu</v>
      </c>
      <c r="U3" s="56" t="str">
        <f>Cod5Text</f>
        <v>Nu a fost la școală</v>
      </c>
      <c r="W3"/>
      <c r="X3"/>
      <c r="Y3"/>
      <c r="AD3" s="31"/>
      <c r="AE3" s="31"/>
      <c r="AH3" s="33"/>
      <c r="AI3" s="34"/>
      <c r="AK3" s="35"/>
    </row>
    <row r="4" spans="1:39" customFormat="1" ht="16.5" customHeight="1" x14ac:dyDescent="0.25"/>
    <row r="5" spans="1:39" s="2" customFormat="1" ht="18" customHeight="1" x14ac:dyDescent="0.3">
      <c r="B5" s="60">
        <f>DATE(AnCalendar+1,2,1)</f>
        <v>41306</v>
      </c>
      <c r="C5" s="59"/>
      <c r="D5" s="42" t="str">
        <f>TEXT(WEEKDAY(DATE(AnCalendar+1,2,1),1),"aaa")</f>
        <v>V</v>
      </c>
      <c r="E5" s="42" t="str">
        <f>TEXT(WEEKDAY(DATE(AnCalendar+1,2,2),1),"aaa")</f>
        <v>S</v>
      </c>
      <c r="F5" s="42" t="str">
        <f>TEXT(WEEKDAY(DATE(AnCalendar+1,2,3),1),"aaa")</f>
        <v>D</v>
      </c>
      <c r="G5" s="42" t="str">
        <f>TEXT(WEEKDAY(DATE(AnCalendar+1,2,4),1),"aaa")</f>
        <v>L</v>
      </c>
      <c r="H5" s="42" t="str">
        <f>TEXT(WEEKDAY(DATE(AnCalendar+1,2,5),1),"aaa")</f>
        <v>Ma</v>
      </c>
      <c r="I5" s="42" t="str">
        <f>TEXT(WEEKDAY(DATE(AnCalendar+1,2,6),1),"aaa")</f>
        <v>Mi</v>
      </c>
      <c r="J5" s="42" t="str">
        <f>TEXT(WEEKDAY(DATE(AnCalendar+1,2,7),1),"aaa")</f>
        <v>J</v>
      </c>
      <c r="K5" s="42" t="str">
        <f>TEXT(WEEKDAY(DATE(AnCalendar+1,2,8),1),"aaa")</f>
        <v>V</v>
      </c>
      <c r="L5" s="42" t="str">
        <f>TEXT(WEEKDAY(DATE(AnCalendar+1,2,9),1),"aaa")</f>
        <v>S</v>
      </c>
      <c r="M5" s="42" t="str">
        <f>TEXT(WEEKDAY(DATE(AnCalendar+1,2,10),1),"aaa")</f>
        <v>D</v>
      </c>
      <c r="N5" s="42" t="str">
        <f>TEXT(WEEKDAY(DATE(AnCalendar+1,2,11),1),"aaa")</f>
        <v>L</v>
      </c>
      <c r="O5" s="42" t="str">
        <f>TEXT(WEEKDAY(DATE(AnCalendar+1,2,12),1),"aaa")</f>
        <v>Ma</v>
      </c>
      <c r="P5" s="42" t="str">
        <f>TEXT(WEEKDAY(DATE(AnCalendar+1,2,13),1),"aaa")</f>
        <v>Mi</v>
      </c>
      <c r="Q5" s="42" t="str">
        <f>TEXT(WEEKDAY(DATE(AnCalendar+1,2,14),1),"aaa")</f>
        <v>J</v>
      </c>
      <c r="R5" s="42" t="str">
        <f>TEXT(WEEKDAY(DATE(AnCalendar+1,2,15),1),"aaa")</f>
        <v>V</v>
      </c>
      <c r="S5" s="42" t="str">
        <f>TEXT(WEEKDAY(DATE(AnCalendar+1,2,16),1),"aaa")</f>
        <v>S</v>
      </c>
      <c r="T5" s="42" t="str">
        <f>TEXT(WEEKDAY(DATE(AnCalendar+1,2,17),1),"aaa")</f>
        <v>D</v>
      </c>
      <c r="U5" s="42" t="str">
        <f>TEXT(WEEKDAY(DATE(AnCalendar+1,2,18),1),"aaa")</f>
        <v>L</v>
      </c>
      <c r="V5" s="42" t="str">
        <f>TEXT(WEEKDAY(DATE(AnCalendar+1,2,19),1),"aaa")</f>
        <v>Ma</v>
      </c>
      <c r="W5" s="42" t="str">
        <f>TEXT(WEEKDAY(DATE(AnCalendar+1,2,20),1),"aaa")</f>
        <v>Mi</v>
      </c>
      <c r="X5" s="42" t="str">
        <f>TEXT(WEEKDAY(DATE(AnCalendar+1,2,21),1),"aaa")</f>
        <v>J</v>
      </c>
      <c r="Y5" s="42" t="str">
        <f>TEXT(WEEKDAY(DATE(AnCalendar+1,2,22),1),"aaa")</f>
        <v>V</v>
      </c>
      <c r="Z5" s="42" t="str">
        <f>TEXT(WEEKDAY(DATE(AnCalendar+1,2,23),1),"aaa")</f>
        <v>S</v>
      </c>
      <c r="AA5" s="42" t="str">
        <f>TEXT(WEEKDAY(DATE(AnCalendar+1,2,24),1),"aaa")</f>
        <v>D</v>
      </c>
      <c r="AB5" s="42" t="str">
        <f>TEXT(WEEKDAY(DATE(AnCalendar+1,2,25),1),"aaa")</f>
        <v>L</v>
      </c>
      <c r="AC5" s="42" t="str">
        <f>TEXT(WEEKDAY(DATE(AnCalendar+1,2,26),1),"aaa")</f>
        <v>Ma</v>
      </c>
      <c r="AD5" s="42" t="str">
        <f>TEXT(WEEKDAY(DATE(AnCalendar+1,2,27),1),"aaa")</f>
        <v>Mi</v>
      </c>
      <c r="AE5" s="42" t="str">
        <f>TEXT(WEEKDAY(DATE(AnCalendar+1,2,28),1),"aaa")</f>
        <v>J</v>
      </c>
      <c r="AF5" s="42" t="str">
        <f>TEXT(WEEKDAY(DATE(AnCalendar+1,2,29),1),"aaa")</f>
        <v>V</v>
      </c>
      <c r="AG5" s="42"/>
      <c r="AH5" s="42"/>
      <c r="AI5" s="116" t="s">
        <v>41</v>
      </c>
      <c r="AJ5" s="116"/>
      <c r="AK5" s="116"/>
      <c r="AL5" s="116"/>
      <c r="AM5" s="116"/>
    </row>
    <row r="6" spans="1:39" ht="14.25" customHeight="1" x14ac:dyDescent="0.25">
      <c r="B6" s="28" t="s">
        <v>34</v>
      </c>
      <c r="C6" s="29" t="s">
        <v>36</v>
      </c>
      <c r="D6" s="30" t="s">
        <v>0</v>
      </c>
      <c r="E6" s="30" t="s">
        <v>1</v>
      </c>
      <c r="F6" s="30" t="s">
        <v>2</v>
      </c>
      <c r="G6" s="30" t="s">
        <v>3</v>
      </c>
      <c r="H6" s="30" t="s">
        <v>4</v>
      </c>
      <c r="I6" s="30" t="s">
        <v>5</v>
      </c>
      <c r="J6" s="30" t="s">
        <v>6</v>
      </c>
      <c r="K6" s="30" t="s">
        <v>7</v>
      </c>
      <c r="L6" s="30" t="s">
        <v>8</v>
      </c>
      <c r="M6" s="30" t="s">
        <v>9</v>
      </c>
      <c r="N6" s="30" t="s">
        <v>10</v>
      </c>
      <c r="O6" s="30" t="s">
        <v>11</v>
      </c>
      <c r="P6" s="30" t="s">
        <v>12</v>
      </c>
      <c r="Q6" s="30" t="s">
        <v>13</v>
      </c>
      <c r="R6" s="30" t="s">
        <v>14</v>
      </c>
      <c r="S6" s="30" t="s">
        <v>15</v>
      </c>
      <c r="T6" s="30" t="s">
        <v>16</v>
      </c>
      <c r="U6" s="30" t="s">
        <v>17</v>
      </c>
      <c r="V6" s="30" t="s">
        <v>18</v>
      </c>
      <c r="W6" s="30" t="s">
        <v>19</v>
      </c>
      <c r="X6" s="30" t="s">
        <v>20</v>
      </c>
      <c r="Y6" s="30" t="s">
        <v>21</v>
      </c>
      <c r="Z6" s="30" t="s">
        <v>22</v>
      </c>
      <c r="AA6" s="30" t="s">
        <v>23</v>
      </c>
      <c r="AB6" s="30" t="s">
        <v>24</v>
      </c>
      <c r="AC6" s="30" t="s">
        <v>25</v>
      </c>
      <c r="AD6" s="30" t="s">
        <v>26</v>
      </c>
      <c r="AE6" s="30" t="s">
        <v>27</v>
      </c>
      <c r="AF6" s="30" t="s">
        <v>28</v>
      </c>
      <c r="AG6" s="30" t="s">
        <v>29</v>
      </c>
      <c r="AH6" s="30" t="s">
        <v>30</v>
      </c>
      <c r="AI6" s="69" t="s">
        <v>37</v>
      </c>
      <c r="AJ6" s="52" t="s">
        <v>39</v>
      </c>
      <c r="AK6" s="53" t="s">
        <v>38</v>
      </c>
      <c r="AL6" s="36" t="s">
        <v>31</v>
      </c>
      <c r="AM6" t="s">
        <v>40</v>
      </c>
    </row>
    <row r="7" spans="1:39" ht="16.5" customHeight="1" x14ac:dyDescent="0.25">
      <c r="B7" s="27"/>
      <c r="C7" s="22" t="str">
        <f>IFERROR(VLOOKUP(PrezențăFebruarie[[#This Row],[ID elev]],ListăElevi[],18,FALSE),"")</f>
        <v/>
      </c>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6"/>
      <c r="AG7" s="3"/>
      <c r="AH7" s="3"/>
      <c r="AI7" s="37">
        <f>COUNTIF(PrezențăFebruarie[[#This Row],[1]:[31]],Cod_1)</f>
        <v>0</v>
      </c>
      <c r="AJ7" s="37">
        <f>COUNTIF(PrezențăFebruarie[[#This Row],[1]:[31]],Cod_2)</f>
        <v>0</v>
      </c>
      <c r="AK7" s="37">
        <f>COUNTIF(PrezențăFebruarie[[#This Row],[1]:[31]],Cod_3)</f>
        <v>0</v>
      </c>
      <c r="AL7" s="37">
        <f>COUNTIF(PrezențăFebruarie[[#This Row],[1]:[31]],Cod_4)</f>
        <v>0</v>
      </c>
      <c r="AM7" s="6">
        <f>SUM(PrezențăFebruarie[[#This Row],[M]:[N]])</f>
        <v>0</v>
      </c>
    </row>
    <row r="8" spans="1:39" ht="16.5" customHeight="1" x14ac:dyDescent="0.25">
      <c r="B8" s="27"/>
      <c r="C8" s="23" t="str">
        <f>IFERROR(VLOOKUP(PrezențăFebruarie[[#This Row],[ID elev]],ListăElevi[],18,FALSE),"")</f>
        <v/>
      </c>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6"/>
      <c r="AG8" s="3"/>
      <c r="AH8" s="3"/>
      <c r="AI8" s="37">
        <f>COUNTIF(PrezențăFebruarie[[#This Row],[1]:[31]],Cod_1)</f>
        <v>0</v>
      </c>
      <c r="AJ8" s="37">
        <f>COUNTIF(PrezențăFebruarie[[#This Row],[1]:[31]],Cod_2)</f>
        <v>0</v>
      </c>
      <c r="AK8" s="37">
        <f>COUNTIF(PrezențăFebruarie[[#This Row],[1]:[31]],Cod_3)</f>
        <v>0</v>
      </c>
      <c r="AL8" s="37">
        <f>COUNTIF(PrezențăFebruarie[[#This Row],[1]:[31]],Cod_4)</f>
        <v>0</v>
      </c>
      <c r="AM8" s="6">
        <f>SUM(PrezențăFebruarie[[#This Row],[M]:[N]])</f>
        <v>0</v>
      </c>
    </row>
    <row r="9" spans="1:39" ht="16.5" customHeight="1" x14ac:dyDescent="0.25">
      <c r="B9" s="27"/>
      <c r="C9" s="23" t="str">
        <f>IFERROR(VLOOKUP(PrezențăFebruarie[[#This Row],[ID elev]],ListăElevi[],18,FALSE),"")</f>
        <v/>
      </c>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6"/>
      <c r="AG9" s="3"/>
      <c r="AH9" s="3"/>
      <c r="AI9" s="37">
        <f>COUNTIF(PrezențăFebruarie[[#This Row],[1]:[31]],Cod_1)</f>
        <v>0</v>
      </c>
      <c r="AJ9" s="37">
        <f>COUNTIF(PrezențăFebruarie[[#This Row],[1]:[31]],Cod_2)</f>
        <v>0</v>
      </c>
      <c r="AK9" s="37">
        <f>COUNTIF(PrezențăFebruarie[[#This Row],[1]:[31]],Cod_3)</f>
        <v>0</v>
      </c>
      <c r="AL9" s="37">
        <f>COUNTIF(PrezențăFebruarie[[#This Row],[1]:[31]],Cod_4)</f>
        <v>0</v>
      </c>
      <c r="AM9" s="6">
        <f>SUM(PrezențăFebruarie[[#This Row],[M]:[N]])</f>
        <v>0</v>
      </c>
    </row>
    <row r="10" spans="1:39" ht="16.5" customHeight="1" x14ac:dyDescent="0.25">
      <c r="B10" s="27"/>
      <c r="C10" s="23" t="str">
        <f>IFERROR(VLOOKUP(PrezențăFebruarie[[#This Row],[ID elev]],ListăElevi[],18,FALSE),"")</f>
        <v/>
      </c>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6"/>
      <c r="AG10" s="3"/>
      <c r="AH10" s="3"/>
      <c r="AI10" s="37">
        <f>COUNTIF(PrezențăFebruarie[[#This Row],[1]:[31]],Cod_1)</f>
        <v>0</v>
      </c>
      <c r="AJ10" s="37">
        <f>COUNTIF(PrezențăFebruarie[[#This Row],[1]:[31]],Cod_2)</f>
        <v>0</v>
      </c>
      <c r="AK10" s="37">
        <f>COUNTIF(PrezențăFebruarie[[#This Row],[1]:[31]],Cod_3)</f>
        <v>0</v>
      </c>
      <c r="AL10" s="37">
        <f>COUNTIF(PrezențăFebruarie[[#This Row],[1]:[31]],Cod_4)</f>
        <v>0</v>
      </c>
      <c r="AM10" s="6">
        <f>SUM(PrezențăFebruarie[[#This Row],[M]:[N]])</f>
        <v>0</v>
      </c>
    </row>
    <row r="11" spans="1:39" ht="16.5" customHeight="1" x14ac:dyDescent="0.25">
      <c r="B11" s="27"/>
      <c r="C11" s="23" t="str">
        <f>IFERROR(VLOOKUP(PrezențăFebruarie[[#This Row],[ID elev]],ListăElevi[],18,FALSE),"")</f>
        <v/>
      </c>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6"/>
      <c r="AG11" s="3"/>
      <c r="AH11" s="3"/>
      <c r="AI11" s="37">
        <f>COUNTIF(PrezențăFebruarie[[#This Row],[1]:[31]],Cod_1)</f>
        <v>0</v>
      </c>
      <c r="AJ11" s="37">
        <f>COUNTIF(PrezențăFebruarie[[#This Row],[1]:[31]],Cod_2)</f>
        <v>0</v>
      </c>
      <c r="AK11" s="37">
        <f>COUNTIF(PrezențăFebruarie[[#This Row],[1]:[31]],Cod_3)</f>
        <v>0</v>
      </c>
      <c r="AL11" s="37">
        <f>COUNTIF(PrezențăFebruarie[[#This Row],[1]:[31]],Cod_4)</f>
        <v>0</v>
      </c>
      <c r="AM11" s="6">
        <f>SUM(PrezențăFebruarie[[#This Row],[M]:[N]])</f>
        <v>0</v>
      </c>
    </row>
    <row r="12" spans="1:39" ht="16.5" customHeight="1" x14ac:dyDescent="0.25">
      <c r="B12" s="140"/>
      <c r="C12" s="141" t="s">
        <v>119</v>
      </c>
      <c r="D12" s="142">
        <f>COUNTIF(PrezențăFebruarie[1],"N")+COUNTIF(PrezențăFebruarie[1],"M")</f>
        <v>0</v>
      </c>
      <c r="E12" s="142">
        <f>COUNTIF(PrezențăFebruarie[2],"N")+COUNTIF(PrezențăFebruarie[2],"M")</f>
        <v>0</v>
      </c>
      <c r="F12" s="142">
        <f>COUNTIF(PrezențăFebruarie[3],"N")+COUNTIF(PrezențăFebruarie[3],"M")</f>
        <v>0</v>
      </c>
      <c r="G12" s="142">
        <f>COUNTIF(PrezențăFebruarie[4],"N")+COUNTIF(PrezențăFebruarie[4],"M")</f>
        <v>0</v>
      </c>
      <c r="H12" s="142">
        <f>COUNTIF(PrezențăFebruarie[5],"N")+COUNTIF(PrezențăFebruarie[5],"M")</f>
        <v>0</v>
      </c>
      <c r="I12" s="142">
        <f>COUNTIF(PrezențăFebruarie[6],"N")+COUNTIF(PrezențăFebruarie[6],"M")</f>
        <v>0</v>
      </c>
      <c r="J12" s="142">
        <f>COUNTIF(PrezențăFebruarie[7],"N")+COUNTIF(PrezențăFebruarie[7],"M")</f>
        <v>0</v>
      </c>
      <c r="K12" s="142">
        <f>COUNTIF(PrezențăFebruarie[8],"N")+COUNTIF(PrezențăFebruarie[8],"M")</f>
        <v>0</v>
      </c>
      <c r="L12" s="142">
        <f>COUNTIF(PrezențăFebruarie[9],"N")+COUNTIF(PrezențăFebruarie[9],"M")</f>
        <v>0</v>
      </c>
      <c r="M12" s="142">
        <f>COUNTIF(PrezențăFebruarie[10],"N")+COUNTIF(PrezențăFebruarie[10],"M")</f>
        <v>0</v>
      </c>
      <c r="N12" s="142">
        <f>COUNTIF(PrezențăFebruarie[11],"N")+COUNTIF(PrezențăFebruarie[11],"M")</f>
        <v>0</v>
      </c>
      <c r="O12" s="142">
        <f>COUNTIF(PrezențăFebruarie[12],"N")+COUNTIF(PrezențăFebruarie[12],"M")</f>
        <v>0</v>
      </c>
      <c r="P12" s="142">
        <f>COUNTIF(PrezențăFebruarie[13],"N")+COUNTIF(PrezențăFebruarie[13],"M")</f>
        <v>0</v>
      </c>
      <c r="Q12" s="142">
        <f>COUNTIF(PrezențăFebruarie[14],"N")+COUNTIF(PrezențăFebruarie[14],"M")</f>
        <v>0</v>
      </c>
      <c r="R12" s="142">
        <f>COUNTIF(PrezențăFebruarie[15],"N")+COUNTIF(PrezențăFebruarie[15],"M")</f>
        <v>0</v>
      </c>
      <c r="S12" s="142">
        <f>COUNTIF(PrezențăFebruarie[16],"N")+COUNTIF(PrezențăFebruarie[16],"M")</f>
        <v>0</v>
      </c>
      <c r="T12" s="142">
        <f>COUNTIF(PrezențăFebruarie[17],"N")+COUNTIF(PrezențăFebruarie[17],"M")</f>
        <v>0</v>
      </c>
      <c r="U12" s="142">
        <f>COUNTIF(PrezențăFebruarie[18],"N")+COUNTIF(PrezențăFebruarie[18],"M")</f>
        <v>0</v>
      </c>
      <c r="V12" s="142">
        <f>COUNTIF(PrezențăFebruarie[19],"N")+COUNTIF(PrezențăFebruarie[19],"M")</f>
        <v>0</v>
      </c>
      <c r="W12" s="142">
        <f>COUNTIF(PrezențăFebruarie[20],"N")+COUNTIF(PrezențăFebruarie[20],"M")</f>
        <v>0</v>
      </c>
      <c r="X12" s="142">
        <f>COUNTIF(PrezențăFebruarie[21],"N")+COUNTIF(PrezențăFebruarie[21],"M")</f>
        <v>0</v>
      </c>
      <c r="Y12" s="142">
        <f>COUNTIF(PrezențăFebruarie[22],"N")+COUNTIF(PrezențăFebruarie[22],"M")</f>
        <v>0</v>
      </c>
      <c r="Z12" s="142">
        <f>COUNTIF(PrezențăFebruarie[23],"N")+COUNTIF(PrezențăFebruarie[23],"M")</f>
        <v>0</v>
      </c>
      <c r="AA12" s="142">
        <f>COUNTIF(PrezențăFebruarie[24],"N")+COUNTIF(PrezențăFebruarie[24],"M")</f>
        <v>0</v>
      </c>
      <c r="AB12" s="142">
        <f>COUNTIF(PrezențăFebruarie[25],"N")+COUNTIF(PrezențăFebruarie[25],"M")</f>
        <v>0</v>
      </c>
      <c r="AC12" s="142">
        <f>COUNTIF(PrezențăFebruarie[26],"N")+COUNTIF(PrezențăFebruarie[26],"M")</f>
        <v>0</v>
      </c>
      <c r="AD12" s="142">
        <f>COUNTIF(PrezențăFebruarie[27],"N")+COUNTIF(PrezențăFebruarie[27],"M")</f>
        <v>0</v>
      </c>
      <c r="AE12" s="142">
        <f>COUNTIF(PrezențăFebruarie[28],"N")+COUNTIF(PrezențăFebruarie[28],"M")</f>
        <v>0</v>
      </c>
      <c r="AF12" s="142">
        <f>COUNTIF(PrezențăFebruarie[29],"N")+COUNTIF(PrezențăFebruarie[29],"M")</f>
        <v>0</v>
      </c>
      <c r="AG12" s="142"/>
      <c r="AH12" s="142"/>
      <c r="AI12" s="142">
        <f>SUBTOTAL(109,PrezențăFebruarie[Î])</f>
        <v>0</v>
      </c>
      <c r="AJ12" s="142">
        <f>SUBTOTAL(109,PrezențăFebruarie[M])</f>
        <v>0</v>
      </c>
      <c r="AK12" s="142">
        <f>SUBTOTAL(109,PrezențăFebruarie[N])</f>
        <v>0</v>
      </c>
      <c r="AL12" s="142">
        <f>SUBTOTAL(109,PrezențăFebruarie[P])</f>
        <v>0</v>
      </c>
      <c r="AM12" s="142">
        <f>SUBTOTAL(109,PrezențăFebruarie[Zile de absență])</f>
        <v>0</v>
      </c>
    </row>
    <row r="14" spans="1:39" ht="16.5" customHeight="1" x14ac:dyDescent="0.25"/>
    <row r="15" spans="1:39" ht="16.5" customHeight="1" x14ac:dyDescent="0.25"/>
    <row r="16" spans="1:39"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sheetData>
  <sheetProtection formatCells="0" formatColumns="0" formatRows="0" insertColumns="0" insertRows="0" insertHyperlinks="0" deleteColumns="0" deleteRows="0" sort="0" autoFilter="0" pivotTables="0"/>
  <mergeCells count="1">
    <mergeCell ref="AI5:AM5"/>
  </mergeCells>
  <conditionalFormatting sqref="AM7:AM11">
    <cfRule type="dataBar" priority="3">
      <dataBar>
        <cfvo type="min"/>
        <cfvo type="num" val="DATEDIF(DATE(AnCalendar,2,1),DATE(AnCalendar,3,1),&quot;d&quot;)"/>
        <color theme="4"/>
      </dataBar>
      <extLst>
        <ext xmlns:x14="http://schemas.microsoft.com/office/spreadsheetml/2009/9/main" uri="{B025F937-C7B1-47D3-B67F-A62EFF666E3E}">
          <x14:id>{AB18F5F5-27F6-438D-8C1C-359FFE3EF7E4}</x14:id>
        </ext>
      </extLst>
    </cfRule>
  </conditionalFormatting>
  <conditionalFormatting sqref="AF5:AH5">
    <cfRule type="expression" dxfId="734" priority="2">
      <formula>DATE(AnCalendar+1,2,AF6)&gt;EOMONTH(DATE(AnCalendar+1,1,1),1)</formula>
    </cfRule>
  </conditionalFormatting>
  <conditionalFormatting sqref="D7:AF11">
    <cfRule type="expression" dxfId="733" priority="5" stopIfTrue="1">
      <formula>D7=Cod_2</formula>
    </cfRule>
  </conditionalFormatting>
  <conditionalFormatting sqref="D7:AF11">
    <cfRule type="expression" dxfId="732" priority="6" stopIfTrue="1">
      <formula>D7=Cod_5</formula>
    </cfRule>
    <cfRule type="expression" dxfId="731" priority="7" stopIfTrue="1">
      <formula>D7=Cod_4</formula>
    </cfRule>
    <cfRule type="expression" dxfId="730" priority="8" stopIfTrue="1">
      <formula>D7=Cod_3</formula>
    </cfRule>
    <cfRule type="expression" dxfId="729" priority="9" stopIfTrue="1">
      <formula>D7=Cod_1</formula>
    </cfRule>
  </conditionalFormatting>
  <conditionalFormatting sqref="AF6:AH6">
    <cfRule type="expression" dxfId="728" priority="1">
      <formula>DATE(AnCalendar+1,2,AF6)&gt;EOMONTH(DATE(AnCalendar+1,1,1),1)</formula>
    </cfRule>
  </conditionalFormatting>
  <dataValidations count="1">
    <dataValidation type="list" errorStyle="warning" allowBlank="1" showInputMessage="1" showErrorMessage="1" errorTitle="Atenție!" error="ID-ul elev pe care l-ați introdus nu se află în foaia Listă elevi. Puteți să faceți clic pe Da pentru a utiliza ID-ul introdus, dar acel ID elev nu va fi disponibil pe foaia Raport prezență elev." sqref="B7:B11">
      <formula1>IDCursant</formula1>
    </dataValidation>
  </dataValidations>
  <printOptions horizontalCentered="1"/>
  <pageMargins left="0.5" right="0.5" top="0.75" bottom="0.75" header="0.3" footer="0.3"/>
  <pageSetup paperSize="9" scale="59" fitToHeight="0" orientation="landscape" verticalDpi="1200" r:id="rId1"/>
  <legacy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AB18F5F5-27F6-438D-8C1C-359FFE3EF7E4}">
            <x14:dataBar minLength="0" maxLength="100" border="1" negativeBarBorderColorSameAsPositive="0">
              <x14:cfvo type="autoMin"/>
              <x14:cfvo type="num">
                <xm:f>DATEDIF(DATE(AnCalendar,2,1),DATE(AnCalendar,3,1),"d")</xm:f>
              </x14:cfvo>
              <x14:borderColor theme="4"/>
              <x14:negativeFillColor rgb="FFFF0000"/>
              <x14:negativeBorderColor rgb="FFFF0000"/>
              <x14:axisColor rgb="FF000000"/>
            </x14:dataBar>
          </x14:cfRule>
          <xm:sqref>AM7:AM11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irectSourceMarket xmlns="cf237c1f-e9f7-4812-a5e3-e7fff9ac6432">english</DirectSourceMarket>
    <ApprovalStatus xmlns="cf237c1f-e9f7-4812-a5e3-e7fff9ac6432">InProgress</ApprovalStatus>
    <MarketSpecific xmlns="cf237c1f-e9f7-4812-a5e3-e7fff9ac6432">false</MarketSpecific>
    <LocComments xmlns="cf237c1f-e9f7-4812-a5e3-e7fff9ac6432" xsi:nil="true"/>
    <ThumbnailAssetId xmlns="cf237c1f-e9f7-4812-a5e3-e7fff9ac6432" xsi:nil="true"/>
    <PrimaryImageGen xmlns="cf237c1f-e9f7-4812-a5e3-e7fff9ac6432">true</PrimaryImageGen>
    <LegacyData xmlns="cf237c1f-e9f7-4812-a5e3-e7fff9ac6432" xsi:nil="true"/>
    <LocRecommendedHandoff xmlns="cf237c1f-e9f7-4812-a5e3-e7fff9ac6432" xsi:nil="true"/>
    <BusinessGroup xmlns="cf237c1f-e9f7-4812-a5e3-e7fff9ac6432" xsi:nil="true"/>
    <BlockPublish xmlns="cf237c1f-e9f7-4812-a5e3-e7fff9ac6432">false</BlockPublish>
    <TPFriendlyName xmlns="cf237c1f-e9f7-4812-a5e3-e7fff9ac6432" xsi:nil="true"/>
    <NumericId xmlns="cf237c1f-e9f7-4812-a5e3-e7fff9ac6432" xsi:nil="true"/>
    <APEditor xmlns="cf237c1f-e9f7-4812-a5e3-e7fff9ac6432">
      <UserInfo>
        <DisplayName/>
        <AccountId xsi:nil="true"/>
        <AccountType/>
      </UserInfo>
    </APEditor>
    <SourceTitle xmlns="cf237c1f-e9f7-4812-a5e3-e7fff9ac6432" xsi:nil="true"/>
    <OpenTemplate xmlns="cf237c1f-e9f7-4812-a5e3-e7fff9ac6432">true</OpenTemplate>
    <UALocComments xmlns="cf237c1f-e9f7-4812-a5e3-e7fff9ac6432" xsi:nil="true"/>
    <ParentAssetId xmlns="cf237c1f-e9f7-4812-a5e3-e7fff9ac6432" xsi:nil="true"/>
    <IntlLangReviewDate xmlns="cf237c1f-e9f7-4812-a5e3-e7fff9ac6432" xsi:nil="true"/>
    <FeatureTagsTaxHTField0 xmlns="cf237c1f-e9f7-4812-a5e3-e7fff9ac6432">
      <Terms xmlns="http://schemas.microsoft.com/office/infopath/2007/PartnerControls"/>
    </FeatureTagsTaxHTField0>
    <PublishStatusLookup xmlns="cf237c1f-e9f7-4812-a5e3-e7fff9ac6432">
      <Value>235406</Value>
    </PublishStatusLookup>
    <Providers xmlns="cf237c1f-e9f7-4812-a5e3-e7fff9ac6432" xsi:nil="true"/>
    <MachineTranslated xmlns="cf237c1f-e9f7-4812-a5e3-e7fff9ac6432">false</MachineTranslated>
    <OriginalSourceMarket xmlns="cf237c1f-e9f7-4812-a5e3-e7fff9ac6432">english</OriginalSourceMarket>
    <APDescription xmlns="cf237c1f-e9f7-4812-a5e3-e7fff9ac6432">Teachers can use this handy template to track the attendance of all their students by month and year. Detailed instructions are included.
</APDescription>
    <ClipArtFilename xmlns="cf237c1f-e9f7-4812-a5e3-e7fff9ac6432" xsi:nil="true"/>
    <ContentItem xmlns="cf237c1f-e9f7-4812-a5e3-e7fff9ac6432" xsi:nil="true"/>
    <TPInstallLocation xmlns="cf237c1f-e9f7-4812-a5e3-e7fff9ac6432" xsi:nil="true"/>
    <PublishTargets xmlns="cf237c1f-e9f7-4812-a5e3-e7fff9ac6432">OfficeOnlineVNext</PublishTargets>
    <TimesCloned xmlns="cf237c1f-e9f7-4812-a5e3-e7fff9ac6432" xsi:nil="true"/>
    <AssetStart xmlns="cf237c1f-e9f7-4812-a5e3-e7fff9ac6432">2011-12-15T00:32:00+00:00</AssetStart>
    <Provider xmlns="cf237c1f-e9f7-4812-a5e3-e7fff9ac6432" xsi:nil="true"/>
    <AcquiredFrom xmlns="cf237c1f-e9f7-4812-a5e3-e7fff9ac6432">Internal MS</AcquiredFrom>
    <FriendlyTitle xmlns="cf237c1f-e9f7-4812-a5e3-e7fff9ac6432" xsi:nil="true"/>
    <LastHandOff xmlns="cf237c1f-e9f7-4812-a5e3-e7fff9ac6432" xsi:nil="true"/>
    <TPClientViewer xmlns="cf237c1f-e9f7-4812-a5e3-e7fff9ac6432" xsi:nil="true"/>
    <UACurrentWords xmlns="cf237c1f-e9f7-4812-a5e3-e7fff9ac6432" xsi:nil="true"/>
    <ArtSampleDocs xmlns="cf237c1f-e9f7-4812-a5e3-e7fff9ac6432" xsi:nil="true"/>
    <UALocRecommendation xmlns="cf237c1f-e9f7-4812-a5e3-e7fff9ac6432">Localize</UALocRecommendation>
    <Manager xmlns="cf237c1f-e9f7-4812-a5e3-e7fff9ac6432" xsi:nil="true"/>
    <ShowIn xmlns="cf237c1f-e9f7-4812-a5e3-e7fff9ac6432">Show everywhere</ShowIn>
    <UANotes xmlns="cf237c1f-e9f7-4812-a5e3-e7fff9ac6432" xsi:nil="true"/>
    <TemplateStatus xmlns="cf237c1f-e9f7-4812-a5e3-e7fff9ac6432">Complete</TemplateStatus>
    <InternalTagsTaxHTField0 xmlns="cf237c1f-e9f7-4812-a5e3-e7fff9ac6432">
      <Terms xmlns="http://schemas.microsoft.com/office/infopath/2007/PartnerControls"/>
    </InternalTagsTaxHTField0>
    <CSXHash xmlns="cf237c1f-e9f7-4812-a5e3-e7fff9ac6432" xsi:nil="true"/>
    <Downloads xmlns="cf237c1f-e9f7-4812-a5e3-e7fff9ac6432">0</Downloads>
    <VoteCount xmlns="cf237c1f-e9f7-4812-a5e3-e7fff9ac6432" xsi:nil="true"/>
    <OOCacheId xmlns="cf237c1f-e9f7-4812-a5e3-e7fff9ac6432" xsi:nil="true"/>
    <IsDeleted xmlns="cf237c1f-e9f7-4812-a5e3-e7fff9ac6432">false</IsDeleted>
    <AssetExpire xmlns="cf237c1f-e9f7-4812-a5e3-e7fff9ac6432">2035-01-01T08:00:00+00:00</AssetExpire>
    <DSATActionTaken xmlns="cf237c1f-e9f7-4812-a5e3-e7fff9ac6432" xsi:nil="true"/>
    <CSXSubmissionMarket xmlns="cf237c1f-e9f7-4812-a5e3-e7fff9ac6432" xsi:nil="true"/>
    <TPExecutable xmlns="cf237c1f-e9f7-4812-a5e3-e7fff9ac6432" xsi:nil="true"/>
    <SubmitterId xmlns="cf237c1f-e9f7-4812-a5e3-e7fff9ac6432" xsi:nil="true"/>
    <EditorialTags xmlns="cf237c1f-e9f7-4812-a5e3-e7fff9ac6432" xsi:nil="true"/>
    <ApprovalLog xmlns="cf237c1f-e9f7-4812-a5e3-e7fff9ac6432" xsi:nil="true"/>
    <AssetType xmlns="cf237c1f-e9f7-4812-a5e3-e7fff9ac6432">TP</AssetType>
    <BugNumber xmlns="cf237c1f-e9f7-4812-a5e3-e7fff9ac6432" xsi:nil="true"/>
    <CSXSubmissionDate xmlns="cf237c1f-e9f7-4812-a5e3-e7fff9ac6432" xsi:nil="true"/>
    <CSXUpdate xmlns="cf237c1f-e9f7-4812-a5e3-e7fff9ac6432">false</CSXUpdate>
    <Milestone xmlns="cf237c1f-e9f7-4812-a5e3-e7fff9ac6432" xsi:nil="true"/>
    <RecommendationsModifier xmlns="cf237c1f-e9f7-4812-a5e3-e7fff9ac6432" xsi:nil="true"/>
    <OriginAsset xmlns="cf237c1f-e9f7-4812-a5e3-e7fff9ac6432" xsi:nil="true"/>
    <TPComponent xmlns="cf237c1f-e9f7-4812-a5e3-e7fff9ac6432" xsi:nil="true"/>
    <AssetId xmlns="cf237c1f-e9f7-4812-a5e3-e7fff9ac6432">TP102802368</AssetId>
    <IntlLocPriority xmlns="cf237c1f-e9f7-4812-a5e3-e7fff9ac6432" xsi:nil="true"/>
    <PolicheckWords xmlns="cf237c1f-e9f7-4812-a5e3-e7fff9ac6432" xsi:nil="true"/>
    <TPLaunchHelpLink xmlns="cf237c1f-e9f7-4812-a5e3-e7fff9ac6432" xsi:nil="true"/>
    <TPApplication xmlns="cf237c1f-e9f7-4812-a5e3-e7fff9ac6432" xsi:nil="true"/>
    <CrawlForDependencies xmlns="cf237c1f-e9f7-4812-a5e3-e7fff9ac6432">false</CrawlForDependencies>
    <HandoffToMSDN xmlns="cf237c1f-e9f7-4812-a5e3-e7fff9ac6432" xsi:nil="true"/>
    <PlannedPubDate xmlns="cf237c1f-e9f7-4812-a5e3-e7fff9ac6432" xsi:nil="true"/>
    <IntlLangReviewer xmlns="cf237c1f-e9f7-4812-a5e3-e7fff9ac6432" xsi:nil="true"/>
    <TrustLevel xmlns="cf237c1f-e9f7-4812-a5e3-e7fff9ac6432">1 Microsoft Managed Content</TrustLevel>
    <LocLastLocAttemptVersionLookup xmlns="cf237c1f-e9f7-4812-a5e3-e7fff9ac6432">712809</LocLastLocAttemptVersionLookup>
    <IsSearchable xmlns="cf237c1f-e9f7-4812-a5e3-e7fff9ac6432">true</IsSearchable>
    <TemplateTemplateType xmlns="cf237c1f-e9f7-4812-a5e3-e7fff9ac6432">Excel 2007 Default</TemplateTemplateType>
    <CampaignTagsTaxHTField0 xmlns="cf237c1f-e9f7-4812-a5e3-e7fff9ac6432">
      <Terms xmlns="http://schemas.microsoft.com/office/infopath/2007/PartnerControls"/>
    </CampaignTagsTaxHTField0>
    <TPNamespace xmlns="cf237c1f-e9f7-4812-a5e3-e7fff9ac6432" xsi:nil="true"/>
    <TaxCatchAll xmlns="cf237c1f-e9f7-4812-a5e3-e7fff9ac6432"/>
    <Markets xmlns="cf237c1f-e9f7-4812-a5e3-e7fff9ac6432"/>
    <UAProjectedTotalWords xmlns="cf237c1f-e9f7-4812-a5e3-e7fff9ac6432" xsi:nil="true"/>
    <IntlLangReview xmlns="cf237c1f-e9f7-4812-a5e3-e7fff9ac6432">false</IntlLangReview>
    <OutputCachingOn xmlns="cf237c1f-e9f7-4812-a5e3-e7fff9ac6432">false</OutputCachingOn>
    <APAuthor xmlns="cf237c1f-e9f7-4812-a5e3-e7fff9ac6432">
      <UserInfo>
        <DisplayName>REDMOND\v-aptall</DisplayName>
        <AccountId>2566</AccountId>
        <AccountType/>
      </UserInfo>
    </APAuthor>
    <LocManualTestRequired xmlns="cf237c1f-e9f7-4812-a5e3-e7fff9ac6432">false</LocManualTestRequired>
    <TPCommandLine xmlns="cf237c1f-e9f7-4812-a5e3-e7fff9ac6432" xsi:nil="true"/>
    <TPAppVersion xmlns="cf237c1f-e9f7-4812-a5e3-e7fff9ac6432" xsi:nil="true"/>
    <EditorialStatus xmlns="cf237c1f-e9f7-4812-a5e3-e7fff9ac6432">Complete</EditorialStatus>
    <LastModifiedDateTime xmlns="cf237c1f-e9f7-4812-a5e3-e7fff9ac6432" xsi:nil="true"/>
    <ScenarioTagsTaxHTField0 xmlns="cf237c1f-e9f7-4812-a5e3-e7fff9ac6432">
      <Terms xmlns="http://schemas.microsoft.com/office/infopath/2007/PartnerControls"/>
    </ScenarioTagsTaxHTField0>
    <OriginalRelease xmlns="cf237c1f-e9f7-4812-a5e3-e7fff9ac6432">14</OriginalRelease>
    <TPLaunchHelpLinkType xmlns="cf237c1f-e9f7-4812-a5e3-e7fff9ac6432">Template</TPLaunchHelpLinkType>
    <LocalizationTagsTaxHTField0 xmlns="cf237c1f-e9f7-4812-a5e3-e7fff9ac6432">
      <Terms xmlns="http://schemas.microsoft.com/office/infopath/2007/PartnerControls"/>
    </LocalizationTagsTaxHTField0>
    <LocMarketGroupTiers2 xmlns="cf237c1f-e9f7-4812-a5e3-e7fff9ac6432" xsi:nil="true"/>
  </documentManagement>
</p:properties>
</file>

<file path=customXml/item2.xml><?xml version="1.0" encoding="utf-8"?>
<?mso-contentType ?>
<FormTemplates xmlns="http://schemas.microsoft.com/sharepoint/v3/contenttype/forms">
  <Display>DocumentLibraryForm</Display>
  <Edit>AssetEditForm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TemplateFile" ma:contentTypeID="0x0101000FFA72057F0EFC429FF335CB9960E2CA0400A26729C09131F943A3C8875F9AFFF790" ma:contentTypeVersion="54" ma:contentTypeDescription="Create a new document." ma:contentTypeScope="" ma:versionID="1a842ec01edb8d0cb192251ad2352bce">
  <xsd:schema xmlns:xsd="http://www.w3.org/2001/XMLSchema" xmlns:xs="http://www.w3.org/2001/XMLSchema" xmlns:p="http://schemas.microsoft.com/office/2006/metadata/properties" xmlns:ns2="cf237c1f-e9f7-4812-a5e3-e7fff9ac6432" targetNamespace="http://schemas.microsoft.com/office/2006/metadata/properties" ma:root="true" ma:fieldsID="ef3ee27573a43b7f5cf9d4fb7bbb7857" ns2:_="">
    <xsd:import namespace="cf237c1f-e9f7-4812-a5e3-e7fff9ac6432"/>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237c1f-e9f7-4812-a5e3-e7fff9ac6432"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90679f22-c29b-43ea-a710-8a42f7570854}"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0A42D78D-BDC9-4EE6-A28E-1806D230ABE7}" ma:internalName="CSXSubmissionMarket" ma:readOnly="false" ma:showField="MarketName" ma:web="cf237c1f-e9f7-4812-a5e3-e7fff9ac6432">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413d7124-3e98-4daf-a36f-bd25b9ee297e}"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6590705F-21A0-4623-848A-26DAA44BB8DD}" ma:internalName="InProjectListLookup" ma:readOnly="true" ma:showField="InProjectList" ma:web="cf237c1f-e9f7-4812-a5e3-e7fff9ac6432">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f6e65af7-8815-4551-8cd4-4ade82121171}"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6590705F-21A0-4623-848A-26DAA44BB8DD}" ma:internalName="LastCompleteVersionLookup" ma:readOnly="true" ma:showField="LastCompleteVersion" ma:web="cf237c1f-e9f7-4812-a5e3-e7fff9ac6432">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6590705F-21A0-4623-848A-26DAA44BB8DD}" ma:internalName="LastPreviewErrorLookup" ma:readOnly="true" ma:showField="LastPreviewError" ma:web="cf237c1f-e9f7-4812-a5e3-e7fff9ac6432">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6590705F-21A0-4623-848A-26DAA44BB8DD}" ma:internalName="LastPreviewResultLookup" ma:readOnly="true" ma:showField="LastPreviewResult" ma:web="cf237c1f-e9f7-4812-a5e3-e7fff9ac6432">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6590705F-21A0-4623-848A-26DAA44BB8DD}" ma:internalName="LastPreviewAttemptDateLookup" ma:readOnly="true" ma:showField="LastPreviewAttemptDate" ma:web="cf237c1f-e9f7-4812-a5e3-e7fff9ac6432">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6590705F-21A0-4623-848A-26DAA44BB8DD}" ma:internalName="LastPreviewedByLookup" ma:readOnly="true" ma:showField="LastPreviewedBy" ma:web="cf237c1f-e9f7-4812-a5e3-e7fff9ac6432">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6590705F-21A0-4623-848A-26DAA44BB8DD}" ma:internalName="LastPreviewTimeLookup" ma:readOnly="true" ma:showField="LastPreviewTime" ma:web="cf237c1f-e9f7-4812-a5e3-e7fff9ac6432">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6590705F-21A0-4623-848A-26DAA44BB8DD}" ma:internalName="LastPreviewVersionLookup" ma:readOnly="true" ma:showField="LastPreviewVersion" ma:web="cf237c1f-e9f7-4812-a5e3-e7fff9ac6432">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6590705F-21A0-4623-848A-26DAA44BB8DD}" ma:internalName="LastPublishErrorLookup" ma:readOnly="true" ma:showField="LastPublishError" ma:web="cf237c1f-e9f7-4812-a5e3-e7fff9ac6432">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6590705F-21A0-4623-848A-26DAA44BB8DD}" ma:internalName="LastPublishResultLookup" ma:readOnly="true" ma:showField="LastPublishResult" ma:web="cf237c1f-e9f7-4812-a5e3-e7fff9ac6432">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6590705F-21A0-4623-848A-26DAA44BB8DD}" ma:internalName="LastPublishAttemptDateLookup" ma:readOnly="true" ma:showField="LastPublishAttemptDate" ma:web="cf237c1f-e9f7-4812-a5e3-e7fff9ac6432">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6590705F-21A0-4623-848A-26DAA44BB8DD}" ma:internalName="LastPublishedByLookup" ma:readOnly="true" ma:showField="LastPublishedBy" ma:web="cf237c1f-e9f7-4812-a5e3-e7fff9ac6432">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6590705F-21A0-4623-848A-26DAA44BB8DD}" ma:internalName="LastPublishTimeLookup" ma:readOnly="true" ma:showField="LastPublishTime" ma:web="cf237c1f-e9f7-4812-a5e3-e7fff9ac6432">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6590705F-21A0-4623-848A-26DAA44BB8DD}" ma:internalName="LastPublishVersionLookup" ma:readOnly="true" ma:showField="LastPublishVersion" ma:web="cf237c1f-e9f7-4812-a5e3-e7fff9ac6432">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DD77005E-2908-4F20-AEB4-EDFE452D28B2}" ma:internalName="LocLastLocAttemptVersionLookup" ma:readOnly="false" ma:showField="LastLocAttemptVersion" ma:web="cf237c1f-e9f7-4812-a5e3-e7fff9ac6432">
      <xsd:simpleType>
        <xsd:restriction base="dms:Lookup"/>
      </xsd:simpleType>
    </xsd:element>
    <xsd:element name="LocLastLocAttemptVersionTypeLookup" ma:index="71" nillable="true" ma:displayName="Loc Last Loc Attempt Version Type" ma:default="" ma:list="{DD77005E-2908-4F20-AEB4-EDFE452D28B2}" ma:internalName="LocLastLocAttemptVersionTypeLookup" ma:readOnly="true" ma:showField="LastLocAttemptVersionType" ma:web="cf237c1f-e9f7-4812-a5e3-e7fff9ac6432">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DD77005E-2908-4F20-AEB4-EDFE452D28B2}" ma:internalName="LocNewPublishedVersionLookup" ma:readOnly="true" ma:showField="NewPublishedVersion" ma:web="cf237c1f-e9f7-4812-a5e3-e7fff9ac6432">
      <xsd:simpleType>
        <xsd:restriction base="dms:Lookup"/>
      </xsd:simpleType>
    </xsd:element>
    <xsd:element name="LocOverallHandbackStatusLookup" ma:index="75" nillable="true" ma:displayName="Loc Overall Handback Status" ma:default="" ma:list="{DD77005E-2908-4F20-AEB4-EDFE452D28B2}" ma:internalName="LocOverallHandbackStatusLookup" ma:readOnly="true" ma:showField="OverallHandbackStatus" ma:web="cf237c1f-e9f7-4812-a5e3-e7fff9ac6432">
      <xsd:simpleType>
        <xsd:restriction base="dms:Lookup"/>
      </xsd:simpleType>
    </xsd:element>
    <xsd:element name="LocOverallLocStatusLookup" ma:index="76" nillable="true" ma:displayName="Loc Overall Localize Status" ma:default="" ma:list="{DD77005E-2908-4F20-AEB4-EDFE452D28B2}" ma:internalName="LocOverallLocStatusLookup" ma:readOnly="true" ma:showField="OverallLocStatus" ma:web="cf237c1f-e9f7-4812-a5e3-e7fff9ac6432">
      <xsd:simpleType>
        <xsd:restriction base="dms:Lookup"/>
      </xsd:simpleType>
    </xsd:element>
    <xsd:element name="LocOverallPreviewStatusLookup" ma:index="77" nillable="true" ma:displayName="Loc Overall Preview Status" ma:default="" ma:list="{DD77005E-2908-4F20-AEB4-EDFE452D28B2}" ma:internalName="LocOverallPreviewStatusLookup" ma:readOnly="true" ma:showField="OverallPreviewStatus" ma:web="cf237c1f-e9f7-4812-a5e3-e7fff9ac6432">
      <xsd:simpleType>
        <xsd:restriction base="dms:Lookup"/>
      </xsd:simpleType>
    </xsd:element>
    <xsd:element name="LocOverallPublishStatusLookup" ma:index="78" nillable="true" ma:displayName="Loc Overall Publish Status" ma:default="" ma:list="{DD77005E-2908-4F20-AEB4-EDFE452D28B2}" ma:internalName="LocOverallPublishStatusLookup" ma:readOnly="true" ma:showField="OverallPublishStatus" ma:web="cf237c1f-e9f7-4812-a5e3-e7fff9ac6432">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DD77005E-2908-4F20-AEB4-EDFE452D28B2}" ma:internalName="LocProcessedForHandoffsLookup" ma:readOnly="true" ma:showField="ProcessedForHandoffs" ma:web="cf237c1f-e9f7-4812-a5e3-e7fff9ac6432">
      <xsd:simpleType>
        <xsd:restriction base="dms:Lookup"/>
      </xsd:simpleType>
    </xsd:element>
    <xsd:element name="LocProcessedForMarketsLookup" ma:index="81" nillable="true" ma:displayName="Loc Processed For Markets" ma:default="" ma:list="{DD77005E-2908-4F20-AEB4-EDFE452D28B2}" ma:internalName="LocProcessedForMarketsLookup" ma:readOnly="true" ma:showField="ProcessedForMarkets" ma:web="cf237c1f-e9f7-4812-a5e3-e7fff9ac6432">
      <xsd:simpleType>
        <xsd:restriction base="dms:Lookup"/>
      </xsd:simpleType>
    </xsd:element>
    <xsd:element name="LocPublishedDependentAssetsLookup" ma:index="82" nillable="true" ma:displayName="Loc Published Dependent Assets" ma:default="" ma:list="{DD77005E-2908-4F20-AEB4-EDFE452D28B2}" ma:internalName="LocPublishedDependentAssetsLookup" ma:readOnly="true" ma:showField="PublishedDependentAssets" ma:web="cf237c1f-e9f7-4812-a5e3-e7fff9ac6432">
      <xsd:simpleType>
        <xsd:restriction base="dms:Lookup"/>
      </xsd:simpleType>
    </xsd:element>
    <xsd:element name="LocPublishedLinkedAssetsLookup" ma:index="83" nillable="true" ma:displayName="Loc Published Linked Assets" ma:default="" ma:list="{DD77005E-2908-4F20-AEB4-EDFE452D28B2}" ma:internalName="LocPublishedLinkedAssetsLookup" ma:readOnly="true" ma:showField="PublishedLinkedAssets" ma:web="cf237c1f-e9f7-4812-a5e3-e7fff9ac6432">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118dabe8-75e0-44e4-8e6c-0926da0565da}"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0A42D78D-BDC9-4EE6-A28E-1806D230ABE7}" ma:internalName="Markets" ma:readOnly="false" ma:showField="MarketName" ma:web="cf237c1f-e9f7-4812-a5e3-e7fff9ac6432">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6590705F-21A0-4623-848A-26DAA44BB8DD}" ma:internalName="NumOfRatingsLookup" ma:readOnly="true" ma:showField="NumOfRatings" ma:web="cf237c1f-e9f7-4812-a5e3-e7fff9ac6432">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6590705F-21A0-4623-848A-26DAA44BB8DD}" ma:internalName="PublishStatusLookup" ma:readOnly="false" ma:showField="PublishStatus" ma:web="cf237c1f-e9f7-4812-a5e3-e7fff9ac6432">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0d03ae78-f3d4-4211-ad85-ebe003ca2577}"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89bb0031-9912-47a1-9dea-bc59bbf519e5}" ma:internalName="TaxCatchAll" ma:showField="CatchAllData" ma:web="cf237c1f-e9f7-4812-a5e3-e7fff9ac6432">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89bb0031-9912-47a1-9dea-bc59bbf519e5}" ma:internalName="TaxCatchAllLabel" ma:readOnly="true" ma:showField="CatchAllDataLabel" ma:web="cf237c1f-e9f7-4812-a5e3-e7fff9ac6432">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F49177-07E4-4945-8B2E-E6385401DEBD}"/>
</file>

<file path=customXml/itemProps2.xml><?xml version="1.0" encoding="utf-8"?>
<ds:datastoreItem xmlns:ds="http://schemas.openxmlformats.org/officeDocument/2006/customXml" ds:itemID="{06CD18CD-13F4-472B-B1AB-DDBE2AC449C0}"/>
</file>

<file path=customXml/itemProps3.xml><?xml version="1.0" encoding="utf-8"?>
<ds:datastoreItem xmlns:ds="http://schemas.openxmlformats.org/officeDocument/2006/customXml" ds:itemID="{5A96DD12-0A49-471C-9243-20E3EF14653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15</vt:i4>
      </vt:variant>
      <vt:variant>
        <vt:lpstr>Zone denumite</vt:lpstr>
      </vt:variant>
      <vt:variant>
        <vt:i4>16</vt:i4>
      </vt:variant>
    </vt:vector>
  </HeadingPairs>
  <TitlesOfParts>
    <vt:vector size="31" baseType="lpstr">
      <vt:lpstr>Cum se utilizează acest șablon</vt:lpstr>
      <vt:lpstr>Listă elevi</vt:lpstr>
      <vt:lpstr>August</vt:lpstr>
      <vt:lpstr>Septembrie</vt:lpstr>
      <vt:lpstr>Octombrie</vt:lpstr>
      <vt:lpstr>Noiembrie</vt:lpstr>
      <vt:lpstr>Decembrie</vt:lpstr>
      <vt:lpstr>Ianuarie</vt:lpstr>
      <vt:lpstr>Februarie</vt:lpstr>
      <vt:lpstr>Martie</vt:lpstr>
      <vt:lpstr>Aprilie</vt:lpstr>
      <vt:lpstr>Mai</vt:lpstr>
      <vt:lpstr>Iunie</vt:lpstr>
      <vt:lpstr>Iulie</vt:lpstr>
      <vt:lpstr>Raport prezență elev</vt:lpstr>
      <vt:lpstr>AnCalendar</vt:lpstr>
      <vt:lpstr>CăutareCursant</vt:lpstr>
      <vt:lpstr>CheieCuloareText</vt:lpstr>
      <vt:lpstr>Cod_1</vt:lpstr>
      <vt:lpstr>Cod_2</vt:lpstr>
      <vt:lpstr>Cod_3</vt:lpstr>
      <vt:lpstr>Cod_4</vt:lpstr>
      <vt:lpstr>Cod_5</vt:lpstr>
      <vt:lpstr>Cod1Text</vt:lpstr>
      <vt:lpstr>Cod2Text</vt:lpstr>
      <vt:lpstr>Cod3Text</vt:lpstr>
      <vt:lpstr>Cod4Text</vt:lpstr>
      <vt:lpstr>Cod5Text</vt:lpstr>
      <vt:lpstr>IDCursant</vt:lpstr>
      <vt:lpstr>Imprimare_titluri</vt:lpstr>
      <vt:lpstr>NumeElev</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Petr Barborik</cp:lastModifiedBy>
  <dcterms:created xsi:type="dcterms:W3CDTF">2011-04-01T16:06:21Z</dcterms:created>
  <dcterms:modified xsi:type="dcterms:W3CDTF">2013-05-13T14:47:43Z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ternalTags">
    <vt:lpwstr/>
  </property>
  <property fmtid="{D5CDD505-2E9C-101B-9397-08002B2CF9AE}" pid="3" name="ContentTypeId">
    <vt:lpwstr>0x0101000FFA72057F0EFC429FF335CB9960E2CA0400A26729C09131F943A3C8875F9AFFF790</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ies>
</file>