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0" yWindow="0" windowWidth="20730" windowHeight="11760"/>
  </bookViews>
  <sheets>
    <sheet name="Calendário Familiar Sazonal" sheetId="6" r:id="rId1"/>
  </sheets>
  <definedNames>
    <definedName name="AbrDom1">DATE(CalendárioAnual,4,1)-WEEKDAY(DATE(CalendárioAnual,4,1))+1</definedName>
    <definedName name="AgoDom1">DATE(CalendárioAnual,8,1)-WEEKDAY(DATE(CalendárioAnual,8,1))+1</definedName>
    <definedName name="CalendárioAnual">'Calendário Familiar Sazonal'!$L$2</definedName>
    <definedName name="DezDom1">DATE(CalendárioAnual,12,1)-WEEKDAY(DATE(CalendárioAnual,12,1))+1</definedName>
    <definedName name="FevDom1">DATE(CalendárioAnual,2,1)-WEEKDAY(DATE(CalendárioAnual,2,1))+1</definedName>
    <definedName name="JanDom1">DATE(CalendárioAnual,1,1)-WEEKDAY(DATE(CalendárioAnual,1,1))+1</definedName>
    <definedName name="JulDom1">DATE(CalendárioAnual,7,1)-WEEKDAY(DATE(CalendárioAnual,7,1))+1</definedName>
    <definedName name="JunDom1">DATE(CalendárioAnual,6,1)-WEEKDAY(DATE(CalendárioAnual,6,1))+1</definedName>
    <definedName name="MarDom1">DATE(CalendárioAnual,3,1)-WEEKDAY(DATE(CalendárioAnual,3,1))+1</definedName>
    <definedName name="MaiDom1">DATE(CalendárioAnual,5,1)-WEEKDAY(DATE(CalendárioAnual,5,1))+1</definedName>
    <definedName name="NovDom1">DATE(CalendárioAnual,11,1)-WEEKDAY(DATE(CalendárioAnual,11,1))+1</definedName>
    <definedName name="OutDom1">DATE(CalendárioAnual,10,1)-WEEKDAY(DATE(CalendárioAnual,10,1))+1</definedName>
    <definedName name="Área_De_Impressão" localSheetId="0">'Calendário Familiar Sazonal'!$A$1:$Q$432</definedName>
    <definedName name="SetDom1">DATE(CalendárioAnual,9,1)-WEEKDAY(DATE(CalendárioAnual,9,1))+1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<sst xmlns="http://schemas.openxmlformats.org/spreadsheetml/2006/main" count="85" uniqueCount="8">
  <si>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SEGUNDA-FEIRA</t>
  </si>
  <si>
    <t>TERÇA-FEIRA</t>
  </si>
  <si>
    <t>QUARTA-FEIRA</t>
  </si>
  <si>
    <t>QUINTA-FEIRA</t>
  </si>
  <si>
    <t>SEXTA-FEIRA</t>
  </si>
  <si>
    <t>SÁBADO</t>
  </si>
  <si>
    <t>DOMINGO</t>
  </si>
  <si>
    <t>Exemplo de Compromisso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</si>
</sst>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ctângulo 1" title="Bloco com cor de inverno atrás da imagem"/>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m 3" descr="Mãe e filho num trenó. Para alterar esta imagem, clique com o botão direito do rato na imagem e, em seguida, clique em Alterar Imagem. " title="Imagem de família para o mês de janeir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CaixaDeTexto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ângulo 6" title="Bloco com cor de inverno atrás da imagem"/>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m 7" descr="Bebé embrulhado num cobertor. Para alterar esta imagem, clique com o botão direito do rato na imagem e, em seguida, clique em Alterar Imagem. " title=" Imagem de família para o mês de fevereiro"/>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CaixaDeTexto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ângulo 10" title="Bloco com cor de primavera atrás da imagem"/>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m 11" descr="Três crianças a brincar na rua com galochas calçadas. Para alterar esta imagem, clique com o botão direito do rato na imagem e, em seguida, clique em Alterar Imagem. " title="Imagem de família para o mês de março"/>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CaixaDeTexto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ângulo 14" title="Bloco com cor de primavera atrás da imagem"/>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m 15" descr="Menina num campo de cerejeiras em flor. Para alterar esta imagem, clique com o botão direito do rato na imagem e, em seguida, clique em Alterar Imagem. " title="Imagem de família para o mês de abril"/>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CaixaDeTexto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ângulo 18" title="Bloco com cor de primavera atrás da imagem"/>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m 19" descr="Mãe e filha a cuidar do jardim. Para alterar esta imagem, clique com o botão direito do rato na imagem e, em seguida, clique em Alterar Imagem. " title=" Imagem de família para o mês de maio"/>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CaixaDeTexto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ângulo 22" title="Bloco com cor de verão atrás da imagem"/>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m 23" descr="Duas crianças na praia, à beira do mar. Para alterar esta imagem, clique com o botão direito do rato na imagem e, em seguida, clique em Alterar Imagem. " title="Imagem de família para o mês de junho"/>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CaixaDeTexto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ângulo 26" title="Bloco com cor de verão atrás da imagem"/>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m 27" descr="Fotografia de um rapaz debaixo de água, com óculos, numa piscina. Para alterar esta imagem, clique com o botão direito do rato na imagem e, em seguida, clique em Alterar Imagem. " title="Imagem de família para o mês de julho"/>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CaixaDeTexto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ângulo 30" title="Bloco com cor de verão atrás da imagem"/>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m 31" descr="Grande plano de dois meninos num barco, com coletes salva-vidas. Para alterar esta imagem, clique com o botão direito do rato na imagem e, em seguida, clique em Alterar Imagem. " title="Imagem de família para o mês de agosto"/>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CaixaDeTexto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ângulo 34" title="Bloco com cor de outono atrás da imagem"/>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m 35" descr="Bebé a fazer uma careta para a câmara. Para alterar esta imagem, clique com o botão direito do rato na imagem e, em seguida, clique em Alterar Imagem. " title="Imagem de família para o mês de setembro"/>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CaixaDeTexto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ângulo 38" title="Bloco com cor de outono atrás da imagem"/>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m 39" descr="Menina num campo de abóboras a segurar numa abóbora. Para alterar esta imagem, clique com o botão direito do rato na imagem e, em seguida, clique em Alterar Imagem. " title="Imagem de família para o mês de outubro"/>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CaixaDeTexto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ângulo 42" title="Bloco com cor de outono atrás da imagem"/>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m 43" descr="Rapaz a agarrar uma folha de plátano vermelha perto da câmara. A folha está focada, o rapaz e o fundo estão ligeiramente desfocados. Para alterar esta imagem, clique com o botão direito do rato na imagem e, em seguida, clique em Alterar Imagem. " title="Imagem de família para o mês de novembro"/>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CaixaDeTexto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ângulo 58" title="Bloco com cor de inverno atrás da imagem"/>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m 59" descr="Pai e filho a rebolar uma bola de neve num parque. Para alterar esta imagem, clique com o botão direito do rato na imagem e, em seguida, clique em Alterar Imagem." title="Imagem de família para o mês de dezembro"/>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CaixaDeTexto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NOTAS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o Giratório 1" descr="Spinner control. Use spinner to change calendar year or type desired year in cell L2 "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114299</xdr:colOff>
      <xdr:row>1</xdr:row>
      <xdr:rowOff>142875</xdr:rowOff>
    </xdr:from>
    <xdr:to>
      <xdr:col>20</xdr:col>
      <xdr:colOff>295274</xdr:colOff>
      <xdr:row>1</xdr:row>
      <xdr:rowOff>609600</xdr:rowOff>
    </xdr:to>
    <xdr:sp macro="" textlink="">
      <xdr:nvSpPr>
        <xdr:cNvPr id="63" name="CaixaDeTexto 62"/>
        <xdr:cNvSpPr txBox="1"/>
      </xdr:nvSpPr>
      <xdr:spPr>
        <a:xfrm>
          <a:off x="7810499" y="323850"/>
          <a:ext cx="21621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Clique no controlo giratório para </a:t>
          </a:r>
        </a:p>
        <a:p>
          <a:pPr algn="l"/>
          <a:r>
            <a:rPr lang="en-US" sz="1000" b="1">
              <a:solidFill>
                <a:schemeClr val="accent1"/>
              </a:solidFill>
            </a:rPr>
            <a:t>alterar o ano do calendário</a:t>
          </a: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10.5546875" style="5" customWidth="1"/>
    <col min="3" max="3" width="3.33203125" style="5" customWidth="1"/>
    <col min="4" max="4" width="9" style="5" customWidth="1"/>
    <col min="5" max="5" width="3.44140625" style="5" customWidth="1"/>
    <col min="6" max="6" width="10.21875" style="5" customWidth="1"/>
    <col min="7" max="7" width="2.77734375" style="5" customWidth="1"/>
    <col min="8" max="8" width="9.33203125" style="5" customWidth="1"/>
    <col min="9" max="9" width="3.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tr">
        <f>TEXT(DATE(CalendárioAnual,1,1),"mmmm")</f>
        <v>janeiro</v>
      </c>
      <c r="B2" s="54"/>
      <c r="C2" s="54"/>
      <c r="D2" s="54"/>
      <c r="E2" s="54"/>
      <c r="F2" s="54"/>
      <c r="G2" s="54"/>
      <c r="H2" s="13"/>
      <c r="I2" s="4"/>
      <c r="J2" s="4"/>
      <c r="L2" s="52">
        <v>2012</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0</v>
      </c>
      <c r="C18" s="50"/>
      <c r="D18" s="49" t="s">
        <v>1</v>
      </c>
      <c r="E18" s="49"/>
      <c r="F18" s="49" t="s">
        <v>2</v>
      </c>
      <c r="G18" s="49"/>
      <c r="H18" s="49" t="s">
        <v>3</v>
      </c>
      <c r="I18" s="49"/>
      <c r="J18" s="49" t="s">
        <v>4</v>
      </c>
      <c r="K18" s="49"/>
      <c r="L18" s="49" t="s">
        <v>5</v>
      </c>
      <c r="M18" s="49"/>
      <c r="N18" s="49" t="s">
        <v>6</v>
      </c>
      <c r="O18" s="49"/>
      <c r="P18" s="5"/>
      <c r="Q18" s="8"/>
      <c r="U18" s="5"/>
      <c r="V18" s="5"/>
    </row>
    <row r="19" spans="1:22" s="9" customFormat="1" ht="16.5" customHeight="1" x14ac:dyDescent="0.25">
      <c r="B19" s="26"/>
      <c r="C19" s="19">
        <f>IF(DAY(JanDom1)=1,JanDom1-6,JanDom1+1)</f>
        <v>40903</v>
      </c>
      <c r="D19" s="27"/>
      <c r="E19" s="19">
        <f>IF(DAY(JanDom1)=1,JanDom1-5,JanDom1+2)</f>
        <v>40904</v>
      </c>
      <c r="F19" s="27"/>
      <c r="G19" s="19">
        <f>IF(DAY(JanDom1)=1,JanDom1-4,JanDom1+3)</f>
        <v>40905</v>
      </c>
      <c r="H19" s="27"/>
      <c r="I19" s="19">
        <f>IF(DAY(JanDom1)=1,JanDom1-3,JanDom1+4)</f>
        <v>40906</v>
      </c>
      <c r="J19" s="27"/>
      <c r="K19" s="19">
        <f>IF(DAY(JanDom1)=1,JanDom1-2,JanDom1+5)</f>
        <v>40907</v>
      </c>
      <c r="L19" s="27"/>
      <c r="M19" s="19">
        <f>IF(DAY(JanDom1)=1,JanDom1-1,JanDom1+6)</f>
        <v>40908</v>
      </c>
      <c r="N19" s="27"/>
      <c r="O19" s="19">
        <f>IF(DAY(JanDom1)=1,JanDom1,JanDom1+7)</f>
        <v>40909</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IF(DAY(JanDom1)=1,JanDom1+1,JanDom1+8)</f>
        <v>40910</v>
      </c>
      <c r="D22" s="27"/>
      <c r="E22" s="19">
        <f>IF(DAY(JanDom1)=1,JanDom1+2,JanDom1+9)</f>
        <v>40911</v>
      </c>
      <c r="F22" s="27"/>
      <c r="G22" s="19">
        <f>IF(DAY(JanDom1)=1,JanDom1+3,JanDom1+10)</f>
        <v>40912</v>
      </c>
      <c r="H22" s="27"/>
      <c r="I22" s="19">
        <f>IF(DAY(JanDom1)=1,JanDom1+4,JanDom1+11)</f>
        <v>40913</v>
      </c>
      <c r="J22" s="27"/>
      <c r="K22" s="19">
        <f>IF(DAY(JanDom1)=1,JanDom1+5,JanDom1+12)</f>
        <v>40914</v>
      </c>
      <c r="L22" s="27"/>
      <c r="M22" s="19">
        <f>IF(DAY(JanDom1)=1,JanDom1+6,JanDom1+13)</f>
        <v>40915</v>
      </c>
      <c r="N22" s="27"/>
      <c r="O22" s="20">
        <f>IF(DAY(JanDom1)=1,JanDom1+7,JanDom1+14)</f>
        <v>40916</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IF(DAY(JanDom1)=1,JanDom1+8,JanDom1+15)</f>
        <v>40917</v>
      </c>
      <c r="D25" s="27"/>
      <c r="E25" s="19">
        <f>IF(DAY(JanDom1)=1,JanDom1+9,JanDom1+16)</f>
        <v>40918</v>
      </c>
      <c r="F25" s="27"/>
      <c r="G25" s="19">
        <f>IF(DAY(JanDom1)=1,JanDom1+10,JanDom1+17)</f>
        <v>40919</v>
      </c>
      <c r="H25" s="27"/>
      <c r="I25" s="19">
        <f>IF(DAY(JanDom1)=1,JanDom1+11,JanDom1+18)</f>
        <v>40920</v>
      </c>
      <c r="J25" s="27"/>
      <c r="K25" s="19">
        <f>IF(DAY(JanDom1)=1,JanDom1+12,JanDom1+19)</f>
        <v>40921</v>
      </c>
      <c r="L25" s="27"/>
      <c r="M25" s="19">
        <f>IF(DAY(JanDom1)=1,JanDom1+13,JanDom1+20)</f>
        <v>40922</v>
      </c>
      <c r="N25" s="27"/>
      <c r="O25" s="19">
        <f>IF(DAY(JanDom1)=1,JanDom1+14,JanDom1+21)</f>
        <v>40923</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IF(DAY(JanDom1)=1,JanDom1+15,JanDom1+22)</f>
        <v>40924</v>
      </c>
      <c r="D28" s="27"/>
      <c r="E28" s="19">
        <f>IF(DAY(JanDom1)=1,JanDom1+16,JanDom1+23)</f>
        <v>40925</v>
      </c>
      <c r="F28" s="27"/>
      <c r="G28" s="19">
        <f>IF(DAY(JanDom1)=1,JanDom1+17,JanDom1+24)</f>
        <v>40926</v>
      </c>
      <c r="H28" s="27"/>
      <c r="I28" s="19">
        <f>IF(DAY(JanDom1)=1,JanDom1+18,JanDom1+25)</f>
        <v>40927</v>
      </c>
      <c r="J28" s="27"/>
      <c r="K28" s="19">
        <f>IF(DAY(JanDom1)=1,JanDom1+19,JanDom1+26)</f>
        <v>40928</v>
      </c>
      <c r="L28" s="27"/>
      <c r="M28" s="19">
        <f>IF(DAY(JanDom1)=1,JanDom1+20,JanDom1+27)</f>
        <v>40929</v>
      </c>
      <c r="N28" s="27"/>
      <c r="O28" s="19">
        <f>IF(DAY(JanDom1)=1,JanDom1+21,JanDom1+28)</f>
        <v>40930</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IF(DAY(JanDom1)=1,JanDom1+22,JanDom1+29)</f>
        <v>40931</v>
      </c>
      <c r="D31" s="27"/>
      <c r="E31" s="19">
        <f>IF(DAY(JanDom1)=1,JanDom1+23,JanDom1+30)</f>
        <v>40932</v>
      </c>
      <c r="F31" s="27"/>
      <c r="G31" s="19">
        <f>IF(DAY(JanDom1)=1,JanDom1+24,JanDom1+31)</f>
        <v>40933</v>
      </c>
      <c r="H31" s="27"/>
      <c r="I31" s="19">
        <f>IF(DAY(JanDom1)=1,JanDom1+25,JanDom1+32)</f>
        <v>40934</v>
      </c>
      <c r="J31" s="27"/>
      <c r="K31" s="19">
        <f>IF(DAY(JanDom1)=1,JanDom1+26,JanDom1+33)</f>
        <v>40935</v>
      </c>
      <c r="L31" s="27"/>
      <c r="M31" s="19">
        <f>IF(DAY(JanDom1)=1,JanDom1+27,JanDom1+34)</f>
        <v>40936</v>
      </c>
      <c r="N31" s="27"/>
      <c r="O31" s="19">
        <f>IF(DAY(JanDom1)=1,JanDom1+28,JanDom1+35)</f>
        <v>40937</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IF(DAY(JanDom1)=1,JanDom1+29,JanDom1+36)</f>
        <v>40938</v>
      </c>
      <c r="D34" s="27"/>
      <c r="E34" s="19">
        <f>IF(DAY(JanDom1)=1,JanDom1+30,JanDom1+37)</f>
        <v>40939</v>
      </c>
      <c r="F34" s="27"/>
      <c r="G34" s="19">
        <f>IF(DAY(JanDom1)=1,JanDom1+31,JanDom1+38)</f>
        <v>40940</v>
      </c>
      <c r="H34" s="27"/>
      <c r="I34" s="19">
        <f>IF(DAY(JanDom1)=1,JanDom1+32,JanDom1+39)</f>
        <v>40941</v>
      </c>
      <c r="J34" s="28"/>
      <c r="K34" s="19">
        <f>IF(DAY(JanDom1)=1,JanDom1+33,JanDom1+40)</f>
        <v>40942</v>
      </c>
      <c r="L34" s="27"/>
      <c r="M34" s="19">
        <f>IF(DAY(JanDom1)=1,JanDom1+34,JanDom1+41)</f>
        <v>40943</v>
      </c>
      <c r="N34" s="27"/>
      <c r="O34" s="19">
        <f>IF(DAY(JanDom1)=1,JanDom1+35,JanDom1+42)</f>
        <v>40944</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4" t="str">
        <f>TEXT(DATE(CalendárioAnual,2,1),"mmmm")</f>
        <v>fevereiro</v>
      </c>
      <c r="B38" s="54"/>
      <c r="C38" s="54"/>
      <c r="D38" s="54"/>
      <c r="E38" s="54"/>
      <c r="F38" s="54"/>
      <c r="G38" s="54"/>
      <c r="H38" s="13"/>
      <c r="I38" s="4"/>
      <c r="J38" s="4"/>
      <c r="L38" s="52">
        <f>CalendárioAnual</f>
        <v>2012</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0</v>
      </c>
      <c r="C54" s="50"/>
      <c r="D54" s="49" t="s">
        <v>1</v>
      </c>
      <c r="E54" s="49"/>
      <c r="F54" s="49" t="s">
        <v>2</v>
      </c>
      <c r="G54" s="49"/>
      <c r="H54" s="49" t="s">
        <v>3</v>
      </c>
      <c r="I54" s="49"/>
      <c r="J54" s="49" t="s">
        <v>4</v>
      </c>
      <c r="K54" s="49"/>
      <c r="L54" s="49" t="s">
        <v>5</v>
      </c>
      <c r="M54" s="49"/>
      <c r="N54" s="49" t="s">
        <v>6</v>
      </c>
      <c r="O54" s="49"/>
      <c r="P54" s="15"/>
      <c r="Q54" s="8"/>
      <c r="U54" s="15"/>
      <c r="V54" s="15"/>
    </row>
    <row r="55" spans="1:22" s="9" customFormat="1" ht="16.5" customHeight="1" x14ac:dyDescent="0.25">
      <c r="B55" s="26"/>
      <c r="C55" s="19">
        <f>IF(DAY(FevDom1)=1,FevDom1-6,FevDom1+1)</f>
        <v>40938</v>
      </c>
      <c r="D55" s="27"/>
      <c r="E55" s="19">
        <f>IF(DAY(FevDom1)=1,FevDom1-5,FevDom1+2)</f>
        <v>40939</v>
      </c>
      <c r="F55" s="27"/>
      <c r="G55" s="19">
        <f>IF(DAY(FevDom1)=1,FevDom1-4,FevDom1+3)</f>
        <v>40940</v>
      </c>
      <c r="H55" s="27"/>
      <c r="I55" s="19">
        <f>IF(DAY(FevDom1)=1,FevDom1-3,FevDom1+4)</f>
        <v>40941</v>
      </c>
      <c r="J55" s="27"/>
      <c r="K55" s="19">
        <f>IF(DAY(FevDom1)=1,FevDom1-2,FevDom1+5)</f>
        <v>40942</v>
      </c>
      <c r="L55" s="27"/>
      <c r="M55" s="19">
        <f>IF(DAY(FevDom1)=1,FevDom1-1,FevDom1+6)</f>
        <v>40943</v>
      </c>
      <c r="N55" s="27"/>
      <c r="O55" s="19">
        <f>IF(DAY(FevDom1)=1,FevDom1,FevDom1+7)</f>
        <v>40944</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IF(DAY(FevDom1)=1,FevDom1+1,FevDom1+8)</f>
        <v>40945</v>
      </c>
      <c r="D58" s="27"/>
      <c r="E58" s="19">
        <f>IF(DAY(FevDom1)=1,FevDom1+2,FevDom1+9)</f>
        <v>40946</v>
      </c>
      <c r="F58" s="27"/>
      <c r="G58" s="19">
        <f>IF(DAY(FevDom1)=1,FevDom1+3,FevDom1+10)</f>
        <v>40947</v>
      </c>
      <c r="H58" s="27"/>
      <c r="I58" s="19">
        <f>IF(DAY(FevDom1)=1,FevDom1+4,FevDom1+11)</f>
        <v>40948</v>
      </c>
      <c r="J58" s="27"/>
      <c r="K58" s="19">
        <f>IF(DAY(FevDom1)=1,FevDom1+5,FevDom1+12)</f>
        <v>40949</v>
      </c>
      <c r="L58" s="27"/>
      <c r="M58" s="19">
        <f>IF(DAY(FevDom1)=1,FevDom1+6,FevDom1+13)</f>
        <v>40950</v>
      </c>
      <c r="N58" s="27"/>
      <c r="O58" s="20">
        <f>IF(DAY(FevDom1)=1,FevDom1+7,FevDom1+14)</f>
        <v>40951</v>
      </c>
    </row>
    <row r="59" spans="1:22" s="15" customFormat="1" ht="55.5" customHeight="1" x14ac:dyDescent="0.25">
      <c r="A59" s="6"/>
      <c r="B59" s="44"/>
      <c r="C59" s="45"/>
      <c r="D59" s="45"/>
      <c r="E59" s="45"/>
      <c r="F59" s="45"/>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IF(DAY(FevDom1)=1,FevDom1+8,FevDom1+15)</f>
        <v>40952</v>
      </c>
      <c r="D61" s="27"/>
      <c r="E61" s="19">
        <f>IF(DAY(FevDom1)=1,FevDom1+9,FevDom1+16)</f>
        <v>40953</v>
      </c>
      <c r="F61" s="27"/>
      <c r="G61" s="19">
        <f>IF(DAY(FevDom1)=1,FevDom1+10,FevDom1+17)</f>
        <v>40954</v>
      </c>
      <c r="H61" s="27"/>
      <c r="I61" s="19">
        <f>IF(DAY(FevDom1)=1,FevDom1+11,FevDom1+18)</f>
        <v>40955</v>
      </c>
      <c r="J61" s="27"/>
      <c r="K61" s="19">
        <f>IF(DAY(FevDom1)=1,FevDom1+12,FevDom1+19)</f>
        <v>40956</v>
      </c>
      <c r="L61" s="27"/>
      <c r="M61" s="19">
        <f>IF(DAY(FevDom1)=1,FevDom1+13,FevDom1+20)</f>
        <v>40957</v>
      </c>
      <c r="N61" s="27"/>
      <c r="O61" s="19">
        <f>IF(DAY(FevDom1)=1,FevDom1+14,FevDom1+21)</f>
        <v>40958</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IF(DAY(FevDom1)=1,FevDom1+15,FevDom1+22)</f>
        <v>40959</v>
      </c>
      <c r="D64" s="27"/>
      <c r="E64" s="19">
        <f>IF(DAY(FevDom1)=1,FevDom1+16,FevDom1+23)</f>
        <v>40960</v>
      </c>
      <c r="F64" s="27"/>
      <c r="G64" s="19">
        <f>IF(DAY(FevDom1)=1,FevDom1+17,FevDom1+24)</f>
        <v>40961</v>
      </c>
      <c r="H64" s="27"/>
      <c r="I64" s="19">
        <f>IF(DAY(FevDom1)=1,FevDom1+18,FevDom1+25)</f>
        <v>40962</v>
      </c>
      <c r="J64" s="27"/>
      <c r="K64" s="19">
        <f>IF(DAY(FevDom1)=1,FevDom1+19,FevDom1+26)</f>
        <v>40963</v>
      </c>
      <c r="L64" s="27"/>
      <c r="M64" s="19">
        <f>IF(DAY(FevDom1)=1,FevDom1+20,FevDom1+27)</f>
        <v>40964</v>
      </c>
      <c r="N64" s="27"/>
      <c r="O64" s="19">
        <f>IF(DAY(FevDom1)=1,FevDom1+21,FevDom1+28)</f>
        <v>40965</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IF(DAY(FevDom1)=1,FevDom1+22,FevDom1+29)</f>
        <v>40966</v>
      </c>
      <c r="D67" s="27"/>
      <c r="E67" s="19">
        <f>IF(DAY(FevDom1)=1,FevDom1+23,FevDom1+30)</f>
        <v>40967</v>
      </c>
      <c r="F67" s="27"/>
      <c r="G67" s="19">
        <f>IF(DAY(FevDom1)=1,FevDom1+24,FevDom1+31)</f>
        <v>40968</v>
      </c>
      <c r="H67" s="27"/>
      <c r="I67" s="19">
        <f>IF(DAY(FevDom1)=1,FevDom1+25,FevDom1+32)</f>
        <v>40969</v>
      </c>
      <c r="J67" s="27"/>
      <c r="K67" s="19">
        <f>IF(DAY(FevDom1)=1,FevDom1+26,FevDom1+33)</f>
        <v>40970</v>
      </c>
      <c r="L67" s="27"/>
      <c r="M67" s="19">
        <f>IF(DAY(FevDom1)=1,FevDom1+27,FevDom1+34)</f>
        <v>40971</v>
      </c>
      <c r="N67" s="27"/>
      <c r="O67" s="19">
        <f>IF(DAY(FevDom1)=1,FevDom1+28,FevDom1+35)</f>
        <v>40972</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IF(DAY(FevDom1)=1,FevDom1+29,FevDom1+36)</f>
        <v>40973</v>
      </c>
      <c r="D70" s="27"/>
      <c r="E70" s="19">
        <f>IF(DAY(FevDom1)=1,FevDom1+30,FevDom1+37)</f>
        <v>40974</v>
      </c>
      <c r="F70" s="27"/>
      <c r="G70" s="19">
        <f>IF(DAY(FevDom1)=1,FevDom1+31,FevDom1+38)</f>
        <v>40975</v>
      </c>
      <c r="H70" s="27"/>
      <c r="I70" s="19">
        <f>IF(DAY(FevDom1)=1,FevDom1+32,FevDom1+39)</f>
        <v>40976</v>
      </c>
      <c r="J70" s="28"/>
      <c r="K70" s="19">
        <f>IF(DAY(FevDom1)=1,FevDom1+33,FevDom1+40)</f>
        <v>40977</v>
      </c>
      <c r="L70" s="27"/>
      <c r="M70" s="19">
        <f>IF(DAY(FevDom1)=1,FevDom1+34,FevDom1+41)</f>
        <v>40978</v>
      </c>
      <c r="N70" s="27"/>
      <c r="O70" s="19">
        <f>IF(DAY(FevDom1)=1,FevDom1+35,FevDom1+42)</f>
        <v>40979</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tr">
        <f>TEXT(DATE(CalendárioAnual,3,1),"mmmm")</f>
        <v>março</v>
      </c>
      <c r="B74" s="80"/>
      <c r="C74" s="80"/>
      <c r="D74" s="80"/>
      <c r="E74" s="80"/>
      <c r="F74" s="80"/>
      <c r="G74" s="80"/>
      <c r="H74" s="13"/>
      <c r="I74" s="4"/>
      <c r="J74" s="4"/>
      <c r="L74" s="78">
        <f>CalendárioAnual</f>
        <v>2012</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0</v>
      </c>
      <c r="C90" s="79"/>
      <c r="D90" s="79" t="s">
        <v>1</v>
      </c>
      <c r="E90" s="79"/>
      <c r="F90" s="79" t="s">
        <v>2</v>
      </c>
      <c r="G90" s="79"/>
      <c r="H90" s="79" t="s">
        <v>3</v>
      </c>
      <c r="I90" s="79"/>
      <c r="J90" s="79" t="s">
        <v>4</v>
      </c>
      <c r="K90" s="79"/>
      <c r="L90" s="79" t="s">
        <v>5</v>
      </c>
      <c r="M90" s="79"/>
      <c r="N90" s="79" t="s">
        <v>6</v>
      </c>
      <c r="O90" s="79"/>
      <c r="P90" s="15"/>
      <c r="Q90" s="8"/>
      <c r="U90" s="15"/>
      <c r="V90" s="15"/>
    </row>
    <row r="91" spans="1:22" s="9" customFormat="1" ht="16.5" customHeight="1" x14ac:dyDescent="0.25">
      <c r="B91" s="37"/>
      <c r="C91" s="22">
        <f>IF(DAY(MarDom1)=1,MarDom1-6,MarDom1+1)</f>
        <v>40966</v>
      </c>
      <c r="D91" s="38"/>
      <c r="E91" s="22">
        <f>IF(DAY(MarDom1)=1,MarDom1-5,MarDom1+2)</f>
        <v>40967</v>
      </c>
      <c r="F91" s="38"/>
      <c r="G91" s="22">
        <f>IF(DAY(MarDom1)=1,MarDom1-4,MarDom1+3)</f>
        <v>40968</v>
      </c>
      <c r="H91" s="38"/>
      <c r="I91" s="22">
        <f>IF(DAY(MarDom1)=1,MarDom1-3,MarDom1+4)</f>
        <v>40969</v>
      </c>
      <c r="J91" s="38"/>
      <c r="K91" s="22">
        <f>IF(DAY(MarDom1)=1,MarDom1-2,MarDom1+5)</f>
        <v>40970</v>
      </c>
      <c r="L91" s="38"/>
      <c r="M91" s="22">
        <f>IF(DAY(MarDom1)=1,MarDom1-1,MarDom1+6)</f>
        <v>40971</v>
      </c>
      <c r="N91" s="38"/>
      <c r="O91" s="22">
        <f>IF(DAY(MarDom1)=1,MarDom1,MarDom1+7)</f>
        <v>40972</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39"/>
      <c r="C94" s="22">
        <f>IF(DAY(MarDom1)=1,MarDom1+1,MarDom1+8)</f>
        <v>40973</v>
      </c>
      <c r="D94" s="38"/>
      <c r="E94" s="22">
        <f>IF(DAY(MarDom1)=1,MarDom1+2,MarDom1+9)</f>
        <v>40974</v>
      </c>
      <c r="F94" s="38"/>
      <c r="G94" s="22">
        <f>IF(DAY(MarDom1)=1,MarDom1+3,MarDom1+10)</f>
        <v>40975</v>
      </c>
      <c r="H94" s="38"/>
      <c r="I94" s="22">
        <f>IF(DAY(MarDom1)=1,MarDom1+4,MarDom1+11)</f>
        <v>40976</v>
      </c>
      <c r="J94" s="38"/>
      <c r="K94" s="22">
        <f>IF(DAY(MarDom1)=1,MarDom1+5,MarDom1+12)</f>
        <v>40977</v>
      </c>
      <c r="L94" s="38"/>
      <c r="M94" s="22">
        <f>IF(DAY(MarDom1)=1,MarDom1+6,MarDom1+13)</f>
        <v>40978</v>
      </c>
      <c r="N94" s="38"/>
      <c r="O94" s="22">
        <f>IF(DAY(MarDom1)=1,MarDom1+7,MarDom1+14)</f>
        <v>40979</v>
      </c>
    </row>
    <row r="95" spans="1:22" s="15" customFormat="1" ht="55.5" customHeight="1" x14ac:dyDescent="0.25">
      <c r="A95" s="6"/>
      <c r="B95" s="73"/>
      <c r="C95" s="74"/>
      <c r="D95" s="74"/>
      <c r="E95" s="74"/>
      <c r="F95" s="74"/>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39"/>
      <c r="C97" s="22">
        <f>IF(DAY(MarDom1)=1,MarDom1+8,MarDom1+15)</f>
        <v>40980</v>
      </c>
      <c r="D97" s="38"/>
      <c r="E97" s="22">
        <f>IF(DAY(MarDom1)=1,MarDom1+9,MarDom1+16)</f>
        <v>40981</v>
      </c>
      <c r="F97" s="38"/>
      <c r="G97" s="22">
        <f>IF(DAY(MarDom1)=1,MarDom1+10,MarDom1+17)</f>
        <v>40982</v>
      </c>
      <c r="H97" s="38"/>
      <c r="I97" s="22">
        <f>IF(DAY(MarDom1)=1,MarDom1+11,MarDom1+18)</f>
        <v>40983</v>
      </c>
      <c r="J97" s="38"/>
      <c r="K97" s="22">
        <f>IF(DAY(MarDom1)=1,MarDom1+12,MarDom1+19)</f>
        <v>40984</v>
      </c>
      <c r="L97" s="38"/>
      <c r="M97" s="22">
        <f>IF(DAY(MarDom1)=1,MarDom1+13,MarDom1+20)</f>
        <v>40985</v>
      </c>
      <c r="N97" s="38"/>
      <c r="O97" s="22">
        <f>IF(DAY(MarDom1)=1,MarDom1+14,MarDom1+21)</f>
        <v>40986</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39"/>
      <c r="C100" s="22">
        <f>IF(DAY(MarDom1)=1,MarDom1+15,MarDom1+22)</f>
        <v>40987</v>
      </c>
      <c r="D100" s="38"/>
      <c r="E100" s="22">
        <f>IF(DAY(MarDom1)=1,MarDom1+16,MarDom1+23)</f>
        <v>40988</v>
      </c>
      <c r="F100" s="38"/>
      <c r="G100" s="22">
        <f>IF(DAY(MarDom1)=1,MarDom1+17,MarDom1+24)</f>
        <v>40989</v>
      </c>
      <c r="H100" s="38"/>
      <c r="I100" s="22">
        <f>IF(DAY(MarDom1)=1,MarDom1+18,MarDom1+25)</f>
        <v>40990</v>
      </c>
      <c r="J100" s="38"/>
      <c r="K100" s="22">
        <f>IF(DAY(MarDom1)=1,MarDom1+19,MarDom1+26)</f>
        <v>40991</v>
      </c>
      <c r="L100" s="38"/>
      <c r="M100" s="22">
        <f>IF(DAY(MarDom1)=1,MarDom1+20,MarDom1+27)</f>
        <v>40992</v>
      </c>
      <c r="N100" s="38"/>
      <c r="O100" s="22">
        <f>IF(DAY(MarDom1)=1,MarDom1+21,MarDom1+28)</f>
        <v>40993</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39"/>
      <c r="C103" s="22">
        <f>IF(DAY(MarDom1)=1,MarDom1+22,MarDom1+29)</f>
        <v>40994</v>
      </c>
      <c r="D103" s="38"/>
      <c r="E103" s="22">
        <f>IF(DAY(MarDom1)=1,MarDom1+23,MarDom1+30)</f>
        <v>40995</v>
      </c>
      <c r="F103" s="38"/>
      <c r="G103" s="22">
        <f>IF(DAY(MarDom1)=1,MarDom1+24,MarDom1+31)</f>
        <v>40996</v>
      </c>
      <c r="H103" s="38"/>
      <c r="I103" s="22">
        <f>IF(DAY(MarDom1)=1,MarDom1+25,MarDom1+32)</f>
        <v>40997</v>
      </c>
      <c r="J103" s="38"/>
      <c r="K103" s="22">
        <f>IF(DAY(MarDom1)=1,MarDom1+26,MarDom1+33)</f>
        <v>40998</v>
      </c>
      <c r="L103" s="38"/>
      <c r="M103" s="22">
        <f>IF(DAY(MarDom1)=1,MarDom1+27,MarDom1+34)</f>
        <v>40999</v>
      </c>
      <c r="N103" s="38"/>
      <c r="O103" s="22">
        <f>IF(DAY(MarDom1)=1,MarDom1+28,MarDom1+35)</f>
        <v>41000</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39"/>
      <c r="C106" s="22">
        <f>IF(DAY(MarDom1)=1,MarDom1+29,MarDom1+36)</f>
        <v>41001</v>
      </c>
      <c r="D106" s="38"/>
      <c r="E106" s="22">
        <f>IF(DAY(MarDom1)=1,MarDom1+30,MarDom1+37)</f>
        <v>41002</v>
      </c>
      <c r="F106" s="38"/>
      <c r="G106" s="22">
        <f>IF(DAY(MarDom1)=1,MarDom1+31,MarDom1+38)</f>
        <v>41003</v>
      </c>
      <c r="H106" s="38"/>
      <c r="I106" s="22">
        <f>IF(DAY(MarDom1)=1,MarDom1+32,MarDom1+39)</f>
        <v>41004</v>
      </c>
      <c r="J106" s="38"/>
      <c r="K106" s="22">
        <f>IF(DAY(MarDom1)=1,MarDom1+33,MarDom1+40)</f>
        <v>41005</v>
      </c>
      <c r="L106" s="38"/>
      <c r="M106" s="22">
        <f>IF(DAY(MarDom1)=1,MarDom1+34,MarDom1+41)</f>
        <v>41006</v>
      </c>
      <c r="N106" s="38"/>
      <c r="O106" s="22">
        <f>IF(DAY(MarDom1)=1,MarDom1+35,MarDom1+42)</f>
        <v>41007</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80" t="str">
        <f>TEXT(DATE(CalendárioAnual,4,1),"mmmm")</f>
        <v>abril</v>
      </c>
      <c r="B110" s="80"/>
      <c r="C110" s="80"/>
      <c r="D110" s="80"/>
      <c r="E110" s="80"/>
      <c r="F110" s="80"/>
      <c r="G110" s="80"/>
      <c r="H110" s="13"/>
      <c r="I110" s="4"/>
      <c r="J110" s="4"/>
      <c r="L110" s="78">
        <f>CalendárioAnual</f>
        <v>2012</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0</v>
      </c>
      <c r="C126" s="79"/>
      <c r="D126" s="79" t="s">
        <v>1</v>
      </c>
      <c r="E126" s="79"/>
      <c r="F126" s="79" t="s">
        <v>2</v>
      </c>
      <c r="G126" s="79"/>
      <c r="H126" s="79" t="s">
        <v>3</v>
      </c>
      <c r="I126" s="79"/>
      <c r="J126" s="79" t="s">
        <v>4</v>
      </c>
      <c r="K126" s="79"/>
      <c r="L126" s="79" t="s">
        <v>5</v>
      </c>
      <c r="M126" s="79"/>
      <c r="N126" s="79" t="s">
        <v>6</v>
      </c>
      <c r="O126" s="79"/>
      <c r="P126" s="15"/>
      <c r="Q126" s="8"/>
      <c r="U126" s="15"/>
      <c r="V126" s="15"/>
    </row>
    <row r="127" spans="1:22" s="9" customFormat="1" ht="16.5" customHeight="1" x14ac:dyDescent="0.25">
      <c r="B127" s="37"/>
      <c r="C127" s="22">
        <f>IF(DAY(AbrDom1)=1,AbrDom1-6,AbrDom1+1)</f>
        <v>40994</v>
      </c>
      <c r="D127" s="38"/>
      <c r="E127" s="22">
        <f>IF(DAY(AbrDom1)=1,AbrDom1-5,AbrDom1+2)</f>
        <v>40995</v>
      </c>
      <c r="F127" s="38"/>
      <c r="G127" s="22">
        <f>IF(DAY(AbrDom1)=1,AbrDom1-4,AbrDom1+3)</f>
        <v>40996</v>
      </c>
      <c r="H127" s="38"/>
      <c r="I127" s="22">
        <f>IF(DAY(AbrDom1)=1,AbrDom1-3,AbrDom1+4)</f>
        <v>40997</v>
      </c>
      <c r="J127" s="38"/>
      <c r="K127" s="22">
        <f>IF(DAY(AbrDom1)=1,AbrDom1-2,AbrDom1+5)</f>
        <v>40998</v>
      </c>
      <c r="L127" s="38"/>
      <c r="M127" s="22">
        <f>IF(DAY(AbrDom1)=1,AbrDom1-1,AbrDom1+6)</f>
        <v>40999</v>
      </c>
      <c r="N127" s="38"/>
      <c r="O127" s="22">
        <f>IF(DAY(AbrDom1)=1,AbrDom1,AbrDom1+7)</f>
        <v>41000</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39"/>
      <c r="C130" s="22">
        <f>IF(DAY(AbrDom1)=1,AbrDom1+1,AbrDom1+8)</f>
        <v>41001</v>
      </c>
      <c r="D130" s="38"/>
      <c r="E130" s="22">
        <f>IF(DAY(AbrDom1)=1,AbrDom1+2,AbrDom1+9)</f>
        <v>41002</v>
      </c>
      <c r="F130" s="38"/>
      <c r="G130" s="22">
        <f>IF(DAY(AbrDom1)=1,AbrDom1+3,AbrDom1+10)</f>
        <v>41003</v>
      </c>
      <c r="H130" s="38"/>
      <c r="I130" s="22">
        <f>IF(DAY(AbrDom1)=1,AbrDom1+4,AbrDom1+11)</f>
        <v>41004</v>
      </c>
      <c r="J130" s="38"/>
      <c r="K130" s="22">
        <f>IF(DAY(AbrDom1)=1,AbrDom1+5,AbrDom1+12)</f>
        <v>41005</v>
      </c>
      <c r="L130" s="38"/>
      <c r="M130" s="22">
        <f>IF(DAY(AbrDom1)=1,AbrDom1+6,AbrDom1+13)</f>
        <v>41006</v>
      </c>
      <c r="N130" s="38"/>
      <c r="O130" s="22">
        <f>IF(DAY(AbrDom1)=1,AbrDom1+7,AbrDom1+14)</f>
        <v>41007</v>
      </c>
    </row>
    <row r="131" spans="1:15" s="15" customFormat="1" ht="55.5" customHeight="1" x14ac:dyDescent="0.25">
      <c r="A131" s="6"/>
      <c r="B131" s="73"/>
      <c r="C131" s="74"/>
      <c r="D131" s="74"/>
      <c r="E131" s="74"/>
      <c r="F131" s="74"/>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39"/>
      <c r="C133" s="22">
        <f>IF(DAY(AbrDom1)=1,AbrDom1+8,AbrDom1+15)</f>
        <v>41008</v>
      </c>
      <c r="D133" s="38"/>
      <c r="E133" s="22">
        <f>IF(DAY(AbrDom1)=1,AbrDom1+9,AbrDom1+16)</f>
        <v>41009</v>
      </c>
      <c r="F133" s="38"/>
      <c r="G133" s="22">
        <f>IF(DAY(AbrDom1)=1,AbrDom1+10,AbrDom1+17)</f>
        <v>41010</v>
      </c>
      <c r="H133" s="38"/>
      <c r="I133" s="22">
        <f>IF(DAY(AbrDom1)=1,AbrDom1+11,AbrDom1+18)</f>
        <v>41011</v>
      </c>
      <c r="J133" s="38"/>
      <c r="K133" s="22">
        <f>IF(DAY(AbrDom1)=1,AbrDom1+12,AbrDom1+19)</f>
        <v>41012</v>
      </c>
      <c r="L133" s="38"/>
      <c r="M133" s="22">
        <f>IF(DAY(AbrDom1)=1,AbrDom1+13,AbrDom1+20)</f>
        <v>41013</v>
      </c>
      <c r="N133" s="38"/>
      <c r="O133" s="22">
        <f>IF(DAY(AbrDom1)=1,AbrDom1+14,AbrDom1+21)</f>
        <v>41014</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39"/>
      <c r="C136" s="22">
        <f>IF(DAY(AbrDom1)=1,AbrDom1+15,AbrDom1+22)</f>
        <v>41015</v>
      </c>
      <c r="D136" s="38"/>
      <c r="E136" s="22">
        <f>IF(DAY(AbrDom1)=1,AbrDom1+16,AbrDom1+23)</f>
        <v>41016</v>
      </c>
      <c r="F136" s="38"/>
      <c r="G136" s="22">
        <f>IF(DAY(AbrDom1)=1,AbrDom1+17,AbrDom1+24)</f>
        <v>41017</v>
      </c>
      <c r="H136" s="38"/>
      <c r="I136" s="22">
        <f>IF(DAY(AbrDom1)=1,AbrDom1+18,AbrDom1+25)</f>
        <v>41018</v>
      </c>
      <c r="J136" s="38"/>
      <c r="K136" s="22">
        <f>IF(DAY(AbrDom1)=1,AbrDom1+19,AbrDom1+26)</f>
        <v>41019</v>
      </c>
      <c r="L136" s="38"/>
      <c r="M136" s="22">
        <f>IF(DAY(AbrDom1)=1,AbrDom1+20,AbrDom1+27)</f>
        <v>41020</v>
      </c>
      <c r="N136" s="38"/>
      <c r="O136" s="22">
        <f>IF(DAY(AbrDom1)=1,AbrDom1+21,AbrDom1+28)</f>
        <v>41021</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39"/>
      <c r="C139" s="22">
        <f>IF(DAY(AbrDom1)=1,AbrDom1+22,AbrDom1+29)</f>
        <v>41022</v>
      </c>
      <c r="D139" s="38"/>
      <c r="E139" s="22">
        <f>IF(DAY(AbrDom1)=1,AbrDom1+23,AbrDom1+30)</f>
        <v>41023</v>
      </c>
      <c r="F139" s="38"/>
      <c r="G139" s="22">
        <f>IF(DAY(AbrDom1)=1,AbrDom1+24,AbrDom1+31)</f>
        <v>41024</v>
      </c>
      <c r="H139" s="38"/>
      <c r="I139" s="22">
        <f>IF(DAY(AbrDom1)=1,AbrDom1+25,AbrDom1+32)</f>
        <v>41025</v>
      </c>
      <c r="J139" s="38"/>
      <c r="K139" s="22">
        <f>IF(DAY(AbrDom1)=1,AbrDom1+26,AbrDom1+33)</f>
        <v>41026</v>
      </c>
      <c r="L139" s="38"/>
      <c r="M139" s="22">
        <f>IF(DAY(AbrDom1)=1,AbrDom1+27,AbrDom1+34)</f>
        <v>41027</v>
      </c>
      <c r="N139" s="38"/>
      <c r="O139" s="22">
        <f>IF(DAY(AbrDom1)=1,AbrDom1+28,AbrDom1+35)</f>
        <v>41028</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39"/>
      <c r="C142" s="22">
        <f>IF(DAY(AbrDom1)=1,AbrDom1+29,AbrDom1+36)</f>
        <v>41029</v>
      </c>
      <c r="D142" s="38"/>
      <c r="E142" s="22">
        <f>IF(DAY(AbrDom1)=1,AbrDom1+30,AbrDom1+37)</f>
        <v>41030</v>
      </c>
      <c r="F142" s="38"/>
      <c r="G142" s="22">
        <f>IF(DAY(AbrDom1)=1,AbrDom1+31,AbrDom1+38)</f>
        <v>41031</v>
      </c>
      <c r="H142" s="38"/>
      <c r="I142" s="22">
        <f>IF(DAY(AbrDom1)=1,AbrDom1+32,AbrDom1+39)</f>
        <v>41032</v>
      </c>
      <c r="J142" s="38"/>
      <c r="K142" s="22">
        <f>IF(DAY(AbrDom1)=1,AbrDom1+33,AbrDom1+40)</f>
        <v>41033</v>
      </c>
      <c r="L142" s="38"/>
      <c r="M142" s="22">
        <f>IF(DAY(AbrDom1)=1,AbrDom1+34,AbrDom1+41)</f>
        <v>41034</v>
      </c>
      <c r="N142" s="38"/>
      <c r="O142" s="22">
        <f>IF(DAY(AbrDom1)=1,AbrDom1+35,AbrDom1+42)</f>
        <v>41035</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tr">
        <f>TEXT(DATE(CalendárioAnual,5,1),"mmmm")</f>
        <v>maio</v>
      </c>
      <c r="B146" s="80"/>
      <c r="C146" s="80"/>
      <c r="D146" s="80"/>
      <c r="E146" s="80"/>
      <c r="F146" s="80"/>
      <c r="G146" s="80"/>
      <c r="H146" s="13"/>
      <c r="I146" s="4"/>
      <c r="J146" s="4"/>
      <c r="L146" s="78">
        <f>CalendárioAnual</f>
        <v>2012</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0</v>
      </c>
      <c r="C162" s="79"/>
      <c r="D162" s="79" t="s">
        <v>1</v>
      </c>
      <c r="E162" s="79"/>
      <c r="F162" s="79" t="s">
        <v>2</v>
      </c>
      <c r="G162" s="79"/>
      <c r="H162" s="79" t="s">
        <v>3</v>
      </c>
      <c r="I162" s="79"/>
      <c r="J162" s="79" t="s">
        <v>4</v>
      </c>
      <c r="K162" s="79"/>
      <c r="L162" s="79" t="s">
        <v>5</v>
      </c>
      <c r="M162" s="79"/>
      <c r="N162" s="79" t="s">
        <v>6</v>
      </c>
      <c r="O162" s="79"/>
      <c r="P162" s="15"/>
      <c r="Q162" s="8"/>
      <c r="U162" s="15"/>
      <c r="V162" s="15"/>
    </row>
    <row r="163" spans="1:22" s="9" customFormat="1" ht="16.5" customHeight="1" x14ac:dyDescent="0.25">
      <c r="B163" s="37"/>
      <c r="C163" s="22">
        <f>IF(DAY(MaiDom1)=1,MaiDom1-6,MaiDom1+1)</f>
        <v>41029</v>
      </c>
      <c r="D163" s="38"/>
      <c r="E163" s="22">
        <f>IF(DAY(MaiDom1)=1,MaiDom1-5,MaiDom1+2)</f>
        <v>41030</v>
      </c>
      <c r="F163" s="38"/>
      <c r="G163" s="22">
        <f>IF(DAY(MaiDom1)=1,MaiDom1-4,MaiDom1+3)</f>
        <v>41031</v>
      </c>
      <c r="H163" s="38"/>
      <c r="I163" s="22">
        <f>IF(DAY(MaiDom1)=1,MaiDom1-3,MaiDom1+4)</f>
        <v>41032</v>
      </c>
      <c r="J163" s="38"/>
      <c r="K163" s="22">
        <f>IF(DAY(MaiDom1)=1,MaiDom1-2,MaiDom1+5)</f>
        <v>41033</v>
      </c>
      <c r="L163" s="38"/>
      <c r="M163" s="22">
        <f>IF(DAY(MaiDom1)=1,MaiDom1-1,MaiDom1+6)</f>
        <v>41034</v>
      </c>
      <c r="N163" s="38"/>
      <c r="O163" s="22">
        <f>IF(DAY(MaiDom1)=1,MaiDom1,MaiDom1+7)</f>
        <v>41035</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39"/>
      <c r="C166" s="22">
        <f>IF(DAY(MaiDom1)=1,MaiDom1+1,MaiDom1+8)</f>
        <v>41036</v>
      </c>
      <c r="D166" s="38"/>
      <c r="E166" s="22">
        <f>IF(DAY(MaiDom1)=1,MaiDom1+2,MaiDom1+9)</f>
        <v>41037</v>
      </c>
      <c r="F166" s="38"/>
      <c r="G166" s="22">
        <f>IF(DAY(MaiDom1)=1,MaiDom1+3,MaiDom1+10)</f>
        <v>41038</v>
      </c>
      <c r="H166" s="38"/>
      <c r="I166" s="22">
        <f>IF(DAY(MaiDom1)=1,MaiDom1+4,MaiDom1+11)</f>
        <v>41039</v>
      </c>
      <c r="J166" s="38"/>
      <c r="K166" s="22">
        <f>IF(DAY(MaiDom1)=1,MaiDom1+5,MaiDom1+12)</f>
        <v>41040</v>
      </c>
      <c r="L166" s="38"/>
      <c r="M166" s="22">
        <f>IF(DAY(MaiDom1)=1,MaiDom1+6,MaiDom1+13)</f>
        <v>41041</v>
      </c>
      <c r="N166" s="38"/>
      <c r="O166" s="22">
        <f>IF(DAY(MaiDom1)=1,MaiDom1+7,MaiDom1+14)</f>
        <v>41042</v>
      </c>
    </row>
    <row r="167" spans="1:22" s="15" customFormat="1" ht="55.5" customHeight="1" x14ac:dyDescent="0.25">
      <c r="A167" s="6"/>
      <c r="B167" s="73"/>
      <c r="C167" s="74"/>
      <c r="D167" s="74"/>
      <c r="E167" s="74"/>
      <c r="F167" s="74"/>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39"/>
      <c r="C169" s="22">
        <f>IF(DAY(MaiDom1)=1,MaiDom1+8,MaiDom1+15)</f>
        <v>41043</v>
      </c>
      <c r="D169" s="38"/>
      <c r="E169" s="22">
        <f>IF(DAY(MaiDom1)=1,MaiDom1+9,MaiDom1+16)</f>
        <v>41044</v>
      </c>
      <c r="F169" s="38"/>
      <c r="G169" s="22">
        <f>IF(DAY(MaiDom1)=1,MaiDom1+10,MaiDom1+17)</f>
        <v>41045</v>
      </c>
      <c r="H169" s="38"/>
      <c r="I169" s="22">
        <f>IF(DAY(MaiDom1)=1,MaiDom1+11,MaiDom1+18)</f>
        <v>41046</v>
      </c>
      <c r="J169" s="38"/>
      <c r="K169" s="22">
        <f>IF(DAY(MaiDom1)=1,MaiDom1+12,MaiDom1+19)</f>
        <v>41047</v>
      </c>
      <c r="L169" s="38"/>
      <c r="M169" s="22">
        <f>IF(DAY(MaiDom1)=1,MaiDom1+13,MaiDom1+20)</f>
        <v>41048</v>
      </c>
      <c r="N169" s="38"/>
      <c r="O169" s="22">
        <f>IF(DAY(MaiDom1)=1,MaiDom1+14,MaiDom1+21)</f>
        <v>41049</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39"/>
      <c r="C172" s="22">
        <f>IF(DAY(MaiDom1)=1,MaiDom1+15,MaiDom1+22)</f>
        <v>41050</v>
      </c>
      <c r="D172" s="38"/>
      <c r="E172" s="22">
        <f>IF(DAY(MaiDom1)=1,MaiDom1+16,MaiDom1+23)</f>
        <v>41051</v>
      </c>
      <c r="F172" s="38"/>
      <c r="G172" s="22">
        <f>IF(DAY(MaiDom1)=1,MaiDom1+17,MaiDom1+24)</f>
        <v>41052</v>
      </c>
      <c r="H172" s="38"/>
      <c r="I172" s="22">
        <f>IF(DAY(MaiDom1)=1,MaiDom1+18,MaiDom1+25)</f>
        <v>41053</v>
      </c>
      <c r="J172" s="38"/>
      <c r="K172" s="22">
        <f>IF(DAY(MaiDom1)=1,MaiDom1+19,MaiDom1+26)</f>
        <v>41054</v>
      </c>
      <c r="L172" s="38"/>
      <c r="M172" s="22">
        <f>IF(DAY(MaiDom1)=1,MaiDom1+20,MaiDom1+27)</f>
        <v>41055</v>
      </c>
      <c r="N172" s="38"/>
      <c r="O172" s="22">
        <f>IF(DAY(MaiDom1)=1,MaiDom1+21,MaiDom1+28)</f>
        <v>41056</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39"/>
      <c r="C175" s="22">
        <f>IF(DAY(MaiDom1)=1,MaiDom1+22,MaiDom1+29)</f>
        <v>41057</v>
      </c>
      <c r="D175" s="38"/>
      <c r="E175" s="22">
        <f>IF(DAY(MaiDom1)=1,MaiDom1+23,MaiDom1+30)</f>
        <v>41058</v>
      </c>
      <c r="F175" s="38"/>
      <c r="G175" s="22">
        <f>IF(DAY(MaiDom1)=1,MaiDom1+24,MaiDom1+31)</f>
        <v>41059</v>
      </c>
      <c r="H175" s="38"/>
      <c r="I175" s="22">
        <f>IF(DAY(MaiDom1)=1,MaiDom1+25,MaiDom1+32)</f>
        <v>41060</v>
      </c>
      <c r="J175" s="38"/>
      <c r="K175" s="22">
        <f>IF(DAY(MaiDom1)=1,MaiDom1+26,MaiDom1+33)</f>
        <v>41061</v>
      </c>
      <c r="L175" s="38"/>
      <c r="M175" s="22">
        <f>IF(DAY(MaiDom1)=1,MaiDom1+27,MaiDom1+34)</f>
        <v>41062</v>
      </c>
      <c r="N175" s="38"/>
      <c r="O175" s="22">
        <f>IF(DAY(MaiDom1)=1,MaiDom1+28,MaiDom1+35)</f>
        <v>41063</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39"/>
      <c r="C178" s="22">
        <f>IF(DAY(MaiDom1)=1,MaiDom1+29,MaiDom1+36)</f>
        <v>41064</v>
      </c>
      <c r="D178" s="38"/>
      <c r="E178" s="22">
        <f>IF(DAY(MaiDom1)=1,MaiDom1+30,MaiDom1+37)</f>
        <v>41065</v>
      </c>
      <c r="F178" s="38"/>
      <c r="G178" s="22">
        <f>IF(DAY(MaiDom1)=1,MaiDom1+31,MaiDom1+38)</f>
        <v>41066</v>
      </c>
      <c r="H178" s="38"/>
      <c r="I178" s="22">
        <f>IF(DAY(MaiDom1)=1,MaiDom1+32,MaiDom1+39)</f>
        <v>41067</v>
      </c>
      <c r="J178" s="38"/>
      <c r="K178" s="22">
        <f>IF(DAY(MaiDom1)=1,MaiDom1+33,MaiDom1+40)</f>
        <v>41068</v>
      </c>
      <c r="L178" s="38"/>
      <c r="M178" s="22">
        <f>IF(DAY(MaiDom1)=1,MaiDom1+34,MaiDom1+41)</f>
        <v>41069</v>
      </c>
      <c r="N178" s="38"/>
      <c r="O178" s="22">
        <f>IF(DAY(MaiDom1)=1,MaiDom1+35,MaiDom1+42)</f>
        <v>41070</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71" t="str">
        <f>TEXT(DATE(CalendárioAnual,6,1),"mmmm")</f>
        <v>junho</v>
      </c>
      <c r="B182" s="71"/>
      <c r="C182" s="71"/>
      <c r="D182" s="71"/>
      <c r="E182" s="71"/>
      <c r="F182" s="71"/>
      <c r="G182" s="71"/>
      <c r="H182" s="13"/>
      <c r="I182" s="4"/>
      <c r="J182" s="4"/>
      <c r="L182" s="69">
        <f>CalendárioAnual</f>
        <v>2012</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0</v>
      </c>
      <c r="C198" s="70"/>
      <c r="D198" s="70" t="s">
        <v>1</v>
      </c>
      <c r="E198" s="70"/>
      <c r="F198" s="70" t="s">
        <v>2</v>
      </c>
      <c r="G198" s="70"/>
      <c r="H198" s="70" t="s">
        <v>3</v>
      </c>
      <c r="I198" s="70"/>
      <c r="J198" s="70" t="s">
        <v>4</v>
      </c>
      <c r="K198" s="70"/>
      <c r="L198" s="70" t="s">
        <v>5</v>
      </c>
      <c r="M198" s="70"/>
      <c r="N198" s="70" t="s">
        <v>6</v>
      </c>
      <c r="O198" s="70"/>
      <c r="P198" s="15"/>
      <c r="Q198" s="8"/>
      <c r="U198" s="15"/>
      <c r="V198" s="15"/>
    </row>
    <row r="199" spans="1:22" s="9" customFormat="1" ht="16.5" customHeight="1" x14ac:dyDescent="0.25">
      <c r="B199" s="34"/>
      <c r="C199" s="42">
        <f>IF(DAY(JunDom1)=1,JunDom1-6,JunDom1+1)</f>
        <v>41057</v>
      </c>
      <c r="D199" s="35"/>
      <c r="E199" s="42">
        <f>IF(DAY(JunDom1)=1,JunDom1-5,JunDom1+2)</f>
        <v>41058</v>
      </c>
      <c r="F199" s="35"/>
      <c r="G199" s="42">
        <f>IF(DAY(JunDom1)=1,JunDom1-4,JunDom1+3)</f>
        <v>41059</v>
      </c>
      <c r="H199" s="35"/>
      <c r="I199" s="42">
        <f>IF(DAY(JunDom1)=1,JunDom1-3,JunDom1+4)</f>
        <v>41060</v>
      </c>
      <c r="J199" s="35"/>
      <c r="K199" s="42">
        <f>IF(DAY(JunDom1)=1,JunDom1-2,JunDom1+5)</f>
        <v>41061</v>
      </c>
      <c r="L199" s="35"/>
      <c r="M199" s="42">
        <f>IF(DAY(JunDom1)=1,JunDom1-1,JunDom1+6)</f>
        <v>41062</v>
      </c>
      <c r="N199" s="35"/>
      <c r="O199" s="42">
        <f>IF(DAY(JunDom1)=1,JunDom1,JunDom1+7)</f>
        <v>41063</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IF(DAY(JunDom1)=1,JunDom1+1,JunDom1+8)</f>
        <v>41064</v>
      </c>
      <c r="D202" s="35"/>
      <c r="E202" s="42">
        <f>IF(DAY(JunDom1)=1,JunDom1+2,JunDom1+9)</f>
        <v>41065</v>
      </c>
      <c r="F202" s="35"/>
      <c r="G202" s="42">
        <f>IF(DAY(JunDom1)=1,JunDom1+3,JunDom1+10)</f>
        <v>41066</v>
      </c>
      <c r="H202" s="35"/>
      <c r="I202" s="42">
        <f>IF(DAY(JunDom1)=1,JunDom1+4,JunDom1+11)</f>
        <v>41067</v>
      </c>
      <c r="J202" s="35"/>
      <c r="K202" s="42">
        <f>IF(DAY(JunDom1)=1,JunDom1+5,JunDom1+12)</f>
        <v>41068</v>
      </c>
      <c r="L202" s="35"/>
      <c r="M202" s="42">
        <f>IF(DAY(JunDom1)=1,JunDom1+6,JunDom1+13)</f>
        <v>41069</v>
      </c>
      <c r="N202" s="35"/>
      <c r="O202" s="42">
        <f>IF(DAY(JunDom1)=1,JunDom1+7,JunDom1+14)</f>
        <v>41070</v>
      </c>
    </row>
    <row r="203" spans="1:22" s="15" customFormat="1" ht="55.5" customHeight="1" x14ac:dyDescent="0.25">
      <c r="A203" s="6"/>
      <c r="B203" s="64"/>
      <c r="C203" s="65"/>
      <c r="D203" s="65"/>
      <c r="E203" s="65"/>
      <c r="F203" s="65"/>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IF(DAY(JunDom1)=1,JunDom1+8,JunDom1+15)</f>
        <v>41071</v>
      </c>
      <c r="D205" s="35"/>
      <c r="E205" s="42">
        <f>IF(DAY(JunDom1)=1,JunDom1+9,JunDom1+16)</f>
        <v>41072</v>
      </c>
      <c r="F205" s="35"/>
      <c r="G205" s="42">
        <f>IF(DAY(JunDom1)=1,JunDom1+10,JunDom1+17)</f>
        <v>41073</v>
      </c>
      <c r="H205" s="35"/>
      <c r="I205" s="42">
        <f>IF(DAY(JunDom1)=1,JunDom1+11,JunDom1+18)</f>
        <v>41074</v>
      </c>
      <c r="J205" s="35"/>
      <c r="K205" s="42">
        <f>IF(DAY(JunDom1)=1,JunDom1+12,JunDom1+19)</f>
        <v>41075</v>
      </c>
      <c r="L205" s="35"/>
      <c r="M205" s="42">
        <f>IF(DAY(JunDom1)=1,JunDom1+13,JunDom1+20)</f>
        <v>41076</v>
      </c>
      <c r="N205" s="35"/>
      <c r="O205" s="42">
        <f>IF(DAY(JunDom1)=1,JunDom1+14,JunDom1+21)</f>
        <v>41077</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IF(DAY(JunDom1)=1,JunDom1+15,JunDom1+22)</f>
        <v>41078</v>
      </c>
      <c r="D208" s="35"/>
      <c r="E208" s="42">
        <f>IF(DAY(JunDom1)=1,JunDom1+16,JunDom1+23)</f>
        <v>41079</v>
      </c>
      <c r="F208" s="35"/>
      <c r="G208" s="42">
        <f>IF(DAY(JunDom1)=1,JunDom1+17,JunDom1+24)</f>
        <v>41080</v>
      </c>
      <c r="H208" s="35"/>
      <c r="I208" s="42">
        <f>IF(DAY(JunDom1)=1,JunDom1+18,JunDom1+25)</f>
        <v>41081</v>
      </c>
      <c r="J208" s="35"/>
      <c r="K208" s="42">
        <f>IF(DAY(JunDom1)=1,JunDom1+19,JunDom1+26)</f>
        <v>41082</v>
      </c>
      <c r="L208" s="35"/>
      <c r="M208" s="42">
        <f>IF(DAY(JunDom1)=1,JunDom1+20,JunDom1+27)</f>
        <v>41083</v>
      </c>
      <c r="N208" s="35"/>
      <c r="O208" s="42">
        <f>IF(DAY(JunDom1)=1,JunDom1+21,JunDom1+28)</f>
        <v>41084</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IF(DAY(JunDom1)=1,JunDom1+22,JunDom1+29)</f>
        <v>41085</v>
      </c>
      <c r="D211" s="35"/>
      <c r="E211" s="42">
        <f>IF(DAY(JunDom1)=1,JunDom1+23,JunDom1+30)</f>
        <v>41086</v>
      </c>
      <c r="F211" s="35"/>
      <c r="G211" s="42">
        <f>IF(DAY(JunDom1)=1,JunDom1+24,JunDom1+31)</f>
        <v>41087</v>
      </c>
      <c r="H211" s="35"/>
      <c r="I211" s="42">
        <f>IF(DAY(JunDom1)=1,JunDom1+25,JunDom1+32)</f>
        <v>41088</v>
      </c>
      <c r="J211" s="35"/>
      <c r="K211" s="42">
        <f>IF(DAY(JunDom1)=1,JunDom1+26,JunDom1+33)</f>
        <v>41089</v>
      </c>
      <c r="L211" s="35"/>
      <c r="M211" s="42">
        <f>IF(DAY(JunDom1)=1,JunDom1+27,JunDom1+34)</f>
        <v>41090</v>
      </c>
      <c r="N211" s="35"/>
      <c r="O211" s="42">
        <f>IF(DAY(JunDom1)=1,JunDom1+28,JunDom1+35)</f>
        <v>41091</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IF(DAY(JunDom1)=1,JunDom1+29,JunDom1+36)</f>
        <v>41092</v>
      </c>
      <c r="D214" s="35"/>
      <c r="E214" s="42">
        <f>IF(DAY(JunDom1)=1,JunDom1+30,JunDom1+37)</f>
        <v>41093</v>
      </c>
      <c r="F214" s="35"/>
      <c r="G214" s="42">
        <f>IF(DAY(JunDom1)=1,JunDom1+31,JunDom1+38)</f>
        <v>41094</v>
      </c>
      <c r="H214" s="35"/>
      <c r="I214" s="42">
        <f>IF(DAY(JunDom1)=1,JunDom1+32,JunDom1+39)</f>
        <v>41095</v>
      </c>
      <c r="J214" s="35"/>
      <c r="K214" s="42">
        <f>IF(DAY(JunDom1)=1,JunDom1+33,JunDom1+40)</f>
        <v>41096</v>
      </c>
      <c r="L214" s="35"/>
      <c r="M214" s="42">
        <f>IF(DAY(JunDom1)=1,JunDom1+34,JunDom1+41)</f>
        <v>41097</v>
      </c>
      <c r="N214" s="35"/>
      <c r="O214" s="42">
        <f>IF(DAY(JunDom1)=1,JunDom1+35,JunDom1+42)</f>
        <v>41098</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71" t="str">
        <f>TEXT(DATE(CalendárioAnual,7,1),"mmmm")</f>
        <v>julho</v>
      </c>
      <c r="B218" s="71"/>
      <c r="C218" s="71"/>
      <c r="D218" s="71"/>
      <c r="E218" s="71"/>
      <c r="F218" s="71"/>
      <c r="G218" s="71"/>
      <c r="H218" s="13"/>
      <c r="I218" s="4"/>
      <c r="J218" s="4"/>
      <c r="L218" s="69">
        <f>CalendárioAnual</f>
        <v>2012</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0</v>
      </c>
      <c r="C234" s="70"/>
      <c r="D234" s="70" t="s">
        <v>1</v>
      </c>
      <c r="E234" s="70"/>
      <c r="F234" s="70" t="s">
        <v>2</v>
      </c>
      <c r="G234" s="70"/>
      <c r="H234" s="70" t="s">
        <v>3</v>
      </c>
      <c r="I234" s="70"/>
      <c r="J234" s="70" t="s">
        <v>4</v>
      </c>
      <c r="K234" s="70"/>
      <c r="L234" s="70" t="s">
        <v>5</v>
      </c>
      <c r="M234" s="70"/>
      <c r="N234" s="70" t="s">
        <v>6</v>
      </c>
      <c r="O234" s="70"/>
      <c r="P234" s="15"/>
      <c r="Q234" s="8"/>
      <c r="U234" s="15"/>
      <c r="V234" s="15"/>
    </row>
    <row r="235" spans="1:22" s="9" customFormat="1" ht="16.5" customHeight="1" x14ac:dyDescent="0.25">
      <c r="B235" s="34"/>
      <c r="C235" s="42">
        <f>IF(DAY(JulDom1)=1,JulDom1-6,JulDom1+1)</f>
        <v>41085</v>
      </c>
      <c r="D235" s="35"/>
      <c r="E235" s="42">
        <f>IF(DAY(JulDom1)=1,JulDom1-5,JulDom1+2)</f>
        <v>41086</v>
      </c>
      <c r="F235" s="35"/>
      <c r="G235" s="42">
        <f>IF(DAY(JulDom1)=1,JulDom1-4,JulDom1+3)</f>
        <v>41087</v>
      </c>
      <c r="H235" s="35"/>
      <c r="I235" s="42">
        <f>IF(DAY(JulDom1)=1,JulDom1-3,JulDom1+4)</f>
        <v>41088</v>
      </c>
      <c r="J235" s="35"/>
      <c r="K235" s="42">
        <f>IF(DAY(JulDom1)=1,JulDom1-2,JulDom1+5)</f>
        <v>41089</v>
      </c>
      <c r="L235" s="35"/>
      <c r="M235" s="42">
        <f>IF(DAY(JulDom1)=1,JulDom1-1,JulDom1+6)</f>
        <v>41090</v>
      </c>
      <c r="N235" s="35"/>
      <c r="O235" s="42">
        <f>IF(DAY(JulDom1)=1,JulDom1,JulDom1+7)</f>
        <v>41091</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IF(DAY(JulDom1)=1,JulDom1+1,JulDom1+8)</f>
        <v>41092</v>
      </c>
      <c r="D238" s="35"/>
      <c r="E238" s="42">
        <f>IF(DAY(JulDom1)=1,JulDom1+2,JulDom1+9)</f>
        <v>41093</v>
      </c>
      <c r="F238" s="35"/>
      <c r="G238" s="42">
        <f>IF(DAY(JulDom1)=1,JulDom1+3,JulDom1+10)</f>
        <v>41094</v>
      </c>
      <c r="H238" s="35"/>
      <c r="I238" s="23">
        <f>IF(DAY(JulDom1)=1,JulDom1+4,JulDom1+11)</f>
        <v>41095</v>
      </c>
      <c r="J238" s="35"/>
      <c r="K238" s="23">
        <f>IF(DAY(JulDom1)=1,JulDom1+5,JulDom1+12)</f>
        <v>41096</v>
      </c>
      <c r="L238" s="35"/>
      <c r="M238" s="23">
        <f>IF(DAY(JulDom1)=1,JulDom1+6,JulDom1+13)</f>
        <v>41097</v>
      </c>
      <c r="N238" s="35"/>
      <c r="O238" s="23">
        <f>IF(DAY(JulDom1)=1,JulDom1+7,JulDom1+14)</f>
        <v>41098</v>
      </c>
    </row>
    <row r="239" spans="1:22" s="15" customFormat="1" ht="55.5" customHeight="1" x14ac:dyDescent="0.25">
      <c r="A239" s="6"/>
      <c r="B239" s="64"/>
      <c r="C239" s="65"/>
      <c r="D239" s="65"/>
      <c r="E239" s="65"/>
      <c r="F239" s="65"/>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IF(DAY(JulDom1)=1,JulDom1+8,JulDom1+15)</f>
        <v>41099</v>
      </c>
      <c r="D241" s="35"/>
      <c r="E241" s="42">
        <f>IF(DAY(JulDom1)=1,JulDom1+9,JulDom1+16)</f>
        <v>41100</v>
      </c>
      <c r="F241" s="35"/>
      <c r="G241" s="42">
        <f>IF(DAY(JulDom1)=1,JulDom1+10,JulDom1+17)</f>
        <v>41101</v>
      </c>
      <c r="H241" s="35"/>
      <c r="I241" s="42">
        <f>IF(DAY(JulDom1)=1,JulDom1+11,JulDom1+18)</f>
        <v>41102</v>
      </c>
      <c r="J241" s="35"/>
      <c r="K241" s="42">
        <f>IF(DAY(JulDom1)=1,JulDom1+12,JulDom1+19)</f>
        <v>41103</v>
      </c>
      <c r="L241" s="35"/>
      <c r="M241" s="42">
        <f>IF(DAY(JulDom1)=1,JulDom1+13,JulDom1+20)</f>
        <v>41104</v>
      </c>
      <c r="N241" s="35"/>
      <c r="O241" s="42">
        <f>IF(DAY(JulDom1)=1,JulDom1+14,JulDom1+21)</f>
        <v>41105</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IF(DAY(JulDom1)=1,JulDom1+15,JulDom1+22)</f>
        <v>41106</v>
      </c>
      <c r="D244" s="35"/>
      <c r="E244" s="42">
        <f>IF(DAY(JulDom1)=1,JulDom1+16,JulDom1+23)</f>
        <v>41107</v>
      </c>
      <c r="F244" s="35"/>
      <c r="G244" s="42">
        <f>IF(DAY(JulDom1)=1,JulDom1+17,JulDom1+24)</f>
        <v>41108</v>
      </c>
      <c r="H244" s="35"/>
      <c r="I244" s="42">
        <f>IF(DAY(JulDom1)=1,JulDom1+18,JulDom1+25)</f>
        <v>41109</v>
      </c>
      <c r="J244" s="35"/>
      <c r="K244" s="42">
        <f>IF(DAY(JulDom1)=1,JulDom1+19,JulDom1+26)</f>
        <v>41110</v>
      </c>
      <c r="L244" s="35"/>
      <c r="M244" s="42">
        <f>IF(DAY(JulDom1)=1,JulDom1+20,JulDom1+27)</f>
        <v>41111</v>
      </c>
      <c r="N244" s="35"/>
      <c r="O244" s="42">
        <f>IF(DAY(JulDom1)=1,JulDom1+21,JulDom1+28)</f>
        <v>41112</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IF(DAY(JulDom1)=1,JulDom1+22,JulDom1+29)</f>
        <v>41113</v>
      </c>
      <c r="D247" s="35"/>
      <c r="E247" s="42">
        <f>IF(DAY(JulDom1)=1,JulDom1+23,JulDom1+30)</f>
        <v>41114</v>
      </c>
      <c r="F247" s="35"/>
      <c r="G247" s="42">
        <f>IF(DAY(JulDom1)=1,JulDom1+24,JulDom1+31)</f>
        <v>41115</v>
      </c>
      <c r="H247" s="35"/>
      <c r="I247" s="42">
        <f>IF(DAY(JulDom1)=1,JulDom1+25,JulDom1+32)</f>
        <v>41116</v>
      </c>
      <c r="J247" s="35"/>
      <c r="K247" s="42">
        <f>IF(DAY(JulDom1)=1,JulDom1+26,JulDom1+33)</f>
        <v>41117</v>
      </c>
      <c r="L247" s="35"/>
      <c r="M247" s="42">
        <f>IF(DAY(JulDom1)=1,JulDom1+27,JulDom1+34)</f>
        <v>41118</v>
      </c>
      <c r="N247" s="35"/>
      <c r="O247" s="42">
        <f>IF(DAY(JulDom1)=1,JulDom1+28,JulDom1+35)</f>
        <v>41119</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IF(DAY(JulDom1)=1,JulDom1+29,JulDom1+36)</f>
        <v>41120</v>
      </c>
      <c r="D250" s="35"/>
      <c r="E250" s="42">
        <f>IF(DAY(JulDom1)=1,JulDom1+30,JulDom1+37)</f>
        <v>41121</v>
      </c>
      <c r="F250" s="35"/>
      <c r="G250" s="42">
        <f>IF(DAY(JulDom1)=1,JulDom1+31,JulDom1+38)</f>
        <v>41122</v>
      </c>
      <c r="H250" s="35"/>
      <c r="I250" s="42">
        <f>IF(DAY(JulDom1)=1,JulDom1+32,JulDom1+39)</f>
        <v>41123</v>
      </c>
      <c r="J250" s="35"/>
      <c r="K250" s="42">
        <f>IF(DAY(JulDom1)=1,JulDom1+33,JulDom1+40)</f>
        <v>41124</v>
      </c>
      <c r="L250" s="35"/>
      <c r="M250" s="42">
        <f>IF(DAY(JulDom1)=1,JulDom1+34,JulDom1+41)</f>
        <v>41125</v>
      </c>
      <c r="N250" s="35"/>
      <c r="O250" s="42">
        <f>IF(DAY(JulDom1)=1,JulDom1+35,JulDom1+42)</f>
        <v>41126</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tr">
        <f>TEXT(DATE(CalendárioAnual,8,1),"mmmm")</f>
        <v>agosto</v>
      </c>
      <c r="B254" s="71"/>
      <c r="C254" s="71"/>
      <c r="D254" s="71"/>
      <c r="E254" s="71"/>
      <c r="F254" s="71"/>
      <c r="G254" s="71"/>
      <c r="H254" s="17"/>
      <c r="I254" s="18"/>
      <c r="J254" s="18"/>
      <c r="K254" s="16"/>
      <c r="L254" s="69">
        <f>CalendárioAnual</f>
        <v>2012</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0</v>
      </c>
      <c r="C270" s="70"/>
      <c r="D270" s="70" t="s">
        <v>1</v>
      </c>
      <c r="E270" s="70"/>
      <c r="F270" s="70" t="s">
        <v>2</v>
      </c>
      <c r="G270" s="70"/>
      <c r="H270" s="70" t="s">
        <v>3</v>
      </c>
      <c r="I270" s="70"/>
      <c r="J270" s="70" t="s">
        <v>4</v>
      </c>
      <c r="K270" s="70"/>
      <c r="L270" s="70" t="s">
        <v>5</v>
      </c>
      <c r="M270" s="70"/>
      <c r="N270" s="70" t="s">
        <v>6</v>
      </c>
      <c r="O270" s="70"/>
      <c r="P270" s="15"/>
      <c r="Q270" s="8"/>
      <c r="U270" s="15"/>
      <c r="V270" s="15"/>
    </row>
    <row r="271" spans="1:22" s="9" customFormat="1" ht="16.5" customHeight="1" x14ac:dyDescent="0.25">
      <c r="B271" s="34"/>
      <c r="C271" s="42">
        <f>IF(DAY(AgoDom1)=1,AgoDom1-6,AgoDom1+1)</f>
        <v>41120</v>
      </c>
      <c r="D271" s="35"/>
      <c r="E271" s="42">
        <f>IF(DAY(AgoDom1)=1,AgoDom1-5,AgoDom1+2)</f>
        <v>41121</v>
      </c>
      <c r="F271" s="35"/>
      <c r="G271" s="42">
        <f>IF(DAY(AgoDom1)=1,AgoDom1-4,AgoDom1+3)</f>
        <v>41122</v>
      </c>
      <c r="H271" s="35"/>
      <c r="I271" s="42">
        <f>IF(DAY(AgoDom1)=1,AgoDom1-3,AgoDom1+4)</f>
        <v>41123</v>
      </c>
      <c r="J271" s="35"/>
      <c r="K271" s="42">
        <f>IF(DAY(AgoDom1)=1,AgoDom1-2,AgoDom1+5)</f>
        <v>41124</v>
      </c>
      <c r="L271" s="35"/>
      <c r="M271" s="42">
        <f>IF(DAY(AgoDom1)=1,AgoDom1-1,AgoDom1+6)</f>
        <v>41125</v>
      </c>
      <c r="N271" s="35"/>
      <c r="O271" s="42">
        <f>IF(DAY(AgoDom1)=1,AgoDom1,AgoDom1+7)</f>
        <v>41126</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IF(DAY(AgoDom1)=1,AgoDom1+1,AgoDom1+8)</f>
        <v>41127</v>
      </c>
      <c r="D274" s="35"/>
      <c r="E274" s="42">
        <f>IF(DAY(AgoDom1)=1,AgoDom1+2,AgoDom1+9)</f>
        <v>41128</v>
      </c>
      <c r="F274" s="35"/>
      <c r="G274" s="42">
        <f>IF(DAY(AgoDom1)=1,AgoDom1+3,AgoDom1+10)</f>
        <v>41129</v>
      </c>
      <c r="H274" s="35"/>
      <c r="I274" s="42">
        <f>IF(DAY(AgoDom1)=1,AgoDom1+4,AgoDom1+11)</f>
        <v>41130</v>
      </c>
      <c r="J274" s="35"/>
      <c r="K274" s="42">
        <f>IF(DAY(AgoDom1)=1,AgoDom1+5,AgoDom1+12)</f>
        <v>41131</v>
      </c>
      <c r="L274" s="35"/>
      <c r="M274" s="42">
        <f>IF(DAY(AgoDom1)=1,AgoDom1+6,AgoDom1+13)</f>
        <v>41132</v>
      </c>
      <c r="N274" s="35"/>
      <c r="O274" s="42">
        <f>IF(DAY(AgoDom1)=1,AgoDom1+7,AgoDom1+14)</f>
        <v>41133</v>
      </c>
    </row>
    <row r="275" spans="1:15" s="15" customFormat="1" ht="55.5" customHeight="1" x14ac:dyDescent="0.25">
      <c r="A275" s="6"/>
      <c r="B275" s="64"/>
      <c r="C275" s="65"/>
      <c r="D275" s="65"/>
      <c r="E275" s="65"/>
      <c r="F275" s="65"/>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IF(DAY(AgoDom1)=1,AgoDom1+8,AgoDom1+15)</f>
        <v>41134</v>
      </c>
      <c r="D277" s="35"/>
      <c r="E277" s="42">
        <f>IF(DAY(AgoDom1)=1,AgoDom1+9,AgoDom1+16)</f>
        <v>41135</v>
      </c>
      <c r="F277" s="35"/>
      <c r="G277" s="42">
        <f>IF(DAY(AgoDom1)=1,AgoDom1+10,AgoDom1+17)</f>
        <v>41136</v>
      </c>
      <c r="H277" s="35"/>
      <c r="I277" s="42">
        <f>IF(DAY(AgoDom1)=1,AgoDom1+11,AgoDom1+18)</f>
        <v>41137</v>
      </c>
      <c r="J277" s="35"/>
      <c r="K277" s="42">
        <f>IF(DAY(AgoDom1)=1,AgoDom1+12,AgoDom1+19)</f>
        <v>41138</v>
      </c>
      <c r="L277" s="35"/>
      <c r="M277" s="42">
        <f>IF(DAY(AgoDom1)=1,AgoDom1+13,AgoDom1+20)</f>
        <v>41139</v>
      </c>
      <c r="N277" s="35"/>
      <c r="O277" s="42">
        <f>IF(DAY(AgoDom1)=1,AgoDom1+14,AgoDom1+21)</f>
        <v>41140</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IF(DAY(AgoDom1)=1,AgoDom1+15,AgoDom1+22)</f>
        <v>41141</v>
      </c>
      <c r="D280" s="35"/>
      <c r="E280" s="42">
        <f>IF(DAY(AgoDom1)=1,AgoDom1+16,AgoDom1+23)</f>
        <v>41142</v>
      </c>
      <c r="F280" s="35"/>
      <c r="G280" s="42">
        <f>IF(DAY(AgoDom1)=1,AgoDom1+17,AgoDom1+24)</f>
        <v>41143</v>
      </c>
      <c r="H280" s="35"/>
      <c r="I280" s="42">
        <f>IF(DAY(AgoDom1)=1,AgoDom1+18,AgoDom1+25)</f>
        <v>41144</v>
      </c>
      <c r="J280" s="35"/>
      <c r="K280" s="42">
        <f>IF(DAY(AgoDom1)=1,AgoDom1+19,AgoDom1+26)</f>
        <v>41145</v>
      </c>
      <c r="L280" s="35"/>
      <c r="M280" s="42">
        <f>IF(DAY(AgoDom1)=1,AgoDom1+20,AgoDom1+27)</f>
        <v>41146</v>
      </c>
      <c r="N280" s="35"/>
      <c r="O280" s="42">
        <f>IF(DAY(AgoDom1)=1,AgoDom1+21,AgoDom1+28)</f>
        <v>41147</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IF(DAY(AgoDom1)=1,AgoDom1+22,AgoDom1+29)</f>
        <v>41148</v>
      </c>
      <c r="D283" s="35"/>
      <c r="E283" s="42">
        <f>IF(DAY(AgoDom1)=1,AgoDom1+23,AgoDom1+30)</f>
        <v>41149</v>
      </c>
      <c r="F283" s="35"/>
      <c r="G283" s="42">
        <f>IF(DAY(AgoDom1)=1,AgoDom1+24,AgoDom1+31)</f>
        <v>41150</v>
      </c>
      <c r="H283" s="35"/>
      <c r="I283" s="42">
        <f>IF(DAY(AgoDom1)=1,AgoDom1+25,AgoDom1+32)</f>
        <v>41151</v>
      </c>
      <c r="J283" s="35"/>
      <c r="K283" s="42">
        <f>IF(DAY(AgoDom1)=1,AgoDom1+26,AgoDom1+33)</f>
        <v>41152</v>
      </c>
      <c r="L283" s="35"/>
      <c r="M283" s="42">
        <f>IF(DAY(AgoDom1)=1,AgoDom1+27,AgoDom1+34)</f>
        <v>41153</v>
      </c>
      <c r="N283" s="35"/>
      <c r="O283" s="42">
        <f>IF(DAY(AgoDom1)=1,AgoDom1+28,AgoDom1+35)</f>
        <v>41154</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IF(DAY(AgoDom1)=1,AgoDom1+29,AgoDom1+36)</f>
        <v>41155</v>
      </c>
      <c r="D286" s="35"/>
      <c r="E286" s="42">
        <f>IF(DAY(AgoDom1)=1,AgoDom1+30,AgoDom1+37)</f>
        <v>41156</v>
      </c>
      <c r="F286" s="35"/>
      <c r="G286" s="42">
        <f>IF(DAY(AgoDom1)=1,AgoDom1+31,AgoDom1+38)</f>
        <v>41157</v>
      </c>
      <c r="H286" s="35"/>
      <c r="I286" s="42">
        <f>IF(DAY(AgoDom1)=1,AgoDom1+32,AgoDom1+39)</f>
        <v>41158</v>
      </c>
      <c r="J286" s="35"/>
      <c r="K286" s="42">
        <f>IF(DAY(AgoDom1)=1,AgoDom1+33,AgoDom1+40)</f>
        <v>41159</v>
      </c>
      <c r="L286" s="35"/>
      <c r="M286" s="42">
        <f>IF(DAY(AgoDom1)=1,AgoDom1+34,AgoDom1+41)</f>
        <v>41160</v>
      </c>
      <c r="N286" s="35"/>
      <c r="O286" s="42">
        <f>IF(DAY(AgoDom1)=1,AgoDom1+35,AgoDom1+42)</f>
        <v>41161</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tr">
        <f>TEXT(DATE(CalendárioAnual,9,1),"mmmm")</f>
        <v>setembro</v>
      </c>
      <c r="B290" s="62"/>
      <c r="C290" s="62"/>
      <c r="D290" s="62"/>
      <c r="E290" s="62"/>
      <c r="F290" s="62"/>
      <c r="G290" s="62"/>
      <c r="H290" s="13"/>
      <c r="I290" s="4"/>
      <c r="J290" s="4"/>
      <c r="L290" s="60">
        <f>CalendárioAnual</f>
        <v>2012</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0</v>
      </c>
      <c r="C306" s="61"/>
      <c r="D306" s="61" t="s">
        <v>1</v>
      </c>
      <c r="E306" s="61"/>
      <c r="F306" s="61" t="s">
        <v>2</v>
      </c>
      <c r="G306" s="61"/>
      <c r="H306" s="61" t="s">
        <v>3</v>
      </c>
      <c r="I306" s="61"/>
      <c r="J306" s="61" t="s">
        <v>4</v>
      </c>
      <c r="K306" s="61"/>
      <c r="L306" s="61" t="s">
        <v>5</v>
      </c>
      <c r="M306" s="61"/>
      <c r="N306" s="61" t="s">
        <v>6</v>
      </c>
      <c r="O306" s="61"/>
      <c r="P306" s="15"/>
      <c r="Q306" s="8"/>
      <c r="U306" s="15"/>
      <c r="V306" s="15"/>
    </row>
    <row r="307" spans="1:22" s="9" customFormat="1" ht="16.5" customHeight="1" x14ac:dyDescent="0.25">
      <c r="B307" s="30"/>
      <c r="C307" s="24">
        <f>IF(DAY(SetDom1)=1,SetDom1-6,SetDom1+1)</f>
        <v>41148</v>
      </c>
      <c r="D307" s="31"/>
      <c r="E307" s="24">
        <f>IF(DAY(SetDom1)=1,SetDom1-5,SetDom1+2)</f>
        <v>41149</v>
      </c>
      <c r="F307" s="31"/>
      <c r="G307" s="24">
        <f>IF(DAY(SetDom1)=1,SetDom1-4,SetDom1+3)</f>
        <v>41150</v>
      </c>
      <c r="H307" s="31"/>
      <c r="I307" s="24">
        <f>IF(DAY(SetDom1)=1,SetDom1-3,SetDom1+4)</f>
        <v>41151</v>
      </c>
      <c r="J307" s="31"/>
      <c r="K307" s="24">
        <f>IF(DAY(SetDom1)=1,SetDom1-2,SetDom1+5)</f>
        <v>41152</v>
      </c>
      <c r="L307" s="31"/>
      <c r="M307" s="24">
        <f>IF(DAY(SetDom1)=1,SetDom1-1,SetDom1+6)</f>
        <v>41153</v>
      </c>
      <c r="N307" s="31"/>
      <c r="O307" s="24">
        <f>IF(DAY(SetDom1)=1,SetDom1,SetDom1+7)</f>
        <v>41154</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IF(DAY(SetDom1)=1,SetDom1+1,SetDom1+8)</f>
        <v>41155</v>
      </c>
      <c r="D310" s="31"/>
      <c r="E310" s="24">
        <f>IF(DAY(SetDom1)=1,SetDom1+2,SetDom1+9)</f>
        <v>41156</v>
      </c>
      <c r="F310" s="31"/>
      <c r="G310" s="24">
        <f>IF(DAY(SetDom1)=1,SetDom1+3,SetDom1+10)</f>
        <v>41157</v>
      </c>
      <c r="H310" s="31"/>
      <c r="I310" s="24">
        <f>IF(DAY(SetDom1)=1,SetDom1+4,SetDom1+11)</f>
        <v>41158</v>
      </c>
      <c r="J310" s="31"/>
      <c r="K310" s="24">
        <f>IF(DAY(SetDom1)=1,SetDom1+5,SetDom1+12)</f>
        <v>41159</v>
      </c>
      <c r="L310" s="31"/>
      <c r="M310" s="24">
        <f>IF(DAY(SetDom1)=1,SetDom1+6,SetDom1+13)</f>
        <v>41160</v>
      </c>
      <c r="N310" s="31"/>
      <c r="O310" s="24">
        <f>IF(DAY(SetDom1)=1,SetDom1+7,SetDom1+14)</f>
        <v>41161</v>
      </c>
    </row>
    <row r="311" spans="1:22" s="15" customFormat="1" ht="55.5" customHeight="1" x14ac:dyDescent="0.25">
      <c r="A311" s="6"/>
      <c r="B311" s="55"/>
      <c r="C311" s="56"/>
      <c r="D311" s="56"/>
      <c r="E311" s="56"/>
      <c r="F311" s="56"/>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IF(DAY(SetDom1)=1,SetDom1+8,SetDom1+15)</f>
        <v>41162</v>
      </c>
      <c r="D313" s="31"/>
      <c r="E313" s="24">
        <f>IF(DAY(SetDom1)=1,SetDom1+9,SetDom1+16)</f>
        <v>41163</v>
      </c>
      <c r="F313" s="31"/>
      <c r="G313" s="24">
        <f>IF(DAY(SetDom1)=1,SetDom1+10,SetDom1+17)</f>
        <v>41164</v>
      </c>
      <c r="H313" s="31"/>
      <c r="I313" s="24">
        <f>IF(DAY(SetDom1)=1,SetDom1+11,SetDom1+18)</f>
        <v>41165</v>
      </c>
      <c r="J313" s="31"/>
      <c r="K313" s="24">
        <f>IF(DAY(SetDom1)=1,SetDom1+12,SetDom1+19)</f>
        <v>41166</v>
      </c>
      <c r="L313" s="31"/>
      <c r="M313" s="24">
        <f>IF(DAY(SetDom1)=1,SetDom1+13,SetDom1+20)</f>
        <v>41167</v>
      </c>
      <c r="N313" s="31"/>
      <c r="O313" s="24">
        <f>IF(DAY(SetDom1)=1,SetDom1+14,SetDom1+21)</f>
        <v>41168</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IF(DAY(SetDom1)=1,SetDom1+15,SetDom1+22)</f>
        <v>41169</v>
      </c>
      <c r="D316" s="31"/>
      <c r="E316" s="24">
        <f>IF(DAY(SetDom1)=1,SetDom1+16,SetDom1+23)</f>
        <v>41170</v>
      </c>
      <c r="F316" s="31"/>
      <c r="G316" s="24">
        <f>IF(DAY(SetDom1)=1,SetDom1+17,SetDom1+24)</f>
        <v>41171</v>
      </c>
      <c r="H316" s="31"/>
      <c r="I316" s="24">
        <f>IF(DAY(SetDom1)=1,SetDom1+18,SetDom1+25)</f>
        <v>41172</v>
      </c>
      <c r="J316" s="31"/>
      <c r="K316" s="24">
        <f>IF(DAY(SetDom1)=1,SetDom1+19,SetDom1+26)</f>
        <v>41173</v>
      </c>
      <c r="L316" s="31"/>
      <c r="M316" s="24">
        <f>IF(DAY(SetDom1)=1,SetDom1+20,SetDom1+27)</f>
        <v>41174</v>
      </c>
      <c r="N316" s="31"/>
      <c r="O316" s="24">
        <f>IF(DAY(SetDom1)=1,SetDom1+21,SetDom1+28)</f>
        <v>41175</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IF(DAY(SetDom1)=1,SetDom1+22,SetDom1+29)</f>
        <v>41176</v>
      </c>
      <c r="D319" s="31"/>
      <c r="E319" s="24">
        <f>IF(DAY(SetDom1)=1,SetDom1+23,SetDom1+30)</f>
        <v>41177</v>
      </c>
      <c r="F319" s="31"/>
      <c r="G319" s="24">
        <f>IF(DAY(SetDom1)=1,SetDom1+24,SetDom1+31)</f>
        <v>41178</v>
      </c>
      <c r="H319" s="31"/>
      <c r="I319" s="24">
        <f>IF(DAY(SetDom1)=1,SetDom1+25,SetDom1+32)</f>
        <v>41179</v>
      </c>
      <c r="J319" s="31"/>
      <c r="K319" s="24">
        <f>IF(DAY(SetDom1)=1,SetDom1+26,SetDom1+33)</f>
        <v>41180</v>
      </c>
      <c r="L319" s="31"/>
      <c r="M319" s="24">
        <f>IF(DAY(SetDom1)=1,SetDom1+27,SetDom1+34)</f>
        <v>41181</v>
      </c>
      <c r="N319" s="31"/>
      <c r="O319" s="24">
        <f>IF(DAY(SetDom1)=1,SetDom1+28,SetDom1+35)</f>
        <v>41182</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IF(DAY(SetDom1)=1,SetDom1+29,SetDom1+36)</f>
        <v>41183</v>
      </c>
      <c r="D322" s="31"/>
      <c r="E322" s="24">
        <f>IF(DAY(SetDom1)=1,SetDom1+30,SetDom1+37)</f>
        <v>41184</v>
      </c>
      <c r="F322" s="31"/>
      <c r="G322" s="24">
        <f>IF(DAY(SetDom1)=1,SetDom1+31,SetDom1+38)</f>
        <v>41185</v>
      </c>
      <c r="H322" s="31"/>
      <c r="I322" s="24">
        <f>IF(DAY(SetDom1)=1,SetDom1+32,SetDom1+39)</f>
        <v>41186</v>
      </c>
      <c r="J322" s="31"/>
      <c r="K322" s="24">
        <f>IF(DAY(SetDom1)=1,SetDom1+33,SetDom1+40)</f>
        <v>41187</v>
      </c>
      <c r="L322" s="31"/>
      <c r="M322" s="24">
        <f>IF(DAY(SetDom1)=1,SetDom1+34,SetDom1+41)</f>
        <v>41188</v>
      </c>
      <c r="N322" s="31"/>
      <c r="O322" s="24">
        <f>IF(DAY(SetDom1)=1,SetDom1+35,SetDom1+42)</f>
        <v>41189</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tr">
        <f>TEXT(DATE(CalendárioAnual,10,1),"mmmm")</f>
        <v>outubro</v>
      </c>
      <c r="B326" s="62"/>
      <c r="C326" s="62"/>
      <c r="D326" s="62"/>
      <c r="E326" s="62"/>
      <c r="F326" s="62"/>
      <c r="G326" s="62"/>
      <c r="H326" s="13"/>
      <c r="I326" s="4"/>
      <c r="J326" s="4"/>
      <c r="L326" s="60">
        <f>CalendárioAnual</f>
        <v>2012</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0</v>
      </c>
      <c r="C342" s="61"/>
      <c r="D342" s="61" t="s">
        <v>1</v>
      </c>
      <c r="E342" s="61"/>
      <c r="F342" s="61" t="s">
        <v>2</v>
      </c>
      <c r="G342" s="61"/>
      <c r="H342" s="61" t="s">
        <v>3</v>
      </c>
      <c r="I342" s="61"/>
      <c r="J342" s="61" t="s">
        <v>4</v>
      </c>
      <c r="K342" s="61"/>
      <c r="L342" s="61" t="s">
        <v>5</v>
      </c>
      <c r="M342" s="61"/>
      <c r="N342" s="61" t="s">
        <v>6</v>
      </c>
      <c r="O342" s="61"/>
      <c r="P342" s="15"/>
      <c r="Q342" s="8"/>
      <c r="U342" s="15"/>
      <c r="V342" s="15"/>
    </row>
    <row r="343" spans="1:22" s="9" customFormat="1" ht="16.5" customHeight="1" x14ac:dyDescent="0.25">
      <c r="B343" s="30"/>
      <c r="C343" s="24">
        <f>IF(DAY(OutDom1)=1,OutDom1-6,OutDom1+1)</f>
        <v>41183</v>
      </c>
      <c r="D343" s="31"/>
      <c r="E343" s="24">
        <f>IF(DAY(OutDom1)=1,OutDom1-5,OutDom1+2)</f>
        <v>41184</v>
      </c>
      <c r="F343" s="31"/>
      <c r="G343" s="24">
        <f>IF(DAY(OutDom1)=1,OutDom1-4,OutDom1+3)</f>
        <v>41185</v>
      </c>
      <c r="H343" s="31"/>
      <c r="I343" s="24">
        <f>IF(DAY(OutDom1)=1,OutDom1-3,OutDom1+4)</f>
        <v>41186</v>
      </c>
      <c r="J343" s="31"/>
      <c r="K343" s="24">
        <f>IF(DAY(OutDom1)=1,OutDom1-2,OutDom1+5)</f>
        <v>41187</v>
      </c>
      <c r="L343" s="31"/>
      <c r="M343" s="24">
        <f>IF(DAY(OutDom1)=1,OutDom1-1,OutDom1+6)</f>
        <v>41188</v>
      </c>
      <c r="N343" s="31"/>
      <c r="O343" s="24">
        <f>IF(DAY(OutDom1)=1,OutDom1,OutDom1+7)</f>
        <v>41189</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IF(DAY(OutDom1)=1,OutDom1+1,OutDom1+8)</f>
        <v>41190</v>
      </c>
      <c r="D346" s="31"/>
      <c r="E346" s="24">
        <f>IF(DAY(OutDom1)=1,OutDom1+2,OutDom1+9)</f>
        <v>41191</v>
      </c>
      <c r="F346" s="31"/>
      <c r="G346" s="24">
        <f>IF(DAY(OutDom1)=1,OutDom1+3,OutDom1+10)</f>
        <v>41192</v>
      </c>
      <c r="H346" s="31"/>
      <c r="I346" s="24">
        <f>IF(DAY(OutDom1)=1,OutDom1+4,OutDom1+11)</f>
        <v>41193</v>
      </c>
      <c r="J346" s="31"/>
      <c r="K346" s="24">
        <f>IF(DAY(OutDom1)=1,OutDom1+5,OutDom1+12)</f>
        <v>41194</v>
      </c>
      <c r="L346" s="31"/>
      <c r="M346" s="24">
        <f>IF(DAY(OutDom1)=1,OutDom1+6,OutDom1+13)</f>
        <v>41195</v>
      </c>
      <c r="N346" s="31"/>
      <c r="O346" s="24">
        <f>IF(DAY(OutDom1)=1,OutDom1+7,OutDom1+14)</f>
        <v>41196</v>
      </c>
    </row>
    <row r="347" spans="1:22" s="15" customFormat="1" ht="55.5" customHeight="1" x14ac:dyDescent="0.25">
      <c r="A347" s="6"/>
      <c r="B347" s="55"/>
      <c r="C347" s="56"/>
      <c r="D347" s="56"/>
      <c r="E347" s="56"/>
      <c r="F347" s="56"/>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IF(DAY(OutDom1)=1,OutDom1+8,OutDom1+15)</f>
        <v>41197</v>
      </c>
      <c r="D349" s="31"/>
      <c r="E349" s="24">
        <f>IF(DAY(OutDom1)=1,OutDom1+9,OutDom1+16)</f>
        <v>41198</v>
      </c>
      <c r="F349" s="31"/>
      <c r="G349" s="24">
        <f>IF(DAY(OutDom1)=1,OutDom1+10,OutDom1+17)</f>
        <v>41199</v>
      </c>
      <c r="H349" s="31"/>
      <c r="I349" s="24">
        <f>IF(DAY(OutDom1)=1,OutDom1+11,OutDom1+18)</f>
        <v>41200</v>
      </c>
      <c r="J349" s="31"/>
      <c r="K349" s="24">
        <f>IF(DAY(OutDom1)=1,OutDom1+12,OutDom1+19)</f>
        <v>41201</v>
      </c>
      <c r="L349" s="31"/>
      <c r="M349" s="24">
        <f>IF(DAY(OutDom1)=1,OutDom1+13,OutDom1+20)</f>
        <v>41202</v>
      </c>
      <c r="N349" s="31"/>
      <c r="O349" s="24">
        <f>IF(DAY(OutDom1)=1,OutDom1+14,OutDom1+21)</f>
        <v>41203</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IF(DAY(OutDom1)=1,OutDom1+15,OutDom1+22)</f>
        <v>41204</v>
      </c>
      <c r="D352" s="31"/>
      <c r="E352" s="24">
        <f>IF(DAY(OutDom1)=1,OutDom1+16,OutDom1+23)</f>
        <v>41205</v>
      </c>
      <c r="F352" s="31"/>
      <c r="G352" s="24">
        <f>IF(DAY(OutDom1)=1,OutDom1+17,OutDom1+24)</f>
        <v>41206</v>
      </c>
      <c r="H352" s="31"/>
      <c r="I352" s="24">
        <f>IF(DAY(OutDom1)=1,OutDom1+18,OutDom1+25)</f>
        <v>41207</v>
      </c>
      <c r="J352" s="31"/>
      <c r="K352" s="24">
        <f>IF(DAY(OutDom1)=1,OutDom1+19,OutDom1+26)</f>
        <v>41208</v>
      </c>
      <c r="L352" s="31"/>
      <c r="M352" s="24">
        <f>IF(DAY(OutDom1)=1,OutDom1+20,OutDom1+27)</f>
        <v>41209</v>
      </c>
      <c r="N352" s="31"/>
      <c r="O352" s="24">
        <f>IF(DAY(OutDom1)=1,OutDom1+21,OutDom1+28)</f>
        <v>41210</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IF(DAY(OutDom1)=1,OutDom1+22,OutDom1+29)</f>
        <v>41211</v>
      </c>
      <c r="D355" s="31"/>
      <c r="E355" s="24">
        <f>IF(DAY(OutDom1)=1,OutDom1+23,OutDom1+30)</f>
        <v>41212</v>
      </c>
      <c r="F355" s="31"/>
      <c r="G355" s="24">
        <f>IF(DAY(OutDom1)=1,OutDom1+24,OutDom1+31)</f>
        <v>41213</v>
      </c>
      <c r="H355" s="31"/>
      <c r="I355" s="24">
        <f>IF(DAY(OutDom1)=1,OutDom1+25,OutDom1+32)</f>
        <v>41214</v>
      </c>
      <c r="J355" s="31"/>
      <c r="K355" s="24">
        <f>IF(DAY(OutDom1)=1,OutDom1+26,OutDom1+33)</f>
        <v>41215</v>
      </c>
      <c r="L355" s="31"/>
      <c r="M355" s="24">
        <f>IF(DAY(OutDom1)=1,OutDom1+27,OutDom1+34)</f>
        <v>41216</v>
      </c>
      <c r="N355" s="31"/>
      <c r="O355" s="24">
        <f>IF(DAY(OutDom1)=1,OutDom1+28,OutDom1+35)</f>
        <v>41217</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IF(DAY(OutDom1)=1,OutDom1+29,OutDom1+36)</f>
        <v>41218</v>
      </c>
      <c r="D358" s="31"/>
      <c r="E358" s="24">
        <f>IF(DAY(OutDom1)=1,OutDom1+30,OutDom1+37)</f>
        <v>41219</v>
      </c>
      <c r="F358" s="31"/>
      <c r="G358" s="24">
        <f>IF(DAY(OutDom1)=1,OutDom1+31,OutDom1+38)</f>
        <v>41220</v>
      </c>
      <c r="H358" s="31"/>
      <c r="I358" s="24">
        <f>IF(DAY(OutDom1)=1,OutDom1+32,OutDom1+39)</f>
        <v>41221</v>
      </c>
      <c r="J358" s="31"/>
      <c r="K358" s="24">
        <f>IF(DAY(OutDom1)=1,OutDom1+33,OutDom1+40)</f>
        <v>41222</v>
      </c>
      <c r="L358" s="31"/>
      <c r="M358" s="24">
        <f>IF(DAY(OutDom1)=1,OutDom1+34,OutDom1+41)</f>
        <v>41223</v>
      </c>
      <c r="N358" s="31"/>
      <c r="O358" s="24">
        <f>IF(DAY(OutDom1)=1,OutDom1+35,OutDom1+42)</f>
        <v>41224</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tr">
        <f>TEXT(DATE(CalendárioAnual,11,1),"mmmm")</f>
        <v>novembro</v>
      </c>
      <c r="B362" s="62"/>
      <c r="C362" s="62"/>
      <c r="D362" s="62"/>
      <c r="E362" s="62"/>
      <c r="F362" s="62"/>
      <c r="G362" s="62"/>
      <c r="H362" s="13"/>
      <c r="I362" s="4"/>
      <c r="J362" s="4"/>
      <c r="L362" s="60">
        <f>CalendárioAnual</f>
        <v>2012</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0</v>
      </c>
      <c r="C378" s="61"/>
      <c r="D378" s="61" t="s">
        <v>1</v>
      </c>
      <c r="E378" s="61"/>
      <c r="F378" s="61" t="s">
        <v>2</v>
      </c>
      <c r="G378" s="61"/>
      <c r="H378" s="61" t="s">
        <v>3</v>
      </c>
      <c r="I378" s="61"/>
      <c r="J378" s="61" t="s">
        <v>4</v>
      </c>
      <c r="K378" s="61"/>
      <c r="L378" s="61" t="s">
        <v>5</v>
      </c>
      <c r="M378" s="61"/>
      <c r="N378" s="61" t="s">
        <v>6</v>
      </c>
      <c r="O378" s="61"/>
      <c r="P378" s="15"/>
      <c r="Q378" s="8"/>
      <c r="U378" s="15"/>
      <c r="V378" s="15"/>
    </row>
    <row r="379" spans="1:22" s="9" customFormat="1" ht="16.5" customHeight="1" x14ac:dyDescent="0.25">
      <c r="B379" s="30"/>
      <c r="C379" s="24">
        <f>IF(DAY(NovDom1)=1,NovDom1-6,NovDom1+1)</f>
        <v>41211</v>
      </c>
      <c r="D379" s="31"/>
      <c r="E379" s="24">
        <f>IF(DAY(NovDom1)=1,NovDom1-5,NovDom1+2)</f>
        <v>41212</v>
      </c>
      <c r="F379" s="31"/>
      <c r="G379" s="24">
        <f>IF(DAY(NovDom1)=1,NovDom1-4,NovDom1+3)</f>
        <v>41213</v>
      </c>
      <c r="H379" s="31"/>
      <c r="I379" s="24">
        <f>IF(DAY(NovDom1)=1,NovDom1-3,NovDom1+4)</f>
        <v>41214</v>
      </c>
      <c r="J379" s="31"/>
      <c r="K379" s="24">
        <f>IF(DAY(NovDom1)=1,NovDom1-2,NovDom1+5)</f>
        <v>41215</v>
      </c>
      <c r="L379" s="31"/>
      <c r="M379" s="24">
        <f>IF(DAY(NovDom1)=1,NovDom1-1,NovDom1+6)</f>
        <v>41216</v>
      </c>
      <c r="N379" s="31"/>
      <c r="O379" s="24">
        <f>IF(DAY(NovDom1)=1,NovDom1,NovDom1+7)</f>
        <v>41217</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IF(DAY(NovDom1)=1,NovDom1+1,NovDom1+8)</f>
        <v>41218</v>
      </c>
      <c r="D382" s="31"/>
      <c r="E382" s="24">
        <f>IF(DAY(NovDom1)=1,NovDom1+2,NovDom1+9)</f>
        <v>41219</v>
      </c>
      <c r="F382" s="31"/>
      <c r="G382" s="24">
        <f>IF(DAY(NovDom1)=1,NovDom1+3,NovDom1+10)</f>
        <v>41220</v>
      </c>
      <c r="H382" s="31"/>
      <c r="I382" s="24">
        <f>IF(DAY(NovDom1)=1,NovDom1+4,NovDom1+11)</f>
        <v>41221</v>
      </c>
      <c r="J382" s="31"/>
      <c r="K382" s="24">
        <f>IF(DAY(NovDom1)=1,NovDom1+5,NovDom1+12)</f>
        <v>41222</v>
      </c>
      <c r="L382" s="31"/>
      <c r="M382" s="24">
        <f>IF(DAY(NovDom1)=1,NovDom1+6,NovDom1+13)</f>
        <v>41223</v>
      </c>
      <c r="N382" s="31"/>
      <c r="O382" s="24">
        <f>IF(DAY(NovDom1)=1,NovDom1+7,NovDom1+14)</f>
        <v>41224</v>
      </c>
    </row>
    <row r="383" spans="1:22" s="15" customFormat="1" ht="55.5" customHeight="1" x14ac:dyDescent="0.25">
      <c r="A383" s="6"/>
      <c r="B383" s="55"/>
      <c r="C383" s="56"/>
      <c r="D383" s="56"/>
      <c r="E383" s="56"/>
      <c r="F383" s="56"/>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IF(DAY(NovDom1)=1,NovDom1+8,NovDom1+15)</f>
        <v>41225</v>
      </c>
      <c r="D385" s="31"/>
      <c r="E385" s="24">
        <f>IF(DAY(NovDom1)=1,NovDom1+9,NovDom1+16)</f>
        <v>41226</v>
      </c>
      <c r="F385" s="31"/>
      <c r="G385" s="24">
        <f>IF(DAY(NovDom1)=1,NovDom1+10,NovDom1+17)</f>
        <v>41227</v>
      </c>
      <c r="H385" s="31"/>
      <c r="I385" s="24">
        <f>IF(DAY(NovDom1)=1,NovDom1+11,NovDom1+18)</f>
        <v>41228</v>
      </c>
      <c r="J385" s="31"/>
      <c r="K385" s="24">
        <f>IF(DAY(NovDom1)=1,NovDom1+12,NovDom1+19)</f>
        <v>41229</v>
      </c>
      <c r="L385" s="31"/>
      <c r="M385" s="24">
        <f>IF(DAY(NovDom1)=1,NovDom1+13,NovDom1+20)</f>
        <v>41230</v>
      </c>
      <c r="N385" s="31"/>
      <c r="O385" s="24">
        <f>IF(DAY(NovDom1)=1,NovDom1+14,NovDom1+21)</f>
        <v>41231</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IF(DAY(NovDom1)=1,NovDom1+15,NovDom1+22)</f>
        <v>41232</v>
      </c>
      <c r="D388" s="31"/>
      <c r="E388" s="24">
        <f>IF(DAY(NovDom1)=1,NovDom1+16,NovDom1+23)</f>
        <v>41233</v>
      </c>
      <c r="F388" s="31"/>
      <c r="G388" s="24">
        <f>IF(DAY(NovDom1)=1,NovDom1+17,NovDom1+24)</f>
        <v>41234</v>
      </c>
      <c r="H388" s="31"/>
      <c r="I388" s="24">
        <f>IF(DAY(NovDom1)=1,NovDom1+18,NovDom1+25)</f>
        <v>41235</v>
      </c>
      <c r="J388" s="31"/>
      <c r="K388" s="24">
        <f>IF(DAY(NovDom1)=1,NovDom1+19,NovDom1+26)</f>
        <v>41236</v>
      </c>
      <c r="L388" s="31"/>
      <c r="M388" s="24">
        <f>IF(DAY(NovDom1)=1,NovDom1+20,NovDom1+27)</f>
        <v>41237</v>
      </c>
      <c r="N388" s="31"/>
      <c r="O388" s="24">
        <f>IF(DAY(NovDom1)=1,NovDom1+21,NovDom1+28)</f>
        <v>41238</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IF(DAY(NovDom1)=1,NovDom1+22,NovDom1+29)</f>
        <v>41239</v>
      </c>
      <c r="D391" s="31"/>
      <c r="E391" s="24">
        <f>IF(DAY(NovDom1)=1,NovDom1+23,NovDom1+30)</f>
        <v>41240</v>
      </c>
      <c r="F391" s="31"/>
      <c r="G391" s="24">
        <f>IF(DAY(NovDom1)=1,NovDom1+24,NovDom1+31)</f>
        <v>41241</v>
      </c>
      <c r="H391" s="31"/>
      <c r="I391" s="24">
        <f>IF(DAY(NovDom1)=1,NovDom1+25,NovDom1+32)</f>
        <v>41242</v>
      </c>
      <c r="J391" s="31"/>
      <c r="K391" s="24">
        <f>IF(DAY(NovDom1)=1,NovDom1+26,NovDom1+33)</f>
        <v>41243</v>
      </c>
      <c r="L391" s="31"/>
      <c r="M391" s="24">
        <f>IF(DAY(NovDom1)=1,NovDom1+27,NovDom1+34)</f>
        <v>41244</v>
      </c>
      <c r="N391" s="31"/>
      <c r="O391" s="24">
        <f>IF(DAY(NovDom1)=1,NovDom1+28,NovDom1+35)</f>
        <v>41245</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IF(DAY(NovDom1)=1,NovDom1+29,NovDom1+36)</f>
        <v>41246</v>
      </c>
      <c r="D394" s="31"/>
      <c r="E394" s="24">
        <f>IF(DAY(NovDom1)=1,NovDom1+30,NovDom1+37)</f>
        <v>41247</v>
      </c>
      <c r="F394" s="31"/>
      <c r="G394" s="24">
        <f>IF(DAY(NovDom1)=1,NovDom1+31,NovDom1+38)</f>
        <v>41248</v>
      </c>
      <c r="H394" s="31"/>
      <c r="I394" s="24">
        <f>IF(DAY(NovDom1)=1,NovDom1+32,NovDom1+39)</f>
        <v>41249</v>
      </c>
      <c r="J394" s="31"/>
      <c r="K394" s="24">
        <f>IF(DAY(NovDom1)=1,NovDom1+33,NovDom1+40)</f>
        <v>41250</v>
      </c>
      <c r="L394" s="31"/>
      <c r="M394" s="24">
        <f>IF(DAY(NovDom1)=1,NovDom1+34,NovDom1+41)</f>
        <v>41251</v>
      </c>
      <c r="N394" s="31"/>
      <c r="O394" s="24">
        <f>IF(DAY(NovDom1)=1,NovDom1+35,NovDom1+42)</f>
        <v>41252</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tr">
        <f>TEXT(DATE(CalendárioAnual,12,1),"mmmm")</f>
        <v>dezembro</v>
      </c>
      <c r="B398" s="54"/>
      <c r="C398" s="54"/>
      <c r="D398" s="54"/>
      <c r="E398" s="54"/>
      <c r="F398" s="54"/>
      <c r="G398" s="54"/>
      <c r="H398" s="13"/>
      <c r="I398" s="4"/>
      <c r="J398" s="4"/>
      <c r="L398" s="52">
        <f>CalendárioAnual</f>
        <v>2012</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0</v>
      </c>
      <c r="C414" s="50"/>
      <c r="D414" s="49" t="s">
        <v>1</v>
      </c>
      <c r="E414" s="49"/>
      <c r="F414" s="49" t="s">
        <v>2</v>
      </c>
      <c r="G414" s="49"/>
      <c r="H414" s="49" t="s">
        <v>3</v>
      </c>
      <c r="I414" s="49"/>
      <c r="J414" s="49" t="s">
        <v>4</v>
      </c>
      <c r="K414" s="49"/>
      <c r="L414" s="49" t="s">
        <v>5</v>
      </c>
      <c r="M414" s="49"/>
      <c r="N414" s="49" t="s">
        <v>6</v>
      </c>
      <c r="O414" s="49"/>
      <c r="P414" s="15"/>
      <c r="Q414" s="8"/>
      <c r="U414" s="15"/>
      <c r="V414" s="15"/>
    </row>
    <row r="415" spans="1:22" s="9" customFormat="1" ht="16.5" customHeight="1" x14ac:dyDescent="0.25">
      <c r="B415" s="26"/>
      <c r="C415" s="19">
        <f>IF(DAY(DezDom1)=1,DezDom1-6,DezDom1+1)</f>
        <v>41239</v>
      </c>
      <c r="D415" s="27"/>
      <c r="E415" s="19">
        <f>IF(DAY(DezDom1)=1,DezDom1-5,DezDom1+2)</f>
        <v>41240</v>
      </c>
      <c r="F415" s="27"/>
      <c r="G415" s="19">
        <f>IF(DAY(DezDom1)=1,DezDom1-4,DezDom1+3)</f>
        <v>41241</v>
      </c>
      <c r="H415" s="27"/>
      <c r="I415" s="19">
        <f>IF(DAY(DezDom1)=1,DezDom1-3,DezDom1+4)</f>
        <v>41242</v>
      </c>
      <c r="J415" s="27"/>
      <c r="K415" s="19">
        <f>IF(DAY(DezDom1)=1,DezDom1-2,DezDom1+5)</f>
        <v>41243</v>
      </c>
      <c r="L415" s="27"/>
      <c r="M415" s="19">
        <f>IF(DAY(DezDom1)=1,DezDom1-1,DezDom1+6)</f>
        <v>41244</v>
      </c>
      <c r="N415" s="27"/>
      <c r="O415" s="19">
        <f>IF(DAY(DezDom1)=1,DezDom1,DezDom1+7)</f>
        <v>41245</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IF(DAY(DezDom1)=1,DezDom1+1,DezDom1+8)</f>
        <v>41246</v>
      </c>
      <c r="D418" s="27"/>
      <c r="E418" s="19">
        <f>IF(DAY(DezDom1)=1,DezDom1+2,DezDom1+9)</f>
        <v>41247</v>
      </c>
      <c r="F418" s="27"/>
      <c r="G418" s="19">
        <f>IF(DAY(DezDom1)=1,DezDom1+3,DezDom1+10)</f>
        <v>41248</v>
      </c>
      <c r="H418" s="27"/>
      <c r="I418" s="19">
        <f>IF(DAY(DezDom1)=1,DezDom1+4,DezDom1+11)</f>
        <v>41249</v>
      </c>
      <c r="J418" s="27"/>
      <c r="K418" s="19">
        <f>IF(DAY(DezDom1)=1,DezDom1+5,DezDom1+12)</f>
        <v>41250</v>
      </c>
      <c r="L418" s="27"/>
      <c r="M418" s="19">
        <f>IF(DAY(DezDom1)=1,DezDom1+6,DezDom1+13)</f>
        <v>41251</v>
      </c>
      <c r="N418" s="27"/>
      <c r="O418" s="20">
        <f>IF(DAY(DezDom1)=1,DezDom1+7,DezDom1+14)</f>
        <v>41252</v>
      </c>
    </row>
    <row r="419" spans="1:15" s="15" customFormat="1" ht="55.5" customHeight="1" x14ac:dyDescent="0.25">
      <c r="A419" s="6"/>
      <c r="B419" s="44"/>
      <c r="C419" s="45"/>
      <c r="D419" s="45"/>
      <c r="E419" s="45"/>
      <c r="F419" s="45"/>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IF(DAY(DezDom1)=1,DezDom1+8,DezDom1+15)</f>
        <v>41253</v>
      </c>
      <c r="D421" s="27"/>
      <c r="E421" s="19">
        <f>IF(DAY(DezDom1)=1,DezDom1+9,DezDom1+16)</f>
        <v>41254</v>
      </c>
      <c r="F421" s="27"/>
      <c r="G421" s="19">
        <f>IF(DAY(DezDom1)=1,DezDom1+10,DezDom1+17)</f>
        <v>41255</v>
      </c>
      <c r="H421" s="27"/>
      <c r="I421" s="19">
        <f>IF(DAY(DezDom1)=1,DezDom1+11,DezDom1+18)</f>
        <v>41256</v>
      </c>
      <c r="J421" s="27"/>
      <c r="K421" s="19">
        <f>IF(DAY(DezDom1)=1,DezDom1+12,DezDom1+19)</f>
        <v>41257</v>
      </c>
      <c r="L421" s="27"/>
      <c r="M421" s="19">
        <f>IF(DAY(DezDom1)=1,DezDom1+13,DezDom1+20)</f>
        <v>41258</v>
      </c>
      <c r="N421" s="27"/>
      <c r="O421" s="19">
        <f>IF(DAY(DezDom1)=1,DezDom1+14,DezDom1+21)</f>
        <v>41259</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IF(DAY(DezDom1)=1,DezDom1+15,DezDom1+22)</f>
        <v>41260</v>
      </c>
      <c r="D424" s="27"/>
      <c r="E424" s="19">
        <f>IF(DAY(DezDom1)=1,DezDom1+16,DezDom1+23)</f>
        <v>41261</v>
      </c>
      <c r="F424" s="27"/>
      <c r="G424" s="19">
        <f>IF(DAY(DezDom1)=1,DezDom1+17,DezDom1+24)</f>
        <v>41262</v>
      </c>
      <c r="H424" s="27"/>
      <c r="I424" s="19">
        <f>IF(DAY(DezDom1)=1,DezDom1+18,DezDom1+25)</f>
        <v>41263</v>
      </c>
      <c r="J424" s="27"/>
      <c r="K424" s="19">
        <f>IF(DAY(DezDom1)=1,DezDom1+19,DezDom1+26)</f>
        <v>41264</v>
      </c>
      <c r="L424" s="27"/>
      <c r="M424" s="19">
        <f>IF(DAY(DezDom1)=1,DezDom1+20,DezDom1+27)</f>
        <v>41265</v>
      </c>
      <c r="N424" s="27"/>
      <c r="O424" s="19">
        <f>IF(DAY(DezDom1)=1,DezDom1+21,DezDom1+28)</f>
        <v>41266</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IF(DAY(DezDom1)=1,DezDom1+22,DezDom1+29)</f>
        <v>41267</v>
      </c>
      <c r="D427" s="27"/>
      <c r="E427" s="19">
        <f>IF(DAY(DezDom1)=1,DezDom1+23,DezDom1+30)</f>
        <v>41268</v>
      </c>
      <c r="F427" s="27"/>
      <c r="G427" s="19">
        <f>IF(DAY(DezDom1)=1,DezDom1+24,DezDom1+31)</f>
        <v>41269</v>
      </c>
      <c r="H427" s="27"/>
      <c r="I427" s="19">
        <f>IF(DAY(DezDom1)=1,DezDom1+25,DezDom1+32)</f>
        <v>41270</v>
      </c>
      <c r="J427" s="27"/>
      <c r="K427" s="19">
        <f>IF(DAY(DezDom1)=1,DezDom1+26,DezDom1+33)</f>
        <v>41271</v>
      </c>
      <c r="L427" s="27"/>
      <c r="M427" s="19">
        <f>IF(DAY(DezDom1)=1,DezDom1+27,DezDom1+34)</f>
        <v>41272</v>
      </c>
      <c r="N427" s="27"/>
      <c r="O427" s="19">
        <f>IF(DAY(DezDom1)=1,DezDom1+28,DezDom1+35)</f>
        <v>41273</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IF(DAY(DezDom1)=1,DezDom1+29,DezDom1+36)</f>
        <v>41274</v>
      </c>
      <c r="D430" s="27"/>
      <c r="E430" s="19">
        <f>IF(DAY(DezDom1)=1,DezDom1+30,DezDom1+37)</f>
        <v>41275</v>
      </c>
      <c r="F430" s="27"/>
      <c r="G430" s="19">
        <f>IF(DAY(DezDom1)=1,DezDom1+31,DezDom1+38)</f>
        <v>41276</v>
      </c>
      <c r="H430" s="27"/>
      <c r="I430" s="19">
        <f>IF(DAY(DezDom1)=1,DezDom1+32,DezDom1+39)</f>
        <v>41277</v>
      </c>
      <c r="J430" s="28"/>
      <c r="K430" s="19">
        <f>IF(DAY(DezDom1)=1,DezDom1+33,DezDom1+40)</f>
        <v>41278</v>
      </c>
      <c r="L430" s="27"/>
      <c r="M430" s="19">
        <f>IF(DAY(DezDom1)=1,DezDom1+34,DezDom1+41)</f>
        <v>41279</v>
      </c>
      <c r="N430" s="27"/>
      <c r="O430" s="19">
        <f>IF(DAY(DezDom1)=1,DezDom1+35,DezDom1+42)</f>
        <v>41280</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o Giratório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5EB5FCBB1E5ECD4D83FA6E62BA4F98FF04003B76559807ED7042AFCC9CD6E0E16B7A" ma:contentTypeVersion="56" ma:contentTypeDescription="Create a new document." ma:contentTypeScope="" ma:versionID="1bb8166288bc6583df760821a8465e9a">
  <xsd:schema xmlns:xsd="http://www.w3.org/2001/XMLSchema" xmlns:xs="http://www.w3.org/2001/XMLSchema" xmlns:p="http://schemas.microsoft.com/office/2006/metadata/properties" xmlns:ns2="8289c1ac-6532-4c62-99f0-6d047703163c" targetNamespace="http://schemas.microsoft.com/office/2006/metadata/properties" ma:root="true" ma:fieldsID="72dad6d391a7c203314e0cd163637bed" ns2:_="">
    <xsd:import namespace="8289c1ac-6532-4c62-99f0-6d047703163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9c1ac-6532-4c62-99f0-6d047703163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bdf52740-a1d7-4610-92ff-f21b5e9dc0f6}"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96D3B97A-7091-4962-A628-1341EA054D1C}" ma:internalName="CSXSubmissionMarket" ma:readOnly="false" ma:showField="MarketName" ma:web="8289c1ac-6532-4c62-99f0-6d047703163c">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b1724e4d-c2fd-4cce-a4dc-25a6fb8b18d0}"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A3699821-3E8B-4D34-8D50-9149D36CA131}" ma:internalName="InProjectListLookup" ma:readOnly="true" ma:showField="InProjectList"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cedb78af-5ed4-499f-9639-632dc4fda4cc}"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A3699821-3E8B-4D34-8D50-9149D36CA131}" ma:internalName="LastCompleteVersionLookup" ma:readOnly="true" ma:showField="LastCompleteVersion"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A3699821-3E8B-4D34-8D50-9149D36CA131}" ma:internalName="LastPreviewErrorLookup" ma:readOnly="true" ma:showField="LastPreviewError"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A3699821-3E8B-4D34-8D50-9149D36CA131}" ma:internalName="LastPreviewResultLookup" ma:readOnly="true" ma:showField="LastPreviewResult"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A3699821-3E8B-4D34-8D50-9149D36CA131}" ma:internalName="LastPreviewAttemptDateLookup" ma:readOnly="true" ma:showField="LastPreviewAttemptDate"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A3699821-3E8B-4D34-8D50-9149D36CA131}" ma:internalName="LastPreviewedByLookup" ma:readOnly="true" ma:showField="LastPreviewedBy"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A3699821-3E8B-4D34-8D50-9149D36CA131}" ma:internalName="LastPreviewTimeLookup" ma:readOnly="true" ma:showField="LastPreviewTime"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A3699821-3E8B-4D34-8D50-9149D36CA131}" ma:internalName="LastPreviewVersionLookup" ma:readOnly="true" ma:showField="LastPreviewVersion"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A3699821-3E8B-4D34-8D50-9149D36CA131}" ma:internalName="LastPublishErrorLookup" ma:readOnly="true" ma:showField="LastPublishError"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A3699821-3E8B-4D34-8D50-9149D36CA131}" ma:internalName="LastPublishResultLookup" ma:readOnly="true" ma:showField="LastPublishResult"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A3699821-3E8B-4D34-8D50-9149D36CA131}" ma:internalName="LastPublishAttemptDateLookup" ma:readOnly="true" ma:showField="LastPublishAttemptDate"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A3699821-3E8B-4D34-8D50-9149D36CA131}" ma:internalName="LastPublishedByLookup" ma:readOnly="true" ma:showField="LastPublishedBy"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A3699821-3E8B-4D34-8D50-9149D36CA131}" ma:internalName="LastPublishTimeLookup" ma:readOnly="true" ma:showField="LastPublishTime"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A3699821-3E8B-4D34-8D50-9149D36CA131}" ma:internalName="LastPublishVersionLookup" ma:readOnly="true" ma:showField="LastPublishVersion"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D2B51FE6-7DF0-4C74-A55C-454F0900EEA3}" ma:internalName="LocLastLocAttemptVersionLookup" ma:readOnly="false" ma:showField="LastLocAttemptVersion" ma:web="8289c1ac-6532-4c62-99f0-6d047703163c">
      <xsd:simpleType>
        <xsd:restriction base="dms:Lookup"/>
      </xsd:simpleType>
    </xsd:element>
    <xsd:element name="LocLastLocAttemptVersionTypeLookup" ma:index="71" nillable="true" ma:displayName="Loc Last Loc Attempt Version Type" ma:default="" ma:list="{D2B51FE6-7DF0-4C74-A55C-454F0900EEA3}" ma:internalName="LocLastLocAttemptVersionTypeLookup" ma:readOnly="true" ma:showField="LastLocAttemptVersionType" ma:web="8289c1ac-6532-4c62-99f0-6d047703163c">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D2B51FE6-7DF0-4C74-A55C-454F0900EEA3}" ma:internalName="LocNewPublishedVersionLookup" ma:readOnly="true" ma:showField="NewPublishedVersion" ma:web="8289c1ac-6532-4c62-99f0-6d047703163c">
      <xsd:simpleType>
        <xsd:restriction base="dms:Lookup"/>
      </xsd:simpleType>
    </xsd:element>
    <xsd:element name="LocOverallHandbackStatusLookup" ma:index="75" nillable="true" ma:displayName="Loc Overall Handback Status" ma:default="" ma:list="{D2B51FE6-7DF0-4C74-A55C-454F0900EEA3}" ma:internalName="LocOverallHandbackStatusLookup" ma:readOnly="true" ma:showField="OverallHandbackStatus" ma:web="8289c1ac-6532-4c62-99f0-6d047703163c">
      <xsd:simpleType>
        <xsd:restriction base="dms:Lookup"/>
      </xsd:simpleType>
    </xsd:element>
    <xsd:element name="LocOverallLocStatusLookup" ma:index="76" nillable="true" ma:displayName="Loc Overall Localize Status" ma:default="" ma:list="{D2B51FE6-7DF0-4C74-A55C-454F0900EEA3}" ma:internalName="LocOverallLocStatusLookup" ma:readOnly="true" ma:showField="OverallLocStatus" ma:web="8289c1ac-6532-4c62-99f0-6d047703163c">
      <xsd:simpleType>
        <xsd:restriction base="dms:Lookup"/>
      </xsd:simpleType>
    </xsd:element>
    <xsd:element name="LocOverallPreviewStatusLookup" ma:index="77" nillable="true" ma:displayName="Loc Overall Preview Status" ma:default="" ma:list="{D2B51FE6-7DF0-4C74-A55C-454F0900EEA3}" ma:internalName="LocOverallPreviewStatusLookup" ma:readOnly="true" ma:showField="OverallPreviewStatus" ma:web="8289c1ac-6532-4c62-99f0-6d047703163c">
      <xsd:simpleType>
        <xsd:restriction base="dms:Lookup"/>
      </xsd:simpleType>
    </xsd:element>
    <xsd:element name="LocOverallPublishStatusLookup" ma:index="78" nillable="true" ma:displayName="Loc Overall Publish Status" ma:default="" ma:list="{D2B51FE6-7DF0-4C74-A55C-454F0900EEA3}" ma:internalName="LocOverallPublishStatusLookup" ma:readOnly="true" ma:showField="OverallPublishStatus" ma:web="8289c1ac-6532-4c62-99f0-6d047703163c">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D2B51FE6-7DF0-4C74-A55C-454F0900EEA3}" ma:internalName="LocProcessedForHandoffsLookup" ma:readOnly="true" ma:showField="ProcessedForHandoffs" ma:web="8289c1ac-6532-4c62-99f0-6d047703163c">
      <xsd:simpleType>
        <xsd:restriction base="dms:Lookup"/>
      </xsd:simpleType>
    </xsd:element>
    <xsd:element name="LocProcessedForMarketsLookup" ma:index="81" nillable="true" ma:displayName="Loc Processed For Markets" ma:default="" ma:list="{D2B51FE6-7DF0-4C74-A55C-454F0900EEA3}" ma:internalName="LocProcessedForMarketsLookup" ma:readOnly="true" ma:showField="ProcessedForMarkets" ma:web="8289c1ac-6532-4c62-99f0-6d047703163c">
      <xsd:simpleType>
        <xsd:restriction base="dms:Lookup"/>
      </xsd:simpleType>
    </xsd:element>
    <xsd:element name="LocPublishedDependentAssetsLookup" ma:index="82" nillable="true" ma:displayName="Loc Published Dependent Assets" ma:default="" ma:list="{D2B51FE6-7DF0-4C74-A55C-454F0900EEA3}" ma:internalName="LocPublishedDependentAssetsLookup" ma:readOnly="true" ma:showField="PublishedDependentAssets" ma:web="8289c1ac-6532-4c62-99f0-6d047703163c">
      <xsd:simpleType>
        <xsd:restriction base="dms:Lookup"/>
      </xsd:simpleType>
    </xsd:element>
    <xsd:element name="LocPublishedLinkedAssetsLookup" ma:index="83" nillable="true" ma:displayName="Loc Published Linked Assets" ma:default="" ma:list="{D2B51FE6-7DF0-4C74-A55C-454F0900EEA3}" ma:internalName="LocPublishedLinkedAssetsLookup" ma:readOnly="true" ma:showField="PublishedLinkedAssets" ma:web="8289c1ac-6532-4c62-99f0-6d047703163c">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bfba7468-1461-4c33-b276-c6b0f11e56ac}"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96D3B97A-7091-4962-A628-1341EA054D1C}" ma:internalName="Markets" ma:readOnly="false" ma:showField="MarketName"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A3699821-3E8B-4D34-8D50-9149D36CA131}" ma:internalName="NumOfRatingsLookup" ma:readOnly="true" ma:showField="NumOfRatings"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A3699821-3E8B-4D34-8D50-9149D36CA131}" ma:internalName="PublishStatusLookup" ma:readOnly="false" ma:showField="PublishStatus"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7d04b479-8c6f-495c-aa6e-33bcaa9037bb}"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2877ee78-c716-4f0a-ba73-cc9f8391e772}" ma:internalName="TaxCatchAll" ma:showField="CatchAllData"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2877ee78-c716-4f0a-ba73-cc9f8391e772}" ma:internalName="TaxCatchAllLabel" ma:readOnly="true" ma:showField="CatchAllDataLabel" ma:web="8289c1ac-6532-4c62-99f0-6d047703163c">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Description xmlns="8289c1ac-6532-4c62-99f0-6d047703163c" xsi:nil="true"/>
    <AssetExpire xmlns="8289c1ac-6532-4c62-99f0-6d047703163c">2029-01-01T08:00:00+00:00</AssetExpire>
    <CampaignTagsTaxHTField0 xmlns="8289c1ac-6532-4c62-99f0-6d047703163c">
      <Terms xmlns="http://schemas.microsoft.com/office/infopath/2007/PartnerControls"/>
    </CampaignTagsTaxHTField0>
    <IntlLangReviewDate xmlns="8289c1ac-6532-4c62-99f0-6d047703163c" xsi:nil="true"/>
    <TPFriendlyName xmlns="8289c1ac-6532-4c62-99f0-6d047703163c" xsi:nil="true"/>
    <IntlLangReview xmlns="8289c1ac-6532-4c62-99f0-6d047703163c">false</IntlLangReview>
    <LocLastLocAttemptVersionLookup xmlns="8289c1ac-6532-4c62-99f0-6d047703163c">848670</LocLastLocAttemptVersionLookup>
    <PolicheckWords xmlns="8289c1ac-6532-4c62-99f0-6d047703163c" xsi:nil="true"/>
    <SubmitterId xmlns="8289c1ac-6532-4c62-99f0-6d047703163c" xsi:nil="true"/>
    <AcquiredFrom xmlns="8289c1ac-6532-4c62-99f0-6d047703163c">Internal MS</AcquiredFrom>
    <EditorialStatus xmlns="8289c1ac-6532-4c62-99f0-6d047703163c">Complete</EditorialStatus>
    <Markets xmlns="8289c1ac-6532-4c62-99f0-6d047703163c"/>
    <OriginAsset xmlns="8289c1ac-6532-4c62-99f0-6d047703163c" xsi:nil="true"/>
    <AssetStart xmlns="8289c1ac-6532-4c62-99f0-6d047703163c">2012-07-27T02:43:00+00:00</AssetStart>
    <FriendlyTitle xmlns="8289c1ac-6532-4c62-99f0-6d047703163c" xsi:nil="true"/>
    <MarketSpecific xmlns="8289c1ac-6532-4c62-99f0-6d047703163c">false</MarketSpecific>
    <TPNamespace xmlns="8289c1ac-6532-4c62-99f0-6d047703163c" xsi:nil="true"/>
    <PublishStatusLookup xmlns="8289c1ac-6532-4c62-99f0-6d047703163c">
      <Value>332618</Value>
    </PublishStatusLookup>
    <APAuthor xmlns="8289c1ac-6532-4c62-99f0-6d047703163c">
      <UserInfo>
        <DisplayName>REDMOND\v-sa</DisplayName>
        <AccountId>2467</AccountId>
        <AccountType/>
      </UserInfo>
    </APAuthor>
    <TPCommandLine xmlns="8289c1ac-6532-4c62-99f0-6d047703163c" xsi:nil="true"/>
    <IntlLangReviewer xmlns="8289c1ac-6532-4c62-99f0-6d047703163c" xsi:nil="true"/>
    <OpenTemplate xmlns="8289c1ac-6532-4c62-99f0-6d047703163c">true</OpenTemplate>
    <CSXSubmissionDate xmlns="8289c1ac-6532-4c62-99f0-6d047703163c" xsi:nil="true"/>
    <TaxCatchAll xmlns="8289c1ac-6532-4c62-99f0-6d047703163c"/>
    <Manager xmlns="8289c1ac-6532-4c62-99f0-6d047703163c" xsi:nil="true"/>
    <NumericId xmlns="8289c1ac-6532-4c62-99f0-6d047703163c" xsi:nil="true"/>
    <ParentAssetId xmlns="8289c1ac-6532-4c62-99f0-6d047703163c" xsi:nil="true"/>
    <OriginalSourceMarket xmlns="8289c1ac-6532-4c62-99f0-6d047703163c">english</OriginalSourceMarket>
    <ApprovalStatus xmlns="8289c1ac-6532-4c62-99f0-6d047703163c">InProgress</ApprovalStatus>
    <TPComponent xmlns="8289c1ac-6532-4c62-99f0-6d047703163c" xsi:nil="true"/>
    <EditorialTags xmlns="8289c1ac-6532-4c62-99f0-6d047703163c" xsi:nil="true"/>
    <TPExecutable xmlns="8289c1ac-6532-4c62-99f0-6d047703163c" xsi:nil="true"/>
    <TPLaunchHelpLink xmlns="8289c1ac-6532-4c62-99f0-6d047703163c" xsi:nil="true"/>
    <LocComments xmlns="8289c1ac-6532-4c62-99f0-6d047703163c" xsi:nil="true"/>
    <LocRecommendedHandoff xmlns="8289c1ac-6532-4c62-99f0-6d047703163c" xsi:nil="true"/>
    <SourceTitle xmlns="8289c1ac-6532-4c62-99f0-6d047703163c" xsi:nil="true"/>
    <CSXUpdate xmlns="8289c1ac-6532-4c62-99f0-6d047703163c">false</CSXUpdate>
    <IntlLocPriority xmlns="8289c1ac-6532-4c62-99f0-6d047703163c" xsi:nil="true"/>
    <UAProjectedTotalWords xmlns="8289c1ac-6532-4c62-99f0-6d047703163c" xsi:nil="true"/>
    <AssetType xmlns="8289c1ac-6532-4c62-99f0-6d047703163c">TP</AssetType>
    <MachineTranslated xmlns="8289c1ac-6532-4c62-99f0-6d047703163c">false</MachineTranslated>
    <OutputCachingOn xmlns="8289c1ac-6532-4c62-99f0-6d047703163c">false</OutputCachingOn>
    <TemplateStatus xmlns="8289c1ac-6532-4c62-99f0-6d047703163c">Complete</TemplateStatus>
    <IsSearchable xmlns="8289c1ac-6532-4c62-99f0-6d047703163c">true</IsSearchable>
    <ContentItem xmlns="8289c1ac-6532-4c62-99f0-6d047703163c" xsi:nil="true"/>
    <HandoffToMSDN xmlns="8289c1ac-6532-4c62-99f0-6d047703163c" xsi:nil="true"/>
    <ShowIn xmlns="8289c1ac-6532-4c62-99f0-6d047703163c">Show everywhere</ShowIn>
    <ThumbnailAssetId xmlns="8289c1ac-6532-4c62-99f0-6d047703163c" xsi:nil="true"/>
    <UALocComments xmlns="8289c1ac-6532-4c62-99f0-6d047703163c" xsi:nil="true"/>
    <UALocRecommendation xmlns="8289c1ac-6532-4c62-99f0-6d047703163c">Localize</UALocRecommendation>
    <LastModifiedDateTime xmlns="8289c1ac-6532-4c62-99f0-6d047703163c" xsi:nil="true"/>
    <LegacyData xmlns="8289c1ac-6532-4c62-99f0-6d047703163c" xsi:nil="true"/>
    <LocManualTestRequired xmlns="8289c1ac-6532-4c62-99f0-6d047703163c">false</LocManualTestRequired>
    <LocMarketGroupTiers2 xmlns="8289c1ac-6532-4c62-99f0-6d047703163c" xsi:nil="true"/>
    <ClipArtFilename xmlns="8289c1ac-6532-4c62-99f0-6d047703163c" xsi:nil="true"/>
    <TPApplication xmlns="8289c1ac-6532-4c62-99f0-6d047703163c" xsi:nil="true"/>
    <CSXHash xmlns="8289c1ac-6532-4c62-99f0-6d047703163c" xsi:nil="true"/>
    <DirectSourceMarket xmlns="8289c1ac-6532-4c62-99f0-6d047703163c">english</DirectSourceMarket>
    <PrimaryImageGen xmlns="8289c1ac-6532-4c62-99f0-6d047703163c">false</PrimaryImageGen>
    <PlannedPubDate xmlns="8289c1ac-6532-4c62-99f0-6d047703163c" xsi:nil="true"/>
    <CSXSubmissionMarket xmlns="8289c1ac-6532-4c62-99f0-6d047703163c" xsi:nil="true"/>
    <Downloads xmlns="8289c1ac-6532-4c62-99f0-6d047703163c">0</Downloads>
    <ArtSampleDocs xmlns="8289c1ac-6532-4c62-99f0-6d047703163c" xsi:nil="true"/>
    <TrustLevel xmlns="8289c1ac-6532-4c62-99f0-6d047703163c">1 Microsoft Managed Content</TrustLevel>
    <BlockPublish xmlns="8289c1ac-6532-4c62-99f0-6d047703163c">false</BlockPublish>
    <TPLaunchHelpLinkType xmlns="8289c1ac-6532-4c62-99f0-6d047703163c">Template</TPLaunchHelpLinkType>
    <LocalizationTagsTaxHTField0 xmlns="8289c1ac-6532-4c62-99f0-6d047703163c">
      <Terms xmlns="http://schemas.microsoft.com/office/infopath/2007/PartnerControls"/>
    </LocalizationTagsTaxHTField0>
    <BusinessGroup xmlns="8289c1ac-6532-4c62-99f0-6d047703163c" xsi:nil="true"/>
    <Providers xmlns="8289c1ac-6532-4c62-99f0-6d047703163c" xsi:nil="true"/>
    <TemplateTemplateType xmlns="8289c1ac-6532-4c62-99f0-6d047703163c">Excel 2007 Default</TemplateTemplateType>
    <TimesCloned xmlns="8289c1ac-6532-4c62-99f0-6d047703163c" xsi:nil="true"/>
    <TPAppVersion xmlns="8289c1ac-6532-4c62-99f0-6d047703163c" xsi:nil="true"/>
    <VoteCount xmlns="8289c1ac-6532-4c62-99f0-6d047703163c" xsi:nil="true"/>
    <FeatureTagsTaxHTField0 xmlns="8289c1ac-6532-4c62-99f0-6d047703163c">
      <Terms xmlns="http://schemas.microsoft.com/office/infopath/2007/PartnerControls"/>
    </FeatureTagsTaxHTField0>
    <Provider xmlns="8289c1ac-6532-4c62-99f0-6d047703163c" xsi:nil="true"/>
    <UACurrentWords xmlns="8289c1ac-6532-4c62-99f0-6d047703163c" xsi:nil="true"/>
    <AssetId xmlns="8289c1ac-6532-4c62-99f0-6d047703163c">TP103107644</AssetId>
    <TPClientViewer xmlns="8289c1ac-6532-4c62-99f0-6d047703163c" xsi:nil="true"/>
    <DSATActionTaken xmlns="8289c1ac-6532-4c62-99f0-6d047703163c" xsi:nil="true"/>
    <APEditor xmlns="8289c1ac-6532-4c62-99f0-6d047703163c">
      <UserInfo>
        <DisplayName/>
        <AccountId xsi:nil="true"/>
        <AccountType/>
      </UserInfo>
    </APEditor>
    <TPInstallLocation xmlns="8289c1ac-6532-4c62-99f0-6d047703163c" xsi:nil="true"/>
    <OOCacheId xmlns="8289c1ac-6532-4c62-99f0-6d047703163c" xsi:nil="true"/>
    <IsDeleted xmlns="8289c1ac-6532-4c62-99f0-6d047703163c">false</IsDeleted>
    <PublishTargets xmlns="8289c1ac-6532-4c62-99f0-6d047703163c">OfficeOnlineVNext</PublishTargets>
    <ApprovalLog xmlns="8289c1ac-6532-4c62-99f0-6d047703163c" xsi:nil="true"/>
    <BugNumber xmlns="8289c1ac-6532-4c62-99f0-6d047703163c" xsi:nil="true"/>
    <CrawlForDependencies xmlns="8289c1ac-6532-4c62-99f0-6d047703163c">false</CrawlForDependencies>
    <InternalTagsTaxHTField0 xmlns="8289c1ac-6532-4c62-99f0-6d047703163c">
      <Terms xmlns="http://schemas.microsoft.com/office/infopath/2007/PartnerControls"/>
    </InternalTagsTaxHTField0>
    <LastHandOff xmlns="8289c1ac-6532-4c62-99f0-6d047703163c" xsi:nil="true"/>
    <Milestone xmlns="8289c1ac-6532-4c62-99f0-6d047703163c" xsi:nil="true"/>
    <OriginalRelease xmlns="8289c1ac-6532-4c62-99f0-6d047703163c">15</OriginalRelease>
    <RecommendationsModifier xmlns="8289c1ac-6532-4c62-99f0-6d047703163c" xsi:nil="true"/>
    <ScenarioTagsTaxHTField0 xmlns="8289c1ac-6532-4c62-99f0-6d047703163c">
      <Terms xmlns="http://schemas.microsoft.com/office/infopath/2007/PartnerControls"/>
    </ScenarioTagsTaxHTField0>
    <UANotes xmlns="8289c1ac-6532-4c62-99f0-6d047703163c" xsi:nil="true"/>
  </documentManagement>
</p:properties>
</file>

<file path=customXml/item3.xml><?xml version="1.0" encoding="utf-8"?>
<?mso-contentType encoding="utf-8"?>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BFFC609-CCC7-4963-B5BA-575B2B341AA0}"/>
</file>

<file path=customXml/itemProps2.xml><?xml version="1.0" encoding="utf-8"?>
<ds:datastoreItem xmlns:ds="http://schemas.openxmlformats.org/officeDocument/2006/customXml" ds:itemID="{C8FA622F-CE11-425C-8C35-239FCE193AA1}"/>
</file>

<file path=customXml/itemProps3.xml><?xml version="1.0" encoding="utf-8"?>
<ds:datastoreItem xmlns:ds="http://schemas.openxmlformats.org/officeDocument/2006/customXml" ds:itemID="{BDF672FF-3A92-44D4-89BB-5E110C3822E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1</vt:i4>
      </vt:variant>
      <vt:variant>
        <vt:lpstr>Intervalos com nome</vt:lpstr>
      </vt:variant>
      <vt:variant>
        <vt:i4>2</vt:i4>
      </vt:variant>
    </vt:vector>
  </HeadingPairs>
  <TitlesOfParts>
    <vt:vector size="3" baseType="lpstr">
      <vt:lpstr>Calendário Familiar Sazonal</vt:lpstr>
      <vt:lpstr>CalendarYear</vt:lpstr>
      <vt:lpstr>'Calendário Familiar Sazonal'!Print_Area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2012-09-14T06:23:08Z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0x0101005EB5FCBB1E5ECD4D83FA6E62BA4F98FF04003B76559807ED7042AFCC9CD6E0E16B7A</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