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Amandaz\O15_template\22_HOSep1\05_AddMissing_finish_template\PTB\"/>
    </mc:Choice>
  </mc:AlternateContent>
  <bookViews>
    <workbookView xWindow="0" yWindow="0" windowWidth="19200" windowHeight="11595" tabRatio="717"/>
  </bookViews>
  <sheets>
    <sheet name="Visão Geral da Festa" sheetId="4" r:id="rId1"/>
    <sheet name="Lista de Convidados" sheetId="2" r:id="rId2"/>
    <sheet name="Comes e Bebes" sheetId="1" r:id="rId3"/>
    <sheet name="Outros Itens Essenciais" sheetId="3" r:id="rId4"/>
    <sheet name="Organização de Assentos" sheetId="5" r:id="rId5"/>
  </sheets>
  <definedNames>
    <definedName name="AdultTotal">'Visão Geral da Festa'!$E$9</definedName>
    <definedName name="_xlnm.Print_Area" localSheetId="4">'Organização de Assentos'!$A$1:$AH$44</definedName>
    <definedName name="ChildrenTotal">'Visão Geral da Festa'!$E$10</definedName>
    <definedName name="ConfirmedGuests">AttendeeSummary[[#Totals],[Total Confirmado]]</definedName>
    <definedName name="EssentialCostPerGuest">(Table1Budget[[#Totals],[Custo]]+Table2Budget[[#Totals],[Custo]]+Table3Budget[[#Totals],[Custo]])/AttendeeSummary[[#Totals],[Total Confirmado]]</definedName>
    <definedName name="OutstandingRSVPs">COUNTIF(GuestTable[Comparecerá?],"&lt;&gt;"&amp;"*")</definedName>
    <definedName name="Table1Header">'Outros Itens Essenciais'!$B$6</definedName>
    <definedName name="Table2Header">'Outros Itens Essenciais'!$B$17</definedName>
    <definedName name="Table3Header">'Outros Itens Essenciais'!$B$25</definedName>
  </definedNames>
  <calcPr calcId="152511"/>
</workbook>
</file>

<file path=xl/calcChain.xml><?xml version="1.0" encoding="utf-8"?>
<calcChain xmlns="http://schemas.openxmlformats.org/spreadsheetml/2006/main">
  <c r="H6" i="4" l="1"/>
  <c r="T36" i="5" l="1"/>
  <c r="U42" i="5"/>
  <c r="U41" i="5"/>
  <c r="U40" i="5"/>
  <c r="U39" i="5"/>
  <c r="U38" i="5"/>
  <c r="E11" i="4" l="1"/>
  <c r="H20" i="4"/>
  <c r="G20" i="4"/>
  <c r="G19" i="4"/>
  <c r="H19" i="4" s="1"/>
  <c r="G18" i="4"/>
  <c r="H18" i="4" s="1"/>
  <c r="C30" i="3"/>
  <c r="C22" i="3"/>
  <c r="C14" i="3"/>
  <c r="E25" i="1"/>
  <c r="D25" i="1"/>
  <c r="C25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7" i="1"/>
  <c r="G7" i="1" s="1"/>
  <c r="G25" i="1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F25" i="1" l="1"/>
  <c r="I24" i="1"/>
  <c r="H24" i="1"/>
  <c r="I22" i="1"/>
  <c r="H22" i="1"/>
  <c r="I20" i="1"/>
  <c r="H20" i="1"/>
  <c r="I18" i="1"/>
  <c r="H18" i="1"/>
  <c r="I16" i="1"/>
  <c r="H16" i="1"/>
  <c r="I14" i="1"/>
  <c r="H14" i="1"/>
  <c r="I12" i="1"/>
  <c r="H12" i="1"/>
  <c r="I10" i="1"/>
  <c r="H10" i="1"/>
  <c r="I8" i="1"/>
  <c r="H8" i="1"/>
  <c r="I7" i="1"/>
  <c r="H7" i="1"/>
  <c r="I23" i="1"/>
  <c r="H23" i="1"/>
  <c r="I21" i="1"/>
  <c r="H21" i="1"/>
  <c r="I19" i="1"/>
  <c r="H19" i="1"/>
  <c r="I17" i="1"/>
  <c r="H17" i="1"/>
  <c r="I15" i="1"/>
  <c r="H15" i="1"/>
  <c r="I13" i="1"/>
  <c r="H13" i="1"/>
  <c r="I11" i="1"/>
  <c r="H11" i="1"/>
  <c r="I9" i="1"/>
  <c r="H9" i="1"/>
  <c r="F21" i="4"/>
  <c r="E20" i="4"/>
  <c r="E19" i="4"/>
  <c r="E18" i="4"/>
  <c r="E17" i="4"/>
  <c r="G17" i="4"/>
  <c r="E10" i="4"/>
  <c r="E9" i="4"/>
  <c r="G21" i="4" l="1"/>
  <c r="H17" i="4"/>
  <c r="I25" i="1"/>
  <c r="F9" i="4" s="1"/>
  <c r="H21" i="4"/>
  <c r="H25" i="1"/>
  <c r="F10" i="4" s="1"/>
  <c r="E21" i="4"/>
  <c r="F11" i="4" l="1"/>
  <c r="D20" i="4"/>
  <c r="D19" i="4"/>
  <c r="D18" i="4"/>
  <c r="G9" i="4" l="1"/>
  <c r="H9" i="4" l="1"/>
  <c r="G10" i="4"/>
  <c r="H10" i="4" s="1"/>
  <c r="H11" i="4" l="1"/>
  <c r="G11" i="4"/>
</calcChain>
</file>

<file path=xl/sharedStrings.xml><?xml version="1.0" encoding="utf-8"?>
<sst xmlns="http://schemas.openxmlformats.org/spreadsheetml/2006/main" count="253" uniqueCount="216">
  <si>
    <t>Crianças</t>
  </si>
  <si>
    <t>Adultos</t>
  </si>
  <si>
    <t>Total</t>
  </si>
  <si>
    <t>Brigadeiro de colher</t>
  </si>
  <si>
    <t>Sim</t>
  </si>
  <si>
    <t>Não</t>
  </si>
  <si>
    <t>Cogumelos recheados</t>
  </si>
  <si>
    <t>Observações</t>
  </si>
  <si>
    <t>Decorações</t>
  </si>
  <si>
    <t>Balões</t>
  </si>
  <si>
    <t>Custo</t>
  </si>
  <si>
    <t>Comprado</t>
  </si>
  <si>
    <t>Bruschetta</t>
  </si>
  <si>
    <t>Cogumelos de Paris recheados com cream cheese e carne seca</t>
  </si>
  <si>
    <t>Centros de mesa</t>
  </si>
  <si>
    <t>Outros</t>
  </si>
  <si>
    <t>Fotógrafo</t>
  </si>
  <si>
    <t>Convites</t>
  </si>
  <si>
    <t>Postagem</t>
  </si>
  <si>
    <t>Aluguel</t>
  </si>
  <si>
    <t>2 horas (14:00 - 16:00)</t>
  </si>
  <si>
    <t>Vasos de vidro</t>
  </si>
  <si>
    <t>Toalhas de mesa</t>
  </si>
  <si>
    <t>Mesas e cadeiras</t>
  </si>
  <si>
    <t>Aluguel do salão</t>
  </si>
  <si>
    <t>10 no total</t>
  </si>
  <si>
    <t>Emprestados de Sandy</t>
  </si>
  <si>
    <t>Vinho</t>
  </si>
  <si>
    <t>Garrafas de 2 litros</t>
  </si>
  <si>
    <t>Suco de caixinha</t>
  </si>
  <si>
    <t>Guardanapos para bebidas</t>
  </si>
  <si>
    <t>Guardanapos para o jantar</t>
  </si>
  <si>
    <t>Serviço de mesa</t>
  </si>
  <si>
    <t>Tanque de hélio</t>
  </si>
  <si>
    <t>Lembrancinhas</t>
  </si>
  <si>
    <t>Bolo</t>
  </si>
  <si>
    <t>Família 1</t>
  </si>
  <si>
    <t>Família 2</t>
  </si>
  <si>
    <t>Família 3</t>
  </si>
  <si>
    <t>Família 4</t>
  </si>
  <si>
    <t>Família 5</t>
  </si>
  <si>
    <t>Família 6</t>
  </si>
  <si>
    <t>Família 7</t>
  </si>
  <si>
    <t>Família 8</t>
  </si>
  <si>
    <t>Família 9</t>
  </si>
  <si>
    <t>Família 10</t>
  </si>
  <si>
    <t>Família 11</t>
  </si>
  <si>
    <t>Família 12</t>
  </si>
  <si>
    <t>Família 13</t>
  </si>
  <si>
    <t>Família 14</t>
  </si>
  <si>
    <t>Família 15</t>
  </si>
  <si>
    <t>Coxinhas</t>
  </si>
  <si>
    <t>Hummus</t>
  </si>
  <si>
    <t>Salgadinhos</t>
  </si>
  <si>
    <t>Sorvete</t>
  </si>
  <si>
    <t>Vegetais variados</t>
  </si>
  <si>
    <t>Preparar na noite anterior</t>
  </si>
  <si>
    <t>Pão pita crocante com parmesão</t>
  </si>
  <si>
    <t>Endereço 1</t>
  </si>
  <si>
    <t>Endereço 2</t>
  </si>
  <si>
    <t>Endereço 3</t>
  </si>
  <si>
    <t>Endereço 4</t>
  </si>
  <si>
    <t>Endereço 5</t>
  </si>
  <si>
    <t>Endereço 6</t>
  </si>
  <si>
    <t>Endereço 7</t>
  </si>
  <si>
    <t>Endereço 8</t>
  </si>
  <si>
    <t>Endereço 9</t>
  </si>
  <si>
    <t>Endereço 10</t>
  </si>
  <si>
    <t>Endereço 11</t>
  </si>
  <si>
    <t>Endereço 12</t>
  </si>
  <si>
    <t>Endereço 13</t>
  </si>
  <si>
    <t>Endereço 14</t>
  </si>
  <si>
    <t>Endereço 15</t>
  </si>
  <si>
    <t>Cidade 1</t>
  </si>
  <si>
    <t>Cidade 2</t>
  </si>
  <si>
    <t>Cidade 3</t>
  </si>
  <si>
    <t>Cidade 4</t>
  </si>
  <si>
    <t>Cidade 5</t>
  </si>
  <si>
    <t>Cidade 6</t>
  </si>
  <si>
    <t>Cidade 7</t>
  </si>
  <si>
    <t>Cidade 8</t>
  </si>
  <si>
    <t>Cidade 9</t>
  </si>
  <si>
    <t>Cidade 10</t>
  </si>
  <si>
    <t>Cidade 11</t>
  </si>
  <si>
    <t>Cidade 12</t>
  </si>
  <si>
    <t>Cidade 13</t>
  </si>
  <si>
    <t>Cidade 14</t>
  </si>
  <si>
    <t>Cidade 15</t>
  </si>
  <si>
    <t>Estado 1</t>
  </si>
  <si>
    <t>Estado 2</t>
  </si>
  <si>
    <t>Estado 3</t>
  </si>
  <si>
    <t>Estado 4</t>
  </si>
  <si>
    <t>Estado 5</t>
  </si>
  <si>
    <t>Estado 6</t>
  </si>
  <si>
    <t>Estado 7</t>
  </si>
  <si>
    <t>Estado 8</t>
  </si>
  <si>
    <t>Estado 9</t>
  </si>
  <si>
    <t>Estado 10</t>
  </si>
  <si>
    <t>Estado 11</t>
  </si>
  <si>
    <t>Estado 12</t>
  </si>
  <si>
    <t>Estado 13</t>
  </si>
  <si>
    <t>Estado 14</t>
  </si>
  <si>
    <t>Estado 15</t>
  </si>
  <si>
    <t>Email1</t>
  </si>
  <si>
    <t>CEP 1</t>
  </si>
  <si>
    <t>Telefone 1</t>
  </si>
  <si>
    <t>CEP 2</t>
  </si>
  <si>
    <t>CEP 3</t>
  </si>
  <si>
    <t>CEP 4</t>
  </si>
  <si>
    <t>CEP 5</t>
  </si>
  <si>
    <t>CEP 6</t>
  </si>
  <si>
    <t>CEP 7</t>
  </si>
  <si>
    <t>CEP 8</t>
  </si>
  <si>
    <t>CEP 9</t>
  </si>
  <si>
    <t>CEP 10</t>
  </si>
  <si>
    <t>CEP 11</t>
  </si>
  <si>
    <t>CEP 12</t>
  </si>
  <si>
    <t>CEP 13</t>
  </si>
  <si>
    <t>CEP 14</t>
  </si>
  <si>
    <t>CEP 15</t>
  </si>
  <si>
    <t>Email2</t>
  </si>
  <si>
    <t>Email3</t>
  </si>
  <si>
    <t>Email4</t>
  </si>
  <si>
    <t>Email5</t>
  </si>
  <si>
    <t>Email6</t>
  </si>
  <si>
    <t>Email7</t>
  </si>
  <si>
    <t>Email8</t>
  </si>
  <si>
    <t>Email9</t>
  </si>
  <si>
    <t>Email10</t>
  </si>
  <si>
    <t>Email11</t>
  </si>
  <si>
    <t>Email12</t>
  </si>
  <si>
    <t>Email13</t>
  </si>
  <si>
    <t>Email14</t>
  </si>
  <si>
    <t>Email15</t>
  </si>
  <si>
    <t>Telefone 2</t>
  </si>
  <si>
    <t>Telefone 3</t>
  </si>
  <si>
    <t>Telefone 4</t>
  </si>
  <si>
    <t>Telefone 5</t>
  </si>
  <si>
    <t>Telefone 6</t>
  </si>
  <si>
    <t>Telefone 7</t>
  </si>
  <si>
    <t>Telefone 8</t>
  </si>
  <si>
    <t>Telefone 9</t>
  </si>
  <si>
    <t>Telefone 10</t>
  </si>
  <si>
    <t>Telefone 11</t>
  </si>
  <si>
    <t>Telefone 12</t>
  </si>
  <si>
    <t>Telefone 13</t>
  </si>
  <si>
    <t>Telefone 14</t>
  </si>
  <si>
    <t>Telefone 15</t>
  </si>
  <si>
    <t>Tomate e manjericão</t>
  </si>
  <si>
    <t>Comprar na rotisserie local</t>
  </si>
  <si>
    <t>Encomendar na padaria local</t>
  </si>
  <si>
    <t>Copos</t>
  </si>
  <si>
    <t>*1 quadrado = aproximadamente 930 centímetros quadrados</t>
  </si>
  <si>
    <t>Organização de Mesas</t>
  </si>
  <si>
    <t>(Espaço preferido entre as mesas: 1 metro)</t>
  </si>
  <si>
    <t>Total Confirmado</t>
  </si>
  <si>
    <t>Refrigerante</t>
  </si>
  <si>
    <t>Comes e Bebes</t>
  </si>
  <si>
    <t>Insira o custo e as porções estimadas para calcular automaticamente o total de unidades e o custo por porção com base no atendimento total</t>
  </si>
  <si>
    <t>Incluído no aluguel do salão</t>
  </si>
  <si>
    <t>14:00 às 16:00</t>
  </si>
  <si>
    <t>75º Aniversário da Vovó</t>
  </si>
  <si>
    <t>Alimentos</t>
  </si>
  <si>
    <t>Salmão defumado</t>
  </si>
  <si>
    <t>Pãezinhos</t>
  </si>
  <si>
    <t>Cream cheese</t>
  </si>
  <si>
    <t>Alcaparras</t>
  </si>
  <si>
    <t>4 pacotes - sortidos</t>
  </si>
  <si>
    <t>3 vidros</t>
  </si>
  <si>
    <t>2 potes grandes</t>
  </si>
  <si>
    <t>Sortidos: bolinhas de queijo e quibes</t>
  </si>
  <si>
    <t>Torradas</t>
  </si>
  <si>
    <t>Com patês variados</t>
  </si>
  <si>
    <t>Maçã e uva</t>
  </si>
  <si>
    <t>Encomendar na doceira</t>
  </si>
  <si>
    <t>Palitos de cenoura, salsão, brócolis, couve-flor, pimentão verde e vermelho</t>
  </si>
  <si>
    <t>Você pode usar qualquer um dos arranjos de mesas:</t>
  </si>
  <si>
    <t>Casa da Tia Kim</t>
  </si>
  <si>
    <t>Equipamentos e Suprimentos</t>
  </si>
  <si>
    <t>Visão Geral da Festa</t>
  </si>
  <si>
    <t>EVENTO</t>
  </si>
  <si>
    <t>DATA</t>
  </si>
  <si>
    <t>HORA</t>
  </si>
  <si>
    <t>LOCAL</t>
  </si>
  <si>
    <t>RESUMO DOS CONVIDADOS</t>
  </si>
  <si>
    <t>RESUMO DO ORÇAMENTO</t>
  </si>
  <si>
    <t>ITEM</t>
  </si>
  <si>
    <t>CONTAGEM</t>
  </si>
  <si>
    <t>VALOR DO ORÇAMENTO</t>
  </si>
  <si>
    <t>CUSTO TOTAL</t>
  </si>
  <si>
    <t>DIFERENÇA</t>
  </si>
  <si>
    <t>Convidados Confirmados</t>
  </si>
  <si>
    <t>RSVP - VISÃO GERAL</t>
  </si>
  <si>
    <t>CUSTOS POR CONVIDADO</t>
  </si>
  <si>
    <t>Lista de Convidados</t>
  </si>
  <si>
    <t>Comes e Bebes</t>
  </si>
  <si>
    <t>Outros Itens Essenciais</t>
  </si>
  <si>
    <t>NOME</t>
  </si>
  <si>
    <t>ENDEREÇO</t>
  </si>
  <si>
    <t>CIDADE</t>
  </si>
  <si>
    <t>ESTADO</t>
  </si>
  <si>
    <t>CEP</t>
  </si>
  <si>
    <t>TELEFONE</t>
  </si>
  <si>
    <t>EMAIL</t>
  </si>
  <si>
    <t>Comparecerá?</t>
  </si>
  <si>
    <t>CRIANÇAS</t>
  </si>
  <si>
    <t>ADULTOS</t>
  </si>
  <si>
    <t>TOTAL</t>
  </si>
  <si>
    <t>ITEM DE COMES E BEBES</t>
  </si>
  <si>
    <t>PORÇÃO POR CRIANÇA</t>
  </si>
  <si>
    <t>PORÇÃO POR ADULTO</t>
  </si>
  <si>
    <t>TOTAL DE PORÇÕES</t>
  </si>
  <si>
    <t>CUSTO POR PORÇÃO</t>
  </si>
  <si>
    <t>CUSTO POR CRIANÇA</t>
  </si>
  <si>
    <t>CUSTO POR ADULTO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</si>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</sst>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164" formatCode="&quot;$&quot;#,##0.00_);\(&quot;$&quot;#,##0.00\)"/>
    <numFmt numFmtId="165" formatCode="&quot;$&quot;#,##0.00"/>
    <numFmt numFmtId="166" formatCode="[&lt;=9999999]###\-####;\(###\)\ ###\-####"/>
    <numFmt numFmtId="167" formatCode="[$-409]mmmm\ d\,\ yyyy;@"/>
    <numFmt numFmtId="168" formatCode="&quot;R$&quot;\ #,##0.00"/>
    <numFmt numFmtId="169" formatCode="[$-416]d\_x0009_mmmm\,\ yyyy;@"/>
  </numFmts>
  <fonts count="26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b/>
      <i/>
      <strike/>
      <condense/>
      <extend/>
      <outline/>
      <shadow/>
      <sz val="12"/>
      <color theme="1" tint="0.24994659260841701"/>
      <name val="Calibri"/>
      <family val="2"/>
      <scheme val="minor"/>
    </font>
    <font>
      <condense/>
      <extend/>
      <outline/>
      <shadow/>
      <sz val="12"/>
      <color theme="1" tint="0.24994659260841701"/>
      <name val="Calibri"/>
      <family val="2"/>
      <scheme val="minor"/>
    </font>
    <font>
      <b/>
      <i/>
      <strike/>
      <condense/>
      <extend/>
      <outline/>
      <shadow/>
      <sz val="10"/>
      <color theme="3"/>
      <name val="Calibri"/>
      <family val="2"/>
      <scheme val="minor"/>
    </font>
    <font>
      <condense/>
      <extend/>
      <outline/>
      <shadow/>
      <sz val="12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165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6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167" fontId="19" fillId="0" borderId="0" xfId="9" applyNumberFormat="1">
      <alignment horizontal="left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 applyBorder="1" applyAlignment="1">
      <alignment horizontal="right" vertical="center" indent="2"/>
    </xf>
    <xf numFmtId="0" fontId="23" fillId="0" borderId="0" xfId="0" applyFont="1" applyFill="1" applyBorder="1" applyAlignment="1">
      <alignment horizontal="left" vertical="center" indent="1"/>
    </xf>
    <xf numFmtId="0" fontId="23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vertical="center"/>
    </xf>
    <xf numFmtId="168" fontId="0" fillId="0" borderId="7" xfId="0" applyNumberFormat="1" applyFont="1" applyFill="1" applyBorder="1" applyAlignment="1">
      <alignment horizontal="right" vertical="center" indent="3"/>
    </xf>
    <xf numFmtId="168" fontId="0" fillId="0" borderId="6" xfId="0" applyNumberFormat="1" applyFont="1" applyFill="1" applyBorder="1" applyAlignment="1">
      <alignment horizontal="right" vertical="center" indent="2"/>
    </xf>
    <xf numFmtId="168" fontId="0" fillId="0" borderId="0" xfId="0" applyNumberFormat="1" applyFont="1" applyFill="1" applyBorder="1" applyAlignment="1">
      <alignment horizontal="right" vertical="center" indent="1"/>
    </xf>
    <xf numFmtId="168" fontId="23" fillId="0" borderId="0" xfId="0" applyNumberFormat="1" applyFont="1" applyFill="1" applyBorder="1" applyAlignment="1">
      <alignment horizontal="right" vertical="center" indent="1"/>
    </xf>
    <xf numFmtId="7" fontId="23" fillId="0" borderId="7" xfId="0" applyNumberFormat="1" applyFont="1" applyFill="1" applyBorder="1" applyAlignment="1">
      <alignment horizontal="right" vertical="center" indent="1"/>
    </xf>
    <xf numFmtId="0" fontId="23" fillId="0" borderId="6" xfId="0" applyNumberFormat="1" applyFont="1" applyFill="1" applyBorder="1" applyAlignment="1">
      <alignment horizontal="right" vertical="center" indent="1"/>
    </xf>
    <xf numFmtId="168" fontId="0" fillId="0" borderId="14" xfId="0" applyNumberFormat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right" vertical="center"/>
    </xf>
    <xf numFmtId="168" fontId="23" fillId="0" borderId="0" xfId="0" applyNumberFormat="1" applyFont="1" applyFill="1" applyBorder="1" applyAlignment="1">
      <alignment vertical="center"/>
    </xf>
    <xf numFmtId="168" fontId="25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9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ccent1 2" xfId="4"/>
    <cellStyle name="Accent1 2" xfId="5"/>
    <cellStyle name="Heading 1 2" xfId="6"/>
    <cellStyle name="Normal" xfId="0" builtinId="0" customBuiltin="1"/>
    <cellStyle name="Normal 2" xfId="2"/>
    <cellStyle name="Normal 3" xfId="7"/>
    <cellStyle name="Normal_Graph Paper (combined)" xfId="3"/>
    <cellStyle name="Título" xfId="1" builtinId="15" customBuiltin="1"/>
    <cellStyle name="Título 1" xfId="8" builtinId="16" customBuiltin="1"/>
    <cellStyle name="Título 2" xfId="9" builtinId="17" customBuiltin="1"/>
    <cellStyle name="Título 3" xfId="10" builtinId="18" customBuiltin="1"/>
  </cellStyles>
  <dxfs count="85"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R$&quot;\ #,##0.00"/>
      <alignment horizontal="right" vertical="center" textRotation="0" wrapTex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R$&quot;\ #,##0.00"/>
      <alignment horizontal="right" vertical="center" textRotation="0" wrapTex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&quot;$&quot;#,##0.00_);\(&quot;$&quot;#,##0.00\)"/>
      <alignment horizontal="right" vertical="center" textRotation="0" wrapTex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168" formatCode="&quot;R$&quot;\ #,##0.00"/>
      <alignment horizontal="right" vertical="center" textRotation="0" wrapText="0" relativeIndent="-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8" formatCode="&quot;R$&quot;\ #,##0.00"/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indent="0" justifyLastLine="0" shrinkToFit="0" readingOrder="0"/>
    </dxf>
    <dxf>
      <numFmt numFmtId="168" formatCode="&quot;R$&quot;\ #,##0.00"/>
      <alignment horizontal="right" vertical="center" textRotation="0" wrapText="0" indent="1" justifyLastLine="0" shrinkToFit="0" readingOrder="0"/>
    </dxf>
    <dxf>
      <numFmt numFmtId="168" formatCode="&quot;R$&quot;\ #,##0.00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numFmt numFmtId="168" formatCode="&quot;R$&quot;\ 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8" formatCode="&quot;R$&quot;\ 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8" formatCode="&quot;R$&quot;\ 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8" formatCode="&quot;R$&quot;\ 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4"/>
      <tableStyleElement type="headerRow" dxfId="83"/>
      <tableStyleElement type="totalRow" dxfId="82"/>
    </tableStyle>
    <tableStyle name="Party Planner 2" pivot="0" count="3">
      <tableStyleElement type="wholeTable" dxfId="81"/>
      <tableStyleElement type="headerRow" dxfId="80"/>
      <tableStyleElement type="totalRow" dxfId="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Lista de Convidados'!A1"/><Relationship Id="rId2" Type="http://schemas.openxmlformats.org/officeDocument/2006/relationships/hyperlink" Target="#'Outros Itens Essenciais'!A1"/><Relationship Id="rId1" Type="http://schemas.openxmlformats.org/officeDocument/2006/relationships/hyperlink" Target="#'Comes e Beb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Vis&#227;o Geral da Fes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Vis&#227;o Geral da Festa'!A1"/><Relationship Id="rId1" Type="http://schemas.openxmlformats.org/officeDocument/2006/relationships/hyperlink" Target="#'Outros Itens Essenciai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es e Bebes'!A1"/><Relationship Id="rId1" Type="http://schemas.openxmlformats.org/officeDocument/2006/relationships/hyperlink" Target="#'Vis&#227;o Geral da Fes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481012</xdr:colOff>
      <xdr:row>2</xdr:row>
      <xdr:rowOff>200025</xdr:rowOff>
    </xdr:from>
    <xdr:to>
      <xdr:col>6</xdr:col>
      <xdr:colOff>895350</xdr:colOff>
      <xdr:row>2</xdr:row>
      <xdr:rowOff>474345</xdr:rowOff>
    </xdr:to>
    <xdr:sp macro="" textlink="">
      <xdr:nvSpPr>
        <xdr:cNvPr id="3" name="Alimentos e Bebidas" descr="&quot;&quot;" title="Alimentos e Bebidas (navigation button)">
          <a:hlinkClick xmlns:r="http://schemas.openxmlformats.org/officeDocument/2006/relationships" r:id="rId1" tooltip="Clique para ver os detalhes de comes e bebes"/>
        </xdr:cNvPr>
        <xdr:cNvSpPr/>
      </xdr:nvSpPr>
      <xdr:spPr>
        <a:xfrm>
          <a:off x="7186612" y="695325"/>
          <a:ext cx="2081213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COMES E BEBES</a:t>
          </a:r>
        </a:p>
      </xdr:txBody>
    </xdr:sp>
    <xdr:clientData fPrintsWithSheet="0"/>
  </xdr:twoCellAnchor>
  <xdr:twoCellAnchor>
    <xdr:from>
      <xdr:col>6</xdr:col>
      <xdr:colOff>1028699</xdr:colOff>
      <xdr:row>2</xdr:row>
      <xdr:rowOff>200025</xdr:rowOff>
    </xdr:from>
    <xdr:to>
      <xdr:col>8</xdr:col>
      <xdr:colOff>133349</xdr:colOff>
      <xdr:row>2</xdr:row>
      <xdr:rowOff>474345</xdr:rowOff>
    </xdr:to>
    <xdr:sp macro="" textlink="">
      <xdr:nvSpPr>
        <xdr:cNvPr id="4" name="Outros itens essenciais" descr="&quot;&quot;" title="Outros itens essenciais (navigation button)">
          <a:hlinkClick xmlns:r="http://schemas.openxmlformats.org/officeDocument/2006/relationships" r:id="rId2" tooltip="Clique para ver os detalhes de outros itens essenciais"/>
        </xdr:cNvPr>
        <xdr:cNvSpPr/>
      </xdr:nvSpPr>
      <xdr:spPr>
        <a:xfrm>
          <a:off x="9401174" y="695325"/>
          <a:ext cx="22764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/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  OUTROS ITENS ESSENCIAIS</a:t>
          </a:r>
        </a:p>
      </xdr:txBody>
    </xdr:sp>
    <xdr:clientData fPrintsWithSheet="0"/>
  </xdr:twoCellAnchor>
  <xdr:twoCellAnchor>
    <xdr:from>
      <xdr:col>3</xdr:col>
      <xdr:colOff>1304925</xdr:colOff>
      <xdr:row>2</xdr:row>
      <xdr:rowOff>200025</xdr:rowOff>
    </xdr:from>
    <xdr:to>
      <xdr:col>5</xdr:col>
      <xdr:colOff>375283</xdr:colOff>
      <xdr:row>2</xdr:row>
      <xdr:rowOff>474345</xdr:rowOff>
    </xdr:to>
    <xdr:sp macro="" textlink="">
      <xdr:nvSpPr>
        <xdr:cNvPr id="6" name="Lista de convidados" descr="&quot;&quot;" title="Lista de convidados (navigation button)">
          <a:hlinkClick xmlns:r="http://schemas.openxmlformats.org/officeDocument/2006/relationships" r:id="rId3" tooltip="Clique para ver a lista de convidados"/>
        </xdr:cNvPr>
        <xdr:cNvSpPr/>
      </xdr:nvSpPr>
      <xdr:spPr>
        <a:xfrm>
          <a:off x="4962525" y="695325"/>
          <a:ext cx="2118358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LISTA</a:t>
          </a: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DE CONVIDADOS</a:t>
          </a:r>
        </a:p>
      </xdr:txBody>
    </xdr:sp>
    <xdr:clientData fPrintsWithSheet="0"/>
  </xdr:twoCellAnchor>
  <xdr:twoCellAnchor>
    <xdr:from>
      <xdr:col>5</xdr:col>
      <xdr:colOff>895350</xdr:colOff>
      <xdr:row>13</xdr:row>
      <xdr:rowOff>38100</xdr:rowOff>
    </xdr:from>
    <xdr:to>
      <xdr:col>7</xdr:col>
      <xdr:colOff>1381125</xdr:colOff>
      <xdr:row>15</xdr:row>
      <xdr:rowOff>9525</xdr:rowOff>
    </xdr:to>
    <xdr:sp macro="" textlink="">
      <xdr:nvSpPr>
        <xdr:cNvPr id="1224" name="Dica" descr="Enter individual items on the Alimentos e Bebidas and Other  Essentials sheets to automatically calculate Total Cost." title="Data Entry Dica"/>
        <xdr:cNvSpPr txBox="1"/>
      </xdr:nvSpPr>
      <xdr:spPr>
        <a:xfrm>
          <a:off x="7600950" y="4286250"/>
          <a:ext cx="32670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Insira itens individuais nas planilhas Alimentos e Bebidas e Outros Itens Essenciais para calcular automaticamente o custo total.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Borda do Título" descr="Flourish pattern" title="Borda do Título"/>
        <xdr:cNvGrpSpPr/>
      </xdr:nvGrpSpPr>
      <xdr:grpSpPr>
        <a:xfrm>
          <a:off x="0" y="0"/>
          <a:ext cx="11838515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Grupo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Grupo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Forma livre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Forma livre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Forma livre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Forma livre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Forma livre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Forma livre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Forma livre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Forma livre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Forma livre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Forma livre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Forma livre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Forma livre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Forma livre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Forma livre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Forma livre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Forma livre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Forma livre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Forma livre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Forma livre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Forma livre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Forma livre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Forma livre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Forma livre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Forma livre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Forma livre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Forma livre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Forma livre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Forma livre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Forma livre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Forma livre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Forma livre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Forma livre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Forma livre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Forma livre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Forma livre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Forma livre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Forma livre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Forma livre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Forma livre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Forma livre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Forma livre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Forma livre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Forma livre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Forma livre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Forma livre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Forma livre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Forma livre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Forma livre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Forma livre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Forma livre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Forma livre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Forma livre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Forma livre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Forma livre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Forma livre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Forma livre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Forma livre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Forma livre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Forma livre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Forma livre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Forma livre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Forma livre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Forma livre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Forma livre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Forma livre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Forma livre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Forma livre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Forma livre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Forma livre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Forma livre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Forma livre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Forma livre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Forma livre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Forma livre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Forma livre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Forma livre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Forma livre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Forma livre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Forma livre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Forma livre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Forma livre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Forma livre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Forma livre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Forma livre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Forma livre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Forma livre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Forma livre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Forma livre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Forma livre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Forma livre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Forma livre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Forma livre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Forma livre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Forma livre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Forma livre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Forma livre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Forma livre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Forma livre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Forma livre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Forma livre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Forma livre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Forma livre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Forma livre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Forma livre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Forma livre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Forma livre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Forma livre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Forma livre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Forma livre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Forma livre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Forma livre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Forma livre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Forma livre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Forma livre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Forma livre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Forma livre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Forma livre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Forma livre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Forma livre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Forma livre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Forma livre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Forma livre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Forma livre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Forma livre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Forma livre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Forma livre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Forma livre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Forma livre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Forma livre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Forma livre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Forma livre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Forma livre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Forma livre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Forma livre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Forma livre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Forma livre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Forma livre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Forma livre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Forma livre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Forma livre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Forma livre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Forma livre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Forma livre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Forma livre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Forma livre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Forma livre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Forma livre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Forma livre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Forma livre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Forma livre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Forma livre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Forma livre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Forma livre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Forma livre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Forma livre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Forma livre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Forma livre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Forma livre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Forma livre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Forma livre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Forma livre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Forma livre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Forma livre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Forma livre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Forma livre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Forma livre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Forma livre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Forma livre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Forma livre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Forma livre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Forma livre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Forma livre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Forma livre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Forma livre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Forma livre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Forma livre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Forma livre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Forma livre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Forma livre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Forma livre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Forma livre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Forma livre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Forma livre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Forma livre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Forma livre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Forma livre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Forma livre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Forma livre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Forma livre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Forma livre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Forma livre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Forma livre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Forma livre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Forma livre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Forma livre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Forma livre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Forma livre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Forma livre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Forma livre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Forma livre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Forma livre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Forma livre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Forma livre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Forma livre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Forma livre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Forma livre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Forma livre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Forma livre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Forma livre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Forma livre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Forma livre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Forma livre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Forma livre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Forma livre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Forma livre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Forma livre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Forma livre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Forma livre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Forma livre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Forma livre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Forma livre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Forma livre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Forma livre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Forma livre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Forma livre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Forma livre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Forma livre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Forma livre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Forma livre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Forma livre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Forma livre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Retângulo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Forma livre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Forma livre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Forma livre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Forma livre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Forma livre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Forma livre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Forma livre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Forma livre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Forma livre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Forma livre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Forma livre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Forma livre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Forma livre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Forma livre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Forma livre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Forma livre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Forma livre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Forma livre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Forma livre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Forma livre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Forma livre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Forma livre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Forma livre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Forma livre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Forma livre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Forma livre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Forma livre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Forma livre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Forma livre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Forma livre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Forma livre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Forma livre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Forma livre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Forma livre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Forma livre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Forma livre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Forma livre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Forma livre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Forma livre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Forma livre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Forma livre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Forma livre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Forma livre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Forma livre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Forma livre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Forma livre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Forma livre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Forma livre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Forma livre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Forma livre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Forma livre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Forma livre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Forma livre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Borda do Título" descr="Flourish pattern" title="Borda do Título"/>
        <xdr:cNvGrpSpPr/>
      </xdr:nvGrpSpPr>
      <xdr:grpSpPr>
        <a:xfrm>
          <a:off x="0" y="0"/>
          <a:ext cx="14437796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Grupo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Grupo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Grupo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Forma livre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Forma livre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Forma livre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Forma livre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Forma livre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Forma livre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Forma livre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Forma livre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Forma livre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Forma livre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Forma livre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Forma livre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Forma livre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Forma livre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Forma livre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Forma livre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Forma livre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Forma livre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Forma livre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Forma livre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Forma livre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Forma livre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Forma livre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Forma livre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Forma livre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Forma livre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Forma livre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Forma livre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Forma livre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Forma livre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Forma livre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Forma livre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Forma livre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Forma livre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Forma livre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Forma livre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Forma livre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Forma livre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Forma livre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Forma livre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Forma livre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Forma livre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Forma livre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Forma livre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Forma livre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Forma livre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Forma livre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Forma livre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Forma livre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Forma livre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Forma livre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Forma livre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Forma livre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Forma livre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Forma livre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Forma livre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Forma livre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Forma livre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Forma livre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Forma livre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Forma livre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Forma livre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Forma livre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Forma livre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Forma livre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Forma livre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Forma livre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Forma livre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Forma livre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Forma livre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Forma livre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Forma livre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Forma livre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Forma livre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Forma livre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Forma livre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Forma livre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Forma livre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Forma livre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Forma livre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Forma livre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Forma livre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Forma livre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Forma livre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Forma livre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Forma livre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Forma livre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Forma livre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Forma livre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Forma livre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Forma livre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Forma livre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Forma livre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Forma livre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Forma livre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Forma livre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Forma livre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Forma livre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Forma livre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Forma livre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Forma livre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Forma livre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Forma livre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Forma livre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Forma livre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Forma livre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Forma livre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Forma livre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Forma livre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Forma livre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Forma livre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Forma livre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Forma livre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Forma livre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Forma livre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Forma livre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Forma livre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Forma livre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Forma livre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Forma livre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Forma livre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Forma livre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Forma livre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Forma livre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Forma livre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Forma livre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Forma livre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Forma livre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Forma livre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Forma livre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Forma livre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Forma livre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Forma livre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Forma livre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Forma livre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Forma livre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Forma livre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Forma livre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Forma livre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Forma livre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Forma livre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Forma livre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Forma livre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Forma livre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Forma livre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Forma livre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Forma livre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Forma livre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Forma livre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Forma livre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Forma livre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Forma livre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Forma livre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Forma livre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Forma livre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Forma livre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Forma livre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Forma livre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Forma livre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Forma livre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Forma livre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Forma livre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Forma livre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Forma livre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Forma livre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Forma livre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Forma livre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Forma livre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Forma livre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Forma livre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Forma livre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Forma livre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Forma livre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Forma livre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Forma livre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Forma livre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Forma livre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Forma livre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Forma livre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Forma livre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Forma livre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Forma livre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Forma livre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Forma livre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Forma livre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Forma livre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Forma livre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Forma livre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Forma livre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Forma livre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Forma livre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Forma livre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Forma livre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Forma livre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Forma livre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Forma livre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Forma livre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Forma livre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Forma livre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Forma livre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Forma livre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Forma livre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Forma livre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Forma livre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Forma livre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Forma livre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Forma livre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Forma livre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Forma livre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Forma livre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Forma livre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Forma livre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Forma livre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Forma livre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Forma livre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Forma livre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Forma livre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Forma livre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Forma livre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Forma livre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Forma livre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Forma livre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Forma livre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Forma livre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Forma livre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Forma livre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Forma livre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Forma livre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Forma livre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Forma livre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Forma livre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Retângulo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Forma livre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Forma livre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Forma livre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Forma livre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Forma livre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Forma livre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Forma livre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Forma livre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Forma livre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Forma livre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Forma livre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Forma livre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Forma livre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Forma livre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Forma livre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Forma livre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Forma livre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Forma livre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Forma livre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Forma livre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Forma livre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Forma livre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Forma livre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Forma livre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Forma livre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Forma livre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Forma livre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Forma livre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Forma livre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Forma livre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Forma livre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Forma livre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Forma livre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Forma livre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Forma livre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Forma livre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Forma livre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Forma livre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Forma livre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Forma livre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Forma livre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Forma livre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Forma livre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Forma livre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Forma livre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Forma livre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Forma livre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Forma livre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Forma livre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Forma livre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Forma livre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Forma livre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Forma livre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Forma livre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Forma livre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Forma livre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Forma livre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Forma livre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Forma livre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Forma livre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Forma livre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Forma livre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Forma livre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Forma livre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Forma livre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Forma livre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Forma livre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Forma livre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Forma livre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Forma livre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Forma livre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Forma livre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Forma livre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Forma livre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Forma livre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Forma livre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Forma livre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Forma livre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Forma livre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Forma livre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Forma livre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Forma livre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Forma livre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Forma livre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Forma livre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Forma livre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Forma livre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Forma livre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Forma livre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Forma livre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Forma livre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Forma livre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Forma livre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Forma livre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Forma livre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Forma livre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Forma livre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Forma livre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Forma livre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Forma livre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Forma livre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Forma livre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Forma livre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Forma livre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Forma livre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Forma livre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Forma livre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Forma livre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Forma livre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Forma livre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676275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Visão geral da Festa" descr="&quot;&quot;" title="Overview (navigation button)">
          <a:hlinkClick xmlns:r="http://schemas.openxmlformats.org/officeDocument/2006/relationships" r:id="rId1" tooltip="Clique para ver a visão geral da festa"/>
        </xdr:cNvPr>
        <xdr:cNvSpPr/>
      </xdr:nvSpPr>
      <xdr:spPr>
        <a:xfrm>
          <a:off x="11220450" y="695325"/>
          <a:ext cx="2232662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lt1"/>
              </a:solidFill>
              <a:effectLst/>
              <a:latin typeface="+mj-lt"/>
              <a:ea typeface="+mn-ea"/>
              <a:cs typeface="+mn-cs"/>
            </a:rPr>
            <a:t>VISÃO GERAL DA FESTA</a:t>
          </a:r>
          <a:endParaRPr lang="pt-BR" sz="1200">
            <a:solidFill>
              <a:schemeClr val="lt1"/>
            </a:solidFill>
            <a:effectLst/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Grupo 2257" descr="Flourish pattern" title="Borda do Título"/>
        <xdr:cNvGrpSpPr/>
      </xdr:nvGrpSpPr>
      <xdr:grpSpPr>
        <a:xfrm>
          <a:off x="0" y="0"/>
          <a:ext cx="1388534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Grupo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Grupo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Grupo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Forma livre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Forma livre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Forma livre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Forma livre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Forma livre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Forma livre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Forma livre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Forma livre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Forma livre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Forma livre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Forma livre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Forma livre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Forma livre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Forma livre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Forma livre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Forma livre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Forma livre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Forma livre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Forma livre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Forma livre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Forma livre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Forma livre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Forma livre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Forma livre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Forma livre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Forma livre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Forma livre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Forma livre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Forma livre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Forma livre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Forma livre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Forma livre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Forma livre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Forma livre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Forma livre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Forma livre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Forma livre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Forma livre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Forma livre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Forma livre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Forma livre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Forma livre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Forma livre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Forma livre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Forma livre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Forma livre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Forma livre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Forma livre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Forma livre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Forma livre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Forma livre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Forma livre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Forma livre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Forma livre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Forma livre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Forma livre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Forma livre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Forma livre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Forma livre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Forma livre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Forma livre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Forma livre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Forma livre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Forma livre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Forma livre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Forma livre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Forma livre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Forma livre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Forma livre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Forma livre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Forma livre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Forma livre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Forma livre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Forma livre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Forma livre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Forma livre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Forma livre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Forma livre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Forma livre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Forma livre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Forma livre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Forma livre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Forma livre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Forma livre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Forma livre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Forma livre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Forma livre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Forma livre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Forma livre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Forma livre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Forma livre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Forma livre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Forma livre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Forma livre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Forma livre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Forma livre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Forma livre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Forma livre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Forma livre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Forma livre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Forma livre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Forma livre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Forma livre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Forma livre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Forma livre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Forma livre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Forma livre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Forma livre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Forma livre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Forma livre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Forma livre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Forma livre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Forma livre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Forma livre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Forma livre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Forma livre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Forma livre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Forma livre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Forma livre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Forma livre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Forma livre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Forma livre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Forma livre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Forma livre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Forma livre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Forma livre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Forma livre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Forma livre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Forma livre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Forma livre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Forma livre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Forma livre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Forma livre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Forma livre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Forma livre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Forma livre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Forma livre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Forma livre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Forma livre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Forma livre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Forma livre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Forma livre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Forma livre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Forma livre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Forma livre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Forma livre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Forma livre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Forma livre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Forma livre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Forma livre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Forma livre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Forma livre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Forma livre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Forma livre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Forma livre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Forma livre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Forma livre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Forma livre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Forma livre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Forma livre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Forma livre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Forma livre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Forma livre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Forma livre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Forma livre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Forma livre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Forma livre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Forma livre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Forma livre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Forma livre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Forma livre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Forma livre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Forma livre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Forma livre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Forma livre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Forma livre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Forma livre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Forma livre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Forma livre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Forma livre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Forma livre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Forma livre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Forma livre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Forma livre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Forma livre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Forma livre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Forma livre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Forma livre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Forma livre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Forma livre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Forma livre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Forma livre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Forma livre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Forma livre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Forma livre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Forma livre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Forma livre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Forma livre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Forma livre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Forma livre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Forma livre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Forma livre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Forma livre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Forma livre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Forma livre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Forma livre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Forma livre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Forma livre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Forma livre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Forma livre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Forma livre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Forma livre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Forma livre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Forma livre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Forma livre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Forma livre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Forma livre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Forma livre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Forma livre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Forma livre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Forma livre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Forma livre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Forma livre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Forma livre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Forma livre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Forma livre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Forma livre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Forma livre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Forma livre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Forma livre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Forma livre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Retângulo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Forma livre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Forma livre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Forma livre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Forma livre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Forma livre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Forma livre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Forma livre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Forma livre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Forma livre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Forma livre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Forma livre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Forma livre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Forma livre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Forma livre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Forma livre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Forma livre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Forma livre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Forma livre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Forma livre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Forma livre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Forma livre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Forma livre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Forma livre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Forma livre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Forma livre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Forma livre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Forma livre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Forma livre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Forma livre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Forma livre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Forma livre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Forma livre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Forma livre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Forma livre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Forma livre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Forma livre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Forma livre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Forma livre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Forma livre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Forma livre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Forma livre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Forma livre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Forma livre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Forma livre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Forma livre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Forma livre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Forma livre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Forma livre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Forma livre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Forma livre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Forma livre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Forma livre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Forma livre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Forma livre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Forma livre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Forma livre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Forma livre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Forma livre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Forma livre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Forma livre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Forma livre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Forma livre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Forma livre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Forma livre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Forma livre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Forma livre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Forma livre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Forma livre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Forma livre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Forma livre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Forma livre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Forma livre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Forma livre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Forma livre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Forma livre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Forma livre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Forma livre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Forma livre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Forma livre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Forma livre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Forma livre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Forma livre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Forma livre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Forma livre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Forma livre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Forma livre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Forma livre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Forma livre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Forma livre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Forma livre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Forma livre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Forma livre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Forma livre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Forma livre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Forma livre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Forma livre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Forma livre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Forma livre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Forma livre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Forma livre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Forma livre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Forma livre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Forma livre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Forma livre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Forma livre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Forma livre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Forma livre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Forma livre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Forma livre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Forma livre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190500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Outros itens essenciais" descr="&quot;&quot;" title="Outros itens essenciais (navigation button)">
          <a:hlinkClick xmlns:r="http://schemas.openxmlformats.org/officeDocument/2006/relationships" r:id="rId1" tooltip="Clique para ver os detalhes de outros itens essenciais"/>
        </xdr:cNvPr>
        <xdr:cNvSpPr/>
      </xdr:nvSpPr>
      <xdr:spPr>
        <a:xfrm>
          <a:off x="9239250" y="695325"/>
          <a:ext cx="232791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  OUTROS ITENS ESSENCIAIS</a:t>
          </a:r>
        </a:p>
      </xdr:txBody>
    </xdr:sp>
    <xdr:clientData fPrintsWithSheet="0"/>
  </xdr:twoCellAnchor>
  <xdr:twoCellAnchor>
    <xdr:from>
      <xdr:col>9</xdr:col>
      <xdr:colOff>2657474</xdr:colOff>
      <xdr:row>2</xdr:row>
      <xdr:rowOff>200025</xdr:rowOff>
    </xdr:from>
    <xdr:to>
      <xdr:col>10</xdr:col>
      <xdr:colOff>219074</xdr:colOff>
      <xdr:row>2</xdr:row>
      <xdr:rowOff>474345</xdr:rowOff>
    </xdr:to>
    <xdr:sp macro="" textlink="">
      <xdr:nvSpPr>
        <xdr:cNvPr id="2606" name="Outros itens essenciais" descr="&quot;&quot;" title="Overview (navigation button)">
          <a:hlinkClick xmlns:r="http://schemas.openxmlformats.org/officeDocument/2006/relationships" r:id="rId2" tooltip="Clique para ver a visão geral da festa"/>
        </xdr:cNvPr>
        <xdr:cNvSpPr/>
      </xdr:nvSpPr>
      <xdr:spPr>
        <a:xfrm>
          <a:off x="11706224" y="695325"/>
          <a:ext cx="18954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 VISÃO GERAL DA FESTA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800100</xdr:colOff>
      <xdr:row>0</xdr:row>
      <xdr:rowOff>409575</xdr:rowOff>
    </xdr:to>
    <xdr:sp macro="" textlink="">
      <xdr:nvSpPr>
        <xdr:cNvPr id="3073" name="AutoForma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800100</xdr:colOff>
      <xdr:row>0</xdr:row>
      <xdr:rowOff>409575</xdr:rowOff>
    </xdr:to>
    <xdr:sp macro="" textlink="">
      <xdr:nvSpPr>
        <xdr:cNvPr id="3333" name="AutoForma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800100</xdr:colOff>
      <xdr:row>0</xdr:row>
      <xdr:rowOff>409575</xdr:rowOff>
    </xdr:to>
    <xdr:sp macro="" textlink="">
      <xdr:nvSpPr>
        <xdr:cNvPr id="3853" name="AutoForma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Borda do Título" descr="Flourish pattern" title="Borda do Título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Grupo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Forma livre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Forma livre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Forma livre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Forma livre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Forma livre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Forma livre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Forma livre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Forma livre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Forma livre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Forma livre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Forma livre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Forma livre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Forma livre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Forma livre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Forma livre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Forma livre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Forma livre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Forma livre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Forma livre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Forma livre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Forma livre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Forma livre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Forma livre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Forma livre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Forma livre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Forma livre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Forma livre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Forma livre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Forma livre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Forma livre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Forma livre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Forma livre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Forma livre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Forma livre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Forma livre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Forma livre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Forma livre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Forma livre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Forma livre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Forma livre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Forma livre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Forma livre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Forma livre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Forma livre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Forma livre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Forma livre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Forma livre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Forma livre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Forma livre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Forma livre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Forma livre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Forma livre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Forma livre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Forma livre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Forma livre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Forma livre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Forma livre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Forma livre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Forma livre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Forma livre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Forma livre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Forma livre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Forma livre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Forma livre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Forma livre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Forma livre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Forma livre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Forma livre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Forma livre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Forma livre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Forma livre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Forma livre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Forma livre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Forma livre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Forma livre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Forma livre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Forma livre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Forma livre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Forma livre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Forma livre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Forma livre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Forma livre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Forma livre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Forma livre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Forma livre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Forma livre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Forma livre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Forma livre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Forma livre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Forma livre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Forma livre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Forma livre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Forma livre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Forma livre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Forma livre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Forma livre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Forma livre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Forma livre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Forma livre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Forma livre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Forma livre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Forma livre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Forma livre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Forma livre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Forma livre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Forma livre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Forma livre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Forma livre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Forma livre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Forma livre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Forma livre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Forma livre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Forma livre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Forma livre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Forma livre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Forma livre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Forma livre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Forma livre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Forma livre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Forma livre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Forma livre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Forma livre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Forma livre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Forma livre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Forma livre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Forma livre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Forma livre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Forma livre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Forma livre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Forma livre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Forma livre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Forma livre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Forma livre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Forma livre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Forma livre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Forma livre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Forma livre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Forma livre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Forma livre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Forma livre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Forma livre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Forma livre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Forma livre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Forma livre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Forma livre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Forma livre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Forma livre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Forma livre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Forma livre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Forma livre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Forma livre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Forma livre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Forma livre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Forma livre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Forma livre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Forma livre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Forma livre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Forma livre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Forma livre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Forma livre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Forma livre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Forma livre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Forma livre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Forma livre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Forma livre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Forma livre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Forma livre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Forma livre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Forma livre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Forma livre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Forma livre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Forma livre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Forma livre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Forma livre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Forma livre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Forma livre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Forma livre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Forma livre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Forma livre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Forma livre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Forma livre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Forma livre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Forma livre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Forma livre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Forma livre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Forma livre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Forma livre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Forma livre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Forma livre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Forma livre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Forma livre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Forma livre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Forma livre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Forma livre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Forma livre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Forma livre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Forma livre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Forma livre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Forma livre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Forma livre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Forma livre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Forma livre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Forma livre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Forma livre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Forma livre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Forma livre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Forma livre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Forma livre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Forma livre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Forma livre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Forma livre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Forma livre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Forma livre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Forma livre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Forma livre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Forma livre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Forma livre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Forma livre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Forma livre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Forma livre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Forma livre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Forma livre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Forma livre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Forma livre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Forma livre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Forma livre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Forma livre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Forma livre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Forma livre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Forma livre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Forma livre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Retângulo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Forma livre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Forma livre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Forma livre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Forma livre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Forma livre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Forma livre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Forma livre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Forma livre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Forma livre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Forma livre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Forma livre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Forma livre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Forma livre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Forma livre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Forma livre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Forma livre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Forma livre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Forma livre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Forma livre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Forma livre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Forma livre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Forma livre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Forma livre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2219324</xdr:colOff>
      <xdr:row>2</xdr:row>
      <xdr:rowOff>209550</xdr:rowOff>
    </xdr:from>
    <xdr:to>
      <xdr:col>5</xdr:col>
      <xdr:colOff>114299</xdr:colOff>
      <xdr:row>2</xdr:row>
      <xdr:rowOff>483870</xdr:rowOff>
    </xdr:to>
    <xdr:sp macro="" textlink="">
      <xdr:nvSpPr>
        <xdr:cNvPr id="1820" name="Visão geral da Festa" descr="&quot;&quot;" title="Overview (navigation button)">
          <a:hlinkClick xmlns:r="http://schemas.openxmlformats.org/officeDocument/2006/relationships" r:id="rId1" tooltip="Clique para ver a visão geral da festa"/>
        </xdr:cNvPr>
        <xdr:cNvSpPr/>
      </xdr:nvSpPr>
      <xdr:spPr>
        <a:xfrm>
          <a:off x="7905749" y="704850"/>
          <a:ext cx="19716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  VISÃO GERAL DA FESTA</a:t>
          </a: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Alimentos e Bebidas" descr="&quot;&quot;" title="Alimentos e Bebidas (navigation button)">
          <a:hlinkClick xmlns:r="http://schemas.openxmlformats.org/officeDocument/2006/relationships" r:id="rId2" tooltip="Clique para ver os detalhes de comes e bebes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200" b="1">
              <a:solidFill>
                <a:schemeClr val="bg1"/>
              </a:solidFill>
              <a:latin typeface="+mj-lt"/>
              <a:ea typeface="+mn-ea"/>
              <a:cs typeface="+mn-cs"/>
            </a:rPr>
            <a:t>COMES E BEBES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161926</xdr:colOff>
      <xdr:row>0</xdr:row>
      <xdr:rowOff>333375</xdr:rowOff>
    </xdr:from>
    <xdr:to>
      <xdr:col>34</xdr:col>
      <xdr:colOff>9526</xdr:colOff>
      <xdr:row>1</xdr:row>
      <xdr:rowOff>0</xdr:rowOff>
    </xdr:to>
    <xdr:sp macro="" textlink="">
      <xdr:nvSpPr>
        <xdr:cNvPr id="6" name="Dica" descr="Print this sheet and use it to sketch your seating arrangement!" title="Dica"/>
        <xdr:cNvSpPr txBox="1"/>
      </xdr:nvSpPr>
      <xdr:spPr>
        <a:xfrm>
          <a:off x="4981576" y="333375"/>
          <a:ext cx="2152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Imprima esta planilha e usa-a para fazer o esboço da sua organização de assentos!</a:t>
          </a:r>
          <a:endParaRPr lang="en-US" sz="1000">
            <a:effectLst/>
          </a:endParaRPr>
        </a:p>
        <a:p>
          <a:pPr algn="r"/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BudgetOverview" displayName="BudgetOverview" ref="D16:H21" totalsRowCount="1" headerRowDxfId="78">
  <tableColumns count="5">
    <tableColumn id="1" name="ITEM" totalsRowLabel="Total" dataDxfId="77" totalsRowDxfId="76"/>
    <tableColumn id="5" name="CONTAGEM" totalsRowFunction="sum" dataDxfId="75" totalsRowDxfId="74"/>
    <tableColumn id="2" name="VALOR DO ORÇAMENTO" totalsRowFunction="sum" dataDxfId="73" totalsRowDxfId="72"/>
    <tableColumn id="3" name="CUSTO TOTAL" totalsRowFunction="sum" dataDxfId="71" totalsRowDxfId="70"/>
    <tableColumn id="4" name="DIFERENÇA" totalsRowFunction="custom" dataDxfId="69" totalsRowDxfId="68">
      <calculatedColumnFormula>BudgetOverview[[#This Row],[VALOR DO ORÇAMENTO]]-BudgetOverview[[#This Row],[CUSTO TOTAL]]</calculatedColumnFormula>
      <totalsRowFormula>BudgetOverview[[#Totals],[VALOR DO ORÇAMENTO]]-BudgetOverview[[#Totals],[CUSTO TOTAL]]</totalsRow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Resumo do Orçamento" altTextSummary="Contagem de Itens do Orçamento, Valor do Orçamento, Custo Total e Diferença do Orçamento"/>
    </ext>
  </extLst>
</table>
</file>

<file path=xl/tables/table2.xml><?xml version="1.0" encoding="utf-8"?>
<table xmlns="http://schemas.openxmlformats.org/spreadsheetml/2006/main" id="11" name="AttendeeSummary" displayName="AttendeeSummary" ref="D8:H11" totalsRowCount="1" headerRowDxfId="67">
  <tableColumns count="5">
    <tableColumn id="1" name="Convidados Confirmados" totalsRowLabel="Total" totalsRowDxfId="66"/>
    <tableColumn id="2" name="Total Confirmado" totalsRowFunction="sum" dataDxfId="65" totalsRowDxfId="64"/>
    <tableColumn id="4" name="Alimentos" totalsRowFunction="custom" dataDxfId="63" totalsRowDxfId="62">
      <totalsRowFormula>"Méd.     "&amp;TEXT(SUBTOTAL(101,AttendeeSummary[Alimentos]),"R$ #.##0,00")</totalsRowFormula>
    </tableColumn>
    <tableColumn id="3" name="Outros" totalsRowFunction="custom" dataDxfId="61" totalsRowDxfId="60">
      <calculatedColumnFormula>EssentialCostPerGuest</calculatedColumnFormula>
      <totalsRowFormula>"Méd.     "&amp;TEXT(SUBTOTAL(101,AttendeeSummary[Outros]),"R$ #.##0,00")</totalsRowFormula>
    </tableColumn>
    <tableColumn id="5" name="Total" totalsRowFunction="sum" dataDxfId="59" totalsRowDxfId="58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Resumo dos Convidados" altTextSummary="Lista dos Convidados Confirmados, Custos por Convidado e Valor do Orçamento."/>
    </ext>
  </extLst>
</table>
</file>

<file path=xl/tables/table3.xml><?xml version="1.0" encoding="utf-8"?>
<table xmlns="http://schemas.openxmlformats.org/spreadsheetml/2006/main" id="1" name="GuestTable" displayName="GuestTable" ref="B7:L22" totalsRowShown="0">
  <autoFilter ref="B7:L22"/>
  <tableColumns count="11">
    <tableColumn id="1" name="NOME" dataDxfId="57"/>
    <tableColumn id="2" name="ENDEREÇO" dataDxfId="56"/>
    <tableColumn id="3" name="CIDADE" dataDxfId="55"/>
    <tableColumn id="4" name="ESTADO" dataDxfId="54"/>
    <tableColumn id="5" name="CEP" dataDxfId="53"/>
    <tableColumn id="6" name="TELEFONE" dataDxfId="52"/>
    <tableColumn id="11" name="EMAIL" dataDxfId="51"/>
    <tableColumn id="7" name="Comparecerá?" dataDxfId="50"/>
    <tableColumn id="8" name="CRIANÇAS" dataDxfId="49"/>
    <tableColumn id="9" name="ADULTOS" dataDxfId="48"/>
    <tableColumn id="10" name="TOTAL" dataDxfId="47">
      <calculatedColumnFormula>SUM(GuestTable[[#This Row],[CRIANÇAS]:[ADULTOS]])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Convidados" altTextSummary="Lista de nomes de convidados e detalhes como endereço, endereço de email, presença (sim/não), número de crianças e adultos que comparecerão e total de presenças calculadas."/>
    </ext>
  </extLst>
</table>
</file>

<file path=xl/tables/table4.xml><?xml version="1.0" encoding="utf-8"?>
<table xmlns="http://schemas.openxmlformats.org/spreadsheetml/2006/main" id="2" name="FoodTable" displayName="FoodTable" ref="B6:J25" totalsRowCount="1">
  <tableColumns count="9">
    <tableColumn id="1" name="ITEM DE COMES E BEBES" totalsRowLabel="Total" dataDxfId="46" totalsRowDxfId="45"/>
    <tableColumn id="6" name="CUSTO TOTAL" totalsRowFunction="sum" dataDxfId="44" totalsRowDxfId="43"/>
    <tableColumn id="2" name="PORÇÃO POR CRIANÇA" totalsRowFunction="sum" dataDxfId="42" totalsRowDxfId="41"/>
    <tableColumn id="3" name="PORÇÃO POR ADULTO" totalsRowFunction="sum" dataDxfId="40" totalsRowDxfId="39"/>
    <tableColumn id="4" name="TOTAL DE PORÇÕES" totalsRowFunction="sum" dataDxfId="38" totalsRowDxfId="37">
      <calculatedColumnFormula>(FoodTable[[#This Row],[PORÇÃO POR CRIANÇA]]*ChildrenTotal)+(FoodTable[[#This Row],[PORÇÃO POR ADULTO]]*AdultTotal)</calculatedColumnFormula>
    </tableColumn>
    <tableColumn id="7" name="CUSTO POR PORÇÃO" totalsRowFunction="sum" dataDxfId="36" totalsRowDxfId="35">
      <calculatedColumnFormula>IFERROR(FoodTable[[#This Row],[CUSTO TOTAL]]/FoodTable[[#This Row],[TOTAL DE PORÇÕES]],"")</calculatedColumnFormula>
    </tableColumn>
    <tableColumn id="10" name="CUSTO POR CRIANÇA" totalsRowFunction="sum" dataDxfId="34" totalsRowDxfId="33">
      <calculatedColumnFormula>IFERROR(FoodTable[[#This Row],[CUSTO POR PORÇÃO]]*FoodTable[[#This Row],[PORÇÃO POR CRIANÇA]],"")</calculatedColumnFormula>
    </tableColumn>
    <tableColumn id="9" name="CUSTO POR ADULTO" totalsRowFunction="sum" dataDxfId="32" totalsRowDxfId="31">
      <calculatedColumnFormula>IFERROR(FoodTable[[#This Row],[CUSTO POR PORÇÃO]]*FoodTable[[#This Row],[PORÇÃO POR ADULTO]],"")</calculatedColumnFormula>
    </tableColumn>
    <tableColumn id="5" name="OBSERVAÇÕES" dataDxfId="30" totalsRowDxfId="2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Comes e Bebes" altTextSummary=" Lista de itens de comes e bebes junto com o custo total, tamanho da porção para crianças e adultos, e totais calculados para porções, custo por porção, custos por criança e por adulto, além de espaço para observações."/>
    </ext>
  </extLst>
</table>
</file>

<file path=xl/tables/table5.xml><?xml version="1.0" encoding="utf-8"?>
<table xmlns="http://schemas.openxmlformats.org/spreadsheetml/2006/main" id="6" name="Table2Budget" displayName="Table2Budget" ref="B17:E22" totalsRowCount="1" headerRowDxfId="28">
  <autoFilter ref="B17:E21"/>
  <tableColumns count="4">
    <tableColumn id="1" name="Decorações" totalsRowLabel="Total" dataDxfId="27" totalsRowDxfId="26"/>
    <tableColumn id="3" name="Custo" totalsRowFunction="sum" dataDxfId="25" totalsRowDxfId="24"/>
    <tableColumn id="5" name="Comprado" dataDxfId="23" totalsRowDxfId="22"/>
    <tableColumn id="6" name="Observações" dataDxfId="21" totalsRowDxfId="20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le1Budget" displayName="Table1Budget" ref="B6:E14" totalsRowCount="1" headerRowDxfId="19">
  <autoFilter ref="B6:E13"/>
  <tableColumns count="4">
    <tableColumn id="1" name="Equipamentos e Suprimentos" totalsRowLabel="Total" dataDxfId="18" totalsRowDxfId="17"/>
    <tableColumn id="3" name="Custo" totalsRowFunction="sum" dataDxfId="16" totalsRowDxfId="15"/>
    <tableColumn id="5" name="Comprado" dataDxfId="14" totalsRowDxfId="13"/>
    <tableColumn id="6" name="Observações" dataDxfId="12" totalsRowDxfId="11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Outros Itens Essenciais" altTextSummary="Lista de outros itens, como equipamentos e suprimentos, custo, se foram comprados (sim/não) e observações."/>
    </ext>
  </extLst>
</table>
</file>

<file path=xl/tables/table7.xml><?xml version="1.0" encoding="utf-8"?>
<table xmlns="http://schemas.openxmlformats.org/spreadsheetml/2006/main" id="8" name="Table3Budget" displayName="Table3Budget" ref="B25:E30" totalsRowCount="1" headerRowDxfId="10">
  <autoFilter ref="B25:E29"/>
  <tableColumns count="4">
    <tableColumn id="1" name="Outros" totalsRowLabel="Total" dataDxfId="9" totalsRowDxfId="8"/>
    <tableColumn id="2" name="Custo" totalsRowFunction="sum" dataDxfId="7" totalsRowDxfId="6"/>
    <tableColumn id="3" name="Comprado" dataDxfId="5" totalsRowDxfId="4"/>
    <tableColumn id="4" name="Observações" dataDxfId="3" totalsRowDxfId="2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2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3.625" customWidth="1"/>
    <col min="5" max="5" width="16.375" customWidth="1"/>
    <col min="6" max="6" width="21.875" bestFit="1" customWidth="1"/>
    <col min="7" max="7" width="18.25" customWidth="1"/>
    <col min="8" max="8" width="23.375" bestFit="1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53.25" customHeight="1" x14ac:dyDescent="0.25">
      <c r="A3" s="54"/>
      <c r="B3" s="56" t="s">
        <v>179</v>
      </c>
      <c r="C3" s="54"/>
      <c r="D3" s="55"/>
      <c r="E3" s="54"/>
      <c r="F3" s="54"/>
      <c r="G3" s="54"/>
      <c r="H3" s="54"/>
      <c r="I3" s="54"/>
    </row>
    <row r="4" spans="1:9" ht="14.25" customHeight="1" x14ac:dyDescent="0.25">
      <c r="A4" s="58"/>
      <c r="B4" s="59"/>
      <c r="C4" s="58"/>
      <c r="D4" s="60"/>
      <c r="E4" s="58"/>
      <c r="F4" s="58"/>
      <c r="G4" s="58"/>
      <c r="H4" s="58"/>
      <c r="I4" s="58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94" t="str">
        <f>"OUTSTANDING RSVPS: "&amp;OutstandingRSVPs</f>
        <v>OUTSTANDING RSVPS: 2</v>
      </c>
    </row>
    <row r="7" spans="1:9" ht="21.75" customHeight="1" x14ac:dyDescent="0.35">
      <c r="B7" s="61" t="s">
        <v>161</v>
      </c>
      <c r="D7" s="95" t="s">
        <v>192</v>
      </c>
      <c r="E7" s="96"/>
      <c r="F7" s="97" t="s">
        <v>193</v>
      </c>
      <c r="G7" s="96"/>
      <c r="H7" s="62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3" t="s">
        <v>162</v>
      </c>
      <c r="G8" s="64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9">
        <f>SUMIF(GuestTable[Comparecerá?],"=Sim",GuestTable[ADULTOS])</f>
        <v>26</v>
      </c>
      <c r="F9" s="83">
        <f>FoodTable[[#Totals],[CUSTO POR ADULTO]]</f>
        <v>12.690089084110037</v>
      </c>
      <c r="G9" s="84">
        <f>EssentialCostPerGuest</f>
        <v>18.695652173913043</v>
      </c>
      <c r="H9" s="85">
        <f>(AttendeeSummary[[#This Row],[Alimentos]]+AttendeeSummary[[#This Row],[Outros]])*AdultTotal</f>
        <v>816.02927270860016</v>
      </c>
    </row>
    <row r="10" spans="1:9" s="15" customFormat="1" ht="21.75" customHeight="1" x14ac:dyDescent="0.35">
      <c r="B10" s="98">
        <v>40708</v>
      </c>
      <c r="C10" s="98"/>
      <c r="D10" s="26" t="s">
        <v>0</v>
      </c>
      <c r="E10" s="49">
        <f>SUMIF(GuestTable[Comparecerá?],"=Sim",GuestTable[CRIANÇAS])</f>
        <v>20</v>
      </c>
      <c r="F10" s="83">
        <f>FoodTable[[#Totals],[CUSTO POR CRIANÇA]]</f>
        <v>7.2528841906569532</v>
      </c>
      <c r="G10" s="84">
        <f>EssentialCostPerGuest</f>
        <v>18.695652173913043</v>
      </c>
      <c r="H10" s="85">
        <f>(AttendeeSummary[[#This Row],[Alimentos]]+AttendeeSummary[[#This Row],[Outros]])*ChildrenTotal</f>
        <v>518.97072729139995</v>
      </c>
    </row>
    <row r="11" spans="1:9" s="15" customFormat="1" ht="21.75" customHeight="1" x14ac:dyDescent="0.35">
      <c r="B11" s="71"/>
      <c r="C11" s="71"/>
      <c r="D11" s="74" t="s">
        <v>2</v>
      </c>
      <c r="E11" s="75">
        <f>SUBTOTAL(109,AttendeeSummary[Total Confirmado])</f>
        <v>46</v>
      </c>
      <c r="F11" s="87" t="str">
        <f>"Méd.     "&amp;TEXT(SUBTOTAL(101,AttendeeSummary[Alimentos]),"R$ #.##0,00")</f>
        <v>Méd.     R$ 9,97</v>
      </c>
      <c r="G11" s="88" t="str">
        <f>"Méd.     "&amp;TEXT(SUBTOTAL(101,AttendeeSummary[Outros]),"R$ #.##0,00")</f>
        <v>Méd.     R$ 18,70</v>
      </c>
      <c r="H11" s="86">
        <f>SUBTOTAL(109,AttendeeSummary[Total])</f>
        <v>1335</v>
      </c>
    </row>
    <row r="12" spans="1:9" ht="21.75" customHeight="1" x14ac:dyDescent="0.25">
      <c r="B12" s="12" t="s">
        <v>182</v>
      </c>
      <c r="D12" s="26"/>
      <c r="E12" s="23"/>
      <c r="F12" s="72"/>
      <c r="G12" s="73"/>
      <c r="H12" s="28"/>
    </row>
    <row r="13" spans="1:9" s="13" customFormat="1" ht="21.75" customHeight="1" x14ac:dyDescent="0.35">
      <c r="A13" s="15"/>
      <c r="B13" s="61" t="s">
        <v>160</v>
      </c>
      <c r="D13"/>
      <c r="E13"/>
      <c r="F13"/>
      <c r="G13"/>
      <c r="H13"/>
    </row>
    <row r="14" spans="1:9" ht="21.75" customHeight="1" x14ac:dyDescent="0.25">
      <c r="D14" s="16"/>
      <c r="E14" s="17"/>
      <c r="F14" s="18"/>
      <c r="G14" s="18"/>
      <c r="H14" s="19"/>
    </row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61" t="s">
        <v>177</v>
      </c>
      <c r="D16" s="25" t="s">
        <v>186</v>
      </c>
      <c r="E16" s="50" t="s">
        <v>187</v>
      </c>
      <c r="F16" s="51" t="s">
        <v>188</v>
      </c>
      <c r="G16" s="51" t="s">
        <v>189</v>
      </c>
      <c r="H16" s="24" t="s">
        <v>190</v>
      </c>
    </row>
    <row r="17" spans="4:8" ht="21.75" customHeight="1" x14ac:dyDescent="0.25">
      <c r="D17" s="25" t="s">
        <v>157</v>
      </c>
      <c r="E17" s="52">
        <f>COUNTA(FoodTable[ITEM DE COMES E BEBES])</f>
        <v>18</v>
      </c>
      <c r="F17" s="89">
        <v>500</v>
      </c>
      <c r="G17" s="89">
        <f>FoodTable[[#Totals],[CUSTO TOTAL]]</f>
        <v>475</v>
      </c>
      <c r="H17" s="90">
        <f>BudgetOverview[[#This Row],[VALOR DO ORÇAMENTO]]-BudgetOverview[[#This Row],[CUSTO TOTAL]]</f>
        <v>25</v>
      </c>
    </row>
    <row r="18" spans="4:8" ht="21.75" customHeight="1" x14ac:dyDescent="0.25">
      <c r="D18" s="25" t="str">
        <f>Table1Header</f>
        <v>Equipamentos e Suprimentos</v>
      </c>
      <c r="E18" s="52">
        <f>COUNTA(Table1Budget[Equipamentos e Suprimentos])</f>
        <v>7</v>
      </c>
      <c r="F18" s="89">
        <v>400</v>
      </c>
      <c r="G18" s="89">
        <f>Table1Budget[[#Totals],[Custo]]</f>
        <v>400</v>
      </c>
      <c r="H18" s="90">
        <f>BudgetOverview[[#This Row],[VALOR DO ORÇAMENTO]]-BudgetOverview[[#This Row],[CUSTO TOTAL]]</f>
        <v>0</v>
      </c>
    </row>
    <row r="19" spans="4:8" ht="21.75" customHeight="1" x14ac:dyDescent="0.25">
      <c r="D19" s="25" t="str">
        <f>Table2Header</f>
        <v>Decorações</v>
      </c>
      <c r="E19" s="52">
        <f>COUNTA(Table2Budget[Decorações])</f>
        <v>4</v>
      </c>
      <c r="F19" s="89">
        <v>150</v>
      </c>
      <c r="G19" s="89">
        <f>Table2Budget[[#Totals],[Custo]]</f>
        <v>175</v>
      </c>
      <c r="H19" s="90">
        <f>BudgetOverview[[#This Row],[VALOR DO ORÇAMENTO]]-BudgetOverview[[#This Row],[CUSTO TOTAL]]</f>
        <v>-25</v>
      </c>
    </row>
    <row r="20" spans="4:8" ht="21.75" customHeight="1" x14ac:dyDescent="0.25">
      <c r="D20" s="25" t="str">
        <f>Table3Header</f>
        <v>Outros</v>
      </c>
      <c r="E20" s="52">
        <f>COUNTA(Table3Budget[Outros])</f>
        <v>4</v>
      </c>
      <c r="F20" s="89">
        <v>300</v>
      </c>
      <c r="G20" s="89">
        <f>Table3Budget[[#Totals],[Custo]]</f>
        <v>285</v>
      </c>
      <c r="H20" s="90">
        <f>BudgetOverview[[#This Row],[VALOR DO ORÇAMENTO]]-BudgetOverview[[#This Row],[CUSTO TOTAL]]</f>
        <v>15</v>
      </c>
    </row>
    <row r="21" spans="4:8" ht="21.75" customHeight="1" x14ac:dyDescent="0.25">
      <c r="D21" s="25" t="s">
        <v>2</v>
      </c>
      <c r="E21" s="52">
        <f>SUBTOTAL(109,BudgetOverview[CONTAGEM])</f>
        <v>33</v>
      </c>
      <c r="F21" s="89">
        <f>SUBTOTAL(109,BudgetOverview[VALOR DO ORÇAMENTO])</f>
        <v>1350</v>
      </c>
      <c r="G21" s="89">
        <f>SUBTOTAL(109,BudgetOverview[CUSTO TOTAL])</f>
        <v>1335</v>
      </c>
      <c r="H21" s="90">
        <f>BudgetOverview[[#Totals],[VALOR DO ORÇAMENTO]]-BudgetOverview[[#Totals],[CUSTO TOTAL]]</f>
        <v>15</v>
      </c>
    </row>
    <row r="22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1" priority="2">
      <formula>OutstandingRSVPs&gt;0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9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26.25" customWidth="1"/>
    <col min="4" max="4" width="18.75" customWidth="1"/>
    <col min="5" max="5" width="13.5" customWidth="1"/>
    <col min="6" max="6" width="11.25" customWidth="1"/>
    <col min="7" max="7" width="13.75" customWidth="1"/>
    <col min="8" max="8" width="15.75" customWidth="1"/>
    <col min="9" max="9" width="17.875" customWidth="1"/>
    <col min="10" max="10" width="14" customWidth="1"/>
    <col min="11" max="11" width="15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53.25" customHeight="1" x14ac:dyDescent="0.25">
      <c r="A3" s="54"/>
      <c r="B3" s="57" t="s">
        <v>194</v>
      </c>
      <c r="C3" s="54"/>
      <c r="D3" s="55"/>
      <c r="E3" s="54"/>
      <c r="F3" s="54"/>
      <c r="G3" s="54"/>
      <c r="H3" s="54"/>
      <c r="I3" s="54"/>
      <c r="J3" s="54"/>
      <c r="K3" s="54"/>
      <c r="L3" s="54"/>
      <c r="M3" s="54"/>
    </row>
    <row r="4" spans="1:13" s="29" customFormat="1" ht="14.25" customHeight="1" x14ac:dyDescent="0.25">
      <c r="A4" s="66"/>
      <c r="B4" s="67"/>
      <c r="C4" s="66"/>
      <c r="D4" s="68"/>
      <c r="E4" s="66"/>
      <c r="F4" s="66"/>
      <c r="G4" s="66"/>
      <c r="H4" s="66"/>
      <c r="I4" s="66"/>
      <c r="J4" s="66"/>
      <c r="K4" s="66"/>
      <c r="L4" s="66"/>
      <c r="M4" s="66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9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8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SUM(GuestTable[[#This Row],[CRIANÇAS]:[ADULTOS]])</f>
        <v>4</v>
      </c>
    </row>
    <row r="9" spans="1:13" s="29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8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SUM(GuestTable[[#This Row],[CRIANÇAS]:[ADULTOS]])</f>
        <v>2</v>
      </c>
    </row>
    <row r="10" spans="1:13" s="29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8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SUM(GuestTable[[#This Row],[CRIANÇAS]:[ADULTOS]])</f>
        <v>6</v>
      </c>
    </row>
    <row r="11" spans="1:13" s="29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8" t="s">
        <v>136</v>
      </c>
      <c r="H11" s="26" t="s">
        <v>122</v>
      </c>
      <c r="I11" s="23"/>
      <c r="J11" s="23"/>
      <c r="K11" s="23">
        <v>2</v>
      </c>
      <c r="L11" s="23">
        <f>SUM(GuestTable[[#This Row],[CRIANÇAS]:[ADULTOS]])</f>
        <v>2</v>
      </c>
    </row>
    <row r="12" spans="1:13" s="29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8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SUM(GuestTable[[#This Row],[CRIANÇAS]:[ADULTOS]])</f>
        <v>7</v>
      </c>
    </row>
    <row r="13" spans="1:13" s="29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8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SUM(GuestTable[[#This Row],[CRIANÇAS]:[ADULTOS]])</f>
        <v>4</v>
      </c>
    </row>
    <row r="14" spans="1:13" s="29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8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SUM(GuestTable[[#This Row],[CRIANÇAS]:[ADULTOS]])</f>
        <v>5</v>
      </c>
    </row>
    <row r="15" spans="1:13" s="29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8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SUM(GuestTable[[#This Row],[CRIANÇAS]:[ADULTOS]])</f>
        <v>8</v>
      </c>
    </row>
    <row r="16" spans="1:13" s="29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8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SUM(GuestTable[[#This Row],[CRIANÇAS]:[ADULTOS]])</f>
        <v>5</v>
      </c>
    </row>
    <row r="17" spans="2:12" s="29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8" t="s">
        <v>142</v>
      </c>
      <c r="H17" s="26" t="s">
        <v>128</v>
      </c>
      <c r="I17" s="23" t="s">
        <v>4</v>
      </c>
      <c r="J17" s="23"/>
      <c r="K17" s="23">
        <v>4</v>
      </c>
      <c r="L17" s="23">
        <f>SUM(GuestTable[[#This Row],[CRIANÇAS]:[ADULTOS]])</f>
        <v>4</v>
      </c>
    </row>
    <row r="18" spans="2:12" s="29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8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SUM(GuestTable[[#This Row],[CRIANÇAS]:[ADULTOS]])</f>
        <v>8</v>
      </c>
    </row>
    <row r="19" spans="2:12" s="29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8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SUM(GuestTable[[#This Row],[CRIANÇAS]:[ADULTOS]])</f>
        <v>5</v>
      </c>
    </row>
    <row r="20" spans="2:12" s="29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8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SUM(GuestTable[[#This Row],[CRIANÇAS]:[ADULTOS]])</f>
        <v>5</v>
      </c>
    </row>
    <row r="21" spans="2:12" s="29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8" t="s">
        <v>146</v>
      </c>
      <c r="H21" s="26" t="s">
        <v>132</v>
      </c>
      <c r="I21" s="23" t="s">
        <v>5</v>
      </c>
      <c r="J21" s="23"/>
      <c r="K21" s="23">
        <v>1</v>
      </c>
      <c r="L21" s="23">
        <f>SUM(GuestTable[[#This Row],[CRIANÇAS]:[ADULTOS]])</f>
        <v>1</v>
      </c>
    </row>
    <row r="22" spans="2:12" s="29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8" t="s">
        <v>147</v>
      </c>
      <c r="H22" s="26" t="s">
        <v>133</v>
      </c>
      <c r="I22" s="23"/>
      <c r="J22" s="23"/>
      <c r="K22" s="23">
        <v>2</v>
      </c>
      <c r="L22" s="23">
        <f>SUM(GuestTable[[#This Row],[CRIANÇAS]:[ADULTOS]])</f>
        <v>2</v>
      </c>
    </row>
  </sheetData>
  <dataValidations count="2">
    <dataValidation type="list" allowBlank="1" sqref="I11 I22">
      <formula1>"Yes,No"</formula1>
    </dataValidation>
    <dataValidation type="list" allowBlank="1" sqref="I8:I10 I12:I21">
      <formula1>"Sim,Não"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3" width="14.875" customWidth="1"/>
    <col min="4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53.25" customHeight="1" x14ac:dyDescent="0.25">
      <c r="A3" s="54"/>
      <c r="B3" s="57" t="s">
        <v>195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33" customHeight="1" x14ac:dyDescent="0.2">
      <c r="B5" s="30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91">
        <v>15</v>
      </c>
      <c r="D7" s="23">
        <v>0.5</v>
      </c>
      <c r="E7" s="23">
        <v>2</v>
      </c>
      <c r="F7" s="32">
        <f>(FoodTable[[#This Row],[PORÇÃO POR CRIANÇA]]*ChildrenTotal)+(FoodTable[[#This Row],[PORÇÃO POR ADULTO]]*AdultTotal)</f>
        <v>62</v>
      </c>
      <c r="G7" s="53">
        <f>IFERROR(FoodTable[[#This Row],[CUSTO TOTAL]]/FoodTable[[#This Row],[TOTAL DE PORÇÕES]],"")</f>
        <v>0.24193548387096775</v>
      </c>
      <c r="H7" s="91">
        <f>IFERROR(FoodTable[[#This Row],[CUSTO POR PORÇÃO]]*FoodTable[[#This Row],[PORÇÃO POR CRIANÇA]],"")</f>
        <v>0.12096774193548387</v>
      </c>
      <c r="I7" s="91">
        <f>IFERROR(FoodTable[[#This Row],[CUSTO POR PORÇÃO]]*FoodTable[[#This Row],[PORÇÃO POR ADULTO]],"")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91">
        <v>15</v>
      </c>
      <c r="D8" s="23">
        <v>2</v>
      </c>
      <c r="E8" s="23">
        <v>0</v>
      </c>
      <c r="F8" s="32">
        <f>(FoodTable[[#This Row],[PORÇÃO POR CRIANÇA]]*ChildrenTotal)+(FoodTable[[#This Row],[PORÇÃO POR ADULTO]]*AdultTotal)</f>
        <v>40</v>
      </c>
      <c r="G8" s="91">
        <f>IFERROR(FoodTable[[#This Row],[CUSTO TOTAL]]/FoodTable[[#This Row],[TOTAL DE PORÇÕES]],"")</f>
        <v>0.375</v>
      </c>
      <c r="H8" s="91">
        <f>IFERROR(FoodTable[[#This Row],[CUSTO POR PORÇÃO]]*FoodTable[[#This Row],[PORÇÃO POR CRIANÇA]],"")</f>
        <v>0.75</v>
      </c>
      <c r="I8" s="91">
        <f>IFERROR(FoodTable[[#This Row],[CUSTO POR PORÇÃO]]*FoodTable[[#This Row],[PORÇÃO POR ADULTO]],"")</f>
        <v>0</v>
      </c>
      <c r="J8" s="22" t="s">
        <v>173</v>
      </c>
    </row>
    <row r="9" spans="1:11" ht="18" customHeight="1" x14ac:dyDescent="0.25">
      <c r="B9" s="26" t="s">
        <v>27</v>
      </c>
      <c r="C9" s="91">
        <v>50</v>
      </c>
      <c r="D9" s="23">
        <v>0</v>
      </c>
      <c r="E9" s="23">
        <v>2</v>
      </c>
      <c r="F9" s="32">
        <f>(FoodTable[[#This Row],[PORÇÃO POR CRIANÇA]]*ChildrenTotal)+(FoodTable[[#This Row],[PORÇÃO POR ADULTO]]*AdultTotal)</f>
        <v>52</v>
      </c>
      <c r="G9" s="91">
        <f>IFERROR(FoodTable[[#This Row],[CUSTO TOTAL]]/FoodTable[[#This Row],[TOTAL DE PORÇÕES]],"")</f>
        <v>0.96153846153846156</v>
      </c>
      <c r="H9" s="91">
        <f>IFERROR(FoodTable[[#This Row],[CUSTO POR PORÇÃO]]*FoodTable[[#This Row],[PORÇÃO POR CRIANÇA]],"")</f>
        <v>0</v>
      </c>
      <c r="I9" s="91">
        <f>IFERROR(FoodTable[[#This Row],[CUSTO POR PORÇÃO]]*FoodTable[[#This Row],[PORÇÃO POR ADULTO]],"")</f>
        <v>1.9230769230769231</v>
      </c>
      <c r="J9" s="22"/>
    </row>
    <row r="10" spans="1:11" ht="18" customHeight="1" x14ac:dyDescent="0.25">
      <c r="B10" s="26" t="s">
        <v>35</v>
      </c>
      <c r="C10" s="91">
        <v>75</v>
      </c>
      <c r="D10" s="23">
        <v>1</v>
      </c>
      <c r="E10" s="23">
        <v>1</v>
      </c>
      <c r="F10" s="32">
        <f>(FoodTable[[#This Row],[PORÇÃO POR CRIANÇA]]*ChildrenTotal)+(FoodTable[[#This Row],[PORÇÃO POR ADULTO]]*AdultTotal)</f>
        <v>46</v>
      </c>
      <c r="G10" s="91">
        <f>IFERROR(FoodTable[[#This Row],[CUSTO TOTAL]]/FoodTable[[#This Row],[TOTAL DE PORÇÕES]],"")</f>
        <v>1.6304347826086956</v>
      </c>
      <c r="H10" s="91">
        <f>IFERROR(FoodTable[[#This Row],[CUSTO POR PORÇÃO]]*FoodTable[[#This Row],[PORÇÃO POR CRIANÇA]],"")</f>
        <v>1.6304347826086956</v>
      </c>
      <c r="I10" s="91">
        <f>IFERROR(FoodTable[[#This Row],[CUSTO POR PORÇÃO]]*FoodTable[[#This Row],[PORÇÃO POR ADULTO]],"")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91">
        <v>20</v>
      </c>
      <c r="D11" s="23">
        <v>1</v>
      </c>
      <c r="E11" s="23">
        <v>1.5</v>
      </c>
      <c r="F11" s="32">
        <f>(FoodTable[[#This Row],[PORÇÃO POR CRIANÇA]]*ChildrenTotal)+(FoodTable[[#This Row],[PORÇÃO POR ADULTO]]*AdultTotal)</f>
        <v>59</v>
      </c>
      <c r="G11" s="91">
        <f>IFERROR(FoodTable[[#This Row],[CUSTO TOTAL]]/FoodTable[[#This Row],[TOTAL DE PORÇÕES]],"")</f>
        <v>0.33898305084745761</v>
      </c>
      <c r="H11" s="91">
        <f>IFERROR(FoodTable[[#This Row],[CUSTO POR PORÇÃO]]*FoodTable[[#This Row],[PORÇÃO POR CRIANÇA]],"")</f>
        <v>0.33898305084745761</v>
      </c>
      <c r="I11" s="91">
        <f>IFERROR(FoodTable[[#This Row],[CUSTO POR PORÇÃO]]*FoodTable[[#This Row],[PORÇÃO POR ADULTO]],"")</f>
        <v>0.50847457627118642</v>
      </c>
      <c r="J11" s="22"/>
    </row>
    <row r="12" spans="1:11" ht="18" customHeight="1" x14ac:dyDescent="0.25">
      <c r="B12" s="26" t="s">
        <v>3</v>
      </c>
      <c r="C12" s="91">
        <v>15</v>
      </c>
      <c r="D12" s="23">
        <v>1</v>
      </c>
      <c r="E12" s="23">
        <v>0</v>
      </c>
      <c r="F12" s="32">
        <f>(FoodTable[[#This Row],[PORÇÃO POR CRIANÇA]]*ChildrenTotal)+(FoodTable[[#This Row],[PORÇÃO POR ADULTO]]*AdultTotal)</f>
        <v>20</v>
      </c>
      <c r="G12" s="91">
        <f>IFERROR(FoodTable[[#This Row],[CUSTO TOTAL]]/FoodTable[[#This Row],[TOTAL DE PORÇÕES]],"")</f>
        <v>0.75</v>
      </c>
      <c r="H12" s="91">
        <f>IFERROR(FoodTable[[#This Row],[CUSTO POR PORÇÃO]]*FoodTable[[#This Row],[PORÇÃO POR CRIANÇA]],"")</f>
        <v>0.75</v>
      </c>
      <c r="I12" s="91">
        <f>IFERROR(FoodTable[[#This Row],[CUSTO POR PORÇÃO]]*FoodTable[[#This Row],[PORÇÃO POR ADULTO]],"")</f>
        <v>0</v>
      </c>
      <c r="J12" s="22" t="s">
        <v>174</v>
      </c>
    </row>
    <row r="13" spans="1:11" ht="18" customHeight="1" x14ac:dyDescent="0.25">
      <c r="B13" s="26" t="s">
        <v>6</v>
      </c>
      <c r="C13" s="91">
        <v>32</v>
      </c>
      <c r="D13" s="23">
        <v>1</v>
      </c>
      <c r="E13" s="23">
        <v>2</v>
      </c>
      <c r="F13" s="32">
        <f>(FoodTable[[#This Row],[PORÇÃO POR CRIANÇA]]*ChildrenTotal)+(FoodTable[[#This Row],[PORÇÃO POR ADULTO]]*AdultTotal)</f>
        <v>72</v>
      </c>
      <c r="G13" s="91">
        <f>IFERROR(FoodTable[[#This Row],[CUSTO TOTAL]]/FoodTable[[#This Row],[TOTAL DE PORÇÕES]],"")</f>
        <v>0.44444444444444442</v>
      </c>
      <c r="H13" s="91">
        <f>IFERROR(FoodTable[[#This Row],[CUSTO POR PORÇÃO]]*FoodTable[[#This Row],[PORÇÃO POR CRIANÇA]],"")</f>
        <v>0.44444444444444442</v>
      </c>
      <c r="I13" s="91">
        <f>IFERROR(FoodTable[[#This Row],[CUSTO POR PORÇÃO]]*FoodTable[[#This Row],[PORÇÃO POR ADULTO]],"")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91">
        <v>22</v>
      </c>
      <c r="D14" s="23">
        <v>0</v>
      </c>
      <c r="E14" s="23">
        <v>3</v>
      </c>
      <c r="F14" s="32">
        <f>(FoodTable[[#This Row],[PORÇÃO POR CRIANÇA]]*ChildrenTotal)+(FoodTable[[#This Row],[PORÇÃO POR ADULTO]]*AdultTotal)</f>
        <v>78</v>
      </c>
      <c r="G14" s="91">
        <f>IFERROR(FoodTable[[#This Row],[CUSTO TOTAL]]/FoodTable[[#This Row],[TOTAL DE PORÇÕES]],"")</f>
        <v>0.28205128205128205</v>
      </c>
      <c r="H14" s="91">
        <f>IFERROR(FoodTable[[#This Row],[CUSTO POR PORÇÃO]]*FoodTable[[#This Row],[PORÇÃO POR CRIANÇA]],"")</f>
        <v>0</v>
      </c>
      <c r="I14" s="91">
        <f>IFERROR(FoodTable[[#This Row],[CUSTO POR PORÇÃO]]*FoodTable[[#This Row],[PORÇÃO POR ADULTO]],"")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91">
        <v>50</v>
      </c>
      <c r="D15" s="23">
        <v>1</v>
      </c>
      <c r="E15" s="23">
        <v>2</v>
      </c>
      <c r="F15" s="32">
        <f>(FoodTable[[#This Row],[PORÇÃO POR CRIANÇA]]*ChildrenTotal)+(FoodTable[[#This Row],[PORÇÃO POR ADULTO]]*AdultTotal)</f>
        <v>72</v>
      </c>
      <c r="G15" s="91">
        <f>IFERROR(FoodTable[[#This Row],[CUSTO TOTAL]]/FoodTable[[#This Row],[TOTAL DE PORÇÕES]],"")</f>
        <v>0.69444444444444442</v>
      </c>
      <c r="H15" s="91">
        <f>IFERROR(FoodTable[[#This Row],[CUSTO POR PORÇÃO]]*FoodTable[[#This Row],[PORÇÃO POR CRIANÇA]],"")</f>
        <v>0.69444444444444442</v>
      </c>
      <c r="I15" s="91">
        <f>IFERROR(FoodTable[[#This Row],[CUSTO POR PORÇÃO]]*FoodTable[[#This Row],[PORÇÃO POR ADULTO]],"")</f>
        <v>1.3888888888888888</v>
      </c>
      <c r="J15" s="22"/>
    </row>
    <row r="16" spans="1:11" ht="18" customHeight="1" x14ac:dyDescent="0.25">
      <c r="B16" s="26" t="s">
        <v>164</v>
      </c>
      <c r="C16" s="91">
        <v>20</v>
      </c>
      <c r="D16" s="23">
        <v>1</v>
      </c>
      <c r="E16" s="23">
        <v>2</v>
      </c>
      <c r="F16" s="32">
        <f>(FoodTable[[#This Row],[PORÇÃO POR CRIANÇA]]*ChildrenTotal)+(FoodTable[[#This Row],[PORÇÃO POR ADULTO]]*AdultTotal)</f>
        <v>72</v>
      </c>
      <c r="G16" s="91">
        <f>IFERROR(FoodTable[[#This Row],[CUSTO TOTAL]]/FoodTable[[#This Row],[TOTAL DE PORÇÕES]],"")</f>
        <v>0.27777777777777779</v>
      </c>
      <c r="H16" s="91">
        <f>IFERROR(FoodTable[[#This Row],[CUSTO POR PORÇÃO]]*FoodTable[[#This Row],[PORÇÃO POR CRIANÇA]],"")</f>
        <v>0.27777777777777779</v>
      </c>
      <c r="I16" s="91">
        <f>IFERROR(FoodTable[[#This Row],[CUSTO POR PORÇÃO]]*FoodTable[[#This Row],[PORÇÃO POR ADULTO]],"")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91">
        <v>10</v>
      </c>
      <c r="D17" s="23">
        <v>1</v>
      </c>
      <c r="E17" s="23">
        <v>2</v>
      </c>
      <c r="F17" s="32">
        <f>(FoodTable[[#This Row],[PORÇÃO POR CRIANÇA]]*ChildrenTotal)+(FoodTable[[#This Row],[PORÇÃO POR ADULTO]]*AdultTotal)</f>
        <v>72</v>
      </c>
      <c r="G17" s="91">
        <f>IFERROR(FoodTable[[#This Row],[CUSTO TOTAL]]/FoodTable[[#This Row],[TOTAL DE PORÇÕES]],"")</f>
        <v>0.1388888888888889</v>
      </c>
      <c r="H17" s="91">
        <f>IFERROR(FoodTable[[#This Row],[CUSTO POR PORÇÃO]]*FoodTable[[#This Row],[PORÇÃO POR CRIANÇA]],"")</f>
        <v>0.1388888888888889</v>
      </c>
      <c r="I17" s="91">
        <f>IFERROR(FoodTable[[#This Row],[CUSTO POR PORÇÃO]]*FoodTable[[#This Row],[PORÇÃO POR ADULTO]],"")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91">
        <v>12</v>
      </c>
      <c r="D18" s="23">
        <v>1</v>
      </c>
      <c r="E18" s="23">
        <v>2</v>
      </c>
      <c r="F18" s="32">
        <f>(FoodTable[[#This Row],[PORÇÃO POR CRIANÇA]]*ChildrenTotal)+(FoodTable[[#This Row],[PORÇÃO POR ADULTO]]*AdultTotal)</f>
        <v>72</v>
      </c>
      <c r="G18" s="91">
        <f>IFERROR(FoodTable[[#This Row],[CUSTO TOTAL]]/FoodTable[[#This Row],[TOTAL DE PORÇÕES]],"")</f>
        <v>0.16666666666666666</v>
      </c>
      <c r="H18" s="91">
        <f>IFERROR(FoodTable[[#This Row],[CUSTO POR PORÇÃO]]*FoodTable[[#This Row],[PORÇÃO POR CRIANÇA]],"")</f>
        <v>0.16666666666666666</v>
      </c>
      <c r="I18" s="91">
        <f>IFERROR(FoodTable[[#This Row],[CUSTO POR PORÇÃO]]*FoodTable[[#This Row],[PORÇÃO POR ADULTO]],"")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91">
        <v>45</v>
      </c>
      <c r="D19" s="23">
        <v>2</v>
      </c>
      <c r="E19" s="23">
        <v>4</v>
      </c>
      <c r="F19" s="32">
        <f>(FoodTable[[#This Row],[PORÇÃO POR CRIANÇA]]*ChildrenTotal)+(FoodTable[[#This Row],[PORÇÃO POR ADULTO]]*AdultTotal)</f>
        <v>144</v>
      </c>
      <c r="G19" s="91">
        <f>IFERROR(FoodTable[[#This Row],[CUSTO TOTAL]]/FoodTable[[#This Row],[TOTAL DE PORÇÕES]],"")</f>
        <v>0.3125</v>
      </c>
      <c r="H19" s="91">
        <f>IFERROR(FoodTable[[#This Row],[CUSTO POR PORÇÃO]]*FoodTable[[#This Row],[PORÇÃO POR CRIANÇA]],"")</f>
        <v>0.625</v>
      </c>
      <c r="I19" s="91">
        <f>IFERROR(FoodTable[[#This Row],[CUSTO POR PORÇÃO]]*FoodTable[[#This Row],[PORÇÃO POR ADULTO]],"")</f>
        <v>1.25</v>
      </c>
      <c r="J19" s="22" t="s">
        <v>149</v>
      </c>
    </row>
    <row r="20" spans="2:10" ht="18" customHeight="1" x14ac:dyDescent="0.25">
      <c r="B20" s="26" t="s">
        <v>52</v>
      </c>
      <c r="C20" s="91">
        <v>10</v>
      </c>
      <c r="D20" s="23">
        <v>4</v>
      </c>
      <c r="E20" s="23">
        <v>6</v>
      </c>
      <c r="F20" s="32">
        <f>(FoodTable[[#This Row],[PORÇÃO POR CRIANÇA]]*ChildrenTotal)+(FoodTable[[#This Row],[PORÇÃO POR ADULTO]]*AdultTotal)</f>
        <v>236</v>
      </c>
      <c r="G20" s="91">
        <f>IFERROR(FoodTable[[#This Row],[CUSTO TOTAL]]/FoodTable[[#This Row],[TOTAL DE PORÇÕES]],"")</f>
        <v>4.2372881355932202E-2</v>
      </c>
      <c r="H20" s="91">
        <f>IFERROR(FoodTable[[#This Row],[CUSTO POR PORÇÃO]]*FoodTable[[#This Row],[PORÇÃO POR CRIANÇA]],"")</f>
        <v>0.16949152542372881</v>
      </c>
      <c r="I20" s="91">
        <f>IFERROR(FoodTable[[#This Row],[CUSTO POR PORÇÃO]]*FoodTable[[#This Row],[PORÇÃO POR ADULTO]],"")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91">
        <v>14</v>
      </c>
      <c r="D21" s="23">
        <v>4</v>
      </c>
      <c r="E21" s="23">
        <v>6</v>
      </c>
      <c r="F21" s="32">
        <f>(FoodTable[[#This Row],[PORÇÃO POR CRIANÇA]]*ChildrenTotal)+(FoodTable[[#This Row],[PORÇÃO POR ADULTO]]*AdultTotal)</f>
        <v>236</v>
      </c>
      <c r="G21" s="91">
        <f>IFERROR(FoodTable[[#This Row],[CUSTO TOTAL]]/FoodTable[[#This Row],[TOTAL DE PORÇÕES]],"")</f>
        <v>5.9322033898305086E-2</v>
      </c>
      <c r="H21" s="91">
        <f>IFERROR(FoodTable[[#This Row],[CUSTO POR PORÇÃO]]*FoodTable[[#This Row],[PORÇÃO POR CRIANÇA]],"")</f>
        <v>0.23728813559322035</v>
      </c>
      <c r="I21" s="91">
        <f>IFERROR(FoodTable[[#This Row],[CUSTO POR PORÇÃO]]*FoodTable[[#This Row],[PORÇÃO POR ADULTO]],"")</f>
        <v>0.3559322033898305</v>
      </c>
      <c r="J21" s="22" t="s">
        <v>56</v>
      </c>
    </row>
    <row r="22" spans="2:10" ht="29.25" customHeight="1" x14ac:dyDescent="0.25">
      <c r="B22" s="26" t="s">
        <v>55</v>
      </c>
      <c r="C22" s="91">
        <v>30</v>
      </c>
      <c r="D22" s="23">
        <v>4</v>
      </c>
      <c r="E22" s="23">
        <v>10</v>
      </c>
      <c r="F22" s="32">
        <f>(FoodTable[[#This Row],[PORÇÃO POR CRIANÇA]]*ChildrenTotal)+(FoodTable[[#This Row],[PORÇÃO POR ADULTO]]*AdultTotal)</f>
        <v>340</v>
      </c>
      <c r="G22" s="91">
        <f>IFERROR(FoodTable[[#This Row],[CUSTO TOTAL]]/FoodTable[[#This Row],[TOTAL DE PORÇÕES]],"")</f>
        <v>8.8235294117647065E-2</v>
      </c>
      <c r="H22" s="91">
        <f>IFERROR(FoodTable[[#This Row],[CUSTO POR PORÇÃO]]*FoodTable[[#This Row],[PORÇÃO POR CRIANÇA]],"")</f>
        <v>0.35294117647058826</v>
      </c>
      <c r="I22" s="91">
        <f>IFERROR(FoodTable[[#This Row],[CUSTO POR PORÇÃO]]*FoodTable[[#This Row],[PORÇÃO POR ADULTO]],"")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91">
        <v>15</v>
      </c>
      <c r="D23" s="23">
        <v>5</v>
      </c>
      <c r="E23" s="23">
        <v>10</v>
      </c>
      <c r="F23" s="32">
        <f>(FoodTable[[#This Row],[PORÇÃO POR CRIANÇA]]*ChildrenTotal)+(FoodTable[[#This Row],[PORÇÃO POR ADULTO]]*AdultTotal)</f>
        <v>360</v>
      </c>
      <c r="G23" s="91">
        <f>IFERROR(FoodTable[[#This Row],[CUSTO TOTAL]]/FoodTable[[#This Row],[TOTAL DE PORÇÕES]],"")</f>
        <v>4.1666666666666664E-2</v>
      </c>
      <c r="H23" s="91">
        <f>IFERROR(FoodTable[[#This Row],[CUSTO POR PORÇÃO]]*FoodTable[[#This Row],[PORÇÃO POR CRIANÇA]],"")</f>
        <v>0.20833333333333331</v>
      </c>
      <c r="I23" s="91">
        <f>IFERROR(FoodTable[[#This Row],[CUSTO POR PORÇÃO]]*FoodTable[[#This Row],[PORÇÃO POR ADULTO]],"")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91">
        <v>25</v>
      </c>
      <c r="D24" s="23">
        <v>5</v>
      </c>
      <c r="E24" s="23">
        <v>10</v>
      </c>
      <c r="F24" s="32">
        <f>(FoodTable[[#This Row],[PORÇÃO POR CRIANÇA]]*ChildrenTotal)+(FoodTable[[#This Row],[PORÇÃO POR ADULTO]]*AdultTotal)</f>
        <v>360</v>
      </c>
      <c r="G24" s="91">
        <f>IFERROR(FoodTable[[#This Row],[CUSTO TOTAL]]/FoodTable[[#This Row],[TOTAL DE PORÇÕES]],"")</f>
        <v>6.9444444444444448E-2</v>
      </c>
      <c r="H24" s="91">
        <f>IFERROR(FoodTable[[#This Row],[CUSTO POR PORÇÃO]]*FoodTable[[#This Row],[PORÇÃO POR CRIANÇA]],"")</f>
        <v>0.34722222222222221</v>
      </c>
      <c r="I24" s="91">
        <f>IFERROR(FoodTable[[#This Row],[CUSTO POR PORÇÃO]]*FoodTable[[#This Row],[PORÇÃO POR ADULTO]],"")</f>
        <v>0.69444444444444442</v>
      </c>
      <c r="J24" s="22" t="s">
        <v>172</v>
      </c>
    </row>
    <row r="25" spans="2:10" ht="18" customHeight="1" x14ac:dyDescent="0.25">
      <c r="B25" s="74" t="s">
        <v>2</v>
      </c>
      <c r="C25" s="92">
        <f>SUBTOTAL(109,FoodTable[CUSTO TOTAL])</f>
        <v>475</v>
      </c>
      <c r="D25" s="78">
        <f>SUBTOTAL(109,FoodTable[PORÇÃO POR CRIANÇA])</f>
        <v>34.5</v>
      </c>
      <c r="E25" s="78">
        <f>SUBTOTAL(109,FoodTable[PORÇÃO POR ADULTO])</f>
        <v>65.5</v>
      </c>
      <c r="F25" s="78">
        <f>SUBTOTAL(109,FoodTable[TOTAL DE PORÇÕES])</f>
        <v>2393</v>
      </c>
      <c r="G25" s="92">
        <f>SUBTOTAL(109,FoodTable[CUSTO POR PORÇÃO])</f>
        <v>6.915706603622084</v>
      </c>
      <c r="H25" s="92">
        <f>SUBTOTAL(109,FoodTable[CUSTO POR CRIANÇA])</f>
        <v>7.2528841906569532</v>
      </c>
      <c r="I25" s="92">
        <f>SUBTOTAL(109,FoodTable[CUSTO POR ADULTO])</f>
        <v>12.690089084110037</v>
      </c>
      <c r="J25" s="76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8"/>
      <c r="B2" s="58"/>
      <c r="C2" s="58"/>
      <c r="D2" s="58"/>
      <c r="E2" s="58"/>
      <c r="F2" s="58"/>
    </row>
    <row r="3" spans="1:6" ht="53.25" customHeight="1" x14ac:dyDescent="0.25">
      <c r="A3" s="54"/>
      <c r="B3" s="57" t="s">
        <v>196</v>
      </c>
      <c r="C3" s="54"/>
      <c r="D3" s="54"/>
      <c r="E3" s="54"/>
      <c r="F3" s="54"/>
    </row>
    <row r="4" spans="1:6" ht="14.25" customHeight="1" x14ac:dyDescent="0.7">
      <c r="A4" s="58"/>
      <c r="B4" s="65"/>
      <c r="C4" s="58"/>
      <c r="D4" s="58"/>
      <c r="E4" s="58"/>
      <c r="F4" s="58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1" t="s">
        <v>7</v>
      </c>
    </row>
    <row r="7" spans="1:6" ht="18" customHeight="1" x14ac:dyDescent="0.25">
      <c r="B7" s="26" t="s">
        <v>24</v>
      </c>
      <c r="C7" s="85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85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85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85">
        <v>25</v>
      </c>
      <c r="D10" s="23"/>
      <c r="E10" s="26"/>
    </row>
    <row r="11" spans="1:6" ht="18" customHeight="1" x14ac:dyDescent="0.25">
      <c r="B11" s="26" t="s">
        <v>31</v>
      </c>
      <c r="C11" s="85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85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85">
        <v>25</v>
      </c>
      <c r="D13" s="23"/>
      <c r="E13" s="26" t="s">
        <v>19</v>
      </c>
    </row>
    <row r="14" spans="1:6" ht="18" customHeight="1" x14ac:dyDescent="0.25">
      <c r="B14" s="74" t="s">
        <v>2</v>
      </c>
      <c r="C14" s="86">
        <f>SUBTOTAL(109,Table1Budget[Custo])</f>
        <v>400</v>
      </c>
      <c r="D14" s="77"/>
      <c r="E14" s="76"/>
    </row>
    <row r="15" spans="1:6" ht="18" customHeight="1" x14ac:dyDescent="0.25">
      <c r="B15" s="99"/>
      <c r="C15" s="99"/>
      <c r="D15" s="99"/>
      <c r="E15" s="99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85">
        <v>25</v>
      </c>
      <c r="D18" s="23"/>
      <c r="E18" s="26"/>
    </row>
    <row r="19" spans="2:5" ht="18" customHeight="1" x14ac:dyDescent="0.25">
      <c r="B19" s="26" t="s">
        <v>33</v>
      </c>
      <c r="C19" s="85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85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85">
        <v>0</v>
      </c>
      <c r="D21" s="23"/>
      <c r="E21" s="26" t="s">
        <v>26</v>
      </c>
    </row>
    <row r="22" spans="2:5" ht="18" customHeight="1" x14ac:dyDescent="0.25">
      <c r="B22" s="81" t="s">
        <v>2</v>
      </c>
      <c r="C22" s="93">
        <f>SUBTOTAL(109,Table2Budget[Custo])</f>
        <v>175</v>
      </c>
      <c r="D22" s="80"/>
      <c r="E22" s="79"/>
    </row>
    <row r="23" spans="2:5" ht="18" customHeight="1" x14ac:dyDescent="0.25">
      <c r="B23" s="99"/>
      <c r="C23" s="99"/>
      <c r="D23" s="99"/>
      <c r="E23" s="99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85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85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85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85">
        <v>50</v>
      </c>
      <c r="D29" s="23"/>
      <c r="E29" s="26"/>
    </row>
    <row r="30" spans="2:5" ht="18" customHeight="1" x14ac:dyDescent="0.25">
      <c r="B30" s="81" t="s">
        <v>2</v>
      </c>
      <c r="C30" s="93">
        <f>SUBTOTAL(109,Table3Budget[Custo])</f>
        <v>285</v>
      </c>
      <c r="D30" s="82"/>
      <c r="E30" s="79"/>
    </row>
  </sheetData>
  <dataConsolidate/>
  <mergeCells count="2">
    <mergeCell ref="B23:E23"/>
    <mergeCell ref="B15:E15"/>
  </mergeCells>
  <dataValidations count="2">
    <dataValidation type="list" allowBlank="1" sqref="D21 D9:D13 D18:D19 D28:D29">
      <formula1>"Yes,No"</formula1>
    </dataValidation>
    <dataValidation type="list" allowBlank="1" sqref="D7 D8 D20 D26 D27">
      <formula1>"Sim,Não"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2.75" style="4" customWidth="1"/>
    <col min="35" max="16384" width="9.25" style="4"/>
  </cols>
  <sheetData>
    <row r="1" spans="1:35" ht="57" customHeight="1" x14ac:dyDescent="0.2">
      <c r="A1" s="69" t="s">
        <v>153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5"/>
      <c r="B2" s="45"/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5" ht="15" customHeight="1" x14ac:dyDescent="0.2">
      <c r="A3" s="45"/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5" ht="15" customHeight="1" x14ac:dyDescent="0.2">
      <c r="A4" s="45"/>
      <c r="B4" s="45"/>
      <c r="C4" s="45"/>
      <c r="D4" s="4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5" ht="15" customHeight="1" x14ac:dyDescent="0.2">
      <c r="A5" s="45"/>
      <c r="B5" s="45"/>
      <c r="C5" s="45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5" ht="15" customHeight="1" x14ac:dyDescent="0.2">
      <c r="A6" s="45"/>
      <c r="B6" s="45"/>
      <c r="C6" s="45"/>
      <c r="D6" s="4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5" ht="15" customHeight="1" x14ac:dyDescent="0.2">
      <c r="A7" s="45"/>
      <c r="B7" s="45"/>
      <c r="C7" s="45"/>
      <c r="D7" s="4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5" ht="15" customHeight="1" x14ac:dyDescent="0.2">
      <c r="A8" s="45"/>
      <c r="B8" s="45"/>
      <c r="C8" s="45"/>
      <c r="D8" s="46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5" ht="15" customHeight="1" x14ac:dyDescent="0.2">
      <c r="A9" s="45"/>
      <c r="B9" s="45"/>
      <c r="C9" s="45"/>
      <c r="D9" s="46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5" ht="15" customHeight="1" x14ac:dyDescent="0.2">
      <c r="A10" s="45"/>
      <c r="B10" s="45"/>
      <c r="C10" s="45"/>
      <c r="D10" s="4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5" ht="15" customHeight="1" x14ac:dyDescent="0.2">
      <c r="A11" s="45"/>
      <c r="B11" s="45"/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/>
    </row>
    <row r="12" spans="1:35" ht="15" customHeight="1" x14ac:dyDescent="0.2">
      <c r="A12" s="45"/>
      <c r="B12" s="45"/>
      <c r="C12" s="45"/>
      <c r="D12" s="4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5" ht="15" customHeight="1" x14ac:dyDescent="0.2">
      <c r="A13" s="45"/>
      <c r="B13" s="45"/>
      <c r="C13" s="45"/>
      <c r="D13" s="4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5" ht="15" customHeight="1" x14ac:dyDescent="0.2">
      <c r="A14" s="45"/>
      <c r="B14" s="45"/>
      <c r="C14" s="45"/>
      <c r="D14" s="4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5" ht="15" customHeight="1" x14ac:dyDescent="0.2">
      <c r="A15" s="45"/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5" ht="15" customHeight="1" x14ac:dyDescent="0.2">
      <c r="A16" s="45"/>
      <c r="B16" s="45"/>
      <c r="C16" s="45"/>
      <c r="D16" s="4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5" customHeight="1" x14ac:dyDescent="0.2">
      <c r="A17" s="45"/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5" customHeight="1" x14ac:dyDescent="0.2">
      <c r="A18" s="45"/>
      <c r="B18" s="45"/>
      <c r="C18" s="45"/>
      <c r="D18" s="4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5" customHeight="1" x14ac:dyDescent="0.2">
      <c r="A19" s="45"/>
      <c r="B19" s="45"/>
      <c r="C19" s="45"/>
      <c r="D19" s="4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5" customHeight="1" x14ac:dyDescent="0.2">
      <c r="A20" s="45"/>
      <c r="B20" s="45"/>
      <c r="C20" s="45"/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5" customHeight="1" x14ac:dyDescent="0.2">
      <c r="A21" s="45"/>
      <c r="B21" s="45"/>
      <c r="C21" s="45"/>
      <c r="D21" s="4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5" customHeight="1" x14ac:dyDescent="0.2">
      <c r="A22" s="45"/>
      <c r="B22" s="45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5" customHeight="1" x14ac:dyDescent="0.2">
      <c r="A23" s="45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5" customHeight="1" x14ac:dyDescent="0.2">
      <c r="A24" s="45"/>
      <c r="B24" s="45"/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5" customHeight="1" x14ac:dyDescent="0.2">
      <c r="A25" s="45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5" customHeight="1" x14ac:dyDescent="0.2">
      <c r="A26" s="45"/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5" customHeight="1" x14ac:dyDescent="0.2">
      <c r="A27" s="45"/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5" customHeight="1" x14ac:dyDescent="0.2">
      <c r="A28" s="45"/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5" customHeight="1" x14ac:dyDescent="0.2">
      <c r="A29" s="45"/>
      <c r="B29" s="45"/>
      <c r="C29" s="45"/>
      <c r="D29" s="4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5" customHeight="1" x14ac:dyDescent="0.2">
      <c r="A30" s="45"/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5" customHeight="1" x14ac:dyDescent="0.2">
      <c r="A31" s="45"/>
      <c r="B31" s="45"/>
      <c r="C31" s="45"/>
      <c r="D31" s="4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5" customHeight="1" x14ac:dyDescent="0.2">
      <c r="A32" s="45"/>
      <c r="B32" s="45"/>
      <c r="C32" s="45"/>
      <c r="D32" s="4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5" customHeight="1" x14ac:dyDescent="0.2">
      <c r="A33" s="45"/>
      <c r="B33" s="45"/>
      <c r="C33" s="45"/>
      <c r="D33" s="4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5" customHeight="1" x14ac:dyDescent="0.2">
      <c r="A34" s="45"/>
      <c r="B34" s="45"/>
      <c r="C34" s="45"/>
      <c r="D34" s="4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customFormat="1" ht="24" customHeight="1" x14ac:dyDescent="0.25">
      <c r="AH35" s="47" t="s">
        <v>152</v>
      </c>
    </row>
    <row r="36" spans="1:34" ht="18.75" customHeight="1" x14ac:dyDescent="0.2">
      <c r="A36" s="100" t="s">
        <v>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"/>
      <c r="T36" s="101" t="str">
        <f>" Total de convidados confirmados: "&amp;ConfirmedGuests</f>
        <v xml:space="preserve"> Total de convidados confirmados: 46</v>
      </c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</row>
    <row r="37" spans="1:34" ht="18" customHeight="1" x14ac:dyDescent="0.2">
      <c r="A37" s="33"/>
      <c r="B37" s="33"/>
      <c r="C37" s="34"/>
      <c r="D37" s="34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6"/>
      <c r="T37" s="37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8"/>
    </row>
    <row r="38" spans="1:34" ht="18" customHeight="1" x14ac:dyDescent="0.2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1"/>
      <c r="T38" s="39"/>
      <c r="U38" s="8" t="str">
        <f>ROUNDUP(ConfirmedGuests/6,0)&amp;" mesas redondas 137 cm (6 assentos)"</f>
        <v>8 mesas redondas 137 cm (6 assentos)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8"/>
    </row>
    <row r="39" spans="1:34" customFormat="1" ht="18" customHeight="1" x14ac:dyDescent="0.2">
      <c r="A39" s="35"/>
      <c r="B39" s="35"/>
      <c r="C39" s="36"/>
      <c r="D39" s="36"/>
      <c r="E39" s="36"/>
      <c r="F39" s="36"/>
      <c r="G39" s="36"/>
      <c r="H39" s="36"/>
      <c r="I39" s="36"/>
      <c r="J39" s="35"/>
      <c r="K39" s="36"/>
      <c r="L39" s="36"/>
      <c r="M39" s="35"/>
      <c r="N39" s="36"/>
      <c r="O39" s="36"/>
      <c r="P39" s="36"/>
      <c r="Q39" s="36"/>
      <c r="R39" s="36"/>
      <c r="S39" s="1"/>
      <c r="T39" s="39"/>
      <c r="U39" s="8" t="str">
        <f>ROUNDUP(ConfirmedGuests/8,0) &amp;" mesas redondas 152 cm (8 assentos)"</f>
        <v>6 mesas redondas 152 cm (8 assentos)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40"/>
    </row>
    <row r="40" spans="1:34" customFormat="1" ht="18" customHeight="1" x14ac:dyDescent="0.2">
      <c r="A40" s="35"/>
      <c r="B40" s="35"/>
      <c r="C40" s="36"/>
      <c r="D40" s="36"/>
      <c r="E40" s="36"/>
      <c r="F40" s="36"/>
      <c r="G40" s="36"/>
      <c r="H40" s="36"/>
      <c r="I40" s="36"/>
      <c r="J40" s="35"/>
      <c r="K40" s="36"/>
      <c r="L40" s="36"/>
      <c r="M40" s="35"/>
      <c r="N40" s="36"/>
      <c r="O40" s="36"/>
      <c r="P40" s="36"/>
      <c r="Q40" s="36"/>
      <c r="R40" s="36"/>
      <c r="S40" s="1"/>
      <c r="T40" s="39"/>
      <c r="U40" s="8" t="str">
        <f>ROUNDUP(ConfirmedGuests/10,0)&amp;"mesas redondas 182 cm (10 assentos)"</f>
        <v>5mesas redondas 182 cm (10 assentos)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40"/>
    </row>
    <row r="41" spans="1:34" ht="18" customHeight="1" x14ac:dyDescent="0.2">
      <c r="A41" s="35"/>
      <c r="B41" s="35"/>
      <c r="C41" s="35"/>
      <c r="D41" s="36"/>
      <c r="E41" s="36"/>
      <c r="F41" s="36"/>
      <c r="G41" s="36"/>
      <c r="H41" s="36"/>
      <c r="I41" s="36"/>
      <c r="J41" s="35"/>
      <c r="K41" s="36"/>
      <c r="L41" s="36"/>
      <c r="M41" s="35"/>
      <c r="N41" s="36"/>
      <c r="O41" s="36"/>
      <c r="P41" s="36"/>
      <c r="Q41" s="36"/>
      <c r="R41" s="36"/>
      <c r="S41" s="1"/>
      <c r="T41" s="39"/>
      <c r="U41" s="8" t="str">
        <f>ROUNDUP(ConfirmedGuests/6,0)&amp; " mesas quadradas 76 cm x 182 (6 assentos)"</f>
        <v>8 mesas quadradas 76 cm x 182 (6 assentos)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8"/>
    </row>
    <row r="42" spans="1:34" ht="18" customHeight="1" x14ac:dyDescent="0.2">
      <c r="A42" s="35"/>
      <c r="B42" s="35"/>
      <c r="C42" s="35"/>
      <c r="D42" s="36"/>
      <c r="E42" s="36"/>
      <c r="F42" s="36"/>
      <c r="G42" s="36"/>
      <c r="H42" s="36"/>
      <c r="I42" s="36"/>
      <c r="J42" s="35"/>
      <c r="K42" s="36"/>
      <c r="L42" s="36"/>
      <c r="M42" s="35"/>
      <c r="N42" s="36"/>
      <c r="O42" s="36"/>
      <c r="P42" s="36"/>
      <c r="Q42" s="36"/>
      <c r="R42" s="36"/>
      <c r="S42" s="6"/>
      <c r="T42" s="41"/>
      <c r="U42" s="8" t="str">
        <f>ROUNDUP(ConfirmedGuests/8,0)&amp;" mesas quadradas 76 cm x 246 (8 assentos)"</f>
        <v>6 mesas quadradas 76 cm x 246 (8 assentos)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8"/>
    </row>
    <row r="43" spans="1:34" ht="18" customHeight="1" x14ac:dyDescent="0.2">
      <c r="A43" s="35"/>
      <c r="B43" s="35"/>
      <c r="C43" s="35"/>
      <c r="D43" s="36"/>
      <c r="E43" s="36"/>
      <c r="F43" s="36"/>
      <c r="G43" s="36"/>
      <c r="H43" s="36"/>
      <c r="I43" s="36"/>
      <c r="J43" s="35"/>
      <c r="K43" s="36"/>
      <c r="L43" s="36"/>
      <c r="M43" s="35"/>
      <c r="N43" s="36"/>
      <c r="O43" s="36"/>
      <c r="P43" s="36"/>
      <c r="Q43" s="36"/>
      <c r="R43" s="36"/>
      <c r="S43" s="6"/>
      <c r="T43" s="70" t="s">
        <v>154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44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854868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2012-08-30T21:29:00+00:00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462953</Value>
    </PublishStatusLookup>
    <APAuthor xmlns="e5d022ff-4ce9-4922-b5a4-f245e35e2aac">
      <UserInfo>
        <DisplayName>REDMOND\matthos</DisplayName>
        <AccountId>59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TP103427563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AE781726-8CF0-48BA-9DFE-4AA7FE33D342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Visão Geral da Festa</vt:lpstr>
      <vt:lpstr>Lista de Convidados</vt:lpstr>
      <vt:lpstr>Comes e Bebes</vt:lpstr>
      <vt:lpstr>Outros Itens Essenciais</vt:lpstr>
      <vt:lpstr>Organização de Assentos</vt:lpstr>
      <vt:lpstr>AdultTotal</vt:lpstr>
      <vt:lpstr>'Organização de Assentos'!Area_de_impressao</vt:lpstr>
      <vt:lpstr>ChildrenTotal</vt:lpstr>
      <vt:lpstr>ConfirmedGuests</vt:lpstr>
      <vt:lpstr>Table1Header</vt:lpstr>
      <vt:lpstr>Table2Header</vt:lpstr>
      <vt:lpstr>Table3Header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2012-08-28T21:36:07Z</dcterms:created>
  <dcterms:modified xsi:type="dcterms:W3CDTF">2012-11-21T05:59:22Z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