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5480" windowHeight="11640" tabRatio="690"/>
  </bookViews>
  <sheets>
    <sheet name="Janeiro" sheetId="1" r:id="rId1"/>
    <sheet name="Fevereiro" sheetId="6" r:id="rId2"/>
    <sheet name="Março" sheetId="7" r:id="rId3"/>
    <sheet name="Abril" sheetId="8" r:id="rId4"/>
    <sheet name="Maio" sheetId="9" r:id="rId5"/>
    <sheet name="Junho" sheetId="10" r:id="rId6"/>
    <sheet name="Julho" sheetId="11" r:id="rId7"/>
    <sheet name="Agosto" sheetId="12" r:id="rId8"/>
    <sheet name="Setembro" sheetId="13" r:id="rId9"/>
    <sheet name="Outubro" sheetId="14" r:id="rId10"/>
    <sheet name="Novembro" sheetId="15" r:id="rId11"/>
    <sheet name="Dezembro" sheetId="16" r:id="rId12"/>
  </sheets>
  <definedNames>
    <definedName name="AbrDom1">DATE(CalendárioAno,4,1)-WEEKDAY(DATE(CalendárioAno,4,1))+1</definedName>
    <definedName name="AgoDom1">DATE(CalendárioAno,8,1)-WEEKDAY(DATE(CalendárioAno,8,1))+1</definedName>
    <definedName name="CalendárioAno">Janeiro!$N$2</definedName>
    <definedName name="DezDom1">DATE(CalendárioAno,12,1)-WEEKDAY(DATE(CalendárioAno,12,1))+1</definedName>
    <definedName name="Dias_de_Atribuição" localSheetId="3">Abril!$L$4:$L$33</definedName>
    <definedName name="Dias_de_Atribuição" localSheetId="7">Agosto!$L$4:$L$33</definedName>
    <definedName name="Dias_de_Atribuição" localSheetId="11">Dezembro!$L$4:$L$33</definedName>
    <definedName name="Dias_de_Atribuição" localSheetId="1">Fevereiro!$L$4:$L$33</definedName>
    <definedName name="Dias_de_Atribuição" localSheetId="6">Julho!$L$4:$L$33</definedName>
    <definedName name="Dias_de_Atribuição" localSheetId="5">Junho!$L$4:$L$33</definedName>
    <definedName name="Dias_de_Atribuição" localSheetId="4">Maio!$L$4:$L$33</definedName>
    <definedName name="Dias_de_Atribuição" localSheetId="2">Março!$L$4:$L$33</definedName>
    <definedName name="Dias_de_Atribuição" localSheetId="10">Novembro!$L$4:$L$33</definedName>
    <definedName name="Dias_de_Atribuição" localSheetId="9">Outubro!$L$4:$L$33</definedName>
    <definedName name="Dias_de_Atribuição" localSheetId="8">Setembro!$L$4:$L$33</definedName>
    <definedName name="Dias_de_Atribuição">Janeiro!$L$4:$L$33</definedName>
    <definedName name="FevDom1">DATE(CalendárioAno,2,1)-WEEKDAY(DATE(CalendárioAno,2,1))+1</definedName>
    <definedName name="JanDom1">DATE(CalendárioAno,1,1)-WEEKDAY(DATE(CalendárioAno,1,1))+1</definedName>
    <definedName name="JulDom1">DATE(CalendárioAno,7,1)-WEEKDAY(DATE(CalendárioAno,7,1))+1</definedName>
    <definedName name="JunDom1">DATE(CalendárioAno,6,1)-WEEKDAY(DATE(CalendárioAno,6,1))+1</definedName>
    <definedName name="MaiDom1">DATE(CalendárioAno,5,1)-WEEKDAY(DATE(CalendárioAno,5,1))+1</definedName>
    <definedName name="MarDom1">DATE(CalendárioAno,3,1)-WEEKDAY(DATE(CalendárioAno,3,1))+1</definedName>
    <definedName name="NovDom1">DATE(CalendárioAno,11,1)-WEEKDAY(DATE(CalendárioAno,11,1))+1</definedName>
    <definedName name="OutDom1">DATE(CalendárioAno,10,1)-WEEKDAY(DATE(CalendárioAno,10,1))+1</definedName>
    <definedName name="_xlnm.Print_Area" localSheetId="3">Abril!$A$1:$M$50</definedName>
    <definedName name="_xlnm.Print_Area" localSheetId="7">Agosto!$A$1:$M$50</definedName>
    <definedName name="_xlnm.Print_Area" localSheetId="11">Dezembro!$A$1:$M$50</definedName>
    <definedName name="_xlnm.Print_Area" localSheetId="1">Fevereiro!$A$1:$M$50</definedName>
    <definedName name="_xlnm.Print_Area" localSheetId="0">Janeiro!$A$1:$M$50</definedName>
    <definedName name="_xlnm.Print_Area" localSheetId="6">Julho!$A$1:$M$50</definedName>
    <definedName name="_xlnm.Print_Area" localSheetId="5">Junho!$A$1:$M$50</definedName>
    <definedName name="_xlnm.Print_Area" localSheetId="4">Maio!$A$1:$M$50</definedName>
    <definedName name="_xlnm.Print_Area" localSheetId="2">Março!$A$1:$M$50</definedName>
    <definedName name="_xlnm.Print_Area" localSheetId="10">Novembro!$A$1:$M$50</definedName>
    <definedName name="_xlnm.Print_Area" localSheetId="9">Outubro!$A$1:$M$50</definedName>
    <definedName name="_xlnm.Print_Area" localSheetId="8">Setembro!$A$1:$M$50</definedName>
    <definedName name="SetDom1">DATE(CalendárioAno,9,1)-WEEKDAY(DATE(CalendárioAno,9,1))+1</definedName>
    <definedName name="TabelaDatasImportantes" localSheetId="3">Abril!$L$4:$M$8</definedName>
    <definedName name="TabelaDatasImportantes" localSheetId="7">Agosto!$L$4:$M$8</definedName>
    <definedName name="TabelaDatasImportantes" localSheetId="11">Dezembro!$L$4:$M$8</definedName>
    <definedName name="TabelaDatasImportantes" localSheetId="1">Fevereiro!$L$4:$M$8</definedName>
    <definedName name="TabelaDatasImportantes" localSheetId="6">Julho!$L$4:$M$8</definedName>
    <definedName name="TabelaDatasImportantes" localSheetId="5">Junho!$L$4:$M$8</definedName>
    <definedName name="TabelaDatasImportantes" localSheetId="4">Maio!$L$4:$M$8</definedName>
    <definedName name="TabelaDatasImportantes" localSheetId="2">Março!$L$4:$M$8</definedName>
    <definedName name="TabelaDatasImportantes" localSheetId="10">Novembro!$L$4:$M$8</definedName>
    <definedName name="TabelaDatasImportantes" localSheetId="9">Outubro!$L$4:$M$8</definedName>
    <definedName name="TabelaDatasImportantes" localSheetId="8">Setembro!$L$4:$M$8</definedName>
    <definedName name="TabelaDatasImportantes">Janeiro!$L$4:$M$8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<sst xmlns="http://schemas.openxmlformats.org/spreadsheetml/2006/main" count="554" uniqueCount="35">
  <si>
    <t>S</t>
  </si>
  <si>
    <t>T</t>
  </si>
  <si>
    <t>8:00</t>
  </si>
  <si>
    <t>9:00</t>
  </si>
  <si>
    <t>2:00</t>
  </si>
  <si>
    <t>10:00</t>
  </si>
  <si>
    <t>4:00</t>
  </si>
  <si>
    <t>JANEIRO</t>
  </si>
  <si>
    <t>ATRIBUIÇÕES</t>
  </si>
  <si>
    <t>SEG</t>
  </si>
  <si>
    <t>TER</t>
  </si>
  <si>
    <t>QUA</t>
  </si>
  <si>
    <t>QUI</t>
  </si>
  <si>
    <t>SEX</t>
  </si>
  <si>
    <t>Francês</t>
  </si>
  <si>
    <t>História da Arte</t>
  </si>
  <si>
    <t>Matemática</t>
  </si>
  <si>
    <t>Inglês</t>
  </si>
  <si>
    <t>Programação</t>
  </si>
  <si>
    <t>Matemática: Teste</t>
  </si>
  <si>
    <t>Francês: Conclusão do primeiro rascunho do trabalho</t>
  </si>
  <si>
    <t>AGENDA SEMANAL</t>
  </si>
  <si>
    <t>MARÇO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</si>
  <si>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</si>
  <si>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</si>
  <si>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</si>
  <si>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</si>
  <si>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</si>
  <si>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</si>
  <si>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</si>
  <si>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</si>
  <si>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</si>
  <si>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FEVEREIRO</t>
  </si>
  <si>
    <t>Q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</si>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</sst>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0" fontId="15" fillId="5" borderId="27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16" xfId="0" applyNumberFormat="1" applyFont="1" applyFill="1" applyBorder="1" applyAlignment="1">
      <alignment horizontal="left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7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70"/>
      <tableStyleElement type="headerRow" dxfId="69"/>
      <tableStyleElement type="totalRow" dxfId="68"/>
      <tableStyleElement type="firstColumn" dxfId="67"/>
      <tableStyleElement type="lastColumn" dxfId="66"/>
      <tableStyleElement type="firstRowStripe" dxfId="65"/>
      <tableStyleElement type="firstColumnStripe" dxfId="64"/>
    </tableStyle>
    <tableStyle name="TableStyleLight9 2" pivot="0" count="4">
      <tableStyleElement type="wholeTable" dxfId="63"/>
      <tableStyleElement type="headerRow" dxfId="62"/>
      <tableStyleElement type="totalRow" dxfId="61"/>
      <tableStyleElement type="firstColumn" dxfId="6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3</xdr:row>
      <xdr:rowOff>123825</xdr:rowOff>
    </xdr:to>
    <xdr:sp macro="" textlink="">
      <xdr:nvSpPr>
        <xdr:cNvPr id="3" name="TextBox 2"/>
        <xdr:cNvSpPr txBox="1"/>
      </xdr:nvSpPr>
      <xdr:spPr>
        <a:xfrm>
          <a:off x="9658350" y="171450"/>
          <a:ext cx="2286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Clique no controle giratório para alterar o ano do calendário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7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74">
        <v>2011</v>
      </c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75"/>
    </row>
    <row r="4" spans="1:14" ht="18" customHeight="1" x14ac:dyDescent="0.2">
      <c r="A4" s="4"/>
      <c r="B4" s="28"/>
      <c r="C4" s="10">
        <f>IF(DAY(JanDom1)=1,JanDom1-6,JanDom1+1)</f>
        <v>40539</v>
      </c>
      <c r="D4" s="10">
        <f>IF(DAY(JanDom1)=1,JanDom1-5,JanDom1+2)</f>
        <v>40540</v>
      </c>
      <c r="E4" s="10">
        <f>IF(DAY(JanDom1)=1,JanDom1-4,JanDom1+3)</f>
        <v>40541</v>
      </c>
      <c r="F4" s="10">
        <f>IF(DAY(JanDom1)=1,JanDom1-3,JanDom1+4)</f>
        <v>40542</v>
      </c>
      <c r="G4" s="10">
        <f>IF(DAY(JanDom1)=1,JanDom1-2,JanDom1+5)</f>
        <v>40543</v>
      </c>
      <c r="H4" s="10">
        <f>IF(DAY(JanDom1)=1,JanDom1-1,JanDom1+6)</f>
        <v>40544</v>
      </c>
      <c r="I4" s="10">
        <f>IF(DAY(JanDom1)=1,JanDom1,JanDom1+7)</f>
        <v>40545</v>
      </c>
      <c r="J4" s="5"/>
      <c r="K4" s="71" t="s">
        <v>9</v>
      </c>
      <c r="L4" s="16">
        <v>3</v>
      </c>
      <c r="M4" s="72" t="s">
        <v>20</v>
      </c>
      <c r="N4" s="73"/>
    </row>
    <row r="5" spans="1:14" ht="18" customHeight="1" x14ac:dyDescent="0.2">
      <c r="A5" s="4"/>
      <c r="B5" s="28"/>
      <c r="C5" s="10">
        <f>IF(DAY(JanDom1)=1,JanDom1+1,JanDom1+8)</f>
        <v>40546</v>
      </c>
      <c r="D5" s="10">
        <f>IF(DAY(JanDom1)=1,JanDom1+2,JanDom1+9)</f>
        <v>40547</v>
      </c>
      <c r="E5" s="10">
        <f>IF(DAY(JanDom1)=1,JanDom1+3,JanDom1+10)</f>
        <v>40548</v>
      </c>
      <c r="F5" s="10">
        <f>IF(DAY(JanDom1)=1,JanDom1+4,JanDom1+11)</f>
        <v>40549</v>
      </c>
      <c r="G5" s="10">
        <f>IF(DAY(JanDom1)=1,JanDom1+5,JanDom1+12)</f>
        <v>40550</v>
      </c>
      <c r="H5" s="10">
        <f>IF(DAY(JanDom1)=1,JanDom1+6,JanDom1+13)</f>
        <v>40551</v>
      </c>
      <c r="I5" s="10">
        <f>IF(DAY(JanDom1)=1,JanDom1+7,JanDom1+14)</f>
        <v>40552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IF(DAY(JanDom1)=1,JanDom1+8,JanDom1+15)</f>
        <v>40553</v>
      </c>
      <c r="D6" s="10">
        <f>IF(DAY(JanDom1)=1,JanDom1+9,JanDom1+16)</f>
        <v>40554</v>
      </c>
      <c r="E6" s="10">
        <f>IF(DAY(JanDom1)=1,JanDom1+10,JanDom1+17)</f>
        <v>40555</v>
      </c>
      <c r="F6" s="10">
        <f>IF(DAY(JanDom1)=1,JanDom1+11,JanDom1+18)</f>
        <v>40556</v>
      </c>
      <c r="G6" s="10">
        <f>IF(DAY(JanDom1)=1,JanDom1+12,JanDom1+19)</f>
        <v>40557</v>
      </c>
      <c r="H6" s="10">
        <f>IF(DAY(JanDom1)=1,JanDom1+13,JanDom1+20)</f>
        <v>40558</v>
      </c>
      <c r="I6" s="10">
        <f>IF(DAY(JanDom1)=1,JanDom1+14,JanDom1+21)</f>
        <v>40559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IF(DAY(JanDom1)=1,JanDom1+15,JanDom1+22)</f>
        <v>40560</v>
      </c>
      <c r="D7" s="10">
        <f>IF(DAY(JanDom1)=1,JanDom1+16,JanDom1+23)</f>
        <v>40561</v>
      </c>
      <c r="E7" s="10">
        <f>IF(DAY(JanDom1)=1,JanDom1+17,JanDom1+24)</f>
        <v>40562</v>
      </c>
      <c r="F7" s="10">
        <f>IF(DAY(JanDom1)=1,JanDom1+18,JanDom1+25)</f>
        <v>40563</v>
      </c>
      <c r="G7" s="10">
        <f>IF(DAY(JanDom1)=1,JanDom1+19,JanDom1+26)</f>
        <v>40564</v>
      </c>
      <c r="H7" s="10">
        <f>IF(DAY(JanDom1)=1,JanDom1+20,JanDom1+27)</f>
        <v>40565</v>
      </c>
      <c r="I7" s="10">
        <f>IF(DAY(JanDom1)=1,JanDom1+21,JanDom1+28)</f>
        <v>40566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IF(DAY(JanDom1)=1,JanDom1+22,JanDom1+29)</f>
        <v>40567</v>
      </c>
      <c r="D8" s="10">
        <f>IF(DAY(JanDom1)=1,JanDom1+23,JanDom1+30)</f>
        <v>40568</v>
      </c>
      <c r="E8" s="10">
        <f>IF(DAY(JanDom1)=1,JanDom1+24,JanDom1+31)</f>
        <v>40569</v>
      </c>
      <c r="F8" s="10">
        <f>IF(DAY(JanDom1)=1,JanDom1+25,JanDom1+32)</f>
        <v>40570</v>
      </c>
      <c r="G8" s="10">
        <f>IF(DAY(JanDom1)=1,JanDom1+26,JanDom1+33)</f>
        <v>40571</v>
      </c>
      <c r="H8" s="10">
        <f>IF(DAY(JanDom1)=1,JanDom1+27,JanDom1+34)</f>
        <v>40572</v>
      </c>
      <c r="I8" s="10">
        <f>IF(DAY(JanDom1)=1,JanDom1+28,JanDom1+35)</f>
        <v>40573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IF(DAY(JanDom1)=1,JanDom1+29,JanDom1+36)</f>
        <v>40574</v>
      </c>
      <c r="D9" s="10">
        <f>IF(DAY(JanDom1)=1,JanDom1+30,JanDom1+37)</f>
        <v>40575</v>
      </c>
      <c r="E9" s="10">
        <f>IF(DAY(JanDom1)=1,JanDom1+31,JanDom1+38)</f>
        <v>40576</v>
      </c>
      <c r="F9" s="10">
        <f>IF(DAY(JanDom1)=1,JanDom1+32,JanDom1+39)</f>
        <v>40577</v>
      </c>
      <c r="G9" s="10">
        <f>IF(DAY(JanDom1)=1,JanDom1+33,JanDom1+40)</f>
        <v>40578</v>
      </c>
      <c r="H9" s="10">
        <f>IF(DAY(JanDom1)=1,JanDom1+34,JanDom1+41)</f>
        <v>40579</v>
      </c>
      <c r="I9" s="10">
        <f>IF(DAY(JanDom1)=1,JanDom1+35,JanDom1+42)</f>
        <v>40580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>
        <v>18</v>
      </c>
      <c r="M10" s="39" t="s">
        <v>19</v>
      </c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2" type="noConversion"/>
  <conditionalFormatting sqref="C4:H4">
    <cfRule type="expression" dxfId="59" priority="4" stopIfTrue="1">
      <formula>DAY(C4)&gt;8</formula>
    </cfRule>
  </conditionalFormatting>
  <conditionalFormatting sqref="C8:I10">
    <cfRule type="expression" dxfId="58" priority="3" stopIfTrue="1">
      <formula>AND(DAY(C8)&gt;=1,DAY(C8)&lt;=15)</formula>
    </cfRule>
  </conditionalFormatting>
  <conditionalFormatting sqref="C4:I9">
    <cfRule type="expression" dxfId="57" priority="15">
      <formula>VLOOKUP(DAY(C4),Dias_de_Atribuição,1,FALSE)=DAY(C4)</formula>
    </cfRule>
  </conditionalFormatting>
  <conditionalFormatting sqref="B14:J33">
    <cfRule type="expression" dxfId="56" priority="1">
      <formula>B14&lt;&gt;""</formula>
    </cfRule>
  </conditionalFormatting>
  <dataValidations disablePrompts="1"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25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IF(DAY(OutDom1)=1,OutDom1-6,OutDom1+1)</f>
        <v>40812</v>
      </c>
      <c r="D4" s="10">
        <f>IF(DAY(OutDom1)=1,OutDom1-5,OutDom1+2)</f>
        <v>40813</v>
      </c>
      <c r="E4" s="10">
        <f>IF(DAY(OutDom1)=1,OutDom1-4,OutDom1+3)</f>
        <v>40814</v>
      </c>
      <c r="F4" s="10">
        <f>IF(DAY(OutDom1)=1,OutDom1-3,OutDom1+4)</f>
        <v>40815</v>
      </c>
      <c r="G4" s="10">
        <f>IF(DAY(OutDom1)=1,OutDom1-2,OutDom1+5)</f>
        <v>40816</v>
      </c>
      <c r="H4" s="10">
        <f>IF(DAY(OutDom1)=1,OutDom1-1,OutDom1+6)</f>
        <v>40817</v>
      </c>
      <c r="I4" s="10">
        <f>IF(DAY(OutDom1)=1,OutDom1,OutDom1+7)</f>
        <v>40818</v>
      </c>
      <c r="J4" s="5"/>
      <c r="K4" s="71" t="s">
        <v>9</v>
      </c>
      <c r="L4" s="16"/>
      <c r="M4" s="72"/>
      <c r="N4" s="73"/>
    </row>
    <row r="5" spans="1:14" ht="18" customHeight="1" x14ac:dyDescent="0.2">
      <c r="A5" s="4"/>
      <c r="B5" s="28"/>
      <c r="C5" s="10">
        <f>IF(DAY(OutDom1)=1,OutDom1+1,OutDom1+8)</f>
        <v>40819</v>
      </c>
      <c r="D5" s="10">
        <f>IF(DAY(OutDom1)=1,OutDom1+2,OutDom1+9)</f>
        <v>40820</v>
      </c>
      <c r="E5" s="10">
        <f>IF(DAY(OutDom1)=1,OutDom1+3,OutDom1+10)</f>
        <v>40821</v>
      </c>
      <c r="F5" s="10">
        <f>IF(DAY(OutDom1)=1,OutDom1+4,OutDom1+11)</f>
        <v>40822</v>
      </c>
      <c r="G5" s="10">
        <f>IF(DAY(OutDom1)=1,OutDom1+5,OutDom1+12)</f>
        <v>40823</v>
      </c>
      <c r="H5" s="10">
        <f>IF(DAY(OutDom1)=1,OutDom1+6,OutDom1+13)</f>
        <v>40824</v>
      </c>
      <c r="I5" s="10">
        <f>IF(DAY(OutDom1)=1,OutDom1+7,OutDom1+14)</f>
        <v>40825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IF(DAY(OutDom1)=1,OutDom1+8,OutDom1+15)</f>
        <v>40826</v>
      </c>
      <c r="D6" s="10">
        <f>IF(DAY(OutDom1)=1,OutDom1+9,OutDom1+16)</f>
        <v>40827</v>
      </c>
      <c r="E6" s="10">
        <f>IF(DAY(OutDom1)=1,OutDom1+10,OutDom1+17)</f>
        <v>40828</v>
      </c>
      <c r="F6" s="10">
        <f>IF(DAY(OutDom1)=1,OutDom1+11,OutDom1+18)</f>
        <v>40829</v>
      </c>
      <c r="G6" s="10">
        <f>IF(DAY(OutDom1)=1,OutDom1+12,OutDom1+19)</f>
        <v>40830</v>
      </c>
      <c r="H6" s="10">
        <f>IF(DAY(OutDom1)=1,OutDom1+13,OutDom1+20)</f>
        <v>40831</v>
      </c>
      <c r="I6" s="10">
        <f>IF(DAY(OutDom1)=1,OutDom1+14,OutDom1+21)</f>
        <v>40832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IF(DAY(OutDom1)=1,OutDom1+15,OutDom1+22)</f>
        <v>40833</v>
      </c>
      <c r="D7" s="10">
        <f>IF(DAY(OutDom1)=1,OutDom1+16,OutDom1+23)</f>
        <v>40834</v>
      </c>
      <c r="E7" s="10">
        <f>IF(DAY(OutDom1)=1,OutDom1+17,OutDom1+24)</f>
        <v>40835</v>
      </c>
      <c r="F7" s="10">
        <f>IF(DAY(OutDom1)=1,OutDom1+18,OutDom1+25)</f>
        <v>40836</v>
      </c>
      <c r="G7" s="10">
        <f>IF(DAY(OutDom1)=1,OutDom1+19,OutDom1+26)</f>
        <v>40837</v>
      </c>
      <c r="H7" s="10">
        <f>IF(DAY(OutDom1)=1,OutDom1+20,OutDom1+27)</f>
        <v>40838</v>
      </c>
      <c r="I7" s="10">
        <f>IF(DAY(OutDom1)=1,OutDom1+21,OutDom1+28)</f>
        <v>40839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IF(DAY(OutDom1)=1,OutDom1+22,OutDom1+29)</f>
        <v>40840</v>
      </c>
      <c r="D8" s="10">
        <f>IF(DAY(OutDom1)=1,OutDom1+23,OutDom1+30)</f>
        <v>40841</v>
      </c>
      <c r="E8" s="10">
        <f>IF(DAY(OutDom1)=1,OutDom1+24,OutDom1+31)</f>
        <v>40842</v>
      </c>
      <c r="F8" s="10">
        <f>IF(DAY(OutDom1)=1,OutDom1+25,OutDom1+32)</f>
        <v>40843</v>
      </c>
      <c r="G8" s="10">
        <f>IF(DAY(OutDom1)=1,OutDom1+26,OutDom1+33)</f>
        <v>40844</v>
      </c>
      <c r="H8" s="10">
        <f>IF(DAY(OutDom1)=1,OutDom1+27,OutDom1+34)</f>
        <v>40845</v>
      </c>
      <c r="I8" s="10">
        <f>IF(DAY(OutDom1)=1,OutDom1+28,OutDom1+35)</f>
        <v>40846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IF(DAY(OutDom1)=1,OutDom1+29,OutDom1+36)</f>
        <v>40847</v>
      </c>
      <c r="D9" s="10">
        <f>IF(DAY(OutDom1)=1,OutDom1+30,OutDom1+37)</f>
        <v>40848</v>
      </c>
      <c r="E9" s="10">
        <f>IF(DAY(OutDom1)=1,OutDom1+31,OutDom1+38)</f>
        <v>40849</v>
      </c>
      <c r="F9" s="10">
        <f>IF(DAY(OutDom1)=1,OutDom1+32,OutDom1+39)</f>
        <v>40850</v>
      </c>
      <c r="G9" s="10">
        <f>IF(DAY(OutDom1)=1,OutDom1+33,OutDom1+40)</f>
        <v>40851</v>
      </c>
      <c r="H9" s="10">
        <f>IF(DAY(OutDom1)=1,OutDom1+34,OutDom1+41)</f>
        <v>40852</v>
      </c>
      <c r="I9" s="10">
        <f>IF(DAY(OutDom1)=1,OutDom1+35,OutDom1+42)</f>
        <v>40853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/>
      <c r="M10" s="39"/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4" priority="4" stopIfTrue="1">
      <formula>DAY(C4)&gt;8</formula>
    </cfRule>
  </conditionalFormatting>
  <conditionalFormatting sqref="C8:I10">
    <cfRule type="expression" dxfId="13" priority="3" stopIfTrue="1">
      <formula>AND(DAY(C8)&gt;=1,DAY(C8)&lt;=15)</formula>
    </cfRule>
  </conditionalFormatting>
  <conditionalFormatting sqref="C4:I9">
    <cfRule type="expression" dxfId="12" priority="5">
      <formula>VLOOKUP(DAY(C4),Dias_de_Atribuição,1,FALSE)=DAY(C4)</formula>
    </cfRule>
  </conditionalFormatting>
  <conditionalFormatting sqref="B14:J33">
    <cfRule type="expression" dxfId="11" priority="2">
      <formula>B14&lt;&gt;""</formula>
    </cfRule>
  </conditionalFormatting>
  <conditionalFormatting sqref="B14:J33">
    <cfRule type="expression" dxfId="1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24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IF(DAY(NovDom1)=1,NovDom1-6,NovDom1+1)</f>
        <v>40847</v>
      </c>
      <c r="D4" s="10">
        <f>IF(DAY(NovDom1)=1,NovDom1-5,NovDom1+2)</f>
        <v>40848</v>
      </c>
      <c r="E4" s="10">
        <f>IF(DAY(NovDom1)=1,NovDom1-4,NovDom1+3)</f>
        <v>40849</v>
      </c>
      <c r="F4" s="10">
        <f>IF(DAY(NovDom1)=1,NovDom1-3,NovDom1+4)</f>
        <v>40850</v>
      </c>
      <c r="G4" s="10">
        <f>IF(DAY(NovDom1)=1,NovDom1-2,NovDom1+5)</f>
        <v>40851</v>
      </c>
      <c r="H4" s="10">
        <f>IF(DAY(NovDom1)=1,NovDom1-1,NovDom1+6)</f>
        <v>40852</v>
      </c>
      <c r="I4" s="10">
        <f>IF(DAY(NovDom1)=1,NovDom1,NovDom1+7)</f>
        <v>40853</v>
      </c>
      <c r="J4" s="5"/>
      <c r="K4" s="71" t="s">
        <v>9</v>
      </c>
      <c r="L4" s="16"/>
      <c r="M4" s="72"/>
      <c r="N4" s="73"/>
    </row>
    <row r="5" spans="1:14" ht="18" customHeight="1" x14ac:dyDescent="0.2">
      <c r="A5" s="4"/>
      <c r="B5" s="28"/>
      <c r="C5" s="10">
        <f>IF(DAY(NovDom1)=1,NovDom1+1,NovDom1+8)</f>
        <v>40854</v>
      </c>
      <c r="D5" s="10">
        <f>IF(DAY(NovDom1)=1,NovDom1+2,NovDom1+9)</f>
        <v>40855</v>
      </c>
      <c r="E5" s="10">
        <f>IF(DAY(NovDom1)=1,NovDom1+3,NovDom1+10)</f>
        <v>40856</v>
      </c>
      <c r="F5" s="10">
        <f>IF(DAY(NovDom1)=1,NovDom1+4,NovDom1+11)</f>
        <v>40857</v>
      </c>
      <c r="G5" s="10">
        <f>IF(DAY(NovDom1)=1,NovDom1+5,NovDom1+12)</f>
        <v>40858</v>
      </c>
      <c r="H5" s="10">
        <f>IF(DAY(NovDom1)=1,NovDom1+6,NovDom1+13)</f>
        <v>40859</v>
      </c>
      <c r="I5" s="10">
        <f>IF(DAY(NovDom1)=1,NovDom1+7,NovDom1+14)</f>
        <v>40860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IF(DAY(NovDom1)=1,NovDom1+8,NovDom1+15)</f>
        <v>40861</v>
      </c>
      <c r="D6" s="10">
        <f>IF(DAY(NovDom1)=1,NovDom1+9,NovDom1+16)</f>
        <v>40862</v>
      </c>
      <c r="E6" s="10">
        <f>IF(DAY(NovDom1)=1,NovDom1+10,NovDom1+17)</f>
        <v>40863</v>
      </c>
      <c r="F6" s="10">
        <f>IF(DAY(NovDom1)=1,NovDom1+11,NovDom1+18)</f>
        <v>40864</v>
      </c>
      <c r="G6" s="10">
        <f>IF(DAY(NovDom1)=1,NovDom1+12,NovDom1+19)</f>
        <v>40865</v>
      </c>
      <c r="H6" s="10">
        <f>IF(DAY(NovDom1)=1,NovDom1+13,NovDom1+20)</f>
        <v>40866</v>
      </c>
      <c r="I6" s="10">
        <f>IF(DAY(NovDom1)=1,NovDom1+14,NovDom1+21)</f>
        <v>40867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IF(DAY(NovDom1)=1,NovDom1+15,NovDom1+22)</f>
        <v>40868</v>
      </c>
      <c r="D7" s="10">
        <f>IF(DAY(NovDom1)=1,NovDom1+16,NovDom1+23)</f>
        <v>40869</v>
      </c>
      <c r="E7" s="10">
        <f>IF(DAY(NovDom1)=1,NovDom1+17,NovDom1+24)</f>
        <v>40870</v>
      </c>
      <c r="F7" s="10">
        <f>IF(DAY(NovDom1)=1,NovDom1+18,NovDom1+25)</f>
        <v>40871</v>
      </c>
      <c r="G7" s="10">
        <f>IF(DAY(NovDom1)=1,NovDom1+19,NovDom1+26)</f>
        <v>40872</v>
      </c>
      <c r="H7" s="10">
        <f>IF(DAY(NovDom1)=1,NovDom1+20,NovDom1+27)</f>
        <v>40873</v>
      </c>
      <c r="I7" s="10">
        <f>IF(DAY(NovDom1)=1,NovDom1+21,NovDom1+28)</f>
        <v>40874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IF(DAY(NovDom1)=1,NovDom1+22,NovDom1+29)</f>
        <v>40875</v>
      </c>
      <c r="D8" s="10">
        <f>IF(DAY(NovDom1)=1,NovDom1+23,NovDom1+30)</f>
        <v>40876</v>
      </c>
      <c r="E8" s="10">
        <f>IF(DAY(NovDom1)=1,NovDom1+24,NovDom1+31)</f>
        <v>40877</v>
      </c>
      <c r="F8" s="10">
        <f>IF(DAY(NovDom1)=1,NovDom1+25,NovDom1+32)</f>
        <v>40878</v>
      </c>
      <c r="G8" s="10">
        <f>IF(DAY(NovDom1)=1,NovDom1+26,NovDom1+33)</f>
        <v>40879</v>
      </c>
      <c r="H8" s="10">
        <f>IF(DAY(NovDom1)=1,NovDom1+27,NovDom1+34)</f>
        <v>40880</v>
      </c>
      <c r="I8" s="10">
        <f>IF(DAY(NovDom1)=1,NovDom1+28,NovDom1+35)</f>
        <v>40881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IF(DAY(NovDom1)=1,NovDom1+29,NovDom1+36)</f>
        <v>40882</v>
      </c>
      <c r="D9" s="10">
        <f>IF(DAY(NovDom1)=1,NovDom1+30,NovDom1+37)</f>
        <v>40883</v>
      </c>
      <c r="E9" s="10">
        <f>IF(DAY(NovDom1)=1,NovDom1+31,NovDom1+38)</f>
        <v>40884</v>
      </c>
      <c r="F9" s="10">
        <f>IF(DAY(NovDom1)=1,NovDom1+32,NovDom1+39)</f>
        <v>40885</v>
      </c>
      <c r="G9" s="10">
        <f>IF(DAY(NovDom1)=1,NovDom1+33,NovDom1+40)</f>
        <v>40886</v>
      </c>
      <c r="H9" s="10">
        <f>IF(DAY(NovDom1)=1,NovDom1+34,NovDom1+41)</f>
        <v>40887</v>
      </c>
      <c r="I9" s="10">
        <f>IF(DAY(NovDom1)=1,NovDom1+35,NovDom1+42)</f>
        <v>40888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/>
      <c r="M10" s="39"/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9" priority="4" stopIfTrue="1">
      <formula>DAY(C4)&gt;8</formula>
    </cfRule>
  </conditionalFormatting>
  <conditionalFormatting sqref="C8:I10">
    <cfRule type="expression" dxfId="8" priority="3" stopIfTrue="1">
      <formula>AND(DAY(C8)&gt;=1,DAY(C8)&lt;=15)</formula>
    </cfRule>
  </conditionalFormatting>
  <conditionalFormatting sqref="C4:I9">
    <cfRule type="expression" dxfId="7" priority="5">
      <formula>VLOOKUP(DAY(C4),Dias_de_Atribuição,1,FALSE)=DAY(C4)</formula>
    </cfRule>
  </conditionalFormatting>
  <conditionalFormatting sqref="B14:J33">
    <cfRule type="expression" dxfId="6" priority="2">
      <formula>B14&lt;&gt;""</formula>
    </cfRule>
  </conditionalFormatting>
  <conditionalFormatting sqref="B14:J33">
    <cfRule type="expression" dxfId="5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23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IF(DAY(DezDom1)=1,DezDom1-6,DezDom1+1)</f>
        <v>40875</v>
      </c>
      <c r="D4" s="10">
        <f>IF(DAY(DezDom1)=1,DezDom1-5,DezDom1+2)</f>
        <v>40876</v>
      </c>
      <c r="E4" s="10">
        <f>IF(DAY(DezDom1)=1,DezDom1-4,DezDom1+3)</f>
        <v>40877</v>
      </c>
      <c r="F4" s="10">
        <f>IF(DAY(DezDom1)=1,DezDom1-3,DezDom1+4)</f>
        <v>40878</v>
      </c>
      <c r="G4" s="10">
        <f>IF(DAY(DezDom1)=1,DezDom1-2,DezDom1+5)</f>
        <v>40879</v>
      </c>
      <c r="H4" s="10">
        <f>IF(DAY(DezDom1)=1,DezDom1-1,DezDom1+6)</f>
        <v>40880</v>
      </c>
      <c r="I4" s="10">
        <f>IF(DAY(DezDom1)=1,DezDom1,DezDom1+7)</f>
        <v>40881</v>
      </c>
      <c r="J4" s="5"/>
      <c r="K4" s="71" t="s">
        <v>9</v>
      </c>
      <c r="L4" s="16"/>
      <c r="M4" s="72"/>
      <c r="N4" s="73"/>
    </row>
    <row r="5" spans="1:14" ht="18" customHeight="1" x14ac:dyDescent="0.2">
      <c r="A5" s="4"/>
      <c r="B5" s="28"/>
      <c r="C5" s="10">
        <f>IF(DAY(DezDom1)=1,DezDom1+1,DezDom1+8)</f>
        <v>40882</v>
      </c>
      <c r="D5" s="10">
        <f>IF(DAY(DezDom1)=1,DezDom1+2,DezDom1+9)</f>
        <v>40883</v>
      </c>
      <c r="E5" s="10">
        <f>IF(DAY(DezDom1)=1,DezDom1+3,DezDom1+10)</f>
        <v>40884</v>
      </c>
      <c r="F5" s="10">
        <f>IF(DAY(DezDom1)=1,DezDom1+4,DezDom1+11)</f>
        <v>40885</v>
      </c>
      <c r="G5" s="10">
        <f>IF(DAY(DezDom1)=1,DezDom1+5,DezDom1+12)</f>
        <v>40886</v>
      </c>
      <c r="H5" s="10">
        <f>IF(DAY(DezDom1)=1,DezDom1+6,DezDom1+13)</f>
        <v>40887</v>
      </c>
      <c r="I5" s="10">
        <f>IF(DAY(DezDom1)=1,DezDom1+7,DezDom1+14)</f>
        <v>40888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IF(DAY(DezDom1)=1,DezDom1+8,DezDom1+15)</f>
        <v>40889</v>
      </c>
      <c r="D6" s="10">
        <f>IF(DAY(DezDom1)=1,DezDom1+9,DezDom1+16)</f>
        <v>40890</v>
      </c>
      <c r="E6" s="10">
        <f>IF(DAY(DezDom1)=1,DezDom1+10,DezDom1+17)</f>
        <v>40891</v>
      </c>
      <c r="F6" s="10">
        <f>IF(DAY(DezDom1)=1,DezDom1+11,DezDom1+18)</f>
        <v>40892</v>
      </c>
      <c r="G6" s="10">
        <f>IF(DAY(DezDom1)=1,DezDom1+12,DezDom1+19)</f>
        <v>40893</v>
      </c>
      <c r="H6" s="10">
        <f>IF(DAY(DezDom1)=1,DezDom1+13,DezDom1+20)</f>
        <v>40894</v>
      </c>
      <c r="I6" s="10">
        <f>IF(DAY(DezDom1)=1,DezDom1+14,DezDom1+21)</f>
        <v>40895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IF(DAY(DezDom1)=1,DezDom1+15,DezDom1+22)</f>
        <v>40896</v>
      </c>
      <c r="D7" s="10">
        <f>IF(DAY(DezDom1)=1,DezDom1+16,DezDom1+23)</f>
        <v>40897</v>
      </c>
      <c r="E7" s="10">
        <f>IF(DAY(DezDom1)=1,DezDom1+17,DezDom1+24)</f>
        <v>40898</v>
      </c>
      <c r="F7" s="10">
        <f>IF(DAY(DezDom1)=1,DezDom1+18,DezDom1+25)</f>
        <v>40899</v>
      </c>
      <c r="G7" s="10">
        <f>IF(DAY(DezDom1)=1,DezDom1+19,DezDom1+26)</f>
        <v>40900</v>
      </c>
      <c r="H7" s="10">
        <f>IF(DAY(DezDom1)=1,DezDom1+20,DezDom1+27)</f>
        <v>40901</v>
      </c>
      <c r="I7" s="10">
        <f>IF(DAY(DezDom1)=1,DezDom1+21,DezDom1+28)</f>
        <v>40902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IF(DAY(DezDom1)=1,DezDom1+22,DezDom1+29)</f>
        <v>40903</v>
      </c>
      <c r="D8" s="10">
        <f>IF(DAY(DezDom1)=1,DezDom1+23,DezDom1+30)</f>
        <v>40904</v>
      </c>
      <c r="E8" s="10">
        <f>IF(DAY(DezDom1)=1,DezDom1+24,DezDom1+31)</f>
        <v>40905</v>
      </c>
      <c r="F8" s="10">
        <f>IF(DAY(DezDom1)=1,DezDom1+25,DezDom1+32)</f>
        <v>40906</v>
      </c>
      <c r="G8" s="10">
        <f>IF(DAY(DezDom1)=1,DezDom1+26,DezDom1+33)</f>
        <v>40907</v>
      </c>
      <c r="H8" s="10">
        <f>IF(DAY(DezDom1)=1,DezDom1+27,DezDom1+34)</f>
        <v>40908</v>
      </c>
      <c r="I8" s="10">
        <f>IF(DAY(DezDom1)=1,DezDom1+28,DezDom1+35)</f>
        <v>40909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IF(DAY(DezDom1)=1,DezDom1+29,DezDom1+36)</f>
        <v>40910</v>
      </c>
      <c r="D9" s="10">
        <f>IF(DAY(DezDom1)=1,DezDom1+30,DezDom1+37)</f>
        <v>40911</v>
      </c>
      <c r="E9" s="10">
        <f>IF(DAY(DezDom1)=1,DezDom1+31,DezDom1+38)</f>
        <v>40912</v>
      </c>
      <c r="F9" s="10">
        <f>IF(DAY(DezDom1)=1,DezDom1+32,DezDom1+39)</f>
        <v>40913</v>
      </c>
      <c r="G9" s="10">
        <f>IF(DAY(DezDom1)=1,DezDom1+33,DezDom1+40)</f>
        <v>40914</v>
      </c>
      <c r="H9" s="10">
        <f>IF(DAY(DezDom1)=1,DezDom1+34,DezDom1+41)</f>
        <v>40915</v>
      </c>
      <c r="I9" s="10">
        <f>IF(DAY(DezDom1)=1,DezDom1+35,DezDom1+42)</f>
        <v>40916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/>
      <c r="M10" s="39"/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" priority="4" stopIfTrue="1">
      <formula>DAY(C4)&gt;8</formula>
    </cfRule>
  </conditionalFormatting>
  <conditionalFormatting sqref="C8:I10">
    <cfRule type="expression" dxfId="3" priority="3" stopIfTrue="1">
      <formula>AND(DAY(C8)&gt;=1,DAY(C8)&lt;=15)</formula>
    </cfRule>
  </conditionalFormatting>
  <conditionalFormatting sqref="C4:I9">
    <cfRule type="expression" dxfId="2" priority="5">
      <formula>VLOOKUP(DAY(C4),Dias_de_Atribuição,1,FALSE)=DAY(C4)</formula>
    </cfRule>
  </conditionalFormatting>
  <conditionalFormatting sqref="B14:J33">
    <cfRule type="expression" dxfId="1" priority="2">
      <formula>B14&lt;&gt;""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32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IF(DAY(FevDom1)=1,FevDom1-6,FevDom1+1)</f>
        <v>40574</v>
      </c>
      <c r="D4" s="10">
        <f>IF(DAY(FevDom1)=1,FevDom1-5,FevDom1+2)</f>
        <v>40575</v>
      </c>
      <c r="E4" s="10">
        <f>IF(DAY(FevDom1)=1,FevDom1-4,FevDom1+3)</f>
        <v>40576</v>
      </c>
      <c r="F4" s="10">
        <f>IF(DAY(FevDom1)=1,FevDom1-3,FevDom1+4)</f>
        <v>40577</v>
      </c>
      <c r="G4" s="10">
        <f>IF(DAY(FevDom1)=1,FevDom1-2,FevDom1+5)</f>
        <v>40578</v>
      </c>
      <c r="H4" s="10">
        <f>IF(DAY(FevDom1)=1,FevDom1-1,FevDom1+6)</f>
        <v>40579</v>
      </c>
      <c r="I4" s="10">
        <f>IF(DAY(FevDom1)=1,FevDom1,FevDom1+7)</f>
        <v>40580</v>
      </c>
      <c r="J4" s="5"/>
      <c r="K4" s="71" t="s">
        <v>9</v>
      </c>
      <c r="L4" s="16"/>
      <c r="M4" s="72"/>
      <c r="N4" s="73"/>
    </row>
    <row r="5" spans="1:14" ht="18" customHeight="1" x14ac:dyDescent="0.2">
      <c r="A5" s="4"/>
      <c r="B5" s="28"/>
      <c r="C5" s="10">
        <f>IF(DAY(FevDom1)=1,FevDom1+1,FevDom1+8)</f>
        <v>40581</v>
      </c>
      <c r="D5" s="10">
        <f>IF(DAY(FevDom1)=1,FevDom1+2,FevDom1+9)</f>
        <v>40582</v>
      </c>
      <c r="E5" s="10">
        <f>IF(DAY(FevDom1)=1,FevDom1+3,FevDom1+10)</f>
        <v>40583</v>
      </c>
      <c r="F5" s="10">
        <f>IF(DAY(FevDom1)=1,FevDom1+4,FevDom1+11)</f>
        <v>40584</v>
      </c>
      <c r="G5" s="10">
        <f>IF(DAY(FevDom1)=1,FevDom1+5,FevDom1+12)</f>
        <v>40585</v>
      </c>
      <c r="H5" s="10">
        <f>IF(DAY(FevDom1)=1,FevDom1+6,FevDom1+13)</f>
        <v>40586</v>
      </c>
      <c r="I5" s="10">
        <f>IF(DAY(FevDom1)=1,FevDom1+7,FevDom1+14)</f>
        <v>40587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IF(DAY(FevDom1)=1,FevDom1+8,FevDom1+15)</f>
        <v>40588</v>
      </c>
      <c r="D6" s="10">
        <f>IF(DAY(FevDom1)=1,FevDom1+9,FevDom1+16)</f>
        <v>40589</v>
      </c>
      <c r="E6" s="10">
        <f>IF(DAY(FevDom1)=1,FevDom1+10,FevDom1+17)</f>
        <v>40590</v>
      </c>
      <c r="F6" s="10">
        <f>IF(DAY(FevDom1)=1,FevDom1+11,FevDom1+18)</f>
        <v>40591</v>
      </c>
      <c r="G6" s="10">
        <f>IF(DAY(FevDom1)=1,FevDom1+12,FevDom1+19)</f>
        <v>40592</v>
      </c>
      <c r="H6" s="10">
        <f>IF(DAY(FevDom1)=1,FevDom1+13,FevDom1+20)</f>
        <v>40593</v>
      </c>
      <c r="I6" s="10">
        <f>IF(DAY(FevDom1)=1,FevDom1+14,FevDom1+21)</f>
        <v>40594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IF(DAY(FevDom1)=1,FevDom1+15,FevDom1+22)</f>
        <v>40595</v>
      </c>
      <c r="D7" s="10">
        <f>IF(DAY(FevDom1)=1,FevDom1+16,FevDom1+23)</f>
        <v>40596</v>
      </c>
      <c r="E7" s="10">
        <f>IF(DAY(FevDom1)=1,FevDom1+17,FevDom1+24)</f>
        <v>40597</v>
      </c>
      <c r="F7" s="10">
        <f>IF(DAY(FevDom1)=1,FevDom1+18,FevDom1+25)</f>
        <v>40598</v>
      </c>
      <c r="G7" s="10">
        <f>IF(DAY(FevDom1)=1,FevDom1+19,FevDom1+26)</f>
        <v>40599</v>
      </c>
      <c r="H7" s="10">
        <f>IF(DAY(FevDom1)=1,FevDom1+20,FevDom1+27)</f>
        <v>40600</v>
      </c>
      <c r="I7" s="10">
        <f>IF(DAY(FevDom1)=1,FevDom1+21,FevDom1+28)</f>
        <v>40601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IF(DAY(FevDom1)=1,FevDom1+22,FevDom1+29)</f>
        <v>40602</v>
      </c>
      <c r="D8" s="10">
        <f>IF(DAY(FevDom1)=1,FevDom1+23,FevDom1+30)</f>
        <v>40603</v>
      </c>
      <c r="E8" s="10">
        <f>IF(DAY(FevDom1)=1,FevDom1+24,FevDom1+31)</f>
        <v>40604</v>
      </c>
      <c r="F8" s="10">
        <f>IF(DAY(FevDom1)=1,FevDom1+25,FevDom1+32)</f>
        <v>40605</v>
      </c>
      <c r="G8" s="10">
        <f>IF(DAY(FevDom1)=1,FevDom1+26,FevDom1+33)</f>
        <v>40606</v>
      </c>
      <c r="H8" s="10">
        <f>IF(DAY(FevDom1)=1,FevDom1+27,FevDom1+34)</f>
        <v>40607</v>
      </c>
      <c r="I8" s="10">
        <f>IF(DAY(FevDom1)=1,FevDom1+28,FevDom1+35)</f>
        <v>40608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IF(DAY(FevDom1)=1,FevDom1+29,FevDom1+36)</f>
        <v>40609</v>
      </c>
      <c r="D9" s="10">
        <f>IF(DAY(FevDom1)=1,FevDom1+30,FevDom1+37)</f>
        <v>40610</v>
      </c>
      <c r="E9" s="10">
        <f>IF(DAY(FevDom1)=1,FevDom1+31,FevDom1+38)</f>
        <v>40611</v>
      </c>
      <c r="F9" s="10">
        <f>IF(DAY(FevDom1)=1,FevDom1+32,FevDom1+39)</f>
        <v>40612</v>
      </c>
      <c r="G9" s="10">
        <f>IF(DAY(FevDom1)=1,FevDom1+33,FevDom1+40)</f>
        <v>40613</v>
      </c>
      <c r="H9" s="10">
        <f>IF(DAY(FevDom1)=1,FevDom1+34,FevDom1+41)</f>
        <v>40614</v>
      </c>
      <c r="I9" s="10">
        <f>IF(DAY(FevDom1)=1,FevDom1+35,FevDom1+42)</f>
        <v>40615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/>
      <c r="M10" s="39"/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5" priority="5" stopIfTrue="1">
      <formula>DAY(C4)&gt;8</formula>
    </cfRule>
  </conditionalFormatting>
  <conditionalFormatting sqref="C8:I10">
    <cfRule type="expression" dxfId="54" priority="4" stopIfTrue="1">
      <formula>AND(DAY(C8)&gt;=1,DAY(C8)&lt;=15)</formula>
    </cfRule>
  </conditionalFormatting>
  <conditionalFormatting sqref="C4:I9">
    <cfRule type="expression" dxfId="53" priority="6">
      <formula>VLOOKUP(DAY(C4),Dias_de_Atribuição,1,FALSE)=DAY(C4)</formula>
    </cfRule>
  </conditionalFormatting>
  <conditionalFormatting sqref="B14:J33">
    <cfRule type="expression" dxfId="52" priority="3">
      <formula>B14&lt;&gt;""</formula>
    </cfRule>
  </conditionalFormatting>
  <conditionalFormatting sqref="B14:J33">
    <cfRule type="expression" dxfId="51" priority="2">
      <formula>B14&lt;&gt;""</formula>
    </cfRule>
  </conditionalFormatting>
  <conditionalFormatting sqref="B14:J33">
    <cfRule type="expression" dxfId="5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22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IF(DAY(MarDom1)=1,MarDom1-6,MarDom1+1)</f>
        <v>40602</v>
      </c>
      <c r="D4" s="10">
        <f>IF(DAY(MarDom1)=1,MarDom1-5,MarDom1+2)</f>
        <v>40603</v>
      </c>
      <c r="E4" s="10">
        <f>IF(DAY(MarDom1)=1,MarDom1-4,MarDom1+3)</f>
        <v>40604</v>
      </c>
      <c r="F4" s="10">
        <f>IF(DAY(MarDom1)=1,MarDom1-3,MarDom1+4)</f>
        <v>40605</v>
      </c>
      <c r="G4" s="10">
        <f>IF(DAY(MarDom1)=1,MarDom1-2,MarDom1+5)</f>
        <v>40606</v>
      </c>
      <c r="H4" s="10">
        <f>IF(DAY(MarDom1)=1,MarDom1-1,MarDom1+6)</f>
        <v>40607</v>
      </c>
      <c r="I4" s="10">
        <f>IF(DAY(MarDom1)=1,MarDom1,MarDom1+7)</f>
        <v>40608</v>
      </c>
      <c r="J4" s="5"/>
      <c r="K4" s="71" t="s">
        <v>9</v>
      </c>
      <c r="L4" s="16"/>
      <c r="M4" s="72"/>
      <c r="N4" s="73"/>
    </row>
    <row r="5" spans="1:14" ht="18" customHeight="1" x14ac:dyDescent="0.2">
      <c r="A5" s="4"/>
      <c r="B5" s="28"/>
      <c r="C5" s="10">
        <f>IF(DAY(MarDom1)=1,MarDom1+1,MarDom1+8)</f>
        <v>40609</v>
      </c>
      <c r="D5" s="10">
        <f>IF(DAY(MarDom1)=1,MarDom1+2,MarDom1+9)</f>
        <v>40610</v>
      </c>
      <c r="E5" s="10">
        <f>IF(DAY(MarDom1)=1,MarDom1+3,MarDom1+10)</f>
        <v>40611</v>
      </c>
      <c r="F5" s="10">
        <f>IF(DAY(MarDom1)=1,MarDom1+4,MarDom1+11)</f>
        <v>40612</v>
      </c>
      <c r="G5" s="10">
        <f>IF(DAY(MarDom1)=1,MarDom1+5,MarDom1+12)</f>
        <v>40613</v>
      </c>
      <c r="H5" s="10">
        <f>IF(DAY(MarDom1)=1,MarDom1+6,MarDom1+13)</f>
        <v>40614</v>
      </c>
      <c r="I5" s="10">
        <f>IF(DAY(MarDom1)=1,MarDom1+7,MarDom1+14)</f>
        <v>40615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IF(DAY(MarDom1)=1,MarDom1+8,MarDom1+15)</f>
        <v>40616</v>
      </c>
      <c r="D6" s="10">
        <f>IF(DAY(MarDom1)=1,MarDom1+9,MarDom1+16)</f>
        <v>40617</v>
      </c>
      <c r="E6" s="10">
        <f>IF(DAY(MarDom1)=1,MarDom1+10,MarDom1+17)</f>
        <v>40618</v>
      </c>
      <c r="F6" s="10">
        <f>IF(DAY(MarDom1)=1,MarDom1+11,MarDom1+18)</f>
        <v>40619</v>
      </c>
      <c r="G6" s="10">
        <f>IF(DAY(MarDom1)=1,MarDom1+12,MarDom1+19)</f>
        <v>40620</v>
      </c>
      <c r="H6" s="10">
        <f>IF(DAY(MarDom1)=1,MarDom1+13,MarDom1+20)</f>
        <v>40621</v>
      </c>
      <c r="I6" s="10">
        <f>IF(DAY(MarDom1)=1,MarDom1+14,MarDom1+21)</f>
        <v>40622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IF(DAY(MarDom1)=1,MarDom1+15,MarDom1+22)</f>
        <v>40623</v>
      </c>
      <c r="D7" s="10">
        <f>IF(DAY(MarDom1)=1,MarDom1+16,MarDom1+23)</f>
        <v>40624</v>
      </c>
      <c r="E7" s="10">
        <f>IF(DAY(MarDom1)=1,MarDom1+17,MarDom1+24)</f>
        <v>40625</v>
      </c>
      <c r="F7" s="10">
        <f>IF(DAY(MarDom1)=1,MarDom1+18,MarDom1+25)</f>
        <v>40626</v>
      </c>
      <c r="G7" s="10">
        <f>IF(DAY(MarDom1)=1,MarDom1+19,MarDom1+26)</f>
        <v>40627</v>
      </c>
      <c r="H7" s="10">
        <f>IF(DAY(MarDom1)=1,MarDom1+20,MarDom1+27)</f>
        <v>40628</v>
      </c>
      <c r="I7" s="10">
        <f>IF(DAY(MarDom1)=1,MarDom1+21,MarDom1+28)</f>
        <v>40629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IF(DAY(MarDom1)=1,MarDom1+22,MarDom1+29)</f>
        <v>40630</v>
      </c>
      <c r="D8" s="10">
        <f>IF(DAY(MarDom1)=1,MarDom1+23,MarDom1+30)</f>
        <v>40631</v>
      </c>
      <c r="E8" s="10">
        <f>IF(DAY(MarDom1)=1,MarDom1+24,MarDom1+31)</f>
        <v>40632</v>
      </c>
      <c r="F8" s="10">
        <f>IF(DAY(MarDom1)=1,MarDom1+25,MarDom1+32)</f>
        <v>40633</v>
      </c>
      <c r="G8" s="10">
        <f>IF(DAY(MarDom1)=1,MarDom1+26,MarDom1+33)</f>
        <v>40634</v>
      </c>
      <c r="H8" s="10">
        <f>IF(DAY(MarDom1)=1,MarDom1+27,MarDom1+34)</f>
        <v>40635</v>
      </c>
      <c r="I8" s="10">
        <f>IF(DAY(MarDom1)=1,MarDom1+28,MarDom1+35)</f>
        <v>40636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IF(DAY(MarDom1)=1,MarDom1+29,MarDom1+36)</f>
        <v>40637</v>
      </c>
      <c r="D9" s="10">
        <f>IF(DAY(MarDom1)=1,MarDom1+30,MarDom1+37)</f>
        <v>40638</v>
      </c>
      <c r="E9" s="10">
        <f>IF(DAY(MarDom1)=1,MarDom1+31,MarDom1+38)</f>
        <v>40639</v>
      </c>
      <c r="F9" s="10">
        <f>IF(DAY(MarDom1)=1,MarDom1+32,MarDom1+39)</f>
        <v>40640</v>
      </c>
      <c r="G9" s="10">
        <f>IF(DAY(MarDom1)=1,MarDom1+33,MarDom1+40)</f>
        <v>40641</v>
      </c>
      <c r="H9" s="10">
        <f>IF(DAY(MarDom1)=1,MarDom1+34,MarDom1+41)</f>
        <v>40642</v>
      </c>
      <c r="I9" s="10">
        <f>IF(DAY(MarDom1)=1,MarDom1+35,MarDom1+42)</f>
        <v>40643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/>
      <c r="M10" s="39"/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9" priority="4" stopIfTrue="1">
      <formula>DAY(C4)&gt;8</formula>
    </cfRule>
  </conditionalFormatting>
  <conditionalFormatting sqref="C8:I10">
    <cfRule type="expression" dxfId="48" priority="3" stopIfTrue="1">
      <formula>AND(DAY(C8)&gt;=1,DAY(C8)&lt;=15)</formula>
    </cfRule>
  </conditionalFormatting>
  <conditionalFormatting sqref="C4:I9">
    <cfRule type="expression" dxfId="47" priority="5">
      <formula>VLOOKUP(DAY(C4),Dias_de_Atribuição,1,FALSE)=DAY(C4)</formula>
    </cfRule>
  </conditionalFormatting>
  <conditionalFormatting sqref="B14:J33">
    <cfRule type="expression" dxfId="46" priority="2">
      <formula>B14&lt;&gt;""</formula>
    </cfRule>
  </conditionalFormatting>
  <conditionalFormatting sqref="B14:J33">
    <cfRule type="expression" dxfId="45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31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IF(DAY(AbrDom1)=1,AbrDom1-6,AbrDom1+1)</f>
        <v>40630</v>
      </c>
      <c r="D4" s="10">
        <f>IF(DAY(AbrDom1)=1,AbrDom1-5,AbrDom1+2)</f>
        <v>40631</v>
      </c>
      <c r="E4" s="10">
        <f>IF(DAY(AbrDom1)=1,AbrDom1-4,AbrDom1+3)</f>
        <v>40632</v>
      </c>
      <c r="F4" s="10">
        <f>IF(DAY(AbrDom1)=1,AbrDom1-3,AbrDom1+4)</f>
        <v>40633</v>
      </c>
      <c r="G4" s="10">
        <f>IF(DAY(AbrDom1)=1,AbrDom1-2,AbrDom1+5)</f>
        <v>40634</v>
      </c>
      <c r="H4" s="10">
        <f>IF(DAY(AbrDom1)=1,AbrDom1-1,AbrDom1+6)</f>
        <v>40635</v>
      </c>
      <c r="I4" s="10">
        <f>IF(DAY(AbrDom1)=1,AbrDom1,AbrDom1+7)</f>
        <v>40636</v>
      </c>
      <c r="J4" s="5"/>
      <c r="K4" s="71" t="s">
        <v>9</v>
      </c>
      <c r="L4" s="16"/>
      <c r="M4" s="72"/>
      <c r="N4" s="73"/>
    </row>
    <row r="5" spans="1:14" ht="18" customHeight="1" x14ac:dyDescent="0.2">
      <c r="A5" s="4"/>
      <c r="B5" s="28"/>
      <c r="C5" s="10">
        <f>IF(DAY(AbrDom1)=1,AbrDom1+1,AbrDom1+8)</f>
        <v>40637</v>
      </c>
      <c r="D5" s="10">
        <f>IF(DAY(AbrDom1)=1,AbrDom1+2,AbrDom1+9)</f>
        <v>40638</v>
      </c>
      <c r="E5" s="10">
        <f>IF(DAY(AbrDom1)=1,AbrDom1+3,AbrDom1+10)</f>
        <v>40639</v>
      </c>
      <c r="F5" s="10">
        <f>IF(DAY(AbrDom1)=1,AbrDom1+4,AbrDom1+11)</f>
        <v>40640</v>
      </c>
      <c r="G5" s="10">
        <f>IF(DAY(AbrDom1)=1,AbrDom1+5,AbrDom1+12)</f>
        <v>40641</v>
      </c>
      <c r="H5" s="10">
        <f>IF(DAY(AbrDom1)=1,AbrDom1+6,AbrDom1+13)</f>
        <v>40642</v>
      </c>
      <c r="I5" s="10">
        <f>IF(DAY(AbrDom1)=1,AbrDom1+7,AbrDom1+14)</f>
        <v>40643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IF(DAY(AbrDom1)=1,AbrDom1+8,AbrDom1+15)</f>
        <v>40644</v>
      </c>
      <c r="D6" s="10">
        <f>IF(DAY(AbrDom1)=1,AbrDom1+9,AbrDom1+16)</f>
        <v>40645</v>
      </c>
      <c r="E6" s="10">
        <f>IF(DAY(AbrDom1)=1,AbrDom1+10,AbrDom1+17)</f>
        <v>40646</v>
      </c>
      <c r="F6" s="10">
        <f>IF(DAY(AbrDom1)=1,AbrDom1+11,AbrDom1+18)</f>
        <v>40647</v>
      </c>
      <c r="G6" s="10">
        <f>IF(DAY(AbrDom1)=1,AbrDom1+12,AbrDom1+19)</f>
        <v>40648</v>
      </c>
      <c r="H6" s="10">
        <f>IF(DAY(AbrDom1)=1,AbrDom1+13,AbrDom1+20)</f>
        <v>40649</v>
      </c>
      <c r="I6" s="10">
        <f>IF(DAY(AbrDom1)=1,AbrDom1+14,AbrDom1+21)</f>
        <v>40650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IF(DAY(AbrDom1)=1,AbrDom1+15,AbrDom1+22)</f>
        <v>40651</v>
      </c>
      <c r="D7" s="10">
        <f>IF(DAY(AbrDom1)=1,AbrDom1+16,AbrDom1+23)</f>
        <v>40652</v>
      </c>
      <c r="E7" s="10">
        <f>IF(DAY(AbrDom1)=1,AbrDom1+17,AbrDom1+24)</f>
        <v>40653</v>
      </c>
      <c r="F7" s="10">
        <f>IF(DAY(AbrDom1)=1,AbrDom1+18,AbrDom1+25)</f>
        <v>40654</v>
      </c>
      <c r="G7" s="10">
        <f>IF(DAY(AbrDom1)=1,AbrDom1+19,AbrDom1+26)</f>
        <v>40655</v>
      </c>
      <c r="H7" s="10">
        <f>IF(DAY(AbrDom1)=1,AbrDom1+20,AbrDom1+27)</f>
        <v>40656</v>
      </c>
      <c r="I7" s="10">
        <f>IF(DAY(AbrDom1)=1,AbrDom1+21,AbrDom1+28)</f>
        <v>40657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IF(DAY(AbrDom1)=1,AbrDom1+22,AbrDom1+29)</f>
        <v>40658</v>
      </c>
      <c r="D8" s="10">
        <f>IF(DAY(AbrDom1)=1,AbrDom1+23,AbrDom1+30)</f>
        <v>40659</v>
      </c>
      <c r="E8" s="10">
        <f>IF(DAY(AbrDom1)=1,AbrDom1+24,AbrDom1+31)</f>
        <v>40660</v>
      </c>
      <c r="F8" s="10">
        <f>IF(DAY(AbrDom1)=1,AbrDom1+25,AbrDom1+32)</f>
        <v>40661</v>
      </c>
      <c r="G8" s="10">
        <f>IF(DAY(AbrDom1)=1,AbrDom1+26,AbrDom1+33)</f>
        <v>40662</v>
      </c>
      <c r="H8" s="10">
        <f>IF(DAY(AbrDom1)=1,AbrDom1+27,AbrDom1+34)</f>
        <v>40663</v>
      </c>
      <c r="I8" s="10">
        <f>IF(DAY(AbrDom1)=1,AbrDom1+28,AbrDom1+35)</f>
        <v>40664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IF(DAY(AbrDom1)=1,AbrDom1+29,AbrDom1+36)</f>
        <v>40665</v>
      </c>
      <c r="D9" s="10">
        <f>IF(DAY(AbrDom1)=1,AbrDom1+30,AbrDom1+37)</f>
        <v>40666</v>
      </c>
      <c r="E9" s="10">
        <f>IF(DAY(AbrDom1)=1,AbrDom1+31,AbrDom1+38)</f>
        <v>40667</v>
      </c>
      <c r="F9" s="10">
        <f>IF(DAY(AbrDom1)=1,AbrDom1+32,AbrDom1+39)</f>
        <v>40668</v>
      </c>
      <c r="G9" s="10">
        <f>IF(DAY(AbrDom1)=1,AbrDom1+33,AbrDom1+40)</f>
        <v>40669</v>
      </c>
      <c r="H9" s="10">
        <f>IF(DAY(AbrDom1)=1,AbrDom1+34,AbrDom1+41)</f>
        <v>40670</v>
      </c>
      <c r="I9" s="10">
        <f>IF(DAY(AbrDom1)=1,AbrDom1+35,AbrDom1+42)</f>
        <v>40671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/>
      <c r="M10" s="39"/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4" priority="4" stopIfTrue="1">
      <formula>DAY(C4)&gt;8</formula>
    </cfRule>
  </conditionalFormatting>
  <conditionalFormatting sqref="C8:I10">
    <cfRule type="expression" dxfId="43" priority="3" stopIfTrue="1">
      <formula>AND(DAY(C8)&gt;=1,DAY(C8)&lt;=15)</formula>
    </cfRule>
  </conditionalFormatting>
  <conditionalFormatting sqref="C4:I9">
    <cfRule type="expression" dxfId="42" priority="5">
      <formula>VLOOKUP(DAY(C4),Dias_de_Atribuição,1,FALSE)=DAY(C4)</formula>
    </cfRule>
  </conditionalFormatting>
  <conditionalFormatting sqref="B14:J33">
    <cfRule type="expression" dxfId="41" priority="2">
      <formula>B14&lt;&gt;""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30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IF(DAY(MaiDom1)=1,MaiDom1-6,MaiDom1+1)</f>
        <v>40658</v>
      </c>
      <c r="D4" s="10">
        <f>IF(DAY(MaiDom1)=1,MaiDom1-5,MaiDom1+2)</f>
        <v>40659</v>
      </c>
      <c r="E4" s="10">
        <f>IF(DAY(MaiDom1)=1,MaiDom1-4,MaiDom1+3)</f>
        <v>40660</v>
      </c>
      <c r="F4" s="10">
        <f>IF(DAY(MaiDom1)=1,MaiDom1-3,MaiDom1+4)</f>
        <v>40661</v>
      </c>
      <c r="G4" s="10">
        <f>IF(DAY(MaiDom1)=1,MaiDom1-2,MaiDom1+5)</f>
        <v>40662</v>
      </c>
      <c r="H4" s="10">
        <f>IF(DAY(MaiDom1)=1,MaiDom1-1,MaiDom1+6)</f>
        <v>40663</v>
      </c>
      <c r="I4" s="10">
        <f>IF(DAY(MaiDom1)=1,MaiDom1,MaiDom1+7)</f>
        <v>40664</v>
      </c>
      <c r="J4" s="5"/>
      <c r="K4" s="71" t="s">
        <v>9</v>
      </c>
      <c r="L4" s="16"/>
      <c r="M4" s="72"/>
      <c r="N4" s="73"/>
    </row>
    <row r="5" spans="1:14" ht="18" customHeight="1" x14ac:dyDescent="0.2">
      <c r="A5" s="4"/>
      <c r="B5" s="28"/>
      <c r="C5" s="10">
        <f>IF(DAY(MaiDom1)=1,MaiDom1+1,MaiDom1+8)</f>
        <v>40665</v>
      </c>
      <c r="D5" s="10">
        <f>IF(DAY(MaiDom1)=1,MaiDom1+2,MaiDom1+9)</f>
        <v>40666</v>
      </c>
      <c r="E5" s="10">
        <f>IF(DAY(MaiDom1)=1,MaiDom1+3,MaiDom1+10)</f>
        <v>40667</v>
      </c>
      <c r="F5" s="10">
        <f>IF(DAY(MaiDom1)=1,MaiDom1+4,MaiDom1+11)</f>
        <v>40668</v>
      </c>
      <c r="G5" s="10">
        <f>IF(DAY(MaiDom1)=1,MaiDom1+5,MaiDom1+12)</f>
        <v>40669</v>
      </c>
      <c r="H5" s="10">
        <f>IF(DAY(MaiDom1)=1,MaiDom1+6,MaiDom1+13)</f>
        <v>40670</v>
      </c>
      <c r="I5" s="10">
        <f>IF(DAY(MaiDom1)=1,MaiDom1+7,MaiDom1+14)</f>
        <v>40671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IF(DAY(MaiDom1)=1,MaiDom1+8,MaiDom1+15)</f>
        <v>40672</v>
      </c>
      <c r="D6" s="10">
        <f>IF(DAY(MaiDom1)=1,MaiDom1+9,MaiDom1+16)</f>
        <v>40673</v>
      </c>
      <c r="E6" s="10">
        <f>IF(DAY(MaiDom1)=1,MaiDom1+10,MaiDom1+17)</f>
        <v>40674</v>
      </c>
      <c r="F6" s="10">
        <f>IF(DAY(MaiDom1)=1,MaiDom1+11,MaiDom1+18)</f>
        <v>40675</v>
      </c>
      <c r="G6" s="10">
        <f>IF(DAY(MaiDom1)=1,MaiDom1+12,MaiDom1+19)</f>
        <v>40676</v>
      </c>
      <c r="H6" s="10">
        <f>IF(DAY(MaiDom1)=1,MaiDom1+13,MaiDom1+20)</f>
        <v>40677</v>
      </c>
      <c r="I6" s="10">
        <f>IF(DAY(MaiDom1)=1,MaiDom1+14,MaiDom1+21)</f>
        <v>40678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IF(DAY(MaiDom1)=1,MaiDom1+15,MaiDom1+22)</f>
        <v>40679</v>
      </c>
      <c r="D7" s="10">
        <f>IF(DAY(MaiDom1)=1,MaiDom1+16,MaiDom1+23)</f>
        <v>40680</v>
      </c>
      <c r="E7" s="10">
        <f>IF(DAY(MaiDom1)=1,MaiDom1+17,MaiDom1+24)</f>
        <v>40681</v>
      </c>
      <c r="F7" s="10">
        <f>IF(DAY(MaiDom1)=1,MaiDom1+18,MaiDom1+25)</f>
        <v>40682</v>
      </c>
      <c r="G7" s="10">
        <f>IF(DAY(MaiDom1)=1,MaiDom1+19,MaiDom1+26)</f>
        <v>40683</v>
      </c>
      <c r="H7" s="10">
        <f>IF(DAY(MaiDom1)=1,MaiDom1+20,MaiDom1+27)</f>
        <v>40684</v>
      </c>
      <c r="I7" s="10">
        <f>IF(DAY(MaiDom1)=1,MaiDom1+21,MaiDom1+28)</f>
        <v>40685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IF(DAY(MaiDom1)=1,MaiDom1+22,MaiDom1+29)</f>
        <v>40686</v>
      </c>
      <c r="D8" s="10">
        <f>IF(DAY(MaiDom1)=1,MaiDom1+23,MaiDom1+30)</f>
        <v>40687</v>
      </c>
      <c r="E8" s="10">
        <f>IF(DAY(MaiDom1)=1,MaiDom1+24,MaiDom1+31)</f>
        <v>40688</v>
      </c>
      <c r="F8" s="10">
        <f>IF(DAY(MaiDom1)=1,MaiDom1+25,MaiDom1+32)</f>
        <v>40689</v>
      </c>
      <c r="G8" s="10">
        <f>IF(DAY(MaiDom1)=1,MaiDom1+26,MaiDom1+33)</f>
        <v>40690</v>
      </c>
      <c r="H8" s="10">
        <f>IF(DAY(MaiDom1)=1,MaiDom1+27,MaiDom1+34)</f>
        <v>40691</v>
      </c>
      <c r="I8" s="10">
        <f>IF(DAY(MaiDom1)=1,MaiDom1+28,MaiDom1+35)</f>
        <v>40692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IF(DAY(MaiDom1)=1,MaiDom1+29,MaiDom1+36)</f>
        <v>40693</v>
      </c>
      <c r="D9" s="10">
        <f>IF(DAY(MaiDom1)=1,MaiDom1+30,MaiDom1+37)</f>
        <v>40694</v>
      </c>
      <c r="E9" s="10">
        <f>IF(DAY(MaiDom1)=1,MaiDom1+31,MaiDom1+38)</f>
        <v>40695</v>
      </c>
      <c r="F9" s="10">
        <f>IF(DAY(MaiDom1)=1,MaiDom1+32,MaiDom1+39)</f>
        <v>40696</v>
      </c>
      <c r="G9" s="10">
        <f>IF(DAY(MaiDom1)=1,MaiDom1+33,MaiDom1+40)</f>
        <v>40697</v>
      </c>
      <c r="H9" s="10">
        <f>IF(DAY(MaiDom1)=1,MaiDom1+34,MaiDom1+41)</f>
        <v>40698</v>
      </c>
      <c r="I9" s="10">
        <f>IF(DAY(MaiDom1)=1,MaiDom1+35,MaiDom1+42)</f>
        <v>40699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/>
      <c r="M10" s="39"/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4" stopIfTrue="1">
      <formula>DAY(C4)&gt;8</formula>
    </cfRule>
  </conditionalFormatting>
  <conditionalFormatting sqref="C8:I10">
    <cfRule type="expression" dxfId="38" priority="3" stopIfTrue="1">
      <formula>AND(DAY(C8)&gt;=1,DAY(C8)&lt;=15)</formula>
    </cfRule>
  </conditionalFormatting>
  <conditionalFormatting sqref="C4:I9">
    <cfRule type="expression" dxfId="37" priority="5">
      <formula>VLOOKUP(DAY(C4),Dias_de_Atribuição,1,FALSE)=DAY(C4)</formula>
    </cfRule>
  </conditionalFormatting>
  <conditionalFormatting sqref="B14:J33">
    <cfRule type="expression" dxfId="36" priority="2">
      <formula>B14&lt;&gt;""</formula>
    </cfRule>
  </conditionalFormatting>
  <conditionalFormatting sqref="B14:J33">
    <cfRule type="expression" dxfId="35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29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IF(DAY(JunDom1)=1,JunDom1-6,JunDom1+1)</f>
        <v>40693</v>
      </c>
      <c r="D4" s="10">
        <f>IF(DAY(JunDom1)=1,JunDom1-5,JunDom1+2)</f>
        <v>40694</v>
      </c>
      <c r="E4" s="10">
        <f>IF(DAY(JunDom1)=1,JunDom1-4,JunDom1+3)</f>
        <v>40695</v>
      </c>
      <c r="F4" s="10">
        <f>IF(DAY(JunDom1)=1,JunDom1-3,JunDom1+4)</f>
        <v>40696</v>
      </c>
      <c r="G4" s="10">
        <f>IF(DAY(JunDom1)=1,JunDom1-2,JunDom1+5)</f>
        <v>40697</v>
      </c>
      <c r="H4" s="10">
        <f>IF(DAY(JunDom1)=1,JunDom1-1,JunDom1+6)</f>
        <v>40698</v>
      </c>
      <c r="I4" s="10">
        <f>IF(DAY(JunDom1)=1,JunDom1,JunDom1+7)</f>
        <v>40699</v>
      </c>
      <c r="J4" s="5"/>
      <c r="K4" s="71" t="s">
        <v>9</v>
      </c>
      <c r="L4" s="16"/>
      <c r="M4" s="72"/>
      <c r="N4" s="73"/>
    </row>
    <row r="5" spans="1:14" ht="18" customHeight="1" x14ac:dyDescent="0.2">
      <c r="A5" s="4"/>
      <c r="B5" s="28"/>
      <c r="C5" s="10">
        <f>IF(DAY(JunDom1)=1,JunDom1+1,JunDom1+8)</f>
        <v>40700</v>
      </c>
      <c r="D5" s="10">
        <f>IF(DAY(JunDom1)=1,JunDom1+2,JunDom1+9)</f>
        <v>40701</v>
      </c>
      <c r="E5" s="10">
        <f>IF(DAY(JunDom1)=1,JunDom1+3,JunDom1+10)</f>
        <v>40702</v>
      </c>
      <c r="F5" s="10">
        <f>IF(DAY(JunDom1)=1,JunDom1+4,JunDom1+11)</f>
        <v>40703</v>
      </c>
      <c r="G5" s="10">
        <f>IF(DAY(JunDom1)=1,JunDom1+5,JunDom1+12)</f>
        <v>40704</v>
      </c>
      <c r="H5" s="10">
        <f>IF(DAY(JunDom1)=1,JunDom1+6,JunDom1+13)</f>
        <v>40705</v>
      </c>
      <c r="I5" s="10">
        <f>IF(DAY(JunDom1)=1,JunDom1+7,JunDom1+14)</f>
        <v>40706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IF(DAY(JunDom1)=1,JunDom1+8,JunDom1+15)</f>
        <v>40707</v>
      </c>
      <c r="D6" s="10">
        <f>IF(DAY(JunDom1)=1,JunDom1+9,JunDom1+16)</f>
        <v>40708</v>
      </c>
      <c r="E6" s="10">
        <f>IF(DAY(JunDom1)=1,JunDom1+10,JunDom1+17)</f>
        <v>40709</v>
      </c>
      <c r="F6" s="10">
        <f>IF(DAY(JunDom1)=1,JunDom1+11,JunDom1+18)</f>
        <v>40710</v>
      </c>
      <c r="G6" s="10">
        <f>IF(DAY(JunDom1)=1,JunDom1+12,JunDom1+19)</f>
        <v>40711</v>
      </c>
      <c r="H6" s="10">
        <f>IF(DAY(JunDom1)=1,JunDom1+13,JunDom1+20)</f>
        <v>40712</v>
      </c>
      <c r="I6" s="10">
        <f>IF(DAY(JunDom1)=1,JunDom1+14,JunDom1+21)</f>
        <v>40713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IF(DAY(JunDom1)=1,JunDom1+15,JunDom1+22)</f>
        <v>40714</v>
      </c>
      <c r="D7" s="10">
        <f>IF(DAY(JunDom1)=1,JunDom1+16,JunDom1+23)</f>
        <v>40715</v>
      </c>
      <c r="E7" s="10">
        <f>IF(DAY(JunDom1)=1,JunDom1+17,JunDom1+24)</f>
        <v>40716</v>
      </c>
      <c r="F7" s="10">
        <f>IF(DAY(JunDom1)=1,JunDom1+18,JunDom1+25)</f>
        <v>40717</v>
      </c>
      <c r="G7" s="10">
        <f>IF(DAY(JunDom1)=1,JunDom1+19,JunDom1+26)</f>
        <v>40718</v>
      </c>
      <c r="H7" s="10">
        <f>IF(DAY(JunDom1)=1,JunDom1+20,JunDom1+27)</f>
        <v>40719</v>
      </c>
      <c r="I7" s="10">
        <f>IF(DAY(JunDom1)=1,JunDom1+21,JunDom1+28)</f>
        <v>40720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IF(DAY(JunDom1)=1,JunDom1+22,JunDom1+29)</f>
        <v>40721</v>
      </c>
      <c r="D8" s="10">
        <f>IF(DAY(JunDom1)=1,JunDom1+23,JunDom1+30)</f>
        <v>40722</v>
      </c>
      <c r="E8" s="10">
        <f>IF(DAY(JunDom1)=1,JunDom1+24,JunDom1+31)</f>
        <v>40723</v>
      </c>
      <c r="F8" s="10">
        <f>IF(DAY(JunDom1)=1,JunDom1+25,JunDom1+32)</f>
        <v>40724</v>
      </c>
      <c r="G8" s="10">
        <f>IF(DAY(JunDom1)=1,JunDom1+26,JunDom1+33)</f>
        <v>40725</v>
      </c>
      <c r="H8" s="10">
        <f>IF(DAY(JunDom1)=1,JunDom1+27,JunDom1+34)</f>
        <v>40726</v>
      </c>
      <c r="I8" s="10">
        <f>IF(DAY(JunDom1)=1,JunDom1+28,JunDom1+35)</f>
        <v>40727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IF(DAY(JunDom1)=1,JunDom1+29,JunDom1+36)</f>
        <v>40728</v>
      </c>
      <c r="D9" s="10">
        <f>IF(DAY(JunDom1)=1,JunDom1+30,JunDom1+37)</f>
        <v>40729</v>
      </c>
      <c r="E9" s="10">
        <f>IF(DAY(JunDom1)=1,JunDom1+31,JunDom1+38)</f>
        <v>40730</v>
      </c>
      <c r="F9" s="10">
        <f>IF(DAY(JunDom1)=1,JunDom1+32,JunDom1+39)</f>
        <v>40731</v>
      </c>
      <c r="G9" s="10">
        <f>IF(DAY(JunDom1)=1,JunDom1+33,JunDom1+40)</f>
        <v>40732</v>
      </c>
      <c r="H9" s="10">
        <f>IF(DAY(JunDom1)=1,JunDom1+34,JunDom1+41)</f>
        <v>40733</v>
      </c>
      <c r="I9" s="10">
        <f>IF(DAY(JunDom1)=1,JunDom1+35,JunDom1+42)</f>
        <v>40734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/>
      <c r="M10" s="39"/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4" priority="4" stopIfTrue="1">
      <formula>DAY(C4)&gt;8</formula>
    </cfRule>
  </conditionalFormatting>
  <conditionalFormatting sqref="C8:I10">
    <cfRule type="expression" dxfId="33" priority="3" stopIfTrue="1">
      <formula>AND(DAY(C8)&gt;=1,DAY(C8)&lt;=15)</formula>
    </cfRule>
  </conditionalFormatting>
  <conditionalFormatting sqref="C4:I9">
    <cfRule type="expression" dxfId="32" priority="5">
      <formula>VLOOKUP(DAY(C4),Dias_de_Atribuição,1,FALSE)=DAY(C4)</formula>
    </cfRule>
  </conditionalFormatting>
  <conditionalFormatting sqref="B14:J33">
    <cfRule type="expression" dxfId="31" priority="2">
      <formula>B14&lt;&gt;""</formula>
    </cfRule>
  </conditionalFormatting>
  <conditionalFormatting sqref="B14:J33">
    <cfRule type="expression" dxfId="3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28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IF(DAY(JulDom1)=1,JulDom1-6,JulDom1+1)</f>
        <v>40721</v>
      </c>
      <c r="D4" s="10">
        <f>IF(DAY(JulDom1)=1,JulDom1-5,JulDom1+2)</f>
        <v>40722</v>
      </c>
      <c r="E4" s="10">
        <f>IF(DAY(JulDom1)=1,JulDom1-4,JulDom1+3)</f>
        <v>40723</v>
      </c>
      <c r="F4" s="10">
        <f>IF(DAY(JulDom1)=1,JulDom1-3,JulDom1+4)</f>
        <v>40724</v>
      </c>
      <c r="G4" s="10">
        <f>IF(DAY(JulDom1)=1,JulDom1-2,JulDom1+5)</f>
        <v>40725</v>
      </c>
      <c r="H4" s="10">
        <f>IF(DAY(JulDom1)=1,JulDom1-1,JulDom1+6)</f>
        <v>40726</v>
      </c>
      <c r="I4" s="10">
        <f>IF(DAY(JulDom1)=1,JulDom1,JulDom1+7)</f>
        <v>40727</v>
      </c>
      <c r="J4" s="5"/>
      <c r="K4" s="71" t="s">
        <v>9</v>
      </c>
      <c r="L4" s="16"/>
      <c r="M4" s="72"/>
      <c r="N4" s="73"/>
    </row>
    <row r="5" spans="1:14" ht="18" customHeight="1" x14ac:dyDescent="0.2">
      <c r="A5" s="4"/>
      <c r="B5" s="28"/>
      <c r="C5" s="10">
        <f>IF(DAY(JulDom1)=1,JulDom1+1,JulDom1+8)</f>
        <v>40728</v>
      </c>
      <c r="D5" s="10">
        <f>IF(DAY(JulDom1)=1,JulDom1+2,JulDom1+9)</f>
        <v>40729</v>
      </c>
      <c r="E5" s="10">
        <f>IF(DAY(JulDom1)=1,JulDom1+3,JulDom1+10)</f>
        <v>40730</v>
      </c>
      <c r="F5" s="10">
        <f>IF(DAY(JulDom1)=1,JulDom1+4,JulDom1+11)</f>
        <v>40731</v>
      </c>
      <c r="G5" s="10">
        <f>IF(DAY(JulDom1)=1,JulDom1+5,JulDom1+12)</f>
        <v>40732</v>
      </c>
      <c r="H5" s="10">
        <f>IF(DAY(JulDom1)=1,JulDom1+6,JulDom1+13)</f>
        <v>40733</v>
      </c>
      <c r="I5" s="10">
        <f>IF(DAY(JulDom1)=1,JulDom1+7,JulDom1+14)</f>
        <v>40734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IF(DAY(JulDom1)=1,JulDom1+8,JulDom1+15)</f>
        <v>40735</v>
      </c>
      <c r="D6" s="10">
        <f>IF(DAY(JulDom1)=1,JulDom1+9,JulDom1+16)</f>
        <v>40736</v>
      </c>
      <c r="E6" s="10">
        <f>IF(DAY(JulDom1)=1,JulDom1+10,JulDom1+17)</f>
        <v>40737</v>
      </c>
      <c r="F6" s="10">
        <f>IF(DAY(JulDom1)=1,JulDom1+11,JulDom1+18)</f>
        <v>40738</v>
      </c>
      <c r="G6" s="10">
        <f>IF(DAY(JulDom1)=1,JulDom1+12,JulDom1+19)</f>
        <v>40739</v>
      </c>
      <c r="H6" s="10">
        <f>IF(DAY(JulDom1)=1,JulDom1+13,JulDom1+20)</f>
        <v>40740</v>
      </c>
      <c r="I6" s="10">
        <f>IF(DAY(JulDom1)=1,JulDom1+14,JulDom1+21)</f>
        <v>40741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IF(DAY(JulDom1)=1,JulDom1+15,JulDom1+22)</f>
        <v>40742</v>
      </c>
      <c r="D7" s="10">
        <f>IF(DAY(JulDom1)=1,JulDom1+16,JulDom1+23)</f>
        <v>40743</v>
      </c>
      <c r="E7" s="10">
        <f>IF(DAY(JulDom1)=1,JulDom1+17,JulDom1+24)</f>
        <v>40744</v>
      </c>
      <c r="F7" s="10">
        <f>IF(DAY(JulDom1)=1,JulDom1+18,JulDom1+25)</f>
        <v>40745</v>
      </c>
      <c r="G7" s="10">
        <f>IF(DAY(JulDom1)=1,JulDom1+19,JulDom1+26)</f>
        <v>40746</v>
      </c>
      <c r="H7" s="10">
        <f>IF(DAY(JulDom1)=1,JulDom1+20,JulDom1+27)</f>
        <v>40747</v>
      </c>
      <c r="I7" s="10">
        <f>IF(DAY(JulDom1)=1,JulDom1+21,JulDom1+28)</f>
        <v>40748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IF(DAY(JulDom1)=1,JulDom1+22,JulDom1+29)</f>
        <v>40749</v>
      </c>
      <c r="D8" s="10">
        <f>IF(DAY(JulDom1)=1,JulDom1+23,JulDom1+30)</f>
        <v>40750</v>
      </c>
      <c r="E8" s="10">
        <f>IF(DAY(JulDom1)=1,JulDom1+24,JulDom1+31)</f>
        <v>40751</v>
      </c>
      <c r="F8" s="10">
        <f>IF(DAY(JulDom1)=1,JulDom1+25,JulDom1+32)</f>
        <v>40752</v>
      </c>
      <c r="G8" s="10">
        <f>IF(DAY(JulDom1)=1,JulDom1+26,JulDom1+33)</f>
        <v>40753</v>
      </c>
      <c r="H8" s="10">
        <f>IF(DAY(JulDom1)=1,JulDom1+27,JulDom1+34)</f>
        <v>40754</v>
      </c>
      <c r="I8" s="10">
        <f>IF(DAY(JulDom1)=1,JulDom1+28,JulDom1+35)</f>
        <v>40755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IF(DAY(JulDom1)=1,JulDom1+29,JulDom1+36)</f>
        <v>40756</v>
      </c>
      <c r="D9" s="10">
        <f>IF(DAY(JulDom1)=1,JulDom1+30,JulDom1+37)</f>
        <v>40757</v>
      </c>
      <c r="E9" s="10">
        <f>IF(DAY(JulDom1)=1,JulDom1+31,JulDom1+38)</f>
        <v>40758</v>
      </c>
      <c r="F9" s="10">
        <f>IF(DAY(JulDom1)=1,JulDom1+32,JulDom1+39)</f>
        <v>40759</v>
      </c>
      <c r="G9" s="10">
        <f>IF(DAY(JulDom1)=1,JulDom1+33,JulDom1+40)</f>
        <v>40760</v>
      </c>
      <c r="H9" s="10">
        <f>IF(DAY(JulDom1)=1,JulDom1+34,JulDom1+41)</f>
        <v>40761</v>
      </c>
      <c r="I9" s="10">
        <f>IF(DAY(JulDom1)=1,JulDom1+35,JulDom1+42)</f>
        <v>40762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/>
      <c r="M10" s="39"/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9" priority="4" stopIfTrue="1">
      <formula>DAY(C4)&gt;8</formula>
    </cfRule>
  </conditionalFormatting>
  <conditionalFormatting sqref="C8:I10">
    <cfRule type="expression" dxfId="28" priority="3" stopIfTrue="1">
      <formula>AND(DAY(C8)&gt;=1,DAY(C8)&lt;=15)</formula>
    </cfRule>
  </conditionalFormatting>
  <conditionalFormatting sqref="C4:I9">
    <cfRule type="expression" dxfId="27" priority="5">
      <formula>VLOOKUP(DAY(C4),Dias_de_Atribuição,1,FALSE)=DAY(C4)</formula>
    </cfRule>
  </conditionalFormatting>
  <conditionalFormatting sqref="B14:J33">
    <cfRule type="expression" dxfId="26" priority="2">
      <formula>B14&lt;&gt;""</formula>
    </cfRule>
  </conditionalFormatting>
  <conditionalFormatting sqref="B14:J33">
    <cfRule type="expression" dxfId="25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27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IF(DAY(AgoDom1)=1,AgoDom1-6,AgoDom1+1)</f>
        <v>40756</v>
      </c>
      <c r="D4" s="10">
        <f>IF(DAY(AgoDom1)=1,AgoDom1-5,AgoDom1+2)</f>
        <v>40757</v>
      </c>
      <c r="E4" s="10">
        <f>IF(DAY(AgoDom1)=1,AgoDom1-4,AgoDom1+3)</f>
        <v>40758</v>
      </c>
      <c r="F4" s="10">
        <f>IF(DAY(AgoDom1)=1,AgoDom1-3,AgoDom1+4)</f>
        <v>40759</v>
      </c>
      <c r="G4" s="10">
        <f>IF(DAY(AgoDom1)=1,AgoDom1-2,AgoDom1+5)</f>
        <v>40760</v>
      </c>
      <c r="H4" s="10">
        <f>IF(DAY(AgoDom1)=1,AgoDom1-1,AgoDom1+6)</f>
        <v>40761</v>
      </c>
      <c r="I4" s="10">
        <f>IF(DAY(AgoDom1)=1,AgoDom1,AgoDom1+7)</f>
        <v>40762</v>
      </c>
      <c r="J4" s="5"/>
      <c r="K4" s="71" t="s">
        <v>9</v>
      </c>
      <c r="L4" s="16"/>
      <c r="M4" s="72"/>
      <c r="N4" s="73"/>
    </row>
    <row r="5" spans="1:14" ht="18" customHeight="1" x14ac:dyDescent="0.2">
      <c r="A5" s="4"/>
      <c r="B5" s="28"/>
      <c r="C5" s="10">
        <f>IF(DAY(AgoDom1)=1,AgoDom1+1,AgoDom1+8)</f>
        <v>40763</v>
      </c>
      <c r="D5" s="10">
        <f>IF(DAY(AgoDom1)=1,AgoDom1+2,AgoDom1+9)</f>
        <v>40764</v>
      </c>
      <c r="E5" s="10">
        <f>IF(DAY(AgoDom1)=1,AgoDom1+3,AgoDom1+10)</f>
        <v>40765</v>
      </c>
      <c r="F5" s="10">
        <f>IF(DAY(AgoDom1)=1,AgoDom1+4,AgoDom1+11)</f>
        <v>40766</v>
      </c>
      <c r="G5" s="10">
        <f>IF(DAY(AgoDom1)=1,AgoDom1+5,AgoDom1+12)</f>
        <v>40767</v>
      </c>
      <c r="H5" s="10">
        <f>IF(DAY(AgoDom1)=1,AgoDom1+6,AgoDom1+13)</f>
        <v>40768</v>
      </c>
      <c r="I5" s="10">
        <f>IF(DAY(AgoDom1)=1,AgoDom1+7,AgoDom1+14)</f>
        <v>40769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IF(DAY(AgoDom1)=1,AgoDom1+8,AgoDom1+15)</f>
        <v>40770</v>
      </c>
      <c r="D6" s="10">
        <f>IF(DAY(AgoDom1)=1,AgoDom1+9,AgoDom1+16)</f>
        <v>40771</v>
      </c>
      <c r="E6" s="10">
        <f>IF(DAY(AgoDom1)=1,AgoDom1+10,AgoDom1+17)</f>
        <v>40772</v>
      </c>
      <c r="F6" s="10">
        <f>IF(DAY(AgoDom1)=1,AgoDom1+11,AgoDom1+18)</f>
        <v>40773</v>
      </c>
      <c r="G6" s="10">
        <f>IF(DAY(AgoDom1)=1,AgoDom1+12,AgoDom1+19)</f>
        <v>40774</v>
      </c>
      <c r="H6" s="10">
        <f>IF(DAY(AgoDom1)=1,AgoDom1+13,AgoDom1+20)</f>
        <v>40775</v>
      </c>
      <c r="I6" s="10">
        <f>IF(DAY(AgoDom1)=1,AgoDom1+14,AgoDom1+21)</f>
        <v>40776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IF(DAY(AgoDom1)=1,AgoDom1+15,AgoDom1+22)</f>
        <v>40777</v>
      </c>
      <c r="D7" s="10">
        <f>IF(DAY(AgoDom1)=1,AgoDom1+16,AgoDom1+23)</f>
        <v>40778</v>
      </c>
      <c r="E7" s="10">
        <f>IF(DAY(AgoDom1)=1,AgoDom1+17,AgoDom1+24)</f>
        <v>40779</v>
      </c>
      <c r="F7" s="10">
        <f>IF(DAY(AgoDom1)=1,AgoDom1+18,AgoDom1+25)</f>
        <v>40780</v>
      </c>
      <c r="G7" s="10">
        <f>IF(DAY(AgoDom1)=1,AgoDom1+19,AgoDom1+26)</f>
        <v>40781</v>
      </c>
      <c r="H7" s="10">
        <f>IF(DAY(AgoDom1)=1,AgoDom1+20,AgoDom1+27)</f>
        <v>40782</v>
      </c>
      <c r="I7" s="10">
        <f>IF(DAY(AgoDom1)=1,AgoDom1+21,AgoDom1+28)</f>
        <v>40783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IF(DAY(AgoDom1)=1,AgoDom1+22,AgoDom1+29)</f>
        <v>40784</v>
      </c>
      <c r="D8" s="10">
        <f>IF(DAY(AgoDom1)=1,AgoDom1+23,AgoDom1+30)</f>
        <v>40785</v>
      </c>
      <c r="E8" s="10">
        <f>IF(DAY(AgoDom1)=1,AgoDom1+24,AgoDom1+31)</f>
        <v>40786</v>
      </c>
      <c r="F8" s="10">
        <f>IF(DAY(AgoDom1)=1,AgoDom1+25,AgoDom1+32)</f>
        <v>40787</v>
      </c>
      <c r="G8" s="10">
        <f>IF(DAY(AgoDom1)=1,AgoDom1+26,AgoDom1+33)</f>
        <v>40788</v>
      </c>
      <c r="H8" s="10">
        <f>IF(DAY(AgoDom1)=1,AgoDom1+27,AgoDom1+34)</f>
        <v>40789</v>
      </c>
      <c r="I8" s="10">
        <f>IF(DAY(AgoDom1)=1,AgoDom1+28,AgoDom1+35)</f>
        <v>40790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IF(DAY(AgoDom1)=1,AgoDom1+29,AgoDom1+36)</f>
        <v>40791</v>
      </c>
      <c r="D9" s="10">
        <f>IF(DAY(AgoDom1)=1,AgoDom1+30,AgoDom1+37)</f>
        <v>40792</v>
      </c>
      <c r="E9" s="10">
        <f>IF(DAY(AgoDom1)=1,AgoDom1+31,AgoDom1+38)</f>
        <v>40793</v>
      </c>
      <c r="F9" s="10">
        <f>IF(DAY(AgoDom1)=1,AgoDom1+32,AgoDom1+39)</f>
        <v>40794</v>
      </c>
      <c r="G9" s="10">
        <f>IF(DAY(AgoDom1)=1,AgoDom1+33,AgoDom1+40)</f>
        <v>40795</v>
      </c>
      <c r="H9" s="10">
        <f>IF(DAY(AgoDom1)=1,AgoDom1+34,AgoDom1+41)</f>
        <v>40796</v>
      </c>
      <c r="I9" s="10">
        <f>IF(DAY(AgoDom1)=1,AgoDom1+35,AgoDom1+42)</f>
        <v>40797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/>
      <c r="M10" s="39"/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4" priority="4" stopIfTrue="1">
      <formula>DAY(C4)&gt;8</formula>
    </cfRule>
  </conditionalFormatting>
  <conditionalFormatting sqref="C8:I10">
    <cfRule type="expression" dxfId="23" priority="3" stopIfTrue="1">
      <formula>AND(DAY(C8)&gt;=1,DAY(C8)&lt;=15)</formula>
    </cfRule>
  </conditionalFormatting>
  <conditionalFormatting sqref="C4:I9">
    <cfRule type="expression" dxfId="22" priority="5">
      <formula>VLOOKUP(DAY(C4),Dias_de_Atribuição,1,FALSE)=DAY(C4)</formula>
    </cfRule>
  </conditionalFormatting>
  <conditionalFormatting sqref="B14:J33">
    <cfRule type="expression" dxfId="21" priority="2">
      <formula>B14&lt;&gt;""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26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IF(DAY(SetDom1)=1,SetDom1-6,SetDom1+1)</f>
        <v>40784</v>
      </c>
      <c r="D4" s="10">
        <f>IF(DAY(SetDom1)=1,SetDom1-5,SetDom1+2)</f>
        <v>40785</v>
      </c>
      <c r="E4" s="10">
        <f>IF(DAY(SetDom1)=1,SetDom1-4,SetDom1+3)</f>
        <v>40786</v>
      </c>
      <c r="F4" s="10">
        <f>IF(DAY(SetDom1)=1,SetDom1-3,SetDom1+4)</f>
        <v>40787</v>
      </c>
      <c r="G4" s="10">
        <f>IF(DAY(SetDom1)=1,SetDom1-2,SetDom1+5)</f>
        <v>40788</v>
      </c>
      <c r="H4" s="10">
        <f>IF(DAY(SetDom1)=1,SetDom1-1,SetDom1+6)</f>
        <v>40789</v>
      </c>
      <c r="I4" s="10">
        <f>IF(DAY(SetDom1)=1,SetDom1,SetDom1+7)</f>
        <v>40790</v>
      </c>
      <c r="J4" s="5"/>
      <c r="K4" s="71" t="s">
        <v>9</v>
      </c>
      <c r="L4" s="16"/>
      <c r="M4" s="72"/>
      <c r="N4" s="73"/>
    </row>
    <row r="5" spans="1:14" ht="18" customHeight="1" x14ac:dyDescent="0.2">
      <c r="A5" s="4"/>
      <c r="B5" s="28"/>
      <c r="C5" s="10">
        <f>IF(DAY(SetDom1)=1,SetDom1+1,SetDom1+8)</f>
        <v>40791</v>
      </c>
      <c r="D5" s="10">
        <f>IF(DAY(SetDom1)=1,SetDom1+2,SetDom1+9)</f>
        <v>40792</v>
      </c>
      <c r="E5" s="10">
        <f>IF(DAY(SetDom1)=1,SetDom1+3,SetDom1+10)</f>
        <v>40793</v>
      </c>
      <c r="F5" s="10">
        <f>IF(DAY(SetDom1)=1,SetDom1+4,SetDom1+11)</f>
        <v>40794</v>
      </c>
      <c r="G5" s="10">
        <f>IF(DAY(SetDom1)=1,SetDom1+5,SetDom1+12)</f>
        <v>40795</v>
      </c>
      <c r="H5" s="10">
        <f>IF(DAY(SetDom1)=1,SetDom1+6,SetDom1+13)</f>
        <v>40796</v>
      </c>
      <c r="I5" s="10">
        <f>IF(DAY(SetDom1)=1,SetDom1+7,SetDom1+14)</f>
        <v>40797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IF(DAY(SetDom1)=1,SetDom1+8,SetDom1+15)</f>
        <v>40798</v>
      </c>
      <c r="D6" s="10">
        <f>IF(DAY(SetDom1)=1,SetDom1+9,SetDom1+16)</f>
        <v>40799</v>
      </c>
      <c r="E6" s="10">
        <f>IF(DAY(SetDom1)=1,SetDom1+10,SetDom1+17)</f>
        <v>40800</v>
      </c>
      <c r="F6" s="10">
        <f>IF(DAY(SetDom1)=1,SetDom1+11,SetDom1+18)</f>
        <v>40801</v>
      </c>
      <c r="G6" s="10">
        <f>IF(DAY(SetDom1)=1,SetDom1+12,SetDom1+19)</f>
        <v>40802</v>
      </c>
      <c r="H6" s="10">
        <f>IF(DAY(SetDom1)=1,SetDom1+13,SetDom1+20)</f>
        <v>40803</v>
      </c>
      <c r="I6" s="10">
        <f>IF(DAY(SetDom1)=1,SetDom1+14,SetDom1+21)</f>
        <v>40804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IF(DAY(SetDom1)=1,SetDom1+15,SetDom1+22)</f>
        <v>40805</v>
      </c>
      <c r="D7" s="10">
        <f>IF(DAY(SetDom1)=1,SetDom1+16,SetDom1+23)</f>
        <v>40806</v>
      </c>
      <c r="E7" s="10">
        <f>IF(DAY(SetDom1)=1,SetDom1+17,SetDom1+24)</f>
        <v>40807</v>
      </c>
      <c r="F7" s="10">
        <f>IF(DAY(SetDom1)=1,SetDom1+18,SetDom1+25)</f>
        <v>40808</v>
      </c>
      <c r="G7" s="10">
        <f>IF(DAY(SetDom1)=1,SetDom1+19,SetDom1+26)</f>
        <v>40809</v>
      </c>
      <c r="H7" s="10">
        <f>IF(DAY(SetDom1)=1,SetDom1+20,SetDom1+27)</f>
        <v>40810</v>
      </c>
      <c r="I7" s="10">
        <f>IF(DAY(SetDom1)=1,SetDom1+21,SetDom1+28)</f>
        <v>40811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IF(DAY(SetDom1)=1,SetDom1+22,SetDom1+29)</f>
        <v>40812</v>
      </c>
      <c r="D8" s="10">
        <f>IF(DAY(SetDom1)=1,SetDom1+23,SetDom1+30)</f>
        <v>40813</v>
      </c>
      <c r="E8" s="10">
        <f>IF(DAY(SetDom1)=1,SetDom1+24,SetDom1+31)</f>
        <v>40814</v>
      </c>
      <c r="F8" s="10">
        <f>IF(DAY(SetDom1)=1,SetDom1+25,SetDom1+32)</f>
        <v>40815</v>
      </c>
      <c r="G8" s="10">
        <f>IF(DAY(SetDom1)=1,SetDom1+26,SetDom1+33)</f>
        <v>40816</v>
      </c>
      <c r="H8" s="10">
        <f>IF(DAY(SetDom1)=1,SetDom1+27,SetDom1+34)</f>
        <v>40817</v>
      </c>
      <c r="I8" s="10">
        <f>IF(DAY(SetDom1)=1,SetDom1+28,SetDom1+35)</f>
        <v>40818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IF(DAY(SetDom1)=1,SetDom1+29,SetDom1+36)</f>
        <v>40819</v>
      </c>
      <c r="D9" s="10">
        <f>IF(DAY(SetDom1)=1,SetDom1+30,SetDom1+37)</f>
        <v>40820</v>
      </c>
      <c r="E9" s="10">
        <f>IF(DAY(SetDom1)=1,SetDom1+31,SetDom1+38)</f>
        <v>40821</v>
      </c>
      <c r="F9" s="10">
        <f>IF(DAY(SetDom1)=1,SetDom1+32,SetDom1+39)</f>
        <v>40822</v>
      </c>
      <c r="G9" s="10">
        <f>IF(DAY(SetDom1)=1,SetDom1+33,SetDom1+40)</f>
        <v>40823</v>
      </c>
      <c r="H9" s="10">
        <f>IF(DAY(SetDom1)=1,SetDom1+34,SetDom1+41)</f>
        <v>40824</v>
      </c>
      <c r="I9" s="10">
        <f>IF(DAY(SetDom1)=1,SetDom1+35,SetDom1+42)</f>
        <v>40825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10</v>
      </c>
      <c r="L10" s="16"/>
      <c r="M10" s="39"/>
      <c r="N10" s="40"/>
    </row>
    <row r="11" spans="1:14" ht="18" customHeight="1" x14ac:dyDescent="0.2">
      <c r="A11" s="4"/>
      <c r="B11" s="30" t="s">
        <v>21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9</v>
      </c>
      <c r="C13" s="64" t="s">
        <v>10</v>
      </c>
      <c r="D13" s="66"/>
      <c r="E13" s="64" t="s">
        <v>11</v>
      </c>
      <c r="F13" s="66"/>
      <c r="G13" s="64" t="s">
        <v>12</v>
      </c>
      <c r="H13" s="66"/>
      <c r="I13" s="64" t="s">
        <v>13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14</v>
      </c>
      <c r="C15" s="43"/>
      <c r="D15" s="44"/>
      <c r="E15" s="43" t="s">
        <v>14</v>
      </c>
      <c r="F15" s="44"/>
      <c r="G15" s="43"/>
      <c r="H15" s="44"/>
      <c r="I15" s="54" t="s">
        <v>14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11</v>
      </c>
      <c r="L16" s="16"/>
      <c r="M16" s="39"/>
      <c r="N16" s="40"/>
    </row>
    <row r="17" spans="2:14" ht="18" customHeight="1" x14ac:dyDescent="0.2">
      <c r="B17" s="6"/>
      <c r="C17" s="43" t="s">
        <v>15</v>
      </c>
      <c r="D17" s="44"/>
      <c r="E17" s="43"/>
      <c r="F17" s="44"/>
      <c r="G17" s="43" t="s">
        <v>15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4" stopIfTrue="1">
      <formula>DAY(C4)&gt;8</formula>
    </cfRule>
  </conditionalFormatting>
  <conditionalFormatting sqref="C8:I10">
    <cfRule type="expression" dxfId="18" priority="3" stopIfTrue="1">
      <formula>AND(DAY(C8)&gt;=1,DAY(C8)&lt;=15)</formula>
    </cfRule>
  </conditionalFormatting>
  <conditionalFormatting sqref="C4:I9">
    <cfRule type="expression" dxfId="17" priority="5">
      <formula>VLOOKUP(DAY(C4),Dias_de_Atribuição,1,FALSE)=DAY(C4)</formula>
    </cfRule>
  </conditionalFormatting>
  <conditionalFormatting sqref="B14:J33">
    <cfRule type="expression" dxfId="16" priority="2">
      <formula>B14&lt;&gt;""</formula>
    </cfRule>
  </conditionalFormatting>
  <conditionalFormatting sqref="B14:J33">
    <cfRule type="expression" dxfId="15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2029-05-12T07:00:00+00:00</AssetExpire>
    <IntlLangReviewDate xmlns="e5d022ff-4ce9-4922-b5a4-f245e35e2aac" xsi:nil="true"/>
    <TPFriendlyName xmlns="e5d022ff-4ce9-4922-b5a4-f245e35e2aac" xsi:nil="true"/>
    <IntlLangReview xmlns="e5d022ff-4ce9-4922-b5a4-f245e35e2aac" xsi:nil="true"/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 xsi:nil="true"/>
    <Markets xmlns="e5d022ff-4ce9-4922-b5a4-f245e35e2aac"/>
    <OriginAsset xmlns="e5d022ff-4ce9-4922-b5a4-f245e35e2aac" xsi:nil="true"/>
    <AssetStart xmlns="e5d022ff-4ce9-4922-b5a4-f245e35e2aac">2011-02-21T14:14:00+00:00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289389</Value>
      <Value>415042</Value>
    </PublishStatusLookup>
    <APAuthor xmlns="e5d022ff-4ce9-4922-b5a4-f245e35e2aac">
      <UserInfo>
        <DisplayName/>
        <AccountId>2098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 xsi:nil="true"/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astPublishResultLookup xmlns="e5d022ff-4ce9-4922-b5a4-f245e35e2aac" xsi:nil="true"/>
    <LegacyData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true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BusinessGroup xmlns="e5d022ff-4ce9-4922-b5a4-f245e35e2aac" xsi:nil="true"/>
    <Providers xmlns="e5d022ff-4ce9-4922-b5a4-f245e35e2aac" xsi:nil="true"/>
    <TemplateTemplateType xmlns="e5d022ff-4ce9-4922-b5a4-f245e35e2aac">Excel Chart Template</TemplateTemplateType>
    <TimesCloned xmlns="e5d022ff-4ce9-4922-b5a4-f245e35e2aac" xsi:nil="true"/>
    <TPAppVersion xmlns="e5d022ff-4ce9-4922-b5a4-f245e35e2aac" xsi:nil="true"/>
    <VoteCount xmlns="e5d022ff-4ce9-4922-b5a4-f245e35e2aac" xsi:nil="true"/>
    <Provider xmlns="e5d022ff-4ce9-4922-b5a4-f245e35e2aac" xsi:nil="true"/>
    <UACurrentWords xmlns="e5d022ff-4ce9-4922-b5a4-f245e35e2aac" xsi:nil="true"/>
    <AssetId xmlns="e5d022ff-4ce9-4922-b5a4-f245e35e2aac">TP102551273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</PublishTargets>
    <ApprovalLog xmlns="e5d022ff-4ce9-4922-b5a4-f245e35e2aac" xsi:nil="true"/>
    <BugNumber xmlns="e5d022ff-4ce9-4922-b5a4-f245e35e2aac" xsi:nil="true"/>
    <CrawlForDependencies xmlns="e5d022ff-4ce9-4922-b5a4-f245e35e2aac">false</CrawlForDependencies>
    <LastHandOff xmlns="e5d022ff-4ce9-4922-b5a4-f245e35e2aac" xsi:nil="true"/>
    <Milestone xmlns="e5d022ff-4ce9-4922-b5a4-f245e35e2aac" xsi:nil="true"/>
    <UANotes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3431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3B75E-D7F3-4602-9E84-CC855053F540}"/>
</file>

<file path=customXml/itemProps2.xml><?xml version="1.0" encoding="utf-8"?>
<ds:datastoreItem xmlns:ds="http://schemas.openxmlformats.org/officeDocument/2006/customXml" ds:itemID="{642A2AB2-C96A-4F1D-A896-B2666E5A28B2}"/>
</file>

<file path=customXml/itemProps3.xml><?xml version="1.0" encoding="utf-8"?>
<ds:datastoreItem xmlns:ds="http://schemas.openxmlformats.org/officeDocument/2006/customXml" ds:itemID="{FB1FB4E6-C9D2-4311-9C26-51020631F90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CalendárioAno</vt:lpstr>
      <vt:lpstr>Abril!Dias_de_Atribuição</vt:lpstr>
      <vt:lpstr>Agosto!Dias_de_Atribuição</vt:lpstr>
      <vt:lpstr>Dezembro!Dias_de_Atribuição</vt:lpstr>
      <vt:lpstr>Fevereiro!Dias_de_Atribuição</vt:lpstr>
      <vt:lpstr>Julho!Dias_de_Atribuição</vt:lpstr>
      <vt:lpstr>Junho!Dias_de_Atribuição</vt:lpstr>
      <vt:lpstr>Maio!Dias_de_Atribuição</vt:lpstr>
      <vt:lpstr>Março!Dias_de_Atribuição</vt:lpstr>
      <vt:lpstr>Novembro!Dias_de_Atribuição</vt:lpstr>
      <vt:lpstr>Outubro!Dias_de_Atribuição</vt:lpstr>
      <vt:lpstr>Setembro!Dias_de_Atribuição</vt:lpstr>
      <vt:lpstr>Dias_de_Atribuição</vt:lpstr>
      <vt:lpstr>Abril!Print_Area</vt:lpstr>
      <vt:lpstr>Agosto!Print_Area</vt:lpstr>
      <vt:lpstr>Dezembro!Print_Area</vt:lpstr>
      <vt:lpstr>Fevereiro!Print_Area</vt:lpstr>
      <vt:lpstr>Janeiro!Print_Area</vt:lpstr>
      <vt:lpstr>Julho!Print_Area</vt:lpstr>
      <vt:lpstr>Junho!Print_Area</vt:lpstr>
      <vt:lpstr>Maio!Print_Area</vt:lpstr>
      <vt:lpstr>Março!Print_Area</vt:lpstr>
      <vt:lpstr>Novembro!Print_Area</vt:lpstr>
      <vt:lpstr>Outubro!Print_Area</vt:lpstr>
      <vt:lpstr>Setembro!Print_Area</vt:lpstr>
      <vt:lpstr>Abril!TabelaDatasImportantes</vt:lpstr>
      <vt:lpstr>Agosto!TabelaDatasImportantes</vt:lpstr>
      <vt:lpstr>Dezembro!TabelaDatasImportantes</vt:lpstr>
      <vt:lpstr>Fevereiro!TabelaDatasImportantes</vt:lpstr>
      <vt:lpstr>Julho!TabelaDatasImportantes</vt:lpstr>
      <vt:lpstr>Junho!TabelaDatasImportantes</vt:lpstr>
      <vt:lpstr>Maio!TabelaDatasImportantes</vt:lpstr>
      <vt:lpstr>Março!TabelaDatasImportantes</vt:lpstr>
      <vt:lpstr>Novembro!TabelaDatasImportantes</vt:lpstr>
      <vt:lpstr>Outubro!TabelaDatasImportantes</vt:lpstr>
      <vt:lpstr>Setembro!TabelaDatasImportantes</vt:lpstr>
      <vt:lpstr>TabelaDatasImportantes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Samyuktha Laxminarayana (Lionbridge)</dc:creator>
  <cp:lastModifiedBy>AWS CFM Account</cp:lastModifiedBy>
  <cp:lastPrinted>2010-12-16T21:23:33Z</cp:lastPrinted>
  <dcterms:created xsi:type="dcterms:W3CDTF">2010-04-07T20:16:53Z</dcterms:created>
  <dcterms:modified xsi:type="dcterms:W3CDTF">2012-05-30T09:27:29Z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Order">
    <vt:r8>7770700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