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P:\MS-IW-OFFICE-UA\Office_Online\Projects\Templates_Gemini_G1\Phases\65_Calendar_template_Customization_2016\07_FinalPostProcessing\PTB\"/>
    </mc:Choice>
  </mc:AlternateContent>
  <bookViews>
    <workbookView xWindow="0" yWindow="900" windowWidth="20490" windowHeight="7515" tabRatio="741"/>
  </bookViews>
  <sheets>
    <sheet name="jan" sheetId="1" r:id="rId1"/>
    <sheet name="fev" sheetId="6" r:id="rId2"/>
    <sheet name="mar" sheetId="7" r:id="rId3"/>
    <sheet name="abr" sheetId="8" r:id="rId4"/>
    <sheet name="mai" sheetId="9" r:id="rId5"/>
    <sheet name="jun" sheetId="10" r:id="rId6"/>
    <sheet name="jul" sheetId="11" r:id="rId7"/>
    <sheet name="ago" sheetId="12" r:id="rId8"/>
    <sheet name="set" sheetId="13" r:id="rId9"/>
    <sheet name="out" sheetId="14" r:id="rId10"/>
    <sheet name="nov" sheetId="15" r:id="rId11"/>
    <sheet name="dez" sheetId="16" r:id="rId12"/>
  </sheets>
  <definedNames>
    <definedName name="AbrDom1">DATE(AnoCalendário,4,1)-WEEKDAY(DATE(AnoCalendário,4,1))</definedName>
    <definedName name="AgoDom1">DATE(AnoCalendário,8,1)-WEEKDAY(DATE(AnoCalendário,8,1))</definedName>
    <definedName name="AnoCalendário">jan!$N$2</definedName>
    <definedName name="DezDom1">DATE(AnoCalendário,12,1)-WEEKDAY(DATE(AnoCalendário,12,1))</definedName>
    <definedName name="DiasTarefa" localSheetId="3">abr!$L$4:$L$33</definedName>
    <definedName name="DiasTarefa" localSheetId="7">ago!$L$4:$L$33</definedName>
    <definedName name="DiasTarefa" localSheetId="11">dez!$L$4:$L$33</definedName>
    <definedName name="DiasTarefa" localSheetId="1">fev!$L$4:$L$33</definedName>
    <definedName name="DiasTarefa" localSheetId="6">jul!$L$4:$L$33</definedName>
    <definedName name="DiasTarefa" localSheetId="5">jun!$L$4:$L$33</definedName>
    <definedName name="DiasTarefa" localSheetId="4">mai!$L$4:$L$33</definedName>
    <definedName name="DiasTarefa" localSheetId="2">mar!$L$4:$L$33</definedName>
    <definedName name="DiasTarefa" localSheetId="10">nov!$L$4:$L$33</definedName>
    <definedName name="DiasTarefa" localSheetId="9">out!$L$4:$L$33</definedName>
    <definedName name="DiasTarefa" localSheetId="8">set!$L$4:$L$33</definedName>
    <definedName name="DiasTarefa">jan!$L$4:$L$33</definedName>
    <definedName name="FevDom1">DATE(AnoCalendário,2,1)-WEEKDAY(DATE(AnoCalendário,2,1))</definedName>
    <definedName name="JanDom1">DATE(AnoCalendário,1,1)-WEEKDAY(DATE(AnoCalendário,1,1))</definedName>
    <definedName name="JulDom1">DATE(AnoCalendário,7,1)-WEEKDAY(DATE(AnoCalendário,7,1))</definedName>
    <definedName name="JunDom1">DATE(AnoCalendário,6,1)-WEEKDAY(DATE(AnoCalendário,6,1))</definedName>
    <definedName name="MaiDom1">DATE(AnoCalendário,5,1)-WEEKDAY(DATE(AnoCalendário,5,1))</definedName>
    <definedName name="MarDom1">DATE(AnoCalendário,3,1)-WEEKDAY(DATE(AnoCalendário,3,1))</definedName>
    <definedName name="NovDom1">DATE(AnoCalendário,11,1)-WEEKDAY(DATE(AnoCalendário,11,1))</definedName>
    <definedName name="OutDom1">DATE(AnoCalendário,10,1)-WEEKDAY(DATE(AnoCalendário,10,1))</definedName>
    <definedName name="_xlnm.Print_Area" localSheetId="0">jan!$A$1:$N$33</definedName>
    <definedName name="_xlnm.Print_Area" localSheetId="6">jul!$A$1:$N$33</definedName>
    <definedName name="_xlnm.Print_Area" localSheetId="5">jun!$A$1:$N$33</definedName>
    <definedName name="_xlnm.Print_Area" localSheetId="2">mar!$A$1:$N$33</definedName>
    <definedName name="_xlnm.Print_Area" localSheetId="10">nov!$A$1:$N$33</definedName>
    <definedName name="SetDom1">DATE(AnoCalendário,9,1)-WEEKDAY(DATE(AnoCalendário,9,1))</definedName>
    <definedName name="TabelaDatasImportantes" localSheetId="3">abr!$L$4:$M$8</definedName>
    <definedName name="TabelaDatasImportantes" localSheetId="7">ago!$L$4:$M$8</definedName>
    <definedName name="TabelaDatasImportantes" localSheetId="11">dez!$L$4:$M$8</definedName>
    <definedName name="TabelaDatasImportantes" localSheetId="1">fev!$L$4:$M$8</definedName>
    <definedName name="TabelaDatasImportantes" localSheetId="6">jul!$L$4:$M$8</definedName>
    <definedName name="TabelaDatasImportantes" localSheetId="5">jun!$L$4:$M$8</definedName>
    <definedName name="TabelaDatasImportantes" localSheetId="4">mai!$L$4:$M$8</definedName>
    <definedName name="TabelaDatasImportantes" localSheetId="2">mar!$L$4:$M$8</definedName>
    <definedName name="TabelaDatasImportantes" localSheetId="10">nov!$L$4:$M$8</definedName>
    <definedName name="TabelaDatasImportantes" localSheetId="9">out!$L$4:$M$8</definedName>
    <definedName name="TabelaDatasImportantes" localSheetId="8">set!$L$4:$M$8</definedName>
    <definedName name="TabelaDatasImportantes">jan!$L$4:$M$8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" i="16" l="1"/>
  <c r="H9" i="16"/>
  <c r="G9" i="16"/>
  <c r="F9" i="16"/>
  <c r="E9" i="16"/>
  <c r="D9" i="16"/>
  <c r="C9" i="16"/>
  <c r="I8" i="16"/>
  <c r="H8" i="16"/>
  <c r="G8" i="16"/>
  <c r="F8" i="16"/>
  <c r="E8" i="16"/>
  <c r="D8" i="16"/>
  <c r="C8" i="16"/>
  <c r="I7" i="16"/>
  <c r="H7" i="16"/>
  <c r="G7" i="16"/>
  <c r="F7" i="16"/>
  <c r="E7" i="16"/>
  <c r="D7" i="16"/>
  <c r="C7" i="16"/>
  <c r="I6" i="16"/>
  <c r="H6" i="16"/>
  <c r="G6" i="16"/>
  <c r="F6" i="16"/>
  <c r="E6" i="16"/>
  <c r="D6" i="16"/>
  <c r="C6" i="16"/>
  <c r="I5" i="16"/>
  <c r="H5" i="16"/>
  <c r="G5" i="16"/>
  <c r="F5" i="16"/>
  <c r="E5" i="16"/>
  <c r="D5" i="16"/>
  <c r="C5" i="16"/>
  <c r="I4" i="16"/>
  <c r="H4" i="16"/>
  <c r="G4" i="16"/>
  <c r="F4" i="16"/>
  <c r="E4" i="16"/>
  <c r="D4" i="16"/>
  <c r="C4" i="16"/>
  <c r="I9" i="15"/>
  <c r="H9" i="15"/>
  <c r="G9" i="15"/>
  <c r="F9" i="15"/>
  <c r="E9" i="15"/>
  <c r="D9" i="15"/>
  <c r="C9" i="15"/>
  <c r="I8" i="15"/>
  <c r="H8" i="15"/>
  <c r="G8" i="15"/>
  <c r="F8" i="15"/>
  <c r="E8" i="15"/>
  <c r="D8" i="15"/>
  <c r="C8" i="15"/>
  <c r="I7" i="15"/>
  <c r="H7" i="15"/>
  <c r="G7" i="15"/>
  <c r="F7" i="15"/>
  <c r="E7" i="15"/>
  <c r="D7" i="15"/>
  <c r="C7" i="15"/>
  <c r="I6" i="15"/>
  <c r="H6" i="15"/>
  <c r="G6" i="15"/>
  <c r="F6" i="15"/>
  <c r="E6" i="15"/>
  <c r="D6" i="15"/>
  <c r="C6" i="15"/>
  <c r="I5" i="15"/>
  <c r="H5" i="15"/>
  <c r="G5" i="15"/>
  <c r="F5" i="15"/>
  <c r="E5" i="15"/>
  <c r="D5" i="15"/>
  <c r="C5" i="15"/>
  <c r="I4" i="15"/>
  <c r="H4" i="15"/>
  <c r="G4" i="15"/>
  <c r="F4" i="15"/>
  <c r="E4" i="15"/>
  <c r="D4" i="15"/>
  <c r="C4" i="15"/>
  <c r="I9" i="14"/>
  <c r="H9" i="14"/>
  <c r="G9" i="14"/>
  <c r="F9" i="14"/>
  <c r="E9" i="14"/>
  <c r="D9" i="14"/>
  <c r="C9" i="14"/>
  <c r="I8" i="14"/>
  <c r="H8" i="14"/>
  <c r="G8" i="14"/>
  <c r="F8" i="14"/>
  <c r="E8" i="14"/>
  <c r="D8" i="14"/>
  <c r="C8" i="14"/>
  <c r="I7" i="14"/>
  <c r="H7" i="14"/>
  <c r="G7" i="14"/>
  <c r="F7" i="14"/>
  <c r="E7" i="14"/>
  <c r="D7" i="14"/>
  <c r="C7" i="14"/>
  <c r="I6" i="14"/>
  <c r="H6" i="14"/>
  <c r="G6" i="14"/>
  <c r="F6" i="14"/>
  <c r="E6" i="14"/>
  <c r="D6" i="14"/>
  <c r="C6" i="14"/>
  <c r="I5" i="14"/>
  <c r="H5" i="14"/>
  <c r="G5" i="14"/>
  <c r="F5" i="14"/>
  <c r="E5" i="14"/>
  <c r="D5" i="14"/>
  <c r="C5" i="14"/>
  <c r="I4" i="14"/>
  <c r="H4" i="14"/>
  <c r="G4" i="14"/>
  <c r="F4" i="14"/>
  <c r="E4" i="14"/>
  <c r="D4" i="14"/>
  <c r="C4" i="14"/>
  <c r="I9" i="13"/>
  <c r="H9" i="13"/>
  <c r="G9" i="13"/>
  <c r="F9" i="13"/>
  <c r="E9" i="13"/>
  <c r="D9" i="13"/>
  <c r="C9" i="13"/>
  <c r="I8" i="13"/>
  <c r="H8" i="13"/>
  <c r="G8" i="13"/>
  <c r="F8" i="13"/>
  <c r="E8" i="13"/>
  <c r="D8" i="13"/>
  <c r="C8" i="13"/>
  <c r="I7" i="13"/>
  <c r="H7" i="13"/>
  <c r="G7" i="13"/>
  <c r="F7" i="13"/>
  <c r="E7" i="13"/>
  <c r="D7" i="13"/>
  <c r="C7" i="13"/>
  <c r="I6" i="13"/>
  <c r="H6" i="13"/>
  <c r="G6" i="13"/>
  <c r="F6" i="13"/>
  <c r="E6" i="13"/>
  <c r="D6" i="13"/>
  <c r="C6" i="13"/>
  <c r="I5" i="13"/>
  <c r="H5" i="13"/>
  <c r="G5" i="13"/>
  <c r="F5" i="13"/>
  <c r="E5" i="13"/>
  <c r="D5" i="13"/>
  <c r="C5" i="13"/>
  <c r="I4" i="13"/>
  <c r="H4" i="13"/>
  <c r="G4" i="13"/>
  <c r="F4" i="13"/>
  <c r="E4" i="13"/>
  <c r="D4" i="13"/>
  <c r="C4" i="13"/>
  <c r="I9" i="12"/>
  <c r="H9" i="12"/>
  <c r="G9" i="12"/>
  <c r="F9" i="12"/>
  <c r="E9" i="12"/>
  <c r="D9" i="12"/>
  <c r="C9" i="12"/>
  <c r="I8" i="12"/>
  <c r="H8" i="12"/>
  <c r="G8" i="12"/>
  <c r="F8" i="12"/>
  <c r="E8" i="12"/>
  <c r="D8" i="12"/>
  <c r="C8" i="12"/>
  <c r="I7" i="12"/>
  <c r="H7" i="12"/>
  <c r="G7" i="12"/>
  <c r="F7" i="12"/>
  <c r="E7" i="12"/>
  <c r="D7" i="12"/>
  <c r="C7" i="12"/>
  <c r="I6" i="12"/>
  <c r="H6" i="12"/>
  <c r="G6" i="12"/>
  <c r="F6" i="12"/>
  <c r="E6" i="12"/>
  <c r="D6" i="12"/>
  <c r="C6" i="12"/>
  <c r="I5" i="12"/>
  <c r="H5" i="12"/>
  <c r="G5" i="12"/>
  <c r="F5" i="12"/>
  <c r="E5" i="12"/>
  <c r="D5" i="12"/>
  <c r="C5" i="12"/>
  <c r="I4" i="12"/>
  <c r="H4" i="12"/>
  <c r="G4" i="12"/>
  <c r="F4" i="12"/>
  <c r="E4" i="12"/>
  <c r="D4" i="12"/>
  <c r="C4" i="12"/>
  <c r="I9" i="11"/>
  <c r="H9" i="11"/>
  <c r="G9" i="11"/>
  <c r="F9" i="11"/>
  <c r="E9" i="11"/>
  <c r="D9" i="11"/>
  <c r="C9" i="11"/>
  <c r="I8" i="11"/>
  <c r="H8" i="11"/>
  <c r="G8" i="11"/>
  <c r="F8" i="11"/>
  <c r="E8" i="11"/>
  <c r="D8" i="11"/>
  <c r="C8" i="11"/>
  <c r="I7" i="11"/>
  <c r="H7" i="11"/>
  <c r="G7" i="11"/>
  <c r="F7" i="11"/>
  <c r="E7" i="11"/>
  <c r="D7" i="11"/>
  <c r="C7" i="11"/>
  <c r="I6" i="11"/>
  <c r="H6" i="11"/>
  <c r="G6" i="11"/>
  <c r="F6" i="11"/>
  <c r="E6" i="11"/>
  <c r="D6" i="11"/>
  <c r="C6" i="11"/>
  <c r="I5" i="11"/>
  <c r="H5" i="11"/>
  <c r="G5" i="11"/>
  <c r="F5" i="11"/>
  <c r="E5" i="11"/>
  <c r="D5" i="11"/>
  <c r="C5" i="11"/>
  <c r="I4" i="11"/>
  <c r="H4" i="11"/>
  <c r="G4" i="11"/>
  <c r="F4" i="11"/>
  <c r="E4" i="11"/>
  <c r="D4" i="11"/>
  <c r="C4" i="11"/>
  <c r="I9" i="10"/>
  <c r="H9" i="10"/>
  <c r="G9" i="10"/>
  <c r="F9" i="10"/>
  <c r="E9" i="10"/>
  <c r="D9" i="10"/>
  <c r="C9" i="10"/>
  <c r="I8" i="10"/>
  <c r="H8" i="10"/>
  <c r="G8" i="10"/>
  <c r="F8" i="10"/>
  <c r="E8" i="10"/>
  <c r="D8" i="10"/>
  <c r="C8" i="10"/>
  <c r="I7" i="10"/>
  <c r="H7" i="10"/>
  <c r="G7" i="10"/>
  <c r="F7" i="10"/>
  <c r="E7" i="10"/>
  <c r="D7" i="10"/>
  <c r="C7" i="10"/>
  <c r="I6" i="10"/>
  <c r="H6" i="10"/>
  <c r="G6" i="10"/>
  <c r="F6" i="10"/>
  <c r="E6" i="10"/>
  <c r="D6" i="10"/>
  <c r="C6" i="10"/>
  <c r="I5" i="10"/>
  <c r="H5" i="10"/>
  <c r="G5" i="10"/>
  <c r="F5" i="10"/>
  <c r="E5" i="10"/>
  <c r="D5" i="10"/>
  <c r="C5" i="10"/>
  <c r="I4" i="10"/>
  <c r="H4" i="10"/>
  <c r="G4" i="10"/>
  <c r="F4" i="10"/>
  <c r="E4" i="10"/>
  <c r="D4" i="10"/>
  <c r="C4" i="10"/>
  <c r="I9" i="9"/>
  <c r="H9" i="9"/>
  <c r="G9" i="9"/>
  <c r="F9" i="9"/>
  <c r="E9" i="9"/>
  <c r="D9" i="9"/>
  <c r="C9" i="9"/>
  <c r="I8" i="9"/>
  <c r="H8" i="9"/>
  <c r="G8" i="9"/>
  <c r="F8" i="9"/>
  <c r="E8" i="9"/>
  <c r="D8" i="9"/>
  <c r="C8" i="9"/>
  <c r="I7" i="9"/>
  <c r="H7" i="9"/>
  <c r="G7" i="9"/>
  <c r="F7" i="9"/>
  <c r="E7" i="9"/>
  <c r="D7" i="9"/>
  <c r="C7" i="9"/>
  <c r="I6" i="9"/>
  <c r="H6" i="9"/>
  <c r="G6" i="9"/>
  <c r="F6" i="9"/>
  <c r="E6" i="9"/>
  <c r="D6" i="9"/>
  <c r="C6" i="9"/>
  <c r="I5" i="9"/>
  <c r="H5" i="9"/>
  <c r="G5" i="9"/>
  <c r="F5" i="9"/>
  <c r="E5" i="9"/>
  <c r="D5" i="9"/>
  <c r="C5" i="9"/>
  <c r="I4" i="9"/>
  <c r="H4" i="9"/>
  <c r="G4" i="9"/>
  <c r="F4" i="9"/>
  <c r="E4" i="9"/>
  <c r="D4" i="9"/>
  <c r="C4" i="9"/>
  <c r="I9" i="8"/>
  <c r="H9" i="8"/>
  <c r="G9" i="8"/>
  <c r="F9" i="8"/>
  <c r="E9" i="8"/>
  <c r="D9" i="8"/>
  <c r="C9" i="8"/>
  <c r="I8" i="8"/>
  <c r="H8" i="8"/>
  <c r="G8" i="8"/>
  <c r="F8" i="8"/>
  <c r="E8" i="8"/>
  <c r="D8" i="8"/>
  <c r="C8" i="8"/>
  <c r="I7" i="8"/>
  <c r="H7" i="8"/>
  <c r="G7" i="8"/>
  <c r="F7" i="8"/>
  <c r="E7" i="8"/>
  <c r="D7" i="8"/>
  <c r="C7" i="8"/>
  <c r="I6" i="8"/>
  <c r="H6" i="8"/>
  <c r="G6" i="8"/>
  <c r="F6" i="8"/>
  <c r="E6" i="8"/>
  <c r="D6" i="8"/>
  <c r="C6" i="8"/>
  <c r="I5" i="8"/>
  <c r="H5" i="8"/>
  <c r="G5" i="8"/>
  <c r="F5" i="8"/>
  <c r="E5" i="8"/>
  <c r="D5" i="8"/>
  <c r="C5" i="8"/>
  <c r="I4" i="8"/>
  <c r="H4" i="8"/>
  <c r="G4" i="8"/>
  <c r="F4" i="8"/>
  <c r="E4" i="8"/>
  <c r="D4" i="8"/>
  <c r="C4" i="8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I6" i="7"/>
  <c r="H6" i="7"/>
  <c r="G6" i="7"/>
  <c r="F6" i="7"/>
  <c r="E6" i="7"/>
  <c r="D6" i="7"/>
  <c r="C6" i="7"/>
  <c r="I5" i="7"/>
  <c r="H5" i="7"/>
  <c r="G5" i="7"/>
  <c r="F5" i="7"/>
  <c r="E5" i="7"/>
  <c r="D5" i="7"/>
  <c r="C5" i="7"/>
  <c r="I4" i="7"/>
  <c r="H4" i="7"/>
  <c r="G4" i="7"/>
  <c r="F4" i="7"/>
  <c r="E4" i="7"/>
  <c r="D4" i="7"/>
  <c r="C4" i="7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C7" i="6"/>
  <c r="I6" i="6"/>
  <c r="H6" i="6"/>
  <c r="G6" i="6"/>
  <c r="F6" i="6"/>
  <c r="E6" i="6"/>
  <c r="D6" i="6"/>
  <c r="C6" i="6"/>
  <c r="I5" i="6"/>
  <c r="H5" i="6"/>
  <c r="G5" i="6"/>
  <c r="F5" i="6"/>
  <c r="E5" i="6"/>
  <c r="D5" i="6"/>
  <c r="C5" i="6"/>
  <c r="I4" i="6"/>
  <c r="H4" i="6"/>
  <c r="G4" i="6"/>
  <c r="F4" i="6"/>
  <c r="E4" i="6"/>
  <c r="D4" i="6"/>
  <c r="C4" i="6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I4" i="1"/>
  <c r="H4" i="1"/>
  <c r="G4" i="1"/>
  <c r="F4" i="1"/>
  <c r="E4" i="1"/>
  <c r="D4" i="1"/>
  <c r="C4" i="1"/>
  <c r="N2" i="16"/>
  <c r="N2" i="15"/>
  <c r="N2" i="14"/>
  <c r="N2" i="13"/>
  <c r="N2" i="12"/>
  <c r="N2" i="11"/>
  <c r="N2" i="10"/>
  <c r="N2" i="9"/>
  <c r="N2" i="8"/>
  <c r="N2" i="7"/>
  <c r="N2" i="6"/>
</calcChain>
</file>

<file path=xl/sharedStrings.xml><?xml version="1.0" encoding="utf-8"?>
<sst xmlns="http://schemas.openxmlformats.org/spreadsheetml/2006/main" count="495" uniqueCount="36">
  <si>
    <t>JAN</t>
  </si>
  <si>
    <t>AGENDA SEMANAL</t>
  </si>
  <si>
    <t>SEG</t>
  </si>
  <si>
    <t>8:00</t>
  </si>
  <si>
    <t>Francês</t>
  </si>
  <si>
    <t>10:00</t>
  </si>
  <si>
    <t>Matemática</t>
  </si>
  <si>
    <t>Inglês</t>
  </si>
  <si>
    <t>D</t>
  </si>
  <si>
    <t>TERÇA</t>
  </si>
  <si>
    <t>9:00</t>
  </si>
  <si>
    <t>História da Arte</t>
  </si>
  <si>
    <t>Programação</t>
  </si>
  <si>
    <t>S</t>
  </si>
  <si>
    <t>Q</t>
  </si>
  <si>
    <t>QUA</t>
  </si>
  <si>
    <t>QUINTA</t>
  </si>
  <si>
    <t>SEX</t>
  </si>
  <si>
    <t>TAREFAS</t>
  </si>
  <si>
    <t>TER</t>
  </si>
  <si>
    <t>QUI</t>
  </si>
  <si>
    <t>História da Arte: Teste</t>
  </si>
  <si>
    <t>&lt; Insira o ano civil em N2.</t>
  </si>
  <si>
    <t>OUT</t>
  </si>
  <si>
    <t>NOV</t>
  </si>
  <si>
    <t>DEZ</t>
  </si>
  <si>
    <t>FEV</t>
  </si>
  <si>
    <t>MAR</t>
  </si>
  <si>
    <t>ABR</t>
  </si>
  <si>
    <t>JUN</t>
  </si>
  <si>
    <t>JUL</t>
  </si>
  <si>
    <t>AGO</t>
  </si>
  <si>
    <t>SET</t>
  </si>
  <si>
    <t>T</t>
  </si>
  <si>
    <t>MAI</t>
  </si>
  <si>
    <t>Francês: Entregar o primeiro rascunho da redação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</si>
</sst>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21" x14ac:knownFonts="1">
    <font>
      <sz val="10"/>
      <color theme="1"/>
      <name val="Arial"/>
      <family val="2"/>
      <scheme val="minor"/>
    </font>
    <font>
      <sz val="12"/>
      <color rgb="FF002060"/>
      <name val="Arial"/>
      <family val="2"/>
      <scheme val="minor"/>
    </font>
    <font>
      <sz val="8"/>
      <name val="Arial"/>
      <family val="2"/>
      <scheme val="minor"/>
    </font>
    <font>
      <sz val="12"/>
      <color theme="4"/>
      <name val="Arial"/>
      <family val="2"/>
      <scheme val="major"/>
    </font>
    <font>
      <sz val="10"/>
      <color theme="1"/>
      <name val="Arial"/>
      <family val="2"/>
      <scheme val="major"/>
    </font>
    <font>
      <b/>
      <sz val="12"/>
      <color theme="4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color theme="0"/>
      <name val="Arial"/>
      <family val="2"/>
      <scheme val="minor"/>
    </font>
    <font>
      <b/>
      <sz val="8.5"/>
      <color theme="1"/>
      <name val="Arial"/>
      <family val="2"/>
      <scheme val="minor"/>
    </font>
    <font>
      <sz val="8.5"/>
      <color theme="1"/>
      <name val="Arial"/>
      <family val="2"/>
      <scheme val="minor"/>
    </font>
    <font>
      <b/>
      <sz val="8.5"/>
      <color theme="1"/>
      <name val="Arial"/>
      <family val="2"/>
      <scheme val="major"/>
    </font>
    <font>
      <sz val="10"/>
      <color theme="1" tint="0.249977111117893"/>
      <name val="Arial"/>
      <family val="2"/>
      <scheme val="minor"/>
    </font>
    <font>
      <sz val="12"/>
      <color theme="1" tint="0.249977111117893"/>
      <name val="Arial"/>
      <family val="2"/>
      <scheme val="minor"/>
    </font>
    <font>
      <sz val="10.5"/>
      <color theme="1" tint="0.249977111117893"/>
      <name val="Arial"/>
      <family val="2"/>
      <scheme val="minor"/>
    </font>
    <font>
      <b/>
      <sz val="10.5"/>
      <name val="Arial"/>
      <family val="2"/>
      <scheme val="minor"/>
    </font>
    <font>
      <b/>
      <sz val="17"/>
      <color theme="4"/>
      <name val="Arial"/>
      <family val="2"/>
      <scheme val="minor"/>
    </font>
    <font>
      <b/>
      <sz val="24"/>
      <color theme="4"/>
      <name val="Arial"/>
      <family val="2"/>
      <scheme val="minor"/>
    </font>
    <font>
      <b/>
      <sz val="26"/>
      <color theme="4"/>
      <name val="Arial"/>
      <family val="2"/>
      <scheme val="major"/>
    </font>
    <font>
      <b/>
      <sz val="10"/>
      <color rgb="FF39B5D4"/>
      <name val="Arial"/>
      <family val="2"/>
      <scheme val="minor"/>
    </font>
    <font>
      <b/>
      <sz val="10"/>
      <color theme="4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5"/>
      </top>
      <bottom style="thin">
        <color theme="4" tint="0.79998168889431442"/>
      </bottom>
      <diagonal/>
    </border>
    <border>
      <left/>
      <right style="thin">
        <color theme="0"/>
      </right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4" tint="0.79995117038483843"/>
      </bottom>
      <diagonal/>
    </border>
    <border>
      <left style="thin">
        <color theme="0"/>
      </left>
      <right/>
      <top/>
      <bottom style="thin">
        <color theme="4" tint="0.79995117038483843"/>
      </bottom>
      <diagonal/>
    </border>
    <border>
      <left/>
      <right style="thin">
        <color theme="0"/>
      </right>
      <top/>
      <bottom style="thin">
        <color theme="4" tint="0.79995117038483843"/>
      </bottom>
      <diagonal/>
    </border>
    <border>
      <left/>
      <right/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/>
      <diagonal/>
    </border>
    <border>
      <left/>
      <right/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0.7999816888943144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4" tint="0.79992065187536243"/>
      </right>
      <top/>
      <bottom style="thin">
        <color theme="0"/>
      </bottom>
      <diagonal/>
    </border>
    <border>
      <left/>
      <right style="thin">
        <color theme="4" tint="0.79992065187536243"/>
      </right>
      <top style="thin">
        <color theme="0"/>
      </top>
      <bottom/>
      <diagonal/>
    </border>
    <border>
      <left style="thin">
        <color theme="4" tint="0.79992065187536243"/>
      </left>
      <right/>
      <top/>
      <bottom/>
      <diagonal/>
    </border>
    <border>
      <left style="thin">
        <color theme="4" tint="0.79992065187536243"/>
      </left>
      <right/>
      <top/>
      <bottom style="thin">
        <color theme="4" tint="0.79989013336588644"/>
      </bottom>
      <diagonal/>
    </border>
    <border>
      <left/>
      <right/>
      <top/>
      <bottom style="thin">
        <color theme="4" tint="0.79989013336588644"/>
      </bottom>
      <diagonal/>
    </border>
    <border>
      <left/>
      <right style="thin">
        <color theme="4" tint="0.79989013336588644"/>
      </right>
      <top/>
      <bottom style="thin">
        <color theme="4" tint="0.79989013336588644"/>
      </bottom>
      <diagonal/>
    </border>
    <border>
      <left style="thin">
        <color theme="4" tint="0.79992065187536243"/>
      </left>
      <right/>
      <top style="thin">
        <color theme="4" tint="0.79989013336588644"/>
      </top>
      <bottom/>
      <diagonal/>
    </border>
    <border>
      <left/>
      <right/>
      <top style="thin">
        <color theme="4" tint="0.79989013336588644"/>
      </top>
      <bottom/>
      <diagonal/>
    </border>
    <border>
      <left/>
      <right style="thin">
        <color theme="4" tint="0.79989013336588644"/>
      </right>
      <top style="thin">
        <color theme="4" tint="0.79989013336588644"/>
      </top>
      <bottom/>
      <diagonal/>
    </border>
    <border>
      <left style="thin">
        <color theme="4" tint="0.79992065187536243"/>
      </left>
      <right/>
      <top style="thin">
        <color theme="4" tint="0.79998168889431442"/>
      </top>
      <bottom/>
      <diagonal/>
    </border>
    <border>
      <left/>
      <right/>
      <top style="thin">
        <color theme="4" tint="0.79989013336588644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89013336588644"/>
      </top>
      <bottom style="thin">
        <color theme="5"/>
      </bottom>
      <diagonal/>
    </border>
    <border>
      <left style="thin">
        <color theme="4" tint="0.79998168889431442"/>
      </left>
      <right/>
      <top style="thin">
        <color theme="4" tint="0.79995117038483843"/>
      </top>
      <bottom/>
      <diagonal/>
    </border>
    <border>
      <left/>
      <right/>
      <top style="thin">
        <color theme="4" tint="0.79995117038483843"/>
      </top>
      <bottom/>
      <diagonal/>
    </border>
    <border>
      <left/>
      <right style="thin">
        <color theme="4" tint="0.79992065187536243"/>
      </right>
      <top style="thin">
        <color theme="4" tint="0.79995117038483843"/>
      </top>
      <bottom/>
      <diagonal/>
    </border>
    <border>
      <left style="thin">
        <color theme="4" tint="0.79998168889431442"/>
      </left>
      <right/>
      <top/>
      <bottom style="thin">
        <color theme="4" tint="0.79995117038483843"/>
      </bottom>
      <diagonal/>
    </border>
    <border>
      <left/>
      <right style="thin">
        <color theme="4" tint="0.79985961485641044"/>
      </right>
      <top style="thin">
        <color theme="4" tint="0.79985961485641044"/>
      </top>
      <bottom/>
      <diagonal/>
    </border>
    <border>
      <left/>
      <right style="thin">
        <color theme="4" tint="0.79985961485641044"/>
      </right>
      <top/>
      <bottom style="thin">
        <color theme="4" tint="0.79989013336588644"/>
      </bottom>
      <diagonal/>
    </border>
  </borders>
  <cellStyleXfs count="6">
    <xf numFmtId="0" fontId="0" fillId="0" borderId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Protection="0">
      <alignment textRotation="90"/>
    </xf>
  </cellStyleXfs>
  <cellXfs count="83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indent="1"/>
    </xf>
    <xf numFmtId="0" fontId="0" fillId="0" borderId="8" xfId="0" applyFont="1" applyBorder="1"/>
    <xf numFmtId="0" fontId="0" fillId="0" borderId="15" xfId="0" applyFont="1" applyBorder="1"/>
    <xf numFmtId="0" fontId="10" fillId="3" borderId="20" xfId="0" applyFont="1" applyFill="1" applyBorder="1" applyAlignment="1">
      <alignment horizontal="left" vertical="top" indent="1"/>
    </xf>
    <xf numFmtId="0" fontId="10" fillId="3" borderId="10" xfId="0" applyFont="1" applyFill="1" applyBorder="1" applyAlignment="1">
      <alignment horizontal="left" vertical="top" indent="1"/>
    </xf>
    <xf numFmtId="49" fontId="9" fillId="3" borderId="7" xfId="0" applyNumberFormat="1" applyFont="1" applyFill="1" applyBorder="1" applyAlignment="1">
      <alignment horizontal="left" indent="1"/>
    </xf>
    <xf numFmtId="49" fontId="9" fillId="3" borderId="23" xfId="0" applyNumberFormat="1" applyFont="1" applyFill="1" applyBorder="1" applyAlignment="1">
      <alignment horizontal="left" indent="1"/>
    </xf>
    <xf numFmtId="164" fontId="1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textRotation="90"/>
    </xf>
    <xf numFmtId="0" fontId="6" fillId="0" borderId="0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textRotation="90"/>
    </xf>
    <xf numFmtId="164" fontId="1" fillId="0" borderId="13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0" fillId="0" borderId="39" xfId="0" applyFont="1" applyBorder="1"/>
    <xf numFmtId="0" fontId="0" fillId="0" borderId="40" xfId="0" applyFont="1" applyBorder="1"/>
    <xf numFmtId="164" fontId="15" fillId="0" borderId="13" xfId="0" applyNumberFormat="1" applyFont="1" applyFill="1" applyBorder="1" applyAlignment="1">
      <alignment horizontal="left" vertical="center" wrapText="1" indent="1"/>
    </xf>
    <xf numFmtId="0" fontId="0" fillId="0" borderId="14" xfId="0" applyFont="1" applyBorder="1"/>
    <xf numFmtId="0" fontId="19" fillId="0" borderId="0" xfId="0" applyFont="1" applyAlignment="1">
      <alignment vertical="center" wrapText="1"/>
    </xf>
    <xf numFmtId="0" fontId="17" fillId="0" borderId="41" xfId="2" applyFill="1" applyBorder="1" applyAlignment="1">
      <alignment vertical="top"/>
    </xf>
    <xf numFmtId="0" fontId="17" fillId="0" borderId="6" xfId="2" applyFill="1" applyBorder="1" applyAlignment="1">
      <alignment vertical="center" textRotation="90"/>
    </xf>
    <xf numFmtId="0" fontId="17" fillId="0" borderId="41" xfId="2" applyFill="1" applyBorder="1" applyAlignment="1">
      <alignment vertical="center" textRotation="90"/>
    </xf>
    <xf numFmtId="0" fontId="0" fillId="0" borderId="38" xfId="0" applyFont="1" applyBorder="1"/>
    <xf numFmtId="0" fontId="17" fillId="0" borderId="6" xfId="2" applyFill="1" applyBorder="1" applyAlignment="1">
      <alignment vertical="top"/>
    </xf>
    <xf numFmtId="20" fontId="9" fillId="3" borderId="7" xfId="0" applyNumberFormat="1" applyFont="1" applyFill="1" applyBorder="1" applyAlignment="1">
      <alignment horizontal="left" indent="1"/>
    </xf>
    <xf numFmtId="0" fontId="7" fillId="0" borderId="35" xfId="5" applyBorder="1" applyAlignment="1">
      <alignment vertical="top"/>
    </xf>
    <xf numFmtId="0" fontId="7" fillId="0" borderId="28" xfId="5" applyBorder="1" applyAlignment="1">
      <alignment vertical="top"/>
    </xf>
    <xf numFmtId="0" fontId="12" fillId="0" borderId="2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8" fillId="2" borderId="9" xfId="0" applyFont="1" applyFill="1" applyBorder="1" applyAlignment="1">
      <alignment horizontal="left" indent="1"/>
    </xf>
    <xf numFmtId="0" fontId="8" fillId="2" borderId="15" xfId="0" applyFont="1" applyFill="1" applyBorder="1" applyAlignment="1">
      <alignment horizontal="left" indent="1"/>
    </xf>
    <xf numFmtId="0" fontId="8" fillId="2" borderId="5" xfId="0" applyFont="1" applyFill="1" applyBorder="1" applyAlignment="1">
      <alignment horizontal="left" indent="1"/>
    </xf>
    <xf numFmtId="0" fontId="16" fillId="0" borderId="32" xfId="3" applyBorder="1" applyAlignment="1">
      <alignment horizontal="left" vertical="center"/>
    </xf>
    <xf numFmtId="0" fontId="16" fillId="0" borderId="33" xfId="3" applyBorder="1" applyAlignment="1">
      <alignment horizontal="left" vertical="center"/>
    </xf>
    <xf numFmtId="0" fontId="16" fillId="0" borderId="29" xfId="3" applyBorder="1" applyAlignment="1">
      <alignment horizontal="left" vertical="center"/>
    </xf>
    <xf numFmtId="0" fontId="16" fillId="0" borderId="30" xfId="3" applyBorder="1" applyAlignment="1">
      <alignment horizontal="left" vertical="center"/>
    </xf>
    <xf numFmtId="0" fontId="7" fillId="0" borderId="32" xfId="5" applyBorder="1" applyAlignment="1">
      <alignment vertical="top"/>
    </xf>
    <xf numFmtId="0" fontId="12" fillId="0" borderId="36" xfId="0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6" fillId="0" borderId="34" xfId="3" applyFill="1" applyBorder="1" applyAlignment="1">
      <alignment horizontal="center" vertical="center"/>
    </xf>
    <xf numFmtId="0" fontId="16" fillId="0" borderId="31" xfId="3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 vertical="top" indent="1"/>
    </xf>
    <xf numFmtId="0" fontId="10" fillId="3" borderId="22" xfId="0" applyFont="1" applyFill="1" applyBorder="1" applyAlignment="1">
      <alignment horizontal="left" vertical="top" indent="1"/>
    </xf>
    <xf numFmtId="49" fontId="9" fillId="3" borderId="9" xfId="0" applyNumberFormat="1" applyFont="1" applyFill="1" applyBorder="1" applyAlignment="1">
      <alignment horizontal="left" indent="1"/>
    </xf>
    <xf numFmtId="49" fontId="9" fillId="3" borderId="5" xfId="0" applyNumberFormat="1" applyFont="1" applyFill="1" applyBorder="1" applyAlignment="1">
      <alignment horizontal="left" indent="1"/>
    </xf>
    <xf numFmtId="49" fontId="9" fillId="3" borderId="24" xfId="0" applyNumberFormat="1" applyFont="1" applyFill="1" applyBorder="1" applyAlignment="1">
      <alignment horizontal="left" indent="1"/>
    </xf>
    <xf numFmtId="49" fontId="9" fillId="3" borderId="25" xfId="0" applyNumberFormat="1" applyFont="1" applyFill="1" applyBorder="1" applyAlignment="1">
      <alignment horizontal="left" indent="1"/>
    </xf>
    <xf numFmtId="20" fontId="9" fillId="3" borderId="9" xfId="0" applyNumberFormat="1" applyFont="1" applyFill="1" applyBorder="1" applyAlignment="1">
      <alignment horizontal="left" indent="1"/>
    </xf>
    <xf numFmtId="0" fontId="10" fillId="3" borderId="11" xfId="0" applyFont="1" applyFill="1" applyBorder="1" applyAlignment="1">
      <alignment horizontal="left" vertical="top" indent="1"/>
    </xf>
    <xf numFmtId="0" fontId="10" fillId="3" borderId="12" xfId="0" applyFont="1" applyFill="1" applyBorder="1" applyAlignment="1">
      <alignment horizontal="left" vertical="top" indent="1"/>
    </xf>
    <xf numFmtId="164" fontId="10" fillId="3" borderId="21" xfId="0" applyNumberFormat="1" applyFont="1" applyFill="1" applyBorder="1" applyAlignment="1">
      <alignment horizontal="left" vertical="top" indent="1"/>
    </xf>
    <xf numFmtId="164" fontId="10" fillId="3" borderId="26" xfId="0" applyNumberFormat="1" applyFont="1" applyFill="1" applyBorder="1" applyAlignment="1">
      <alignment horizontal="left" vertical="top" indent="1"/>
    </xf>
    <xf numFmtId="49" fontId="9" fillId="3" borderId="27" xfId="0" applyNumberFormat="1" applyFont="1" applyFill="1" applyBorder="1" applyAlignment="1">
      <alignment horizontal="left" indent="1"/>
    </xf>
    <xf numFmtId="49" fontId="9" fillId="3" borderId="15" xfId="0" applyNumberFormat="1" applyFont="1" applyFill="1" applyBorder="1" applyAlignment="1">
      <alignment horizontal="left" indent="1"/>
    </xf>
    <xf numFmtId="49" fontId="9" fillId="3" borderId="9" xfId="0" applyNumberFormat="1" applyFont="1" applyFill="1" applyBorder="1" applyAlignment="1">
      <alignment horizontal="left" vertical="center" indent="1"/>
    </xf>
    <xf numFmtId="49" fontId="9" fillId="3" borderId="15" xfId="0" applyNumberFormat="1" applyFont="1" applyFill="1" applyBorder="1" applyAlignment="1">
      <alignment horizontal="left" vertical="center" indent="1"/>
    </xf>
    <xf numFmtId="0" fontId="11" fillId="3" borderId="21" xfId="0" applyFont="1" applyFill="1" applyBorder="1" applyAlignment="1">
      <alignment horizontal="left" vertical="top" indent="1"/>
    </xf>
    <xf numFmtId="0" fontId="11" fillId="3" borderId="26" xfId="0" applyFont="1" applyFill="1" applyBorder="1" applyAlignment="1">
      <alignment horizontal="left" vertical="top" indent="1"/>
    </xf>
    <xf numFmtId="0" fontId="10" fillId="3" borderId="26" xfId="0" applyFont="1" applyFill="1" applyBorder="1" applyAlignment="1">
      <alignment horizontal="left" vertical="top" indent="1"/>
    </xf>
    <xf numFmtId="0" fontId="17" fillId="0" borderId="6" xfId="2" applyFill="1" applyBorder="1" applyAlignment="1">
      <alignment vertical="top"/>
    </xf>
    <xf numFmtId="0" fontId="20" fillId="0" borderId="0" xfId="0" applyFont="1" applyAlignment="1">
      <alignment vertical="center" wrapText="1"/>
    </xf>
    <xf numFmtId="0" fontId="7" fillId="0" borderId="6" xfId="4" applyBorder="1" applyAlignment="1">
      <alignment horizontal="left" vertical="center"/>
    </xf>
    <xf numFmtId="0" fontId="7" fillId="0" borderId="0" xfId="4" applyAlignment="1">
      <alignment horizontal="left" vertical="center"/>
    </xf>
    <xf numFmtId="0" fontId="7" fillId="0" borderId="15" xfId="4" applyBorder="1" applyAlignment="1">
      <alignment horizontal="left" vertical="center"/>
    </xf>
    <xf numFmtId="164" fontId="13" fillId="0" borderId="4" xfId="0" applyNumberFormat="1" applyFont="1" applyFill="1" applyBorder="1" applyAlignment="1">
      <alignment horizontal="left"/>
    </xf>
    <xf numFmtId="164" fontId="13" fillId="0" borderId="19" xfId="0" applyNumberFormat="1" applyFont="1" applyFill="1" applyBorder="1" applyAlignment="1">
      <alignment horizontal="left"/>
    </xf>
    <xf numFmtId="49" fontId="11" fillId="3" borderId="9" xfId="0" applyNumberFormat="1" applyFont="1" applyFill="1" applyBorder="1" applyAlignment="1">
      <alignment horizontal="left" indent="1"/>
    </xf>
    <xf numFmtId="49" fontId="11" fillId="3" borderId="15" xfId="0" applyNumberFormat="1" applyFont="1" applyFill="1" applyBorder="1" applyAlignment="1">
      <alignment horizontal="left" indent="1"/>
    </xf>
    <xf numFmtId="164" fontId="10" fillId="3" borderId="11" xfId="0" applyNumberFormat="1" applyFont="1" applyFill="1" applyBorder="1" applyAlignment="1">
      <alignment horizontal="left" vertical="top" indent="1"/>
    </xf>
    <xf numFmtId="164" fontId="10" fillId="3" borderId="14" xfId="0" applyNumberFormat="1" applyFont="1" applyFill="1" applyBorder="1" applyAlignment="1">
      <alignment horizontal="left" vertical="top" indent="1"/>
    </xf>
    <xf numFmtId="0" fontId="16" fillId="0" borderId="42" xfId="3" applyBorder="1" applyAlignment="1">
      <alignment horizontal="center" vertical="center"/>
    </xf>
    <xf numFmtId="0" fontId="16" fillId="0" borderId="43" xfId="3" applyBorder="1" applyAlignment="1">
      <alignment horizontal="center" vertical="center"/>
    </xf>
  </cellXfs>
  <cellStyles count="6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59"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EstiloTabelaClaro7 2" pivot="0" count="7">
      <tableStyleElement type="wholeTable" dxfId="58"/>
      <tableStyleElement type="headerRow" dxfId="57"/>
      <tableStyleElement type="totalRow" dxfId="56"/>
      <tableStyleElement type="firstColumn" dxfId="55"/>
      <tableStyleElement type="lastColumn" dxfId="54"/>
      <tableStyleElement type="firstRowStripe" dxfId="53"/>
      <tableStyleElement type="firstColumnStripe" dxfId="52"/>
    </tableStyle>
    <tableStyle name="EstiloTabelaClaro9 2" pivot="0" count="4">
      <tableStyleElement type="wholeTable" dxfId="51"/>
      <tableStyleElement type="headerRow" dxfId="50"/>
      <tableStyleElement type="totalRow" dxfId="49"/>
      <tableStyleElement type="firstColumn" dxfId="4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P33"/>
  <sheetViews>
    <sheetView showGridLines="0" tabSelected="1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3.85546875" style="1" customWidth="1"/>
    <col min="3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" width="30.85546875" customWidth="1"/>
    <col min="17" max="16384" width="8.7109375" style="1"/>
  </cols>
  <sheetData>
    <row r="1" spans="1:16" ht="11.25" customHeight="1" x14ac:dyDescent="0.2"/>
    <row r="2" spans="1:16" ht="18" customHeight="1" x14ac:dyDescent="0.2">
      <c r="A2" s="4"/>
      <c r="B2" s="29"/>
      <c r="C2" s="21"/>
      <c r="D2" s="21"/>
      <c r="E2" s="21"/>
      <c r="F2" s="21"/>
      <c r="G2" s="21"/>
      <c r="H2" s="21"/>
      <c r="I2" s="21"/>
      <c r="J2" s="22"/>
      <c r="K2" s="43" t="s">
        <v>18</v>
      </c>
      <c r="L2" s="44">
        <v>2013</v>
      </c>
      <c r="M2" s="44"/>
      <c r="N2" s="50">
        <v>2016</v>
      </c>
      <c r="P2" s="71" t="s">
        <v>22</v>
      </c>
    </row>
    <row r="3" spans="1:16" ht="21" customHeight="1" x14ac:dyDescent="0.2">
      <c r="A3" s="4"/>
      <c r="B3" s="70" t="s">
        <v>0</v>
      </c>
      <c r="C3" s="2" t="s">
        <v>8</v>
      </c>
      <c r="D3" s="2" t="s">
        <v>13</v>
      </c>
      <c r="E3" s="2" t="s">
        <v>33</v>
      </c>
      <c r="F3" s="2" t="s">
        <v>14</v>
      </c>
      <c r="G3" s="2" t="s">
        <v>14</v>
      </c>
      <c r="H3" s="2" t="s">
        <v>13</v>
      </c>
      <c r="I3" s="2" t="s">
        <v>13</v>
      </c>
      <c r="J3" s="5"/>
      <c r="K3" s="45"/>
      <c r="L3" s="46"/>
      <c r="M3" s="46"/>
      <c r="N3" s="51"/>
      <c r="P3" s="71"/>
    </row>
    <row r="4" spans="1:16" ht="18" customHeight="1" x14ac:dyDescent="0.2">
      <c r="A4" s="4"/>
      <c r="B4" s="70"/>
      <c r="C4" s="10">
        <f>IF(DAY(JanDom1)=1,JanDom1-6,JanDom1+1)</f>
        <v>42365</v>
      </c>
      <c r="D4" s="10">
        <f>IF(DAY(JanDom1)=1,JanDom1-5,JanDom1+2)</f>
        <v>42366</v>
      </c>
      <c r="E4" s="10">
        <f>IF(DAY(JanDom1)=1,JanDom1-4,JanDom1+3)</f>
        <v>42367</v>
      </c>
      <c r="F4" s="10">
        <f>IF(DAY(JanDom1)=1,JanDom1-3,JanDom1+4)</f>
        <v>42368</v>
      </c>
      <c r="G4" s="10">
        <f>IF(DAY(JanDom1)=1,JanDom1-2,JanDom1+5)</f>
        <v>42369</v>
      </c>
      <c r="H4" s="10">
        <f>IF(DAY(JanDom1)=1,JanDom1-1,JanDom1+6)</f>
        <v>42370</v>
      </c>
      <c r="I4" s="10">
        <f>IF(DAY(JanDom1)=1,JanDom1,JanDom1+7)</f>
        <v>42371</v>
      </c>
      <c r="J4" s="5"/>
      <c r="K4" s="47" t="s">
        <v>2</v>
      </c>
      <c r="L4" s="16">
        <v>5</v>
      </c>
      <c r="M4" s="48" t="s">
        <v>35</v>
      </c>
      <c r="N4" s="49"/>
      <c r="P4" s="25"/>
    </row>
    <row r="5" spans="1:16" ht="18" customHeight="1" x14ac:dyDescent="0.2">
      <c r="A5" s="4"/>
      <c r="B5" s="30"/>
      <c r="C5" s="10">
        <f>IF(DAY(JanDom1)=1,JanDom1+1,JanDom1+8)</f>
        <v>42372</v>
      </c>
      <c r="D5" s="10">
        <f>IF(DAY(JanDom1)=1,JanDom1+2,JanDom1+9)</f>
        <v>42373</v>
      </c>
      <c r="E5" s="10">
        <f>IF(DAY(JanDom1)=1,JanDom1+3,JanDom1+10)</f>
        <v>42374</v>
      </c>
      <c r="F5" s="10">
        <f>IF(DAY(JanDom1)=1,JanDom1+4,JanDom1+11)</f>
        <v>42375</v>
      </c>
      <c r="G5" s="10">
        <f>IF(DAY(JanDom1)=1,JanDom1+5,JanDom1+12)</f>
        <v>42376</v>
      </c>
      <c r="H5" s="10">
        <f>IF(DAY(JanDom1)=1,JanDom1+6,JanDom1+13)</f>
        <v>42377</v>
      </c>
      <c r="I5" s="10">
        <f>IF(DAY(JanDom1)=1,JanDom1+7,JanDom1+14)</f>
        <v>42378</v>
      </c>
      <c r="J5" s="5"/>
      <c r="K5" s="33"/>
      <c r="L5" s="17"/>
      <c r="M5" s="34"/>
      <c r="N5" s="35"/>
      <c r="P5" s="25"/>
    </row>
    <row r="6" spans="1:16" ht="18" customHeight="1" x14ac:dyDescent="0.2">
      <c r="A6" s="4"/>
      <c r="B6" s="30"/>
      <c r="C6" s="10">
        <f>IF(DAY(JanDom1)=1,JanDom1+8,JanDom1+15)</f>
        <v>42379</v>
      </c>
      <c r="D6" s="10">
        <f>IF(DAY(JanDom1)=1,JanDom1+9,JanDom1+16)</f>
        <v>42380</v>
      </c>
      <c r="E6" s="10">
        <f>IF(DAY(JanDom1)=1,JanDom1+10,JanDom1+17)</f>
        <v>42381</v>
      </c>
      <c r="F6" s="10">
        <f>IF(DAY(JanDom1)=1,JanDom1+11,JanDom1+18)</f>
        <v>42382</v>
      </c>
      <c r="G6" s="10">
        <f>IF(DAY(JanDom1)=1,JanDom1+12,JanDom1+19)</f>
        <v>42383</v>
      </c>
      <c r="H6" s="10">
        <f>IF(DAY(JanDom1)=1,JanDom1+13,JanDom1+20)</f>
        <v>42384</v>
      </c>
      <c r="I6" s="10">
        <f>IF(DAY(JanDom1)=1,JanDom1+14,JanDom1+21)</f>
        <v>42385</v>
      </c>
      <c r="J6" s="5"/>
      <c r="K6" s="33"/>
      <c r="L6" s="17"/>
      <c r="M6" s="34"/>
      <c r="N6" s="35"/>
    </row>
    <row r="7" spans="1:16" ht="18" customHeight="1" x14ac:dyDescent="0.2">
      <c r="A7" s="4"/>
      <c r="B7" s="30"/>
      <c r="C7" s="10">
        <f>IF(DAY(JanDom1)=1,JanDom1+15,JanDom1+22)</f>
        <v>42386</v>
      </c>
      <c r="D7" s="10">
        <f>IF(DAY(JanDom1)=1,JanDom1+16,JanDom1+23)</f>
        <v>42387</v>
      </c>
      <c r="E7" s="10">
        <f>IF(DAY(JanDom1)=1,JanDom1+17,JanDom1+24)</f>
        <v>42388</v>
      </c>
      <c r="F7" s="10">
        <f>IF(DAY(JanDom1)=1,JanDom1+18,JanDom1+25)</f>
        <v>42389</v>
      </c>
      <c r="G7" s="10">
        <f>IF(DAY(JanDom1)=1,JanDom1+19,JanDom1+26)</f>
        <v>42390</v>
      </c>
      <c r="H7" s="10">
        <f>IF(DAY(JanDom1)=1,JanDom1+20,JanDom1+27)</f>
        <v>42391</v>
      </c>
      <c r="I7" s="10">
        <f>IF(DAY(JanDom1)=1,JanDom1+21,JanDom1+28)</f>
        <v>42392</v>
      </c>
      <c r="J7" s="5"/>
      <c r="K7" s="11"/>
      <c r="L7" s="17"/>
      <c r="M7" s="34"/>
      <c r="N7" s="35"/>
    </row>
    <row r="8" spans="1:16" ht="18.75" customHeight="1" x14ac:dyDescent="0.2">
      <c r="A8" s="4"/>
      <c r="B8" s="30"/>
      <c r="C8" s="10">
        <f>IF(DAY(JanDom1)=1,JanDom1+22,JanDom1+29)</f>
        <v>42393</v>
      </c>
      <c r="D8" s="10">
        <f>IF(DAY(JanDom1)=1,JanDom1+23,JanDom1+30)</f>
        <v>42394</v>
      </c>
      <c r="E8" s="10">
        <f>IF(DAY(JanDom1)=1,JanDom1+24,JanDom1+31)</f>
        <v>42395</v>
      </c>
      <c r="F8" s="10">
        <f>IF(DAY(JanDom1)=1,JanDom1+25,JanDom1+32)</f>
        <v>42396</v>
      </c>
      <c r="G8" s="10">
        <f>IF(DAY(JanDom1)=1,JanDom1+26,JanDom1+33)</f>
        <v>42397</v>
      </c>
      <c r="H8" s="10">
        <f>IF(DAY(JanDom1)=1,JanDom1+27,JanDom1+34)</f>
        <v>42398</v>
      </c>
      <c r="I8" s="10">
        <f>IF(DAY(JanDom1)=1,JanDom1+28,JanDom1+35)</f>
        <v>42399</v>
      </c>
      <c r="J8" s="5"/>
      <c r="K8" s="11"/>
      <c r="L8" s="17"/>
      <c r="M8" s="34"/>
      <c r="N8" s="35"/>
    </row>
    <row r="9" spans="1:16" ht="18" customHeight="1" x14ac:dyDescent="0.2">
      <c r="A9" s="4"/>
      <c r="B9" s="30"/>
      <c r="C9" s="10">
        <f>IF(DAY(JanDom1)=1,JanDom1+29,JanDom1+36)</f>
        <v>42400</v>
      </c>
      <c r="D9" s="10">
        <f>IF(DAY(JanDom1)=1,JanDom1+30,JanDom1+37)</f>
        <v>42401</v>
      </c>
      <c r="E9" s="10">
        <f>IF(DAY(JanDom1)=1,JanDom1+31,JanDom1+38)</f>
        <v>42402</v>
      </c>
      <c r="F9" s="10">
        <f>IF(DAY(JanDom1)=1,JanDom1+32,JanDom1+39)</f>
        <v>42403</v>
      </c>
      <c r="G9" s="10">
        <f>IF(DAY(JanDom1)=1,JanDom1+33,JanDom1+40)</f>
        <v>42404</v>
      </c>
      <c r="H9" s="10">
        <f>IF(DAY(JanDom1)=1,JanDom1+34,JanDom1+41)</f>
        <v>42405</v>
      </c>
      <c r="I9" s="10">
        <f>IF(DAY(JanDom1)=1,JanDom1+35,JanDom1+42)</f>
        <v>42406</v>
      </c>
      <c r="J9" s="5"/>
      <c r="K9" s="12"/>
      <c r="L9" s="18"/>
      <c r="M9" s="36"/>
      <c r="N9" s="37"/>
    </row>
    <row r="10" spans="1:16" ht="18" customHeight="1" x14ac:dyDescent="0.2">
      <c r="A10" s="4"/>
      <c r="B10" s="26"/>
      <c r="C10" s="23"/>
      <c r="D10" s="23"/>
      <c r="E10" s="23"/>
      <c r="F10" s="23"/>
      <c r="G10" s="23"/>
      <c r="H10" s="23"/>
      <c r="I10" s="23"/>
      <c r="J10" s="24"/>
      <c r="K10" s="32" t="s">
        <v>19</v>
      </c>
      <c r="L10" s="16">
        <v>20</v>
      </c>
      <c r="M10" s="38" t="s">
        <v>21</v>
      </c>
      <c r="N10" s="39"/>
    </row>
    <row r="11" spans="1:16" ht="18" customHeight="1" x14ac:dyDescent="0.2">
      <c r="A11" s="4"/>
      <c r="B11" s="72" t="s">
        <v>1</v>
      </c>
      <c r="C11" s="73"/>
      <c r="D11" s="73"/>
      <c r="E11" s="73"/>
      <c r="F11" s="73"/>
      <c r="G11" s="73"/>
      <c r="H11" s="73"/>
      <c r="I11" s="73"/>
      <c r="J11" s="74"/>
      <c r="K11" s="33"/>
      <c r="L11" s="17"/>
      <c r="M11" s="34"/>
      <c r="N11" s="35"/>
    </row>
    <row r="12" spans="1:16" ht="18" customHeight="1" x14ac:dyDescent="0.2">
      <c r="A12" s="4"/>
      <c r="B12" s="72"/>
      <c r="C12" s="73"/>
      <c r="D12" s="73"/>
      <c r="E12" s="73"/>
      <c r="F12" s="73"/>
      <c r="G12" s="73"/>
      <c r="H12" s="73"/>
      <c r="I12" s="73"/>
      <c r="J12" s="74"/>
      <c r="K12" s="33"/>
      <c r="L12" s="17"/>
      <c r="M12" s="34"/>
      <c r="N12" s="35"/>
    </row>
    <row r="13" spans="1:16" ht="18" customHeight="1" x14ac:dyDescent="0.2">
      <c r="B13" s="3" t="s">
        <v>2</v>
      </c>
      <c r="C13" s="40" t="s">
        <v>9</v>
      </c>
      <c r="D13" s="42"/>
      <c r="E13" s="40" t="s">
        <v>15</v>
      </c>
      <c r="F13" s="42"/>
      <c r="G13" s="40" t="s">
        <v>16</v>
      </c>
      <c r="H13" s="42"/>
      <c r="I13" s="40" t="s">
        <v>17</v>
      </c>
      <c r="J13" s="41"/>
      <c r="K13" s="11"/>
      <c r="L13" s="17"/>
      <c r="M13" s="34"/>
      <c r="N13" s="35"/>
    </row>
    <row r="14" spans="1:16" ht="18" customHeight="1" x14ac:dyDescent="0.2">
      <c r="B14" s="8" t="s">
        <v>3</v>
      </c>
      <c r="C14" s="54"/>
      <c r="D14" s="55"/>
      <c r="E14" s="54" t="s">
        <v>3</v>
      </c>
      <c r="F14" s="55"/>
      <c r="G14" s="54"/>
      <c r="H14" s="55"/>
      <c r="I14" s="54" t="s">
        <v>3</v>
      </c>
      <c r="J14" s="64"/>
      <c r="K14" s="11"/>
      <c r="L14" s="17"/>
      <c r="M14" s="34"/>
      <c r="N14" s="35"/>
    </row>
    <row r="15" spans="1:16" ht="18" customHeight="1" x14ac:dyDescent="0.2">
      <c r="B15" s="6" t="s">
        <v>4</v>
      </c>
      <c r="C15" s="52"/>
      <c r="D15" s="53"/>
      <c r="E15" s="52" t="s">
        <v>4</v>
      </c>
      <c r="F15" s="53"/>
      <c r="G15" s="52"/>
      <c r="H15" s="53"/>
      <c r="I15" s="61" t="s">
        <v>4</v>
      </c>
      <c r="J15" s="62"/>
      <c r="K15" s="13"/>
      <c r="L15" s="19"/>
      <c r="M15" s="36"/>
      <c r="N15" s="37"/>
    </row>
    <row r="16" spans="1:16" ht="18" customHeight="1" x14ac:dyDescent="0.2">
      <c r="B16" s="8"/>
      <c r="C16" s="54" t="s">
        <v>10</v>
      </c>
      <c r="D16" s="55"/>
      <c r="E16" s="54"/>
      <c r="F16" s="55"/>
      <c r="G16" s="54" t="s">
        <v>10</v>
      </c>
      <c r="H16" s="55"/>
      <c r="I16" s="65"/>
      <c r="J16" s="66"/>
      <c r="K16" s="32" t="s">
        <v>15</v>
      </c>
      <c r="L16" s="16"/>
      <c r="M16" s="38"/>
      <c r="N16" s="39"/>
    </row>
    <row r="17" spans="2:14" ht="18" customHeight="1" x14ac:dyDescent="0.2">
      <c r="B17" s="6"/>
      <c r="C17" s="52" t="s">
        <v>11</v>
      </c>
      <c r="D17" s="53"/>
      <c r="E17" s="52"/>
      <c r="F17" s="53"/>
      <c r="G17" s="52" t="s">
        <v>11</v>
      </c>
      <c r="H17" s="53"/>
      <c r="I17" s="61"/>
      <c r="J17" s="62"/>
      <c r="K17" s="33"/>
      <c r="L17" s="17"/>
      <c r="M17" s="34"/>
      <c r="N17" s="35"/>
    </row>
    <row r="18" spans="2:14" ht="18" customHeight="1" x14ac:dyDescent="0.2">
      <c r="B18" s="9" t="s">
        <v>5</v>
      </c>
      <c r="C18" s="56"/>
      <c r="D18" s="57"/>
      <c r="E18" s="56" t="s">
        <v>5</v>
      </c>
      <c r="F18" s="57"/>
      <c r="G18" s="56"/>
      <c r="H18" s="57"/>
      <c r="I18" s="56" t="s">
        <v>5</v>
      </c>
      <c r="J18" s="63"/>
      <c r="K18" s="33"/>
      <c r="L18" s="17"/>
      <c r="M18" s="34"/>
      <c r="N18" s="35"/>
    </row>
    <row r="19" spans="2:14" ht="18" customHeight="1" x14ac:dyDescent="0.2">
      <c r="B19" s="6" t="s">
        <v>6</v>
      </c>
      <c r="C19" s="52"/>
      <c r="D19" s="53"/>
      <c r="E19" s="52" t="s">
        <v>6</v>
      </c>
      <c r="F19" s="53"/>
      <c r="G19" s="52"/>
      <c r="H19" s="53"/>
      <c r="I19" s="61" t="s">
        <v>6</v>
      </c>
      <c r="J19" s="62"/>
      <c r="K19" s="11"/>
      <c r="L19" s="17"/>
      <c r="M19" s="34"/>
      <c r="N19" s="35"/>
    </row>
    <row r="20" spans="2:14" ht="18" customHeight="1" x14ac:dyDescent="0.2">
      <c r="B20" s="8"/>
      <c r="C20" s="54"/>
      <c r="D20" s="55"/>
      <c r="E20" s="54"/>
      <c r="F20" s="55"/>
      <c r="G20" s="54"/>
      <c r="H20" s="55"/>
      <c r="I20" s="54"/>
      <c r="J20" s="64"/>
      <c r="K20" s="11"/>
      <c r="L20" s="17"/>
      <c r="M20" s="34"/>
      <c r="N20" s="35"/>
    </row>
    <row r="21" spans="2:14" ht="18" customHeight="1" x14ac:dyDescent="0.2">
      <c r="B21" s="6"/>
      <c r="C21" s="52"/>
      <c r="D21" s="53"/>
      <c r="E21" s="52"/>
      <c r="F21" s="53"/>
      <c r="G21" s="52"/>
      <c r="H21" s="53"/>
      <c r="I21" s="67"/>
      <c r="J21" s="68"/>
      <c r="K21" s="13"/>
      <c r="L21" s="19"/>
      <c r="M21" s="36"/>
      <c r="N21" s="37"/>
    </row>
    <row r="22" spans="2:14" ht="18" customHeight="1" x14ac:dyDescent="0.2">
      <c r="B22" s="8"/>
      <c r="C22" s="54"/>
      <c r="D22" s="55"/>
      <c r="E22" s="54"/>
      <c r="F22" s="55"/>
      <c r="G22" s="54"/>
      <c r="H22" s="55"/>
      <c r="I22" s="54"/>
      <c r="J22" s="64"/>
      <c r="K22" s="32" t="s">
        <v>20</v>
      </c>
      <c r="L22" s="16"/>
      <c r="M22" s="38"/>
      <c r="N22" s="39"/>
    </row>
    <row r="23" spans="2:14" ht="18" customHeight="1" x14ac:dyDescent="0.2">
      <c r="B23" s="6"/>
      <c r="C23" s="52"/>
      <c r="D23" s="53"/>
      <c r="E23" s="52"/>
      <c r="F23" s="53"/>
      <c r="G23" s="52"/>
      <c r="H23" s="53"/>
      <c r="I23" s="61"/>
      <c r="J23" s="62"/>
      <c r="K23" s="33"/>
      <c r="L23" s="17"/>
      <c r="M23" s="34"/>
      <c r="N23" s="35"/>
    </row>
    <row r="24" spans="2:14" ht="18" customHeight="1" x14ac:dyDescent="0.2">
      <c r="B24" s="8"/>
      <c r="C24" s="54"/>
      <c r="D24" s="55"/>
      <c r="E24" s="54"/>
      <c r="F24" s="55"/>
      <c r="G24" s="54"/>
      <c r="H24" s="55"/>
      <c r="I24" s="54"/>
      <c r="J24" s="64"/>
      <c r="K24" s="33"/>
      <c r="L24" s="17"/>
      <c r="M24" s="34"/>
      <c r="N24" s="35"/>
    </row>
    <row r="25" spans="2:14" ht="18" customHeight="1" x14ac:dyDescent="0.2">
      <c r="B25" s="6"/>
      <c r="C25" s="52"/>
      <c r="D25" s="53"/>
      <c r="E25" s="52"/>
      <c r="F25" s="53"/>
      <c r="G25" s="52"/>
      <c r="H25" s="53"/>
      <c r="I25" s="61"/>
      <c r="J25" s="62"/>
      <c r="K25" s="33"/>
      <c r="L25" s="17"/>
      <c r="M25" s="34"/>
      <c r="N25" s="35"/>
    </row>
    <row r="26" spans="2:14" ht="18" customHeight="1" x14ac:dyDescent="0.2">
      <c r="B26" s="31">
        <v>0.58333333333333337</v>
      </c>
      <c r="C26" s="54"/>
      <c r="D26" s="55"/>
      <c r="E26" s="58">
        <v>0.58333333333333337</v>
      </c>
      <c r="F26" s="55"/>
      <c r="G26" s="54"/>
      <c r="H26" s="55"/>
      <c r="I26" s="58">
        <v>0.58333333333333337</v>
      </c>
      <c r="J26" s="64"/>
      <c r="K26" s="11"/>
      <c r="L26" s="17"/>
      <c r="M26" s="34"/>
      <c r="N26" s="35"/>
    </row>
    <row r="27" spans="2:14" ht="18" customHeight="1" x14ac:dyDescent="0.2">
      <c r="B27" s="6" t="s">
        <v>7</v>
      </c>
      <c r="C27" s="52"/>
      <c r="D27" s="53"/>
      <c r="E27" s="52" t="s">
        <v>7</v>
      </c>
      <c r="F27" s="53"/>
      <c r="G27" s="52"/>
      <c r="H27" s="53"/>
      <c r="I27" s="61" t="s">
        <v>7</v>
      </c>
      <c r="J27" s="62"/>
      <c r="K27" s="13"/>
      <c r="L27" s="19"/>
      <c r="M27" s="36"/>
      <c r="N27" s="37"/>
    </row>
    <row r="28" spans="2:14" ht="18" customHeight="1" x14ac:dyDescent="0.2">
      <c r="B28" s="8"/>
      <c r="C28" s="54"/>
      <c r="D28" s="55"/>
      <c r="E28" s="54"/>
      <c r="F28" s="55"/>
      <c r="G28" s="54"/>
      <c r="H28" s="55"/>
      <c r="I28" s="54"/>
      <c r="J28" s="64"/>
      <c r="K28" s="32" t="s">
        <v>17</v>
      </c>
      <c r="L28" s="16"/>
      <c r="M28" s="38"/>
      <c r="N28" s="39"/>
    </row>
    <row r="29" spans="2:14" ht="18" customHeight="1" x14ac:dyDescent="0.2">
      <c r="B29" s="6"/>
      <c r="C29" s="52"/>
      <c r="D29" s="53"/>
      <c r="E29" s="52"/>
      <c r="F29" s="53"/>
      <c r="G29" s="52"/>
      <c r="H29" s="53"/>
      <c r="I29" s="52"/>
      <c r="J29" s="69"/>
      <c r="K29" s="33"/>
      <c r="L29" s="17"/>
      <c r="M29" s="34"/>
      <c r="N29" s="35"/>
    </row>
    <row r="30" spans="2:14" ht="18" customHeight="1" x14ac:dyDescent="0.2">
      <c r="B30" s="8"/>
      <c r="C30" s="58">
        <v>0.66666666666666663</v>
      </c>
      <c r="D30" s="55"/>
      <c r="E30" s="54"/>
      <c r="F30" s="55"/>
      <c r="G30" s="58">
        <v>0.66666666666666663</v>
      </c>
      <c r="H30" s="55"/>
      <c r="I30" s="77"/>
      <c r="J30" s="78"/>
      <c r="K30" s="33"/>
      <c r="L30" s="17"/>
      <c r="M30" s="34"/>
      <c r="N30" s="35"/>
    </row>
    <row r="31" spans="2:14" ht="18" customHeight="1" x14ac:dyDescent="0.2">
      <c r="B31" s="6"/>
      <c r="C31" s="52" t="s">
        <v>12</v>
      </c>
      <c r="D31" s="53"/>
      <c r="E31" s="52"/>
      <c r="F31" s="53"/>
      <c r="G31" s="52" t="s">
        <v>12</v>
      </c>
      <c r="H31" s="53"/>
      <c r="I31" s="52"/>
      <c r="J31" s="69"/>
      <c r="K31" s="14"/>
      <c r="L31" s="17"/>
      <c r="M31" s="34"/>
      <c r="N31" s="35"/>
    </row>
    <row r="32" spans="2:14" ht="18" customHeight="1" x14ac:dyDescent="0.2">
      <c r="B32" s="8"/>
      <c r="C32" s="54"/>
      <c r="D32" s="55"/>
      <c r="E32" s="54"/>
      <c r="F32" s="55"/>
      <c r="G32" s="54"/>
      <c r="H32" s="55"/>
      <c r="I32" s="65"/>
      <c r="J32" s="66"/>
      <c r="K32" s="14"/>
      <c r="L32" s="17"/>
      <c r="M32" s="34"/>
      <c r="N32" s="35"/>
    </row>
    <row r="33" spans="2:14" ht="18" customHeight="1" x14ac:dyDescent="0.2">
      <c r="B33" s="7"/>
      <c r="C33" s="59"/>
      <c r="D33" s="60"/>
      <c r="E33" s="59"/>
      <c r="F33" s="60"/>
      <c r="G33" s="59"/>
      <c r="H33" s="60"/>
      <c r="I33" s="79"/>
      <c r="J33" s="80"/>
      <c r="K33" s="15"/>
      <c r="L33" s="20"/>
      <c r="M33" s="75"/>
      <c r="N33" s="76"/>
    </row>
  </sheetData>
  <mergeCells count="124">
    <mergeCell ref="B3:B4"/>
    <mergeCell ref="P2:P3"/>
    <mergeCell ref="B11:J12"/>
    <mergeCell ref="M31:N31"/>
    <mergeCell ref="M32:N32"/>
    <mergeCell ref="M33:N33"/>
    <mergeCell ref="M26:N26"/>
    <mergeCell ref="M27:N27"/>
    <mergeCell ref="M28:N28"/>
    <mergeCell ref="M29:N29"/>
    <mergeCell ref="M30:N30"/>
    <mergeCell ref="M21:N21"/>
    <mergeCell ref="M22:N22"/>
    <mergeCell ref="M23:N23"/>
    <mergeCell ref="M24:N24"/>
    <mergeCell ref="M25:N25"/>
    <mergeCell ref="G30:H30"/>
    <mergeCell ref="G31:H31"/>
    <mergeCell ref="G32:H32"/>
    <mergeCell ref="G33:H33"/>
    <mergeCell ref="I30:J30"/>
    <mergeCell ref="I31:J31"/>
    <mergeCell ref="I32:J32"/>
    <mergeCell ref="I33:J33"/>
    <mergeCell ref="I25:J25"/>
    <mergeCell ref="I26:J26"/>
    <mergeCell ref="I27:J27"/>
    <mergeCell ref="I28:J28"/>
    <mergeCell ref="I29:J29"/>
    <mergeCell ref="G25:H25"/>
    <mergeCell ref="G26:H26"/>
    <mergeCell ref="G27:H27"/>
    <mergeCell ref="G28:H28"/>
    <mergeCell ref="G29:H29"/>
    <mergeCell ref="I22:J22"/>
    <mergeCell ref="I23:J23"/>
    <mergeCell ref="G22:H22"/>
    <mergeCell ref="G23:H23"/>
    <mergeCell ref="G24:H24"/>
    <mergeCell ref="I24:J24"/>
    <mergeCell ref="G20:H20"/>
    <mergeCell ref="G21:H21"/>
    <mergeCell ref="I19:J19"/>
    <mergeCell ref="I20:J20"/>
    <mergeCell ref="I21:J21"/>
    <mergeCell ref="G17:H17"/>
    <mergeCell ref="I17:J17"/>
    <mergeCell ref="G18:H18"/>
    <mergeCell ref="I18:J18"/>
    <mergeCell ref="G19:H19"/>
    <mergeCell ref="G14:H14"/>
    <mergeCell ref="I14:J14"/>
    <mergeCell ref="G15:H15"/>
    <mergeCell ref="I15:J15"/>
    <mergeCell ref="G16:H16"/>
    <mergeCell ref="I16:J16"/>
    <mergeCell ref="E18:F18"/>
    <mergeCell ref="E17:F17"/>
    <mergeCell ref="E16:F16"/>
    <mergeCell ref="E15:F15"/>
    <mergeCell ref="E14:F14"/>
    <mergeCell ref="E23:F23"/>
    <mergeCell ref="E22:F22"/>
    <mergeCell ref="E21:F21"/>
    <mergeCell ref="E20:F20"/>
    <mergeCell ref="E19:F19"/>
    <mergeCell ref="E28:F28"/>
    <mergeCell ref="E27:F27"/>
    <mergeCell ref="E26:F26"/>
    <mergeCell ref="E25:F25"/>
    <mergeCell ref="E24:F24"/>
    <mergeCell ref="E33:F33"/>
    <mergeCell ref="E32:F32"/>
    <mergeCell ref="E31:F31"/>
    <mergeCell ref="E30:F30"/>
    <mergeCell ref="E29:F29"/>
    <mergeCell ref="C16:D16"/>
    <mergeCell ref="C17:D17"/>
    <mergeCell ref="C18:D1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K28:K30"/>
    <mergeCell ref="I13:J13"/>
    <mergeCell ref="G13:H13"/>
    <mergeCell ref="E13:F13"/>
    <mergeCell ref="C13:D13"/>
    <mergeCell ref="K2:M3"/>
    <mergeCell ref="K10:K12"/>
    <mergeCell ref="K4:K6"/>
    <mergeCell ref="M4:N4"/>
    <mergeCell ref="M5:N5"/>
    <mergeCell ref="M6:N6"/>
    <mergeCell ref="M7:N7"/>
    <mergeCell ref="M8:N8"/>
    <mergeCell ref="M9:N9"/>
    <mergeCell ref="M10:N10"/>
    <mergeCell ref="M11:N11"/>
    <mergeCell ref="N2:N3"/>
    <mergeCell ref="C19:D19"/>
    <mergeCell ref="C20:D20"/>
    <mergeCell ref="C21:D21"/>
    <mergeCell ref="C22:D22"/>
    <mergeCell ref="C23:D23"/>
    <mergeCell ref="C14:D14"/>
    <mergeCell ref="C15:D15"/>
    <mergeCell ref="K16:K18"/>
    <mergeCell ref="K22:K25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</mergeCells>
  <phoneticPr fontId="2" type="noConversion"/>
  <conditionalFormatting sqref="C4:H4">
    <cfRule type="expression" dxfId="47" priority="4" stopIfTrue="1">
      <formula>DAY(C4)&gt;8</formula>
    </cfRule>
  </conditionalFormatting>
  <conditionalFormatting sqref="C8:I10">
    <cfRule type="expression" dxfId="46" priority="3" stopIfTrue="1">
      <formula>AND(DAY(C8)&gt;=1,DAY(C8)&lt;=15)</formula>
    </cfRule>
  </conditionalFormatting>
  <conditionalFormatting sqref="C4:I9">
    <cfRule type="expression" dxfId="45" priority="15">
      <formula>VLOOKUP(DAY(C4),DiasTarefa,1,FALSE)=DAY(C4)</formula>
    </cfRule>
  </conditionalFormatting>
  <conditionalFormatting sqref="B14:J33">
    <cfRule type="expression" dxfId="44" priority="1">
      <formula>B14&lt;&gt;""</formula>
    </cfRule>
  </conditionalFormatting>
  <dataValidations count="1">
    <dataValidation allowBlank="1" showInputMessage="1" showErrorMessage="1" errorTitle="Invalid Year" error="Enter a year from 1900 to 9999, or use the scroll bar to find a year." sqref="N2"/>
  </dataValidations>
  <printOptions horizontalCentered="1" verticalCentered="1"/>
  <pageMargins left="0.5" right="0.5" top="0.5" bottom="0.5" header="0.3" footer="0.3"/>
  <pageSetup paperSize="9" scale="91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3.85546875" style="1" customWidth="1"/>
    <col min="3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29"/>
      <c r="C2" s="21"/>
      <c r="D2" s="21"/>
      <c r="E2" s="21"/>
      <c r="F2" s="21"/>
      <c r="G2" s="21"/>
      <c r="H2" s="21"/>
      <c r="I2" s="21"/>
      <c r="J2" s="22"/>
      <c r="K2" s="43" t="s">
        <v>18</v>
      </c>
      <c r="L2" s="44">
        <v>2013</v>
      </c>
      <c r="M2" s="44"/>
      <c r="N2" s="81">
        <f>AnoCalendário</f>
        <v>2016</v>
      </c>
    </row>
    <row r="3" spans="1:14" ht="21" customHeight="1" x14ac:dyDescent="0.2">
      <c r="A3" s="4"/>
      <c r="B3" s="70" t="s">
        <v>23</v>
      </c>
      <c r="C3" s="2" t="s">
        <v>8</v>
      </c>
      <c r="D3" s="2" t="s">
        <v>13</v>
      </c>
      <c r="E3" s="2" t="s">
        <v>33</v>
      </c>
      <c r="F3" s="2" t="s">
        <v>14</v>
      </c>
      <c r="G3" s="2" t="s">
        <v>14</v>
      </c>
      <c r="H3" s="2" t="s">
        <v>13</v>
      </c>
      <c r="I3" s="2" t="s">
        <v>13</v>
      </c>
      <c r="J3" s="5"/>
      <c r="K3" s="45"/>
      <c r="L3" s="46"/>
      <c r="M3" s="46"/>
      <c r="N3" s="82"/>
    </row>
    <row r="4" spans="1:14" ht="18" customHeight="1" x14ac:dyDescent="0.2">
      <c r="A4" s="4"/>
      <c r="B4" s="70"/>
      <c r="C4" s="10">
        <f>IF(DAY(OutDom1)=1,OutDom1-6,OutDom1+1)</f>
        <v>42638</v>
      </c>
      <c r="D4" s="10">
        <f>IF(DAY(OutDom1)=1,OutDom1-5,OutDom1+2)</f>
        <v>42639</v>
      </c>
      <c r="E4" s="10">
        <f>IF(DAY(OutDom1)=1,OutDom1-4,OutDom1+3)</f>
        <v>42640</v>
      </c>
      <c r="F4" s="10">
        <f>IF(DAY(OutDom1)=1,OutDom1-3,OutDom1+4)</f>
        <v>42641</v>
      </c>
      <c r="G4" s="10">
        <f>IF(DAY(OutDom1)=1,OutDom1-2,OutDom1+5)</f>
        <v>42642</v>
      </c>
      <c r="H4" s="10">
        <f>IF(DAY(OutDom1)=1,OutDom1-1,OutDom1+6)</f>
        <v>42643</v>
      </c>
      <c r="I4" s="10">
        <f>IF(DAY(OutDom1)=1,OutDom1,OutDom1+7)</f>
        <v>42644</v>
      </c>
      <c r="J4" s="5"/>
      <c r="K4" s="47" t="s">
        <v>2</v>
      </c>
      <c r="L4" s="16"/>
      <c r="M4" s="48"/>
      <c r="N4" s="49"/>
    </row>
    <row r="5" spans="1:14" ht="18" customHeight="1" x14ac:dyDescent="0.2">
      <c r="A5" s="4"/>
      <c r="B5" s="27"/>
      <c r="C5" s="10">
        <f>IF(DAY(OutDom1)=1,OutDom1+1,OutDom1+8)</f>
        <v>42645</v>
      </c>
      <c r="D5" s="10">
        <f>IF(DAY(OutDom1)=1,OutDom1+2,OutDom1+9)</f>
        <v>42646</v>
      </c>
      <c r="E5" s="10">
        <f>IF(DAY(OutDom1)=1,OutDom1+3,OutDom1+10)</f>
        <v>42647</v>
      </c>
      <c r="F5" s="10">
        <f>IF(DAY(OutDom1)=1,OutDom1+4,OutDom1+11)</f>
        <v>42648</v>
      </c>
      <c r="G5" s="10">
        <f>IF(DAY(OutDom1)=1,OutDom1+5,OutDom1+12)</f>
        <v>42649</v>
      </c>
      <c r="H5" s="10">
        <f>IF(DAY(OutDom1)=1,OutDom1+6,OutDom1+13)</f>
        <v>42650</v>
      </c>
      <c r="I5" s="10">
        <f>IF(DAY(OutDom1)=1,OutDom1+7,OutDom1+14)</f>
        <v>42651</v>
      </c>
      <c r="J5" s="5"/>
      <c r="K5" s="33"/>
      <c r="L5" s="17"/>
      <c r="M5" s="34"/>
      <c r="N5" s="35"/>
    </row>
    <row r="6" spans="1:14" ht="18" customHeight="1" x14ac:dyDescent="0.2">
      <c r="A6" s="4"/>
      <c r="B6" s="27"/>
      <c r="C6" s="10">
        <f>IF(DAY(OutDom1)=1,OutDom1+8,OutDom1+15)</f>
        <v>42652</v>
      </c>
      <c r="D6" s="10">
        <f>IF(DAY(OutDom1)=1,OutDom1+9,OutDom1+16)</f>
        <v>42653</v>
      </c>
      <c r="E6" s="10">
        <f>IF(DAY(OutDom1)=1,OutDom1+10,OutDom1+17)</f>
        <v>42654</v>
      </c>
      <c r="F6" s="10">
        <f>IF(DAY(OutDom1)=1,OutDom1+11,OutDom1+18)</f>
        <v>42655</v>
      </c>
      <c r="G6" s="10">
        <f>IF(DAY(OutDom1)=1,OutDom1+12,OutDom1+19)</f>
        <v>42656</v>
      </c>
      <c r="H6" s="10">
        <f>IF(DAY(OutDom1)=1,OutDom1+13,OutDom1+20)</f>
        <v>42657</v>
      </c>
      <c r="I6" s="10">
        <f>IF(DAY(OutDom1)=1,OutDom1+14,OutDom1+21)</f>
        <v>42658</v>
      </c>
      <c r="J6" s="5"/>
      <c r="K6" s="33"/>
      <c r="L6" s="17"/>
      <c r="M6" s="34"/>
      <c r="N6" s="35"/>
    </row>
    <row r="7" spans="1:14" ht="18" customHeight="1" x14ac:dyDescent="0.2">
      <c r="A7" s="4"/>
      <c r="B7" s="27"/>
      <c r="C7" s="10">
        <f>IF(DAY(OutDom1)=1,OutDom1+15,OutDom1+22)</f>
        <v>42659</v>
      </c>
      <c r="D7" s="10">
        <f>IF(DAY(OutDom1)=1,OutDom1+16,OutDom1+23)</f>
        <v>42660</v>
      </c>
      <c r="E7" s="10">
        <f>IF(DAY(OutDom1)=1,OutDom1+17,OutDom1+24)</f>
        <v>42661</v>
      </c>
      <c r="F7" s="10">
        <f>IF(DAY(OutDom1)=1,OutDom1+18,OutDom1+25)</f>
        <v>42662</v>
      </c>
      <c r="G7" s="10">
        <f>IF(DAY(OutDom1)=1,OutDom1+19,OutDom1+26)</f>
        <v>42663</v>
      </c>
      <c r="H7" s="10">
        <f>IF(DAY(OutDom1)=1,OutDom1+20,OutDom1+27)</f>
        <v>42664</v>
      </c>
      <c r="I7" s="10">
        <f>IF(DAY(OutDom1)=1,OutDom1+21,OutDom1+28)</f>
        <v>42665</v>
      </c>
      <c r="J7" s="5"/>
      <c r="K7" s="11"/>
      <c r="L7" s="17"/>
      <c r="M7" s="34"/>
      <c r="N7" s="35"/>
    </row>
    <row r="8" spans="1:14" ht="18.75" customHeight="1" x14ac:dyDescent="0.2">
      <c r="A8" s="4"/>
      <c r="B8" s="27"/>
      <c r="C8" s="10">
        <f>IF(DAY(OutDom1)=1,OutDom1+22,OutDom1+29)</f>
        <v>42666</v>
      </c>
      <c r="D8" s="10">
        <f>IF(DAY(OutDom1)=1,OutDom1+23,OutDom1+30)</f>
        <v>42667</v>
      </c>
      <c r="E8" s="10">
        <f>IF(DAY(OutDom1)=1,OutDom1+24,OutDom1+31)</f>
        <v>42668</v>
      </c>
      <c r="F8" s="10">
        <f>IF(DAY(OutDom1)=1,OutDom1+25,OutDom1+32)</f>
        <v>42669</v>
      </c>
      <c r="G8" s="10">
        <f>IF(DAY(OutDom1)=1,OutDom1+26,OutDom1+33)</f>
        <v>42670</v>
      </c>
      <c r="H8" s="10">
        <f>IF(DAY(OutDom1)=1,OutDom1+27,OutDom1+34)</f>
        <v>42671</v>
      </c>
      <c r="I8" s="10">
        <f>IF(DAY(OutDom1)=1,OutDom1+28,OutDom1+35)</f>
        <v>42672</v>
      </c>
      <c r="J8" s="5"/>
      <c r="K8" s="11"/>
      <c r="L8" s="17"/>
      <c r="M8" s="34"/>
      <c r="N8" s="35"/>
    </row>
    <row r="9" spans="1:14" ht="18" customHeight="1" x14ac:dyDescent="0.2">
      <c r="A9" s="4"/>
      <c r="B9" s="27"/>
      <c r="C9" s="10">
        <f>IF(DAY(OutDom1)=1,OutDom1+29,OutDom1+36)</f>
        <v>42673</v>
      </c>
      <c r="D9" s="10">
        <f>IF(DAY(OutDom1)=1,OutDom1+30,OutDom1+37)</f>
        <v>42674</v>
      </c>
      <c r="E9" s="10">
        <f>IF(DAY(OutDom1)=1,OutDom1+31,OutDom1+38)</f>
        <v>42675</v>
      </c>
      <c r="F9" s="10">
        <f>IF(DAY(OutDom1)=1,OutDom1+32,OutDom1+39)</f>
        <v>42676</v>
      </c>
      <c r="G9" s="10">
        <f>IF(DAY(OutDom1)=1,OutDom1+33,OutDom1+40)</f>
        <v>42677</v>
      </c>
      <c r="H9" s="10">
        <f>IF(DAY(OutDom1)=1,OutDom1+34,OutDom1+41)</f>
        <v>42678</v>
      </c>
      <c r="I9" s="10">
        <f>IF(DAY(OutDom1)=1,OutDom1+35,OutDom1+42)</f>
        <v>42679</v>
      </c>
      <c r="J9" s="5"/>
      <c r="K9" s="12"/>
      <c r="L9" s="18"/>
      <c r="M9" s="36"/>
      <c r="N9" s="37"/>
    </row>
    <row r="10" spans="1:14" ht="18" customHeight="1" x14ac:dyDescent="0.2">
      <c r="A10" s="4"/>
      <c r="B10" s="28"/>
      <c r="C10" s="23"/>
      <c r="D10" s="23"/>
      <c r="E10" s="23"/>
      <c r="F10" s="23"/>
      <c r="G10" s="23"/>
      <c r="H10" s="23"/>
      <c r="I10" s="23"/>
      <c r="J10" s="24"/>
      <c r="K10" s="32" t="s">
        <v>19</v>
      </c>
      <c r="L10" s="16"/>
      <c r="M10" s="38"/>
      <c r="N10" s="39"/>
    </row>
    <row r="11" spans="1:14" ht="18" customHeight="1" x14ac:dyDescent="0.2">
      <c r="A11" s="4"/>
      <c r="B11" s="72" t="s">
        <v>1</v>
      </c>
      <c r="C11" s="73"/>
      <c r="D11" s="73"/>
      <c r="E11" s="73"/>
      <c r="F11" s="73"/>
      <c r="G11" s="73"/>
      <c r="H11" s="73"/>
      <c r="I11" s="73"/>
      <c r="J11" s="74"/>
      <c r="K11" s="33"/>
      <c r="L11" s="17"/>
      <c r="M11" s="34"/>
      <c r="N11" s="35"/>
    </row>
    <row r="12" spans="1:14" ht="18" customHeight="1" x14ac:dyDescent="0.2">
      <c r="A12" s="4"/>
      <c r="B12" s="72"/>
      <c r="C12" s="73"/>
      <c r="D12" s="73"/>
      <c r="E12" s="73"/>
      <c r="F12" s="73"/>
      <c r="G12" s="73"/>
      <c r="H12" s="73"/>
      <c r="I12" s="73"/>
      <c r="J12" s="74"/>
      <c r="K12" s="33"/>
      <c r="L12" s="17"/>
      <c r="M12" s="34"/>
      <c r="N12" s="35"/>
    </row>
    <row r="13" spans="1:14" ht="18" customHeight="1" x14ac:dyDescent="0.2">
      <c r="B13" s="3" t="s">
        <v>2</v>
      </c>
      <c r="C13" s="40" t="s">
        <v>9</v>
      </c>
      <c r="D13" s="42"/>
      <c r="E13" s="40" t="s">
        <v>15</v>
      </c>
      <c r="F13" s="42"/>
      <c r="G13" s="40" t="s">
        <v>16</v>
      </c>
      <c r="H13" s="42"/>
      <c r="I13" s="40" t="s">
        <v>17</v>
      </c>
      <c r="J13" s="41"/>
      <c r="K13" s="11"/>
      <c r="L13" s="17"/>
      <c r="M13" s="34"/>
      <c r="N13" s="35"/>
    </row>
    <row r="14" spans="1:14" ht="18" customHeight="1" x14ac:dyDescent="0.2">
      <c r="B14" s="8" t="s">
        <v>3</v>
      </c>
      <c r="C14" s="54"/>
      <c r="D14" s="55"/>
      <c r="E14" s="54" t="s">
        <v>3</v>
      </c>
      <c r="F14" s="55"/>
      <c r="G14" s="54"/>
      <c r="H14" s="55"/>
      <c r="I14" s="54" t="s">
        <v>3</v>
      </c>
      <c r="J14" s="64"/>
      <c r="K14" s="11"/>
      <c r="L14" s="17"/>
      <c r="M14" s="34"/>
      <c r="N14" s="35"/>
    </row>
    <row r="15" spans="1:14" ht="18" customHeight="1" x14ac:dyDescent="0.2">
      <c r="B15" s="6" t="s">
        <v>4</v>
      </c>
      <c r="C15" s="52"/>
      <c r="D15" s="53"/>
      <c r="E15" s="52" t="s">
        <v>4</v>
      </c>
      <c r="F15" s="53"/>
      <c r="G15" s="52"/>
      <c r="H15" s="53"/>
      <c r="I15" s="61" t="s">
        <v>4</v>
      </c>
      <c r="J15" s="62"/>
      <c r="K15" s="13"/>
      <c r="L15" s="19"/>
      <c r="M15" s="36"/>
      <c r="N15" s="37"/>
    </row>
    <row r="16" spans="1:14" ht="18" customHeight="1" x14ac:dyDescent="0.2">
      <c r="B16" s="8"/>
      <c r="C16" s="54" t="s">
        <v>10</v>
      </c>
      <c r="D16" s="55"/>
      <c r="E16" s="54"/>
      <c r="F16" s="55"/>
      <c r="G16" s="54" t="s">
        <v>10</v>
      </c>
      <c r="H16" s="55"/>
      <c r="I16" s="65"/>
      <c r="J16" s="66"/>
      <c r="K16" s="32" t="s">
        <v>15</v>
      </c>
      <c r="L16" s="16"/>
      <c r="M16" s="38"/>
      <c r="N16" s="39"/>
    </row>
    <row r="17" spans="2:14" ht="18" customHeight="1" x14ac:dyDescent="0.2">
      <c r="B17" s="6"/>
      <c r="C17" s="52" t="s">
        <v>11</v>
      </c>
      <c r="D17" s="53"/>
      <c r="E17" s="52"/>
      <c r="F17" s="53"/>
      <c r="G17" s="52" t="s">
        <v>11</v>
      </c>
      <c r="H17" s="53"/>
      <c r="I17" s="61"/>
      <c r="J17" s="62"/>
      <c r="K17" s="33"/>
      <c r="L17" s="17"/>
      <c r="M17" s="34"/>
      <c r="N17" s="35"/>
    </row>
    <row r="18" spans="2:14" ht="18" customHeight="1" x14ac:dyDescent="0.2">
      <c r="B18" s="9" t="s">
        <v>5</v>
      </c>
      <c r="C18" s="56"/>
      <c r="D18" s="57"/>
      <c r="E18" s="56" t="s">
        <v>5</v>
      </c>
      <c r="F18" s="57"/>
      <c r="G18" s="56"/>
      <c r="H18" s="57"/>
      <c r="I18" s="56" t="s">
        <v>5</v>
      </c>
      <c r="J18" s="63"/>
      <c r="K18" s="33"/>
      <c r="L18" s="17"/>
      <c r="M18" s="34"/>
      <c r="N18" s="35"/>
    </row>
    <row r="19" spans="2:14" ht="18" customHeight="1" x14ac:dyDescent="0.2">
      <c r="B19" s="6" t="s">
        <v>6</v>
      </c>
      <c r="C19" s="52"/>
      <c r="D19" s="53"/>
      <c r="E19" s="52" t="s">
        <v>6</v>
      </c>
      <c r="F19" s="53"/>
      <c r="G19" s="52"/>
      <c r="H19" s="53"/>
      <c r="I19" s="61" t="s">
        <v>6</v>
      </c>
      <c r="J19" s="62"/>
      <c r="K19" s="11"/>
      <c r="L19" s="17"/>
      <c r="M19" s="34"/>
      <c r="N19" s="35"/>
    </row>
    <row r="20" spans="2:14" ht="18" customHeight="1" x14ac:dyDescent="0.2">
      <c r="B20" s="8"/>
      <c r="C20" s="54"/>
      <c r="D20" s="55"/>
      <c r="E20" s="54"/>
      <c r="F20" s="55"/>
      <c r="G20" s="54"/>
      <c r="H20" s="55"/>
      <c r="I20" s="54"/>
      <c r="J20" s="64"/>
      <c r="K20" s="11"/>
      <c r="L20" s="17"/>
      <c r="M20" s="34"/>
      <c r="N20" s="35"/>
    </row>
    <row r="21" spans="2:14" ht="18" customHeight="1" x14ac:dyDescent="0.2">
      <c r="B21" s="6"/>
      <c r="C21" s="52"/>
      <c r="D21" s="53"/>
      <c r="E21" s="52"/>
      <c r="F21" s="53"/>
      <c r="G21" s="52"/>
      <c r="H21" s="53"/>
      <c r="I21" s="67"/>
      <c r="J21" s="68"/>
      <c r="K21" s="13"/>
      <c r="L21" s="19"/>
      <c r="M21" s="36"/>
      <c r="N21" s="37"/>
    </row>
    <row r="22" spans="2:14" ht="18" customHeight="1" x14ac:dyDescent="0.2">
      <c r="B22" s="8"/>
      <c r="C22" s="54"/>
      <c r="D22" s="55"/>
      <c r="E22" s="54"/>
      <c r="F22" s="55"/>
      <c r="G22" s="54"/>
      <c r="H22" s="55"/>
      <c r="I22" s="54"/>
      <c r="J22" s="64"/>
      <c r="K22" s="32" t="s">
        <v>20</v>
      </c>
      <c r="L22" s="16"/>
      <c r="M22" s="38"/>
      <c r="N22" s="39"/>
    </row>
    <row r="23" spans="2:14" ht="18" customHeight="1" x14ac:dyDescent="0.2">
      <c r="B23" s="6"/>
      <c r="C23" s="52"/>
      <c r="D23" s="53"/>
      <c r="E23" s="52"/>
      <c r="F23" s="53"/>
      <c r="G23" s="52"/>
      <c r="H23" s="53"/>
      <c r="I23" s="61"/>
      <c r="J23" s="62"/>
      <c r="K23" s="33"/>
      <c r="L23" s="17"/>
      <c r="M23" s="34"/>
      <c r="N23" s="35"/>
    </row>
    <row r="24" spans="2:14" ht="18" customHeight="1" x14ac:dyDescent="0.2">
      <c r="B24" s="8"/>
      <c r="C24" s="54"/>
      <c r="D24" s="55"/>
      <c r="E24" s="54"/>
      <c r="F24" s="55"/>
      <c r="G24" s="54"/>
      <c r="H24" s="55"/>
      <c r="I24" s="54"/>
      <c r="J24" s="64"/>
      <c r="K24" s="33"/>
      <c r="L24" s="17"/>
      <c r="M24" s="34"/>
      <c r="N24" s="35"/>
    </row>
    <row r="25" spans="2:14" ht="18" customHeight="1" x14ac:dyDescent="0.2">
      <c r="B25" s="6"/>
      <c r="C25" s="52"/>
      <c r="D25" s="53"/>
      <c r="E25" s="52"/>
      <c r="F25" s="53"/>
      <c r="G25" s="52"/>
      <c r="H25" s="53"/>
      <c r="I25" s="61"/>
      <c r="J25" s="62"/>
      <c r="K25" s="33"/>
      <c r="L25" s="17"/>
      <c r="M25" s="34"/>
      <c r="N25" s="35"/>
    </row>
    <row r="26" spans="2:14" ht="18" customHeight="1" x14ac:dyDescent="0.2">
      <c r="B26" s="31">
        <v>0.58333333333333337</v>
      </c>
      <c r="C26" s="54"/>
      <c r="D26" s="55"/>
      <c r="E26" s="58">
        <v>0.58333333333333337</v>
      </c>
      <c r="F26" s="55"/>
      <c r="G26" s="54"/>
      <c r="H26" s="55"/>
      <c r="I26" s="58">
        <v>0.58333333333333337</v>
      </c>
      <c r="J26" s="64"/>
      <c r="K26" s="11"/>
      <c r="L26" s="17"/>
      <c r="M26" s="34"/>
      <c r="N26" s="35"/>
    </row>
    <row r="27" spans="2:14" ht="18" customHeight="1" x14ac:dyDescent="0.2">
      <c r="B27" s="6" t="s">
        <v>7</v>
      </c>
      <c r="C27" s="52"/>
      <c r="D27" s="53"/>
      <c r="E27" s="52" t="s">
        <v>7</v>
      </c>
      <c r="F27" s="53"/>
      <c r="G27" s="52"/>
      <c r="H27" s="53"/>
      <c r="I27" s="61" t="s">
        <v>7</v>
      </c>
      <c r="J27" s="62"/>
      <c r="K27" s="13"/>
      <c r="L27" s="19"/>
      <c r="M27" s="36"/>
      <c r="N27" s="37"/>
    </row>
    <row r="28" spans="2:14" ht="18" customHeight="1" x14ac:dyDescent="0.2">
      <c r="B28" s="8"/>
      <c r="C28" s="54"/>
      <c r="D28" s="55"/>
      <c r="E28" s="54"/>
      <c r="F28" s="55"/>
      <c r="G28" s="54"/>
      <c r="H28" s="55"/>
      <c r="I28" s="54"/>
      <c r="J28" s="64"/>
      <c r="K28" s="32" t="s">
        <v>17</v>
      </c>
      <c r="L28" s="16"/>
      <c r="M28" s="38"/>
      <c r="N28" s="39"/>
    </row>
    <row r="29" spans="2:14" ht="18" customHeight="1" x14ac:dyDescent="0.2">
      <c r="B29" s="6"/>
      <c r="C29" s="52"/>
      <c r="D29" s="53"/>
      <c r="E29" s="52"/>
      <c r="F29" s="53"/>
      <c r="G29" s="52"/>
      <c r="H29" s="53"/>
      <c r="I29" s="52"/>
      <c r="J29" s="69"/>
      <c r="K29" s="33"/>
      <c r="L29" s="17"/>
      <c r="M29" s="34"/>
      <c r="N29" s="35"/>
    </row>
    <row r="30" spans="2:14" ht="18" customHeight="1" x14ac:dyDescent="0.2">
      <c r="B30" s="8"/>
      <c r="C30" s="58">
        <v>0.66666666666666663</v>
      </c>
      <c r="D30" s="55"/>
      <c r="E30" s="54"/>
      <c r="F30" s="55"/>
      <c r="G30" s="58">
        <v>0.66666666666666663</v>
      </c>
      <c r="H30" s="55"/>
      <c r="I30" s="77"/>
      <c r="J30" s="78"/>
      <c r="K30" s="33"/>
      <c r="L30" s="17"/>
      <c r="M30" s="34"/>
      <c r="N30" s="35"/>
    </row>
    <row r="31" spans="2:14" ht="18" customHeight="1" x14ac:dyDescent="0.2">
      <c r="B31" s="6"/>
      <c r="C31" s="52" t="s">
        <v>12</v>
      </c>
      <c r="D31" s="53"/>
      <c r="E31" s="52"/>
      <c r="F31" s="53"/>
      <c r="G31" s="52" t="s">
        <v>12</v>
      </c>
      <c r="H31" s="53"/>
      <c r="I31" s="52"/>
      <c r="J31" s="69"/>
      <c r="K31" s="14"/>
      <c r="L31" s="17"/>
      <c r="M31" s="34"/>
      <c r="N31" s="35"/>
    </row>
    <row r="32" spans="2:14" ht="18" customHeight="1" x14ac:dyDescent="0.2">
      <c r="B32" s="8"/>
      <c r="C32" s="54"/>
      <c r="D32" s="55"/>
      <c r="E32" s="54"/>
      <c r="F32" s="55"/>
      <c r="G32" s="54"/>
      <c r="H32" s="55"/>
      <c r="I32" s="65"/>
      <c r="J32" s="66"/>
      <c r="K32" s="14"/>
      <c r="L32" s="17"/>
      <c r="M32" s="34"/>
      <c r="N32" s="35"/>
    </row>
    <row r="33" spans="2:14" ht="18" customHeight="1" x14ac:dyDescent="0.2">
      <c r="B33" s="7"/>
      <c r="C33" s="59"/>
      <c r="D33" s="60"/>
      <c r="E33" s="59"/>
      <c r="F33" s="60"/>
      <c r="G33" s="59"/>
      <c r="H33" s="60"/>
      <c r="I33" s="79"/>
      <c r="J33" s="80"/>
      <c r="K33" s="15"/>
      <c r="L33" s="20"/>
      <c r="M33" s="75"/>
      <c r="N33" s="76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11" priority="3" stopIfTrue="1">
      <formula>DAY(C4)&gt;8</formula>
    </cfRule>
  </conditionalFormatting>
  <conditionalFormatting sqref="C8:I10">
    <cfRule type="expression" dxfId="10" priority="2" stopIfTrue="1">
      <formula>AND(DAY(C8)&gt;=1,DAY(C8)&lt;=15)</formula>
    </cfRule>
  </conditionalFormatting>
  <conditionalFormatting sqref="C4:I9">
    <cfRule type="expression" dxfId="9" priority="4">
      <formula>VLOOKUP(DAY(C4),DiasTarefa,1,FALSE)=DAY(C4)</formula>
    </cfRule>
  </conditionalFormatting>
  <conditionalFormatting sqref="B14:J33">
    <cfRule type="expression" dxfId="8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3.85546875" style="1" customWidth="1"/>
    <col min="3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29"/>
      <c r="C2" s="21"/>
      <c r="D2" s="21"/>
      <c r="E2" s="21"/>
      <c r="F2" s="21"/>
      <c r="G2" s="21"/>
      <c r="H2" s="21"/>
      <c r="I2" s="21"/>
      <c r="J2" s="22"/>
      <c r="K2" s="43" t="s">
        <v>18</v>
      </c>
      <c r="L2" s="44">
        <v>2013</v>
      </c>
      <c r="M2" s="44"/>
      <c r="N2" s="81">
        <f>AnoCalendário</f>
        <v>2016</v>
      </c>
    </row>
    <row r="3" spans="1:14" ht="21" customHeight="1" x14ac:dyDescent="0.2">
      <c r="A3" s="4"/>
      <c r="B3" s="70" t="s">
        <v>24</v>
      </c>
      <c r="C3" s="2" t="s">
        <v>8</v>
      </c>
      <c r="D3" s="2" t="s">
        <v>13</v>
      </c>
      <c r="E3" s="2" t="s">
        <v>33</v>
      </c>
      <c r="F3" s="2" t="s">
        <v>14</v>
      </c>
      <c r="G3" s="2" t="s">
        <v>14</v>
      </c>
      <c r="H3" s="2" t="s">
        <v>13</v>
      </c>
      <c r="I3" s="2" t="s">
        <v>13</v>
      </c>
      <c r="J3" s="5"/>
      <c r="K3" s="45"/>
      <c r="L3" s="46"/>
      <c r="M3" s="46"/>
      <c r="N3" s="82"/>
    </row>
    <row r="4" spans="1:14" ht="18" customHeight="1" x14ac:dyDescent="0.2">
      <c r="A4" s="4"/>
      <c r="B4" s="70"/>
      <c r="C4" s="10">
        <f>IF(DAY(NovDom1)=1,NovDom1-6,NovDom1+1)</f>
        <v>42673</v>
      </c>
      <c r="D4" s="10">
        <f>IF(DAY(NovDom1)=1,NovDom1-5,NovDom1+2)</f>
        <v>42674</v>
      </c>
      <c r="E4" s="10">
        <f>IF(DAY(NovDom1)=1,NovDom1-4,NovDom1+3)</f>
        <v>42675</v>
      </c>
      <c r="F4" s="10">
        <f>IF(DAY(NovDom1)=1,NovDom1-3,NovDom1+4)</f>
        <v>42676</v>
      </c>
      <c r="G4" s="10">
        <f>IF(DAY(NovDom1)=1,NovDom1-2,NovDom1+5)</f>
        <v>42677</v>
      </c>
      <c r="H4" s="10">
        <f>IF(DAY(NovDom1)=1,NovDom1-1,NovDom1+6)</f>
        <v>42678</v>
      </c>
      <c r="I4" s="10">
        <f>IF(DAY(NovDom1)=1,NovDom1,NovDom1+7)</f>
        <v>42679</v>
      </c>
      <c r="J4" s="5"/>
      <c r="K4" s="47" t="s">
        <v>2</v>
      </c>
      <c r="L4" s="16"/>
      <c r="M4" s="48"/>
      <c r="N4" s="49"/>
    </row>
    <row r="5" spans="1:14" ht="18" customHeight="1" x14ac:dyDescent="0.2">
      <c r="A5" s="4"/>
      <c r="B5" s="27"/>
      <c r="C5" s="10">
        <f>IF(DAY(NovDom1)=1,NovDom1+1,NovDom1+8)</f>
        <v>42680</v>
      </c>
      <c r="D5" s="10">
        <f>IF(DAY(NovDom1)=1,NovDom1+2,NovDom1+9)</f>
        <v>42681</v>
      </c>
      <c r="E5" s="10">
        <f>IF(DAY(NovDom1)=1,NovDom1+3,NovDom1+10)</f>
        <v>42682</v>
      </c>
      <c r="F5" s="10">
        <f>IF(DAY(NovDom1)=1,NovDom1+4,NovDom1+11)</f>
        <v>42683</v>
      </c>
      <c r="G5" s="10">
        <f>IF(DAY(NovDom1)=1,NovDom1+5,NovDom1+12)</f>
        <v>42684</v>
      </c>
      <c r="H5" s="10">
        <f>IF(DAY(NovDom1)=1,NovDom1+6,NovDom1+13)</f>
        <v>42685</v>
      </c>
      <c r="I5" s="10">
        <f>IF(DAY(NovDom1)=1,NovDom1+7,NovDom1+14)</f>
        <v>42686</v>
      </c>
      <c r="J5" s="5"/>
      <c r="K5" s="33"/>
      <c r="L5" s="17"/>
      <c r="M5" s="34"/>
      <c r="N5" s="35"/>
    </row>
    <row r="6" spans="1:14" ht="18" customHeight="1" x14ac:dyDescent="0.2">
      <c r="A6" s="4"/>
      <c r="B6" s="27"/>
      <c r="C6" s="10">
        <f>IF(DAY(NovDom1)=1,NovDom1+8,NovDom1+15)</f>
        <v>42687</v>
      </c>
      <c r="D6" s="10">
        <f>IF(DAY(NovDom1)=1,NovDom1+9,NovDom1+16)</f>
        <v>42688</v>
      </c>
      <c r="E6" s="10">
        <f>IF(DAY(NovDom1)=1,NovDom1+10,NovDom1+17)</f>
        <v>42689</v>
      </c>
      <c r="F6" s="10">
        <f>IF(DAY(NovDom1)=1,NovDom1+11,NovDom1+18)</f>
        <v>42690</v>
      </c>
      <c r="G6" s="10">
        <f>IF(DAY(NovDom1)=1,NovDom1+12,NovDom1+19)</f>
        <v>42691</v>
      </c>
      <c r="H6" s="10">
        <f>IF(DAY(NovDom1)=1,NovDom1+13,NovDom1+20)</f>
        <v>42692</v>
      </c>
      <c r="I6" s="10">
        <f>IF(DAY(NovDom1)=1,NovDom1+14,NovDom1+21)</f>
        <v>42693</v>
      </c>
      <c r="J6" s="5"/>
      <c r="K6" s="33"/>
      <c r="L6" s="17"/>
      <c r="M6" s="34"/>
      <c r="N6" s="35"/>
    </row>
    <row r="7" spans="1:14" ht="18" customHeight="1" x14ac:dyDescent="0.2">
      <c r="A7" s="4"/>
      <c r="B7" s="27"/>
      <c r="C7" s="10">
        <f>IF(DAY(NovDom1)=1,NovDom1+15,NovDom1+22)</f>
        <v>42694</v>
      </c>
      <c r="D7" s="10">
        <f>IF(DAY(NovDom1)=1,NovDom1+16,NovDom1+23)</f>
        <v>42695</v>
      </c>
      <c r="E7" s="10">
        <f>IF(DAY(NovDom1)=1,NovDom1+17,NovDom1+24)</f>
        <v>42696</v>
      </c>
      <c r="F7" s="10">
        <f>IF(DAY(NovDom1)=1,NovDom1+18,NovDom1+25)</f>
        <v>42697</v>
      </c>
      <c r="G7" s="10">
        <f>IF(DAY(NovDom1)=1,NovDom1+19,NovDom1+26)</f>
        <v>42698</v>
      </c>
      <c r="H7" s="10">
        <f>IF(DAY(NovDom1)=1,NovDom1+20,NovDom1+27)</f>
        <v>42699</v>
      </c>
      <c r="I7" s="10">
        <f>IF(DAY(NovDom1)=1,NovDom1+21,NovDom1+28)</f>
        <v>42700</v>
      </c>
      <c r="J7" s="5"/>
      <c r="K7" s="11"/>
      <c r="L7" s="17"/>
      <c r="M7" s="34"/>
      <c r="N7" s="35"/>
    </row>
    <row r="8" spans="1:14" ht="18.75" customHeight="1" x14ac:dyDescent="0.2">
      <c r="A8" s="4"/>
      <c r="B8" s="27"/>
      <c r="C8" s="10">
        <f>IF(DAY(NovDom1)=1,NovDom1+22,NovDom1+29)</f>
        <v>42701</v>
      </c>
      <c r="D8" s="10">
        <f>IF(DAY(NovDom1)=1,NovDom1+23,NovDom1+30)</f>
        <v>42702</v>
      </c>
      <c r="E8" s="10">
        <f>IF(DAY(NovDom1)=1,NovDom1+24,NovDom1+31)</f>
        <v>42703</v>
      </c>
      <c r="F8" s="10">
        <f>IF(DAY(NovDom1)=1,NovDom1+25,NovDom1+32)</f>
        <v>42704</v>
      </c>
      <c r="G8" s="10">
        <f>IF(DAY(NovDom1)=1,NovDom1+26,NovDom1+33)</f>
        <v>42705</v>
      </c>
      <c r="H8" s="10">
        <f>IF(DAY(NovDom1)=1,NovDom1+27,NovDom1+34)</f>
        <v>42706</v>
      </c>
      <c r="I8" s="10">
        <f>IF(DAY(NovDom1)=1,NovDom1+28,NovDom1+35)</f>
        <v>42707</v>
      </c>
      <c r="J8" s="5"/>
      <c r="K8" s="11"/>
      <c r="L8" s="17"/>
      <c r="M8" s="34"/>
      <c r="N8" s="35"/>
    </row>
    <row r="9" spans="1:14" ht="18" customHeight="1" x14ac:dyDescent="0.2">
      <c r="A9" s="4"/>
      <c r="B9" s="27"/>
      <c r="C9" s="10">
        <f>IF(DAY(NovDom1)=1,NovDom1+29,NovDom1+36)</f>
        <v>42708</v>
      </c>
      <c r="D9" s="10">
        <f>IF(DAY(NovDom1)=1,NovDom1+30,NovDom1+37)</f>
        <v>42709</v>
      </c>
      <c r="E9" s="10">
        <f>IF(DAY(NovDom1)=1,NovDom1+31,NovDom1+38)</f>
        <v>42710</v>
      </c>
      <c r="F9" s="10">
        <f>IF(DAY(NovDom1)=1,NovDom1+32,NovDom1+39)</f>
        <v>42711</v>
      </c>
      <c r="G9" s="10">
        <f>IF(DAY(NovDom1)=1,NovDom1+33,NovDom1+40)</f>
        <v>42712</v>
      </c>
      <c r="H9" s="10">
        <f>IF(DAY(NovDom1)=1,NovDom1+34,NovDom1+41)</f>
        <v>42713</v>
      </c>
      <c r="I9" s="10">
        <f>IF(DAY(NovDom1)=1,NovDom1+35,NovDom1+42)</f>
        <v>42714</v>
      </c>
      <c r="J9" s="5"/>
      <c r="K9" s="12"/>
      <c r="L9" s="18"/>
      <c r="M9" s="36"/>
      <c r="N9" s="37"/>
    </row>
    <row r="10" spans="1:14" ht="18" customHeight="1" x14ac:dyDescent="0.2">
      <c r="A10" s="4"/>
      <c r="B10" s="28"/>
      <c r="C10" s="23"/>
      <c r="D10" s="23"/>
      <c r="E10" s="23"/>
      <c r="F10" s="23"/>
      <c r="G10" s="23"/>
      <c r="H10" s="23"/>
      <c r="I10" s="23"/>
      <c r="J10" s="24"/>
      <c r="K10" s="32" t="s">
        <v>19</v>
      </c>
      <c r="L10" s="16"/>
      <c r="M10" s="38"/>
      <c r="N10" s="39"/>
    </row>
    <row r="11" spans="1:14" ht="18" customHeight="1" x14ac:dyDescent="0.2">
      <c r="A11" s="4"/>
      <c r="B11" s="72" t="s">
        <v>1</v>
      </c>
      <c r="C11" s="73"/>
      <c r="D11" s="73"/>
      <c r="E11" s="73"/>
      <c r="F11" s="73"/>
      <c r="G11" s="73"/>
      <c r="H11" s="73"/>
      <c r="I11" s="73"/>
      <c r="J11" s="74"/>
      <c r="K11" s="33"/>
      <c r="L11" s="17"/>
      <c r="M11" s="34"/>
      <c r="N11" s="35"/>
    </row>
    <row r="12" spans="1:14" ht="18" customHeight="1" x14ac:dyDescent="0.2">
      <c r="A12" s="4"/>
      <c r="B12" s="72"/>
      <c r="C12" s="73"/>
      <c r="D12" s="73"/>
      <c r="E12" s="73"/>
      <c r="F12" s="73"/>
      <c r="G12" s="73"/>
      <c r="H12" s="73"/>
      <c r="I12" s="73"/>
      <c r="J12" s="74"/>
      <c r="K12" s="33"/>
      <c r="L12" s="17"/>
      <c r="M12" s="34"/>
      <c r="N12" s="35"/>
    </row>
    <row r="13" spans="1:14" ht="18" customHeight="1" x14ac:dyDescent="0.2">
      <c r="B13" s="3" t="s">
        <v>2</v>
      </c>
      <c r="C13" s="40" t="s">
        <v>9</v>
      </c>
      <c r="D13" s="42"/>
      <c r="E13" s="40" t="s">
        <v>15</v>
      </c>
      <c r="F13" s="42"/>
      <c r="G13" s="40" t="s">
        <v>16</v>
      </c>
      <c r="H13" s="42"/>
      <c r="I13" s="40" t="s">
        <v>17</v>
      </c>
      <c r="J13" s="41"/>
      <c r="K13" s="11"/>
      <c r="L13" s="17"/>
      <c r="M13" s="34"/>
      <c r="N13" s="35"/>
    </row>
    <row r="14" spans="1:14" ht="18" customHeight="1" x14ac:dyDescent="0.2">
      <c r="B14" s="8" t="s">
        <v>3</v>
      </c>
      <c r="C14" s="54"/>
      <c r="D14" s="55"/>
      <c r="E14" s="54" t="s">
        <v>3</v>
      </c>
      <c r="F14" s="55"/>
      <c r="G14" s="54"/>
      <c r="H14" s="55"/>
      <c r="I14" s="54" t="s">
        <v>3</v>
      </c>
      <c r="J14" s="64"/>
      <c r="K14" s="11"/>
      <c r="L14" s="17"/>
      <c r="M14" s="34"/>
      <c r="N14" s="35"/>
    </row>
    <row r="15" spans="1:14" ht="18" customHeight="1" x14ac:dyDescent="0.2">
      <c r="B15" s="6" t="s">
        <v>4</v>
      </c>
      <c r="C15" s="52"/>
      <c r="D15" s="53"/>
      <c r="E15" s="52" t="s">
        <v>4</v>
      </c>
      <c r="F15" s="53"/>
      <c r="G15" s="52"/>
      <c r="H15" s="53"/>
      <c r="I15" s="61" t="s">
        <v>4</v>
      </c>
      <c r="J15" s="62"/>
      <c r="K15" s="13"/>
      <c r="L15" s="19"/>
      <c r="M15" s="36"/>
      <c r="N15" s="37"/>
    </row>
    <row r="16" spans="1:14" ht="18" customHeight="1" x14ac:dyDescent="0.2">
      <c r="B16" s="8"/>
      <c r="C16" s="54" t="s">
        <v>10</v>
      </c>
      <c r="D16" s="55"/>
      <c r="E16" s="54"/>
      <c r="F16" s="55"/>
      <c r="G16" s="54" t="s">
        <v>10</v>
      </c>
      <c r="H16" s="55"/>
      <c r="I16" s="65"/>
      <c r="J16" s="66"/>
      <c r="K16" s="32" t="s">
        <v>15</v>
      </c>
      <c r="L16" s="16"/>
      <c r="M16" s="38"/>
      <c r="N16" s="39"/>
    </row>
    <row r="17" spans="2:14" ht="18" customHeight="1" x14ac:dyDescent="0.2">
      <c r="B17" s="6"/>
      <c r="C17" s="52" t="s">
        <v>11</v>
      </c>
      <c r="D17" s="53"/>
      <c r="E17" s="52"/>
      <c r="F17" s="53"/>
      <c r="G17" s="52" t="s">
        <v>11</v>
      </c>
      <c r="H17" s="53"/>
      <c r="I17" s="61"/>
      <c r="J17" s="62"/>
      <c r="K17" s="33"/>
      <c r="L17" s="17"/>
      <c r="M17" s="34"/>
      <c r="N17" s="35"/>
    </row>
    <row r="18" spans="2:14" ht="18" customHeight="1" x14ac:dyDescent="0.2">
      <c r="B18" s="9" t="s">
        <v>5</v>
      </c>
      <c r="C18" s="56"/>
      <c r="D18" s="57"/>
      <c r="E18" s="56" t="s">
        <v>5</v>
      </c>
      <c r="F18" s="57"/>
      <c r="G18" s="56"/>
      <c r="H18" s="57"/>
      <c r="I18" s="56" t="s">
        <v>5</v>
      </c>
      <c r="J18" s="63"/>
      <c r="K18" s="33"/>
      <c r="L18" s="17"/>
      <c r="M18" s="34"/>
      <c r="N18" s="35"/>
    </row>
    <row r="19" spans="2:14" ht="18" customHeight="1" x14ac:dyDescent="0.2">
      <c r="B19" s="6" t="s">
        <v>6</v>
      </c>
      <c r="C19" s="52"/>
      <c r="D19" s="53"/>
      <c r="E19" s="52" t="s">
        <v>6</v>
      </c>
      <c r="F19" s="53"/>
      <c r="G19" s="52"/>
      <c r="H19" s="53"/>
      <c r="I19" s="61" t="s">
        <v>6</v>
      </c>
      <c r="J19" s="62"/>
      <c r="K19" s="11"/>
      <c r="L19" s="17"/>
      <c r="M19" s="34"/>
      <c r="N19" s="35"/>
    </row>
    <row r="20" spans="2:14" ht="18" customHeight="1" x14ac:dyDescent="0.2">
      <c r="B20" s="8"/>
      <c r="C20" s="54"/>
      <c r="D20" s="55"/>
      <c r="E20" s="54"/>
      <c r="F20" s="55"/>
      <c r="G20" s="54"/>
      <c r="H20" s="55"/>
      <c r="I20" s="54"/>
      <c r="J20" s="64"/>
      <c r="K20" s="11"/>
      <c r="L20" s="17"/>
      <c r="M20" s="34"/>
      <c r="N20" s="35"/>
    </row>
    <row r="21" spans="2:14" ht="18" customHeight="1" x14ac:dyDescent="0.2">
      <c r="B21" s="6"/>
      <c r="C21" s="52"/>
      <c r="D21" s="53"/>
      <c r="E21" s="52"/>
      <c r="F21" s="53"/>
      <c r="G21" s="52"/>
      <c r="H21" s="53"/>
      <c r="I21" s="67"/>
      <c r="J21" s="68"/>
      <c r="K21" s="13"/>
      <c r="L21" s="19"/>
      <c r="M21" s="36"/>
      <c r="N21" s="37"/>
    </row>
    <row r="22" spans="2:14" ht="18" customHeight="1" x14ac:dyDescent="0.2">
      <c r="B22" s="8"/>
      <c r="C22" s="54"/>
      <c r="D22" s="55"/>
      <c r="E22" s="54"/>
      <c r="F22" s="55"/>
      <c r="G22" s="54"/>
      <c r="H22" s="55"/>
      <c r="I22" s="54"/>
      <c r="J22" s="64"/>
      <c r="K22" s="32" t="s">
        <v>20</v>
      </c>
      <c r="L22" s="16"/>
      <c r="M22" s="38"/>
      <c r="N22" s="39"/>
    </row>
    <row r="23" spans="2:14" ht="18" customHeight="1" x14ac:dyDescent="0.2">
      <c r="B23" s="6"/>
      <c r="C23" s="52"/>
      <c r="D23" s="53"/>
      <c r="E23" s="52"/>
      <c r="F23" s="53"/>
      <c r="G23" s="52"/>
      <c r="H23" s="53"/>
      <c r="I23" s="61"/>
      <c r="J23" s="62"/>
      <c r="K23" s="33"/>
      <c r="L23" s="17"/>
      <c r="M23" s="34"/>
      <c r="N23" s="35"/>
    </row>
    <row r="24" spans="2:14" ht="18" customHeight="1" x14ac:dyDescent="0.2">
      <c r="B24" s="8"/>
      <c r="C24" s="54"/>
      <c r="D24" s="55"/>
      <c r="E24" s="54"/>
      <c r="F24" s="55"/>
      <c r="G24" s="54"/>
      <c r="H24" s="55"/>
      <c r="I24" s="54"/>
      <c r="J24" s="64"/>
      <c r="K24" s="33"/>
      <c r="L24" s="17"/>
      <c r="M24" s="34"/>
      <c r="N24" s="35"/>
    </row>
    <row r="25" spans="2:14" ht="18" customHeight="1" x14ac:dyDescent="0.2">
      <c r="B25" s="6"/>
      <c r="C25" s="52"/>
      <c r="D25" s="53"/>
      <c r="E25" s="52"/>
      <c r="F25" s="53"/>
      <c r="G25" s="52"/>
      <c r="H25" s="53"/>
      <c r="I25" s="61"/>
      <c r="J25" s="62"/>
      <c r="K25" s="33"/>
      <c r="L25" s="17"/>
      <c r="M25" s="34"/>
      <c r="N25" s="35"/>
    </row>
    <row r="26" spans="2:14" ht="18" customHeight="1" x14ac:dyDescent="0.2">
      <c r="B26" s="31">
        <v>0.58333333333333337</v>
      </c>
      <c r="C26" s="54"/>
      <c r="D26" s="55"/>
      <c r="E26" s="58">
        <v>0.58333333333333337</v>
      </c>
      <c r="F26" s="55"/>
      <c r="G26" s="54"/>
      <c r="H26" s="55"/>
      <c r="I26" s="58">
        <v>0.58333333333333337</v>
      </c>
      <c r="J26" s="64"/>
      <c r="K26" s="11"/>
      <c r="L26" s="17"/>
      <c r="M26" s="34"/>
      <c r="N26" s="35"/>
    </row>
    <row r="27" spans="2:14" ht="18" customHeight="1" x14ac:dyDescent="0.2">
      <c r="B27" s="6" t="s">
        <v>7</v>
      </c>
      <c r="C27" s="52"/>
      <c r="D27" s="53"/>
      <c r="E27" s="52" t="s">
        <v>7</v>
      </c>
      <c r="F27" s="53"/>
      <c r="G27" s="52"/>
      <c r="H27" s="53"/>
      <c r="I27" s="61" t="s">
        <v>7</v>
      </c>
      <c r="J27" s="62"/>
      <c r="K27" s="13"/>
      <c r="L27" s="19"/>
      <c r="M27" s="36"/>
      <c r="N27" s="37"/>
    </row>
    <row r="28" spans="2:14" ht="18" customHeight="1" x14ac:dyDescent="0.2">
      <c r="B28" s="8"/>
      <c r="C28" s="54"/>
      <c r="D28" s="55"/>
      <c r="E28" s="54"/>
      <c r="F28" s="55"/>
      <c r="G28" s="54"/>
      <c r="H28" s="55"/>
      <c r="I28" s="54"/>
      <c r="J28" s="64"/>
      <c r="K28" s="32" t="s">
        <v>17</v>
      </c>
      <c r="L28" s="16"/>
      <c r="M28" s="38"/>
      <c r="N28" s="39"/>
    </row>
    <row r="29" spans="2:14" ht="18" customHeight="1" x14ac:dyDescent="0.2">
      <c r="B29" s="6"/>
      <c r="C29" s="52"/>
      <c r="D29" s="53"/>
      <c r="E29" s="52"/>
      <c r="F29" s="53"/>
      <c r="G29" s="52"/>
      <c r="H29" s="53"/>
      <c r="I29" s="52"/>
      <c r="J29" s="69"/>
      <c r="K29" s="33"/>
      <c r="L29" s="17"/>
      <c r="M29" s="34"/>
      <c r="N29" s="35"/>
    </row>
    <row r="30" spans="2:14" ht="18" customHeight="1" x14ac:dyDescent="0.2">
      <c r="B30" s="8"/>
      <c r="C30" s="58">
        <v>0.66666666666666663</v>
      </c>
      <c r="D30" s="55"/>
      <c r="E30" s="54"/>
      <c r="F30" s="55"/>
      <c r="G30" s="58">
        <v>0.66666666666666663</v>
      </c>
      <c r="H30" s="55"/>
      <c r="I30" s="77"/>
      <c r="J30" s="78"/>
      <c r="K30" s="33"/>
      <c r="L30" s="17"/>
      <c r="M30" s="34"/>
      <c r="N30" s="35"/>
    </row>
    <row r="31" spans="2:14" ht="18" customHeight="1" x14ac:dyDescent="0.2">
      <c r="B31" s="6"/>
      <c r="C31" s="52" t="s">
        <v>12</v>
      </c>
      <c r="D31" s="53"/>
      <c r="E31" s="52"/>
      <c r="F31" s="53"/>
      <c r="G31" s="52" t="s">
        <v>12</v>
      </c>
      <c r="H31" s="53"/>
      <c r="I31" s="52"/>
      <c r="J31" s="69"/>
      <c r="K31" s="14"/>
      <c r="L31" s="17"/>
      <c r="M31" s="34"/>
      <c r="N31" s="35"/>
    </row>
    <row r="32" spans="2:14" ht="18" customHeight="1" x14ac:dyDescent="0.2">
      <c r="B32" s="8"/>
      <c r="C32" s="54"/>
      <c r="D32" s="55"/>
      <c r="E32" s="54"/>
      <c r="F32" s="55"/>
      <c r="G32" s="54"/>
      <c r="H32" s="55"/>
      <c r="I32" s="65"/>
      <c r="J32" s="66"/>
      <c r="K32" s="14"/>
      <c r="L32" s="17"/>
      <c r="M32" s="34"/>
      <c r="N32" s="35"/>
    </row>
    <row r="33" spans="2:14" ht="18" customHeight="1" x14ac:dyDescent="0.2">
      <c r="B33" s="7"/>
      <c r="C33" s="59"/>
      <c r="D33" s="60"/>
      <c r="E33" s="59"/>
      <c r="F33" s="60"/>
      <c r="G33" s="59"/>
      <c r="H33" s="60"/>
      <c r="I33" s="79"/>
      <c r="J33" s="80"/>
      <c r="K33" s="15"/>
      <c r="L33" s="20"/>
      <c r="M33" s="75"/>
      <c r="N33" s="76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7" priority="3" stopIfTrue="1">
      <formula>DAY(C4)&gt;8</formula>
    </cfRule>
  </conditionalFormatting>
  <conditionalFormatting sqref="C8:I10">
    <cfRule type="expression" dxfId="6" priority="2" stopIfTrue="1">
      <formula>AND(DAY(C8)&gt;=1,DAY(C8)&lt;=15)</formula>
    </cfRule>
  </conditionalFormatting>
  <conditionalFormatting sqref="C4:I9">
    <cfRule type="expression" dxfId="5" priority="4">
      <formula>VLOOKUP(DAY(C4),DiasTarefa,1,FALSE)=DAY(C4)</formula>
    </cfRule>
  </conditionalFormatting>
  <conditionalFormatting sqref="B14:J33">
    <cfRule type="expression" dxfId="4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3.85546875" style="1" customWidth="1"/>
    <col min="3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29"/>
      <c r="C2" s="21"/>
      <c r="D2" s="21"/>
      <c r="E2" s="21"/>
      <c r="F2" s="21"/>
      <c r="G2" s="21"/>
      <c r="H2" s="21"/>
      <c r="I2" s="21"/>
      <c r="J2" s="22"/>
      <c r="K2" s="43" t="s">
        <v>18</v>
      </c>
      <c r="L2" s="44">
        <v>2013</v>
      </c>
      <c r="M2" s="44"/>
      <c r="N2" s="81">
        <f>AnoCalendário</f>
        <v>2016</v>
      </c>
    </row>
    <row r="3" spans="1:14" ht="21" customHeight="1" x14ac:dyDescent="0.2">
      <c r="A3" s="4"/>
      <c r="B3" s="70" t="s">
        <v>25</v>
      </c>
      <c r="C3" s="2" t="s">
        <v>8</v>
      </c>
      <c r="D3" s="2" t="s">
        <v>13</v>
      </c>
      <c r="E3" s="2" t="s">
        <v>33</v>
      </c>
      <c r="F3" s="2" t="s">
        <v>14</v>
      </c>
      <c r="G3" s="2" t="s">
        <v>14</v>
      </c>
      <c r="H3" s="2" t="s">
        <v>13</v>
      </c>
      <c r="I3" s="2" t="s">
        <v>13</v>
      </c>
      <c r="J3" s="5"/>
      <c r="K3" s="45"/>
      <c r="L3" s="46"/>
      <c r="M3" s="46"/>
      <c r="N3" s="82"/>
    </row>
    <row r="4" spans="1:14" ht="18" customHeight="1" x14ac:dyDescent="0.2">
      <c r="A4" s="4"/>
      <c r="B4" s="70"/>
      <c r="C4" s="10">
        <f>IF(DAY(DezDom1)=1,DezDom1-6,DezDom1+1)</f>
        <v>42701</v>
      </c>
      <c r="D4" s="10">
        <f>IF(DAY(DezDom1)=1,DezDom1-5,DezDom1+2)</f>
        <v>42702</v>
      </c>
      <c r="E4" s="10">
        <f>IF(DAY(DezDom1)=1,DezDom1-4,DezDom1+3)</f>
        <v>42703</v>
      </c>
      <c r="F4" s="10">
        <f>IF(DAY(DezDom1)=1,DezDom1-3,DezDom1+4)</f>
        <v>42704</v>
      </c>
      <c r="G4" s="10">
        <f>IF(DAY(DezDom1)=1,DezDom1-2,DezDom1+5)</f>
        <v>42705</v>
      </c>
      <c r="H4" s="10">
        <f>IF(DAY(DezDom1)=1,DezDom1-1,DezDom1+6)</f>
        <v>42706</v>
      </c>
      <c r="I4" s="10">
        <f>IF(DAY(DezDom1)=1,DezDom1,DezDom1+7)</f>
        <v>42707</v>
      </c>
      <c r="J4" s="5"/>
      <c r="K4" s="47" t="s">
        <v>2</v>
      </c>
      <c r="L4" s="16"/>
      <c r="M4" s="48"/>
      <c r="N4" s="49"/>
    </row>
    <row r="5" spans="1:14" ht="18" customHeight="1" x14ac:dyDescent="0.2">
      <c r="A5" s="4"/>
      <c r="B5" s="27"/>
      <c r="C5" s="10">
        <f>IF(DAY(DezDom1)=1,DezDom1+1,DezDom1+8)</f>
        <v>42708</v>
      </c>
      <c r="D5" s="10">
        <f>IF(DAY(DezDom1)=1,DezDom1+2,DezDom1+9)</f>
        <v>42709</v>
      </c>
      <c r="E5" s="10">
        <f>IF(DAY(DezDom1)=1,DezDom1+3,DezDom1+10)</f>
        <v>42710</v>
      </c>
      <c r="F5" s="10">
        <f>IF(DAY(DezDom1)=1,DezDom1+4,DezDom1+11)</f>
        <v>42711</v>
      </c>
      <c r="G5" s="10">
        <f>IF(DAY(DezDom1)=1,DezDom1+5,DezDom1+12)</f>
        <v>42712</v>
      </c>
      <c r="H5" s="10">
        <f>IF(DAY(DezDom1)=1,DezDom1+6,DezDom1+13)</f>
        <v>42713</v>
      </c>
      <c r="I5" s="10">
        <f>IF(DAY(DezDom1)=1,DezDom1+7,DezDom1+14)</f>
        <v>42714</v>
      </c>
      <c r="J5" s="5"/>
      <c r="K5" s="33"/>
      <c r="L5" s="17"/>
      <c r="M5" s="34"/>
      <c r="N5" s="35"/>
    </row>
    <row r="6" spans="1:14" ht="18" customHeight="1" x14ac:dyDescent="0.2">
      <c r="A6" s="4"/>
      <c r="B6" s="27"/>
      <c r="C6" s="10">
        <f>IF(DAY(DezDom1)=1,DezDom1+8,DezDom1+15)</f>
        <v>42715</v>
      </c>
      <c r="D6" s="10">
        <f>IF(DAY(DezDom1)=1,DezDom1+9,DezDom1+16)</f>
        <v>42716</v>
      </c>
      <c r="E6" s="10">
        <f>IF(DAY(DezDom1)=1,DezDom1+10,DezDom1+17)</f>
        <v>42717</v>
      </c>
      <c r="F6" s="10">
        <f>IF(DAY(DezDom1)=1,DezDom1+11,DezDom1+18)</f>
        <v>42718</v>
      </c>
      <c r="G6" s="10">
        <f>IF(DAY(DezDom1)=1,DezDom1+12,DezDom1+19)</f>
        <v>42719</v>
      </c>
      <c r="H6" s="10">
        <f>IF(DAY(DezDom1)=1,DezDom1+13,DezDom1+20)</f>
        <v>42720</v>
      </c>
      <c r="I6" s="10">
        <f>IF(DAY(DezDom1)=1,DezDom1+14,DezDom1+21)</f>
        <v>42721</v>
      </c>
      <c r="J6" s="5"/>
      <c r="K6" s="33"/>
      <c r="L6" s="17"/>
      <c r="M6" s="34"/>
      <c r="N6" s="35"/>
    </row>
    <row r="7" spans="1:14" ht="18" customHeight="1" x14ac:dyDescent="0.2">
      <c r="A7" s="4"/>
      <c r="B7" s="27"/>
      <c r="C7" s="10">
        <f>IF(DAY(DezDom1)=1,DezDom1+15,DezDom1+22)</f>
        <v>42722</v>
      </c>
      <c r="D7" s="10">
        <f>IF(DAY(DezDom1)=1,DezDom1+16,DezDom1+23)</f>
        <v>42723</v>
      </c>
      <c r="E7" s="10">
        <f>IF(DAY(DezDom1)=1,DezDom1+17,DezDom1+24)</f>
        <v>42724</v>
      </c>
      <c r="F7" s="10">
        <f>IF(DAY(DezDom1)=1,DezDom1+18,DezDom1+25)</f>
        <v>42725</v>
      </c>
      <c r="G7" s="10">
        <f>IF(DAY(DezDom1)=1,DezDom1+19,DezDom1+26)</f>
        <v>42726</v>
      </c>
      <c r="H7" s="10">
        <f>IF(DAY(DezDom1)=1,DezDom1+20,DezDom1+27)</f>
        <v>42727</v>
      </c>
      <c r="I7" s="10">
        <f>IF(DAY(DezDom1)=1,DezDom1+21,DezDom1+28)</f>
        <v>42728</v>
      </c>
      <c r="J7" s="5"/>
      <c r="K7" s="11"/>
      <c r="L7" s="17"/>
      <c r="M7" s="34"/>
      <c r="N7" s="35"/>
    </row>
    <row r="8" spans="1:14" ht="18.75" customHeight="1" x14ac:dyDescent="0.2">
      <c r="A8" s="4"/>
      <c r="B8" s="27"/>
      <c r="C8" s="10">
        <f>IF(DAY(DezDom1)=1,DezDom1+22,DezDom1+29)</f>
        <v>42729</v>
      </c>
      <c r="D8" s="10">
        <f>IF(DAY(DezDom1)=1,DezDom1+23,DezDom1+30)</f>
        <v>42730</v>
      </c>
      <c r="E8" s="10">
        <f>IF(DAY(DezDom1)=1,DezDom1+24,DezDom1+31)</f>
        <v>42731</v>
      </c>
      <c r="F8" s="10">
        <f>IF(DAY(DezDom1)=1,DezDom1+25,DezDom1+32)</f>
        <v>42732</v>
      </c>
      <c r="G8" s="10">
        <f>IF(DAY(DezDom1)=1,DezDom1+26,DezDom1+33)</f>
        <v>42733</v>
      </c>
      <c r="H8" s="10">
        <f>IF(DAY(DezDom1)=1,DezDom1+27,DezDom1+34)</f>
        <v>42734</v>
      </c>
      <c r="I8" s="10">
        <f>IF(DAY(DezDom1)=1,DezDom1+28,DezDom1+35)</f>
        <v>42735</v>
      </c>
      <c r="J8" s="5"/>
      <c r="K8" s="11"/>
      <c r="L8" s="17"/>
      <c r="M8" s="34"/>
      <c r="N8" s="35"/>
    </row>
    <row r="9" spans="1:14" ht="18" customHeight="1" x14ac:dyDescent="0.2">
      <c r="A9" s="4"/>
      <c r="B9" s="27"/>
      <c r="C9" s="10">
        <f>IF(DAY(DezDom1)=1,DezDom1+29,DezDom1+36)</f>
        <v>42736</v>
      </c>
      <c r="D9" s="10">
        <f>IF(DAY(DezDom1)=1,DezDom1+30,DezDom1+37)</f>
        <v>42737</v>
      </c>
      <c r="E9" s="10">
        <f>IF(DAY(DezDom1)=1,DezDom1+31,DezDom1+38)</f>
        <v>42738</v>
      </c>
      <c r="F9" s="10">
        <f>IF(DAY(DezDom1)=1,DezDom1+32,DezDom1+39)</f>
        <v>42739</v>
      </c>
      <c r="G9" s="10">
        <f>IF(DAY(DezDom1)=1,DezDom1+33,DezDom1+40)</f>
        <v>42740</v>
      </c>
      <c r="H9" s="10">
        <f>IF(DAY(DezDom1)=1,DezDom1+34,DezDom1+41)</f>
        <v>42741</v>
      </c>
      <c r="I9" s="10">
        <f>IF(DAY(DezDom1)=1,DezDom1+35,DezDom1+42)</f>
        <v>42742</v>
      </c>
      <c r="J9" s="5"/>
      <c r="K9" s="12"/>
      <c r="L9" s="18"/>
      <c r="M9" s="36"/>
      <c r="N9" s="37"/>
    </row>
    <row r="10" spans="1:14" ht="18" customHeight="1" x14ac:dyDescent="0.2">
      <c r="A10" s="4"/>
      <c r="B10" s="28"/>
      <c r="C10" s="23"/>
      <c r="D10" s="23"/>
      <c r="E10" s="23"/>
      <c r="F10" s="23"/>
      <c r="G10" s="23"/>
      <c r="H10" s="23"/>
      <c r="I10" s="23"/>
      <c r="J10" s="24"/>
      <c r="K10" s="32" t="s">
        <v>19</v>
      </c>
      <c r="L10" s="16"/>
      <c r="M10" s="38"/>
      <c r="N10" s="39"/>
    </row>
    <row r="11" spans="1:14" ht="18" customHeight="1" x14ac:dyDescent="0.2">
      <c r="A11" s="4"/>
      <c r="B11" s="72" t="s">
        <v>1</v>
      </c>
      <c r="C11" s="73"/>
      <c r="D11" s="73"/>
      <c r="E11" s="73"/>
      <c r="F11" s="73"/>
      <c r="G11" s="73"/>
      <c r="H11" s="73"/>
      <c r="I11" s="73"/>
      <c r="J11" s="74"/>
      <c r="K11" s="33"/>
      <c r="L11" s="17"/>
      <c r="M11" s="34"/>
      <c r="N11" s="35"/>
    </row>
    <row r="12" spans="1:14" ht="18" customHeight="1" x14ac:dyDescent="0.2">
      <c r="A12" s="4"/>
      <c r="B12" s="72"/>
      <c r="C12" s="73"/>
      <c r="D12" s="73"/>
      <c r="E12" s="73"/>
      <c r="F12" s="73"/>
      <c r="G12" s="73"/>
      <c r="H12" s="73"/>
      <c r="I12" s="73"/>
      <c r="J12" s="74"/>
      <c r="K12" s="33"/>
      <c r="L12" s="17"/>
      <c r="M12" s="34"/>
      <c r="N12" s="35"/>
    </row>
    <row r="13" spans="1:14" ht="18" customHeight="1" x14ac:dyDescent="0.2">
      <c r="B13" s="3" t="s">
        <v>2</v>
      </c>
      <c r="C13" s="40" t="s">
        <v>9</v>
      </c>
      <c r="D13" s="42"/>
      <c r="E13" s="40" t="s">
        <v>15</v>
      </c>
      <c r="F13" s="42"/>
      <c r="G13" s="40" t="s">
        <v>16</v>
      </c>
      <c r="H13" s="42"/>
      <c r="I13" s="40" t="s">
        <v>17</v>
      </c>
      <c r="J13" s="41"/>
      <c r="K13" s="11"/>
      <c r="L13" s="17"/>
      <c r="M13" s="34"/>
      <c r="N13" s="35"/>
    </row>
    <row r="14" spans="1:14" ht="18" customHeight="1" x14ac:dyDescent="0.2">
      <c r="B14" s="8" t="s">
        <v>3</v>
      </c>
      <c r="C14" s="54"/>
      <c r="D14" s="55"/>
      <c r="E14" s="54" t="s">
        <v>3</v>
      </c>
      <c r="F14" s="55"/>
      <c r="G14" s="54"/>
      <c r="H14" s="55"/>
      <c r="I14" s="54" t="s">
        <v>3</v>
      </c>
      <c r="J14" s="64"/>
      <c r="K14" s="11"/>
      <c r="L14" s="17"/>
      <c r="M14" s="34"/>
      <c r="N14" s="35"/>
    </row>
    <row r="15" spans="1:14" ht="18" customHeight="1" x14ac:dyDescent="0.2">
      <c r="B15" s="6" t="s">
        <v>4</v>
      </c>
      <c r="C15" s="52"/>
      <c r="D15" s="53"/>
      <c r="E15" s="52" t="s">
        <v>4</v>
      </c>
      <c r="F15" s="53"/>
      <c r="G15" s="52"/>
      <c r="H15" s="53"/>
      <c r="I15" s="61" t="s">
        <v>4</v>
      </c>
      <c r="J15" s="62"/>
      <c r="K15" s="13"/>
      <c r="L15" s="19"/>
      <c r="M15" s="36"/>
      <c r="N15" s="37"/>
    </row>
    <row r="16" spans="1:14" ht="18" customHeight="1" x14ac:dyDescent="0.2">
      <c r="B16" s="8"/>
      <c r="C16" s="54" t="s">
        <v>10</v>
      </c>
      <c r="D16" s="55"/>
      <c r="E16" s="54"/>
      <c r="F16" s="55"/>
      <c r="G16" s="54" t="s">
        <v>10</v>
      </c>
      <c r="H16" s="55"/>
      <c r="I16" s="65"/>
      <c r="J16" s="66"/>
      <c r="K16" s="32" t="s">
        <v>15</v>
      </c>
      <c r="L16" s="16"/>
      <c r="M16" s="38"/>
      <c r="N16" s="39"/>
    </row>
    <row r="17" spans="2:14" ht="18" customHeight="1" x14ac:dyDescent="0.2">
      <c r="B17" s="6"/>
      <c r="C17" s="52" t="s">
        <v>11</v>
      </c>
      <c r="D17" s="53"/>
      <c r="E17" s="52"/>
      <c r="F17" s="53"/>
      <c r="G17" s="52" t="s">
        <v>11</v>
      </c>
      <c r="H17" s="53"/>
      <c r="I17" s="61"/>
      <c r="J17" s="62"/>
      <c r="K17" s="33"/>
      <c r="L17" s="17"/>
      <c r="M17" s="34"/>
      <c r="N17" s="35"/>
    </row>
    <row r="18" spans="2:14" ht="18" customHeight="1" x14ac:dyDescent="0.2">
      <c r="B18" s="9" t="s">
        <v>5</v>
      </c>
      <c r="C18" s="56"/>
      <c r="D18" s="57"/>
      <c r="E18" s="56" t="s">
        <v>5</v>
      </c>
      <c r="F18" s="57"/>
      <c r="G18" s="56"/>
      <c r="H18" s="57"/>
      <c r="I18" s="56" t="s">
        <v>5</v>
      </c>
      <c r="J18" s="63"/>
      <c r="K18" s="33"/>
      <c r="L18" s="17"/>
      <c r="M18" s="34"/>
      <c r="N18" s="35"/>
    </row>
    <row r="19" spans="2:14" ht="18" customHeight="1" x14ac:dyDescent="0.2">
      <c r="B19" s="6" t="s">
        <v>6</v>
      </c>
      <c r="C19" s="52"/>
      <c r="D19" s="53"/>
      <c r="E19" s="52" t="s">
        <v>6</v>
      </c>
      <c r="F19" s="53"/>
      <c r="G19" s="52"/>
      <c r="H19" s="53"/>
      <c r="I19" s="61" t="s">
        <v>6</v>
      </c>
      <c r="J19" s="62"/>
      <c r="K19" s="11"/>
      <c r="L19" s="17"/>
      <c r="M19" s="34"/>
      <c r="N19" s="35"/>
    </row>
    <row r="20" spans="2:14" ht="18" customHeight="1" x14ac:dyDescent="0.2">
      <c r="B20" s="8"/>
      <c r="C20" s="54"/>
      <c r="D20" s="55"/>
      <c r="E20" s="54"/>
      <c r="F20" s="55"/>
      <c r="G20" s="54"/>
      <c r="H20" s="55"/>
      <c r="I20" s="54"/>
      <c r="J20" s="64"/>
      <c r="K20" s="11"/>
      <c r="L20" s="17"/>
      <c r="M20" s="34"/>
      <c r="N20" s="35"/>
    </row>
    <row r="21" spans="2:14" ht="18" customHeight="1" x14ac:dyDescent="0.2">
      <c r="B21" s="6"/>
      <c r="C21" s="52"/>
      <c r="D21" s="53"/>
      <c r="E21" s="52"/>
      <c r="F21" s="53"/>
      <c r="G21" s="52"/>
      <c r="H21" s="53"/>
      <c r="I21" s="67"/>
      <c r="J21" s="68"/>
      <c r="K21" s="13"/>
      <c r="L21" s="19"/>
      <c r="M21" s="36"/>
      <c r="N21" s="37"/>
    </row>
    <row r="22" spans="2:14" ht="18" customHeight="1" x14ac:dyDescent="0.2">
      <c r="B22" s="8"/>
      <c r="C22" s="54"/>
      <c r="D22" s="55"/>
      <c r="E22" s="54"/>
      <c r="F22" s="55"/>
      <c r="G22" s="54"/>
      <c r="H22" s="55"/>
      <c r="I22" s="54"/>
      <c r="J22" s="64"/>
      <c r="K22" s="32" t="s">
        <v>20</v>
      </c>
      <c r="L22" s="16"/>
      <c r="M22" s="38"/>
      <c r="N22" s="39"/>
    </row>
    <row r="23" spans="2:14" ht="18" customHeight="1" x14ac:dyDescent="0.2">
      <c r="B23" s="6"/>
      <c r="C23" s="52"/>
      <c r="D23" s="53"/>
      <c r="E23" s="52"/>
      <c r="F23" s="53"/>
      <c r="G23" s="52"/>
      <c r="H23" s="53"/>
      <c r="I23" s="61"/>
      <c r="J23" s="62"/>
      <c r="K23" s="33"/>
      <c r="L23" s="17"/>
      <c r="M23" s="34"/>
      <c r="N23" s="35"/>
    </row>
    <row r="24" spans="2:14" ht="18" customHeight="1" x14ac:dyDescent="0.2">
      <c r="B24" s="8"/>
      <c r="C24" s="54"/>
      <c r="D24" s="55"/>
      <c r="E24" s="54"/>
      <c r="F24" s="55"/>
      <c r="G24" s="54"/>
      <c r="H24" s="55"/>
      <c r="I24" s="54"/>
      <c r="J24" s="64"/>
      <c r="K24" s="33"/>
      <c r="L24" s="17"/>
      <c r="M24" s="34"/>
      <c r="N24" s="35"/>
    </row>
    <row r="25" spans="2:14" ht="18" customHeight="1" x14ac:dyDescent="0.2">
      <c r="B25" s="6"/>
      <c r="C25" s="52"/>
      <c r="D25" s="53"/>
      <c r="E25" s="52"/>
      <c r="F25" s="53"/>
      <c r="G25" s="52"/>
      <c r="H25" s="53"/>
      <c r="I25" s="61"/>
      <c r="J25" s="62"/>
      <c r="K25" s="33"/>
      <c r="L25" s="17"/>
      <c r="M25" s="34"/>
      <c r="N25" s="35"/>
    </row>
    <row r="26" spans="2:14" ht="18" customHeight="1" x14ac:dyDescent="0.2">
      <c r="B26" s="31">
        <v>0.58333333333333337</v>
      </c>
      <c r="C26" s="54"/>
      <c r="D26" s="55"/>
      <c r="E26" s="58">
        <v>0.58333333333333337</v>
      </c>
      <c r="F26" s="55"/>
      <c r="G26" s="54"/>
      <c r="H26" s="55"/>
      <c r="I26" s="58">
        <v>0.58333333333333337</v>
      </c>
      <c r="J26" s="64"/>
      <c r="K26" s="11"/>
      <c r="L26" s="17"/>
      <c r="M26" s="34"/>
      <c r="N26" s="35"/>
    </row>
    <row r="27" spans="2:14" ht="18" customHeight="1" x14ac:dyDescent="0.2">
      <c r="B27" s="6" t="s">
        <v>7</v>
      </c>
      <c r="C27" s="52"/>
      <c r="D27" s="53"/>
      <c r="E27" s="52" t="s">
        <v>7</v>
      </c>
      <c r="F27" s="53"/>
      <c r="G27" s="52"/>
      <c r="H27" s="53"/>
      <c r="I27" s="61" t="s">
        <v>7</v>
      </c>
      <c r="J27" s="62"/>
      <c r="K27" s="13"/>
      <c r="L27" s="19"/>
      <c r="M27" s="36"/>
      <c r="N27" s="37"/>
    </row>
    <row r="28" spans="2:14" ht="18" customHeight="1" x14ac:dyDescent="0.2">
      <c r="B28" s="8"/>
      <c r="C28" s="54"/>
      <c r="D28" s="55"/>
      <c r="E28" s="54"/>
      <c r="F28" s="55"/>
      <c r="G28" s="54"/>
      <c r="H28" s="55"/>
      <c r="I28" s="54"/>
      <c r="J28" s="64"/>
      <c r="K28" s="32" t="s">
        <v>17</v>
      </c>
      <c r="L28" s="16"/>
      <c r="M28" s="38"/>
      <c r="N28" s="39"/>
    </row>
    <row r="29" spans="2:14" ht="18" customHeight="1" x14ac:dyDescent="0.2">
      <c r="B29" s="6"/>
      <c r="C29" s="52"/>
      <c r="D29" s="53"/>
      <c r="E29" s="52"/>
      <c r="F29" s="53"/>
      <c r="G29" s="52"/>
      <c r="H29" s="53"/>
      <c r="I29" s="52"/>
      <c r="J29" s="69"/>
      <c r="K29" s="33"/>
      <c r="L29" s="17"/>
      <c r="M29" s="34"/>
      <c r="N29" s="35"/>
    </row>
    <row r="30" spans="2:14" ht="18" customHeight="1" x14ac:dyDescent="0.2">
      <c r="B30" s="8"/>
      <c r="C30" s="58">
        <v>0.66666666666666663</v>
      </c>
      <c r="D30" s="55"/>
      <c r="E30" s="54"/>
      <c r="F30" s="55"/>
      <c r="G30" s="58">
        <v>0.66666666666666663</v>
      </c>
      <c r="H30" s="55"/>
      <c r="I30" s="77"/>
      <c r="J30" s="78"/>
      <c r="K30" s="33"/>
      <c r="L30" s="17"/>
      <c r="M30" s="34"/>
      <c r="N30" s="35"/>
    </row>
    <row r="31" spans="2:14" ht="18" customHeight="1" x14ac:dyDescent="0.2">
      <c r="B31" s="6"/>
      <c r="C31" s="52" t="s">
        <v>12</v>
      </c>
      <c r="D31" s="53"/>
      <c r="E31" s="52"/>
      <c r="F31" s="53"/>
      <c r="G31" s="52" t="s">
        <v>12</v>
      </c>
      <c r="H31" s="53"/>
      <c r="I31" s="52"/>
      <c r="J31" s="69"/>
      <c r="K31" s="14"/>
      <c r="L31" s="17"/>
      <c r="M31" s="34"/>
      <c r="N31" s="35"/>
    </row>
    <row r="32" spans="2:14" ht="18" customHeight="1" x14ac:dyDescent="0.2">
      <c r="B32" s="8"/>
      <c r="C32" s="54"/>
      <c r="D32" s="55"/>
      <c r="E32" s="54"/>
      <c r="F32" s="55"/>
      <c r="G32" s="54"/>
      <c r="H32" s="55"/>
      <c r="I32" s="65"/>
      <c r="J32" s="66"/>
      <c r="K32" s="14"/>
      <c r="L32" s="17"/>
      <c r="M32" s="34"/>
      <c r="N32" s="35"/>
    </row>
    <row r="33" spans="2:14" ht="18" customHeight="1" x14ac:dyDescent="0.2">
      <c r="B33" s="7"/>
      <c r="C33" s="59"/>
      <c r="D33" s="60"/>
      <c r="E33" s="59"/>
      <c r="F33" s="60"/>
      <c r="G33" s="59"/>
      <c r="H33" s="60"/>
      <c r="I33" s="79"/>
      <c r="J33" s="80"/>
      <c r="K33" s="15"/>
      <c r="L33" s="20"/>
      <c r="M33" s="75"/>
      <c r="N33" s="76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3" priority="3" stopIfTrue="1">
      <formula>DAY(C4)&gt;8</formula>
    </cfRule>
  </conditionalFormatting>
  <conditionalFormatting sqref="C8:I10">
    <cfRule type="expression" dxfId="2" priority="2" stopIfTrue="1">
      <formula>AND(DAY(C8)&gt;=1,DAY(C8)&lt;=15)</formula>
    </cfRule>
  </conditionalFormatting>
  <conditionalFormatting sqref="C4:I9">
    <cfRule type="expression" dxfId="1" priority="4">
      <formula>VLOOKUP(DAY(C4),DiasTarefa,1,FALSE)=DAY(C4)</formula>
    </cfRule>
  </conditionalFormatting>
  <conditionalFormatting sqref="B14:J33">
    <cfRule type="expression" dxfId="0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3.85546875" style="1" customWidth="1"/>
    <col min="3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29"/>
      <c r="C2" s="21"/>
      <c r="D2" s="21"/>
      <c r="E2" s="21"/>
      <c r="F2" s="21"/>
      <c r="G2" s="21"/>
      <c r="H2" s="21"/>
      <c r="I2" s="21"/>
      <c r="J2" s="22"/>
      <c r="K2" s="43" t="s">
        <v>18</v>
      </c>
      <c r="L2" s="44">
        <v>2013</v>
      </c>
      <c r="M2" s="44"/>
      <c r="N2" s="81">
        <f>AnoCalendário</f>
        <v>2016</v>
      </c>
    </row>
    <row r="3" spans="1:14" ht="21" customHeight="1" x14ac:dyDescent="0.2">
      <c r="A3" s="4"/>
      <c r="B3" s="70" t="s">
        <v>26</v>
      </c>
      <c r="C3" s="2" t="s">
        <v>8</v>
      </c>
      <c r="D3" s="2" t="s">
        <v>13</v>
      </c>
      <c r="E3" s="2" t="s">
        <v>33</v>
      </c>
      <c r="F3" s="2" t="s">
        <v>14</v>
      </c>
      <c r="G3" s="2" t="s">
        <v>14</v>
      </c>
      <c r="H3" s="2" t="s">
        <v>13</v>
      </c>
      <c r="I3" s="2" t="s">
        <v>13</v>
      </c>
      <c r="J3" s="5"/>
      <c r="K3" s="45"/>
      <c r="L3" s="46"/>
      <c r="M3" s="46"/>
      <c r="N3" s="82"/>
    </row>
    <row r="4" spans="1:14" ht="18" customHeight="1" x14ac:dyDescent="0.2">
      <c r="A4" s="4"/>
      <c r="B4" s="70"/>
      <c r="C4" s="10">
        <f>IF(DAY(FevDom1)=1,FevDom1-6,FevDom1+1)</f>
        <v>42400</v>
      </c>
      <c r="D4" s="10">
        <f>IF(DAY(FevDom1)=1,FevDom1-5,FevDom1+2)</f>
        <v>42401</v>
      </c>
      <c r="E4" s="10">
        <f>IF(DAY(FevDom1)=1,FevDom1-4,FevDom1+3)</f>
        <v>42402</v>
      </c>
      <c r="F4" s="10">
        <f>IF(DAY(FevDom1)=1,FevDom1-3,FevDom1+4)</f>
        <v>42403</v>
      </c>
      <c r="G4" s="10">
        <f>IF(DAY(FevDom1)=1,FevDom1-2,FevDom1+5)</f>
        <v>42404</v>
      </c>
      <c r="H4" s="10">
        <f>IF(DAY(FevDom1)=1,FevDom1-1,FevDom1+6)</f>
        <v>42405</v>
      </c>
      <c r="I4" s="10">
        <f>IF(DAY(FevDom1)=1,FevDom1,FevDom1+7)</f>
        <v>42406</v>
      </c>
      <c r="J4" s="5"/>
      <c r="K4" s="47" t="s">
        <v>2</v>
      </c>
      <c r="L4" s="16"/>
      <c r="M4" s="48"/>
      <c r="N4" s="49"/>
    </row>
    <row r="5" spans="1:14" ht="18" customHeight="1" x14ac:dyDescent="0.2">
      <c r="A5" s="4"/>
      <c r="B5" s="27"/>
      <c r="C5" s="10">
        <f>IF(DAY(FevDom1)=1,FevDom1+1,FevDom1+8)</f>
        <v>42407</v>
      </c>
      <c r="D5" s="10">
        <f>IF(DAY(FevDom1)=1,FevDom1+2,FevDom1+9)</f>
        <v>42408</v>
      </c>
      <c r="E5" s="10">
        <f>IF(DAY(FevDom1)=1,FevDom1+3,FevDom1+10)</f>
        <v>42409</v>
      </c>
      <c r="F5" s="10">
        <f>IF(DAY(FevDom1)=1,FevDom1+4,FevDom1+11)</f>
        <v>42410</v>
      </c>
      <c r="G5" s="10">
        <f>IF(DAY(FevDom1)=1,FevDom1+5,FevDom1+12)</f>
        <v>42411</v>
      </c>
      <c r="H5" s="10">
        <f>IF(DAY(FevDom1)=1,FevDom1+6,FevDom1+13)</f>
        <v>42412</v>
      </c>
      <c r="I5" s="10">
        <f>IF(DAY(FevDom1)=1,FevDom1+7,FevDom1+14)</f>
        <v>42413</v>
      </c>
      <c r="J5" s="5"/>
      <c r="K5" s="33"/>
      <c r="L5" s="17"/>
      <c r="M5" s="34"/>
      <c r="N5" s="35"/>
    </row>
    <row r="6" spans="1:14" ht="18" customHeight="1" x14ac:dyDescent="0.2">
      <c r="A6" s="4"/>
      <c r="B6" s="27"/>
      <c r="C6" s="10">
        <f>IF(DAY(FevDom1)=1,FevDom1+8,FevDom1+15)</f>
        <v>42414</v>
      </c>
      <c r="D6" s="10">
        <f>IF(DAY(FevDom1)=1,FevDom1+9,FevDom1+16)</f>
        <v>42415</v>
      </c>
      <c r="E6" s="10">
        <f>IF(DAY(FevDom1)=1,FevDom1+10,FevDom1+17)</f>
        <v>42416</v>
      </c>
      <c r="F6" s="10">
        <f>IF(DAY(FevDom1)=1,FevDom1+11,FevDom1+18)</f>
        <v>42417</v>
      </c>
      <c r="G6" s="10">
        <f>IF(DAY(FevDom1)=1,FevDom1+12,FevDom1+19)</f>
        <v>42418</v>
      </c>
      <c r="H6" s="10">
        <f>IF(DAY(FevDom1)=1,FevDom1+13,FevDom1+20)</f>
        <v>42419</v>
      </c>
      <c r="I6" s="10">
        <f>IF(DAY(FevDom1)=1,FevDom1+14,FevDom1+21)</f>
        <v>42420</v>
      </c>
      <c r="J6" s="5"/>
      <c r="K6" s="33"/>
      <c r="L6" s="17"/>
      <c r="M6" s="34"/>
      <c r="N6" s="35"/>
    </row>
    <row r="7" spans="1:14" ht="18" customHeight="1" x14ac:dyDescent="0.2">
      <c r="A7" s="4"/>
      <c r="B7" s="27"/>
      <c r="C7" s="10">
        <f>IF(DAY(FevDom1)=1,FevDom1+15,FevDom1+22)</f>
        <v>42421</v>
      </c>
      <c r="D7" s="10">
        <f>IF(DAY(FevDom1)=1,FevDom1+16,FevDom1+23)</f>
        <v>42422</v>
      </c>
      <c r="E7" s="10">
        <f>IF(DAY(FevDom1)=1,FevDom1+17,FevDom1+24)</f>
        <v>42423</v>
      </c>
      <c r="F7" s="10">
        <f>IF(DAY(FevDom1)=1,FevDom1+18,FevDom1+25)</f>
        <v>42424</v>
      </c>
      <c r="G7" s="10">
        <f>IF(DAY(FevDom1)=1,FevDom1+19,FevDom1+26)</f>
        <v>42425</v>
      </c>
      <c r="H7" s="10">
        <f>IF(DAY(FevDom1)=1,FevDom1+20,FevDom1+27)</f>
        <v>42426</v>
      </c>
      <c r="I7" s="10">
        <f>IF(DAY(FevDom1)=1,FevDom1+21,FevDom1+28)</f>
        <v>42427</v>
      </c>
      <c r="J7" s="5"/>
      <c r="K7" s="11"/>
      <c r="L7" s="17"/>
      <c r="M7" s="34"/>
      <c r="N7" s="35"/>
    </row>
    <row r="8" spans="1:14" ht="18.75" customHeight="1" x14ac:dyDescent="0.2">
      <c r="A8" s="4"/>
      <c r="B8" s="27"/>
      <c r="C8" s="10">
        <f>IF(DAY(FevDom1)=1,FevDom1+22,FevDom1+29)</f>
        <v>42428</v>
      </c>
      <c r="D8" s="10">
        <f>IF(DAY(FevDom1)=1,FevDom1+23,FevDom1+30)</f>
        <v>42429</v>
      </c>
      <c r="E8" s="10">
        <f>IF(DAY(FevDom1)=1,FevDom1+24,FevDom1+31)</f>
        <v>42430</v>
      </c>
      <c r="F8" s="10">
        <f>IF(DAY(FevDom1)=1,FevDom1+25,FevDom1+32)</f>
        <v>42431</v>
      </c>
      <c r="G8" s="10">
        <f>IF(DAY(FevDom1)=1,FevDom1+26,FevDom1+33)</f>
        <v>42432</v>
      </c>
      <c r="H8" s="10">
        <f>IF(DAY(FevDom1)=1,FevDom1+27,FevDom1+34)</f>
        <v>42433</v>
      </c>
      <c r="I8" s="10">
        <f>IF(DAY(FevDom1)=1,FevDom1+28,FevDom1+35)</f>
        <v>42434</v>
      </c>
      <c r="J8" s="5"/>
      <c r="K8" s="11"/>
      <c r="L8" s="17"/>
      <c r="M8" s="34"/>
      <c r="N8" s="35"/>
    </row>
    <row r="9" spans="1:14" ht="18" customHeight="1" x14ac:dyDescent="0.2">
      <c r="A9" s="4"/>
      <c r="B9" s="27"/>
      <c r="C9" s="10">
        <f>IF(DAY(FevDom1)=1,FevDom1+29,FevDom1+36)</f>
        <v>42435</v>
      </c>
      <c r="D9" s="10">
        <f>IF(DAY(FevDom1)=1,FevDom1+30,FevDom1+37)</f>
        <v>42436</v>
      </c>
      <c r="E9" s="10">
        <f>IF(DAY(FevDom1)=1,FevDom1+31,FevDom1+38)</f>
        <v>42437</v>
      </c>
      <c r="F9" s="10">
        <f>IF(DAY(FevDom1)=1,FevDom1+32,FevDom1+39)</f>
        <v>42438</v>
      </c>
      <c r="G9" s="10">
        <f>IF(DAY(FevDom1)=1,FevDom1+33,FevDom1+40)</f>
        <v>42439</v>
      </c>
      <c r="H9" s="10">
        <f>IF(DAY(FevDom1)=1,FevDom1+34,FevDom1+41)</f>
        <v>42440</v>
      </c>
      <c r="I9" s="10">
        <f>IF(DAY(FevDom1)=1,FevDom1+35,FevDom1+42)</f>
        <v>42441</v>
      </c>
      <c r="J9" s="5"/>
      <c r="K9" s="12"/>
      <c r="L9" s="18"/>
      <c r="M9" s="36"/>
      <c r="N9" s="37"/>
    </row>
    <row r="10" spans="1:14" ht="18" customHeight="1" x14ac:dyDescent="0.2">
      <c r="A10" s="4"/>
      <c r="B10" s="28"/>
      <c r="C10" s="23"/>
      <c r="D10" s="23"/>
      <c r="E10" s="23"/>
      <c r="F10" s="23"/>
      <c r="G10" s="23"/>
      <c r="H10" s="23"/>
      <c r="I10" s="23"/>
      <c r="J10" s="24"/>
      <c r="K10" s="32" t="s">
        <v>19</v>
      </c>
      <c r="L10" s="16"/>
      <c r="M10" s="38"/>
      <c r="N10" s="39"/>
    </row>
    <row r="11" spans="1:14" ht="18" customHeight="1" x14ac:dyDescent="0.2">
      <c r="A11" s="4"/>
      <c r="B11" s="72" t="s">
        <v>1</v>
      </c>
      <c r="C11" s="73"/>
      <c r="D11" s="73"/>
      <c r="E11" s="73"/>
      <c r="F11" s="73"/>
      <c r="G11" s="73"/>
      <c r="H11" s="73"/>
      <c r="I11" s="73"/>
      <c r="J11" s="74"/>
      <c r="K11" s="33"/>
      <c r="L11" s="17"/>
      <c r="M11" s="34"/>
      <c r="N11" s="35"/>
    </row>
    <row r="12" spans="1:14" ht="18" customHeight="1" x14ac:dyDescent="0.2">
      <c r="A12" s="4"/>
      <c r="B12" s="72"/>
      <c r="C12" s="73"/>
      <c r="D12" s="73"/>
      <c r="E12" s="73"/>
      <c r="F12" s="73"/>
      <c r="G12" s="73"/>
      <c r="H12" s="73"/>
      <c r="I12" s="73"/>
      <c r="J12" s="74"/>
      <c r="K12" s="33"/>
      <c r="L12" s="17"/>
      <c r="M12" s="34"/>
      <c r="N12" s="35"/>
    </row>
    <row r="13" spans="1:14" ht="18" customHeight="1" x14ac:dyDescent="0.2">
      <c r="B13" s="3" t="s">
        <v>2</v>
      </c>
      <c r="C13" s="40" t="s">
        <v>9</v>
      </c>
      <c r="D13" s="42"/>
      <c r="E13" s="40" t="s">
        <v>15</v>
      </c>
      <c r="F13" s="42"/>
      <c r="G13" s="40" t="s">
        <v>16</v>
      </c>
      <c r="H13" s="42"/>
      <c r="I13" s="40" t="s">
        <v>17</v>
      </c>
      <c r="J13" s="41"/>
      <c r="K13" s="11"/>
      <c r="L13" s="17"/>
      <c r="M13" s="34"/>
      <c r="N13" s="35"/>
    </row>
    <row r="14" spans="1:14" ht="18" customHeight="1" x14ac:dyDescent="0.2">
      <c r="B14" s="8" t="s">
        <v>3</v>
      </c>
      <c r="C14" s="54"/>
      <c r="D14" s="55"/>
      <c r="E14" s="54" t="s">
        <v>3</v>
      </c>
      <c r="F14" s="55"/>
      <c r="G14" s="54"/>
      <c r="H14" s="55"/>
      <c r="I14" s="54" t="s">
        <v>3</v>
      </c>
      <c r="J14" s="64"/>
      <c r="K14" s="11"/>
      <c r="L14" s="17"/>
      <c r="M14" s="34"/>
      <c r="N14" s="35"/>
    </row>
    <row r="15" spans="1:14" ht="18" customHeight="1" x14ac:dyDescent="0.2">
      <c r="B15" s="6" t="s">
        <v>4</v>
      </c>
      <c r="C15" s="52"/>
      <c r="D15" s="53"/>
      <c r="E15" s="52" t="s">
        <v>4</v>
      </c>
      <c r="F15" s="53"/>
      <c r="G15" s="52"/>
      <c r="H15" s="53"/>
      <c r="I15" s="61" t="s">
        <v>4</v>
      </c>
      <c r="J15" s="62"/>
      <c r="K15" s="13"/>
      <c r="L15" s="19"/>
      <c r="M15" s="36"/>
      <c r="N15" s="37"/>
    </row>
    <row r="16" spans="1:14" ht="18" customHeight="1" x14ac:dyDescent="0.2">
      <c r="B16" s="8"/>
      <c r="C16" s="54" t="s">
        <v>10</v>
      </c>
      <c r="D16" s="55"/>
      <c r="E16" s="54"/>
      <c r="F16" s="55"/>
      <c r="G16" s="54" t="s">
        <v>10</v>
      </c>
      <c r="H16" s="55"/>
      <c r="I16" s="65"/>
      <c r="J16" s="66"/>
      <c r="K16" s="32" t="s">
        <v>15</v>
      </c>
      <c r="L16" s="16"/>
      <c r="M16" s="38"/>
      <c r="N16" s="39"/>
    </row>
    <row r="17" spans="2:14" ht="18" customHeight="1" x14ac:dyDescent="0.2">
      <c r="B17" s="6"/>
      <c r="C17" s="52" t="s">
        <v>11</v>
      </c>
      <c r="D17" s="53"/>
      <c r="E17" s="52"/>
      <c r="F17" s="53"/>
      <c r="G17" s="52" t="s">
        <v>11</v>
      </c>
      <c r="H17" s="53"/>
      <c r="I17" s="61"/>
      <c r="J17" s="62"/>
      <c r="K17" s="33"/>
      <c r="L17" s="17"/>
      <c r="M17" s="34"/>
      <c r="N17" s="35"/>
    </row>
    <row r="18" spans="2:14" ht="18" customHeight="1" x14ac:dyDescent="0.2">
      <c r="B18" s="9" t="s">
        <v>5</v>
      </c>
      <c r="C18" s="56"/>
      <c r="D18" s="57"/>
      <c r="E18" s="56" t="s">
        <v>5</v>
      </c>
      <c r="F18" s="57"/>
      <c r="G18" s="56"/>
      <c r="H18" s="57"/>
      <c r="I18" s="56" t="s">
        <v>5</v>
      </c>
      <c r="J18" s="63"/>
      <c r="K18" s="33"/>
      <c r="L18" s="17"/>
      <c r="M18" s="34"/>
      <c r="N18" s="35"/>
    </row>
    <row r="19" spans="2:14" ht="18" customHeight="1" x14ac:dyDescent="0.2">
      <c r="B19" s="6" t="s">
        <v>6</v>
      </c>
      <c r="C19" s="52"/>
      <c r="D19" s="53"/>
      <c r="E19" s="52" t="s">
        <v>6</v>
      </c>
      <c r="F19" s="53"/>
      <c r="G19" s="52"/>
      <c r="H19" s="53"/>
      <c r="I19" s="61" t="s">
        <v>6</v>
      </c>
      <c r="J19" s="62"/>
      <c r="K19" s="11"/>
      <c r="L19" s="17"/>
      <c r="M19" s="34"/>
      <c r="N19" s="35"/>
    </row>
    <row r="20" spans="2:14" ht="18" customHeight="1" x14ac:dyDescent="0.2">
      <c r="B20" s="8"/>
      <c r="C20" s="54"/>
      <c r="D20" s="55"/>
      <c r="E20" s="54"/>
      <c r="F20" s="55"/>
      <c r="G20" s="54"/>
      <c r="H20" s="55"/>
      <c r="I20" s="54"/>
      <c r="J20" s="64"/>
      <c r="K20" s="11"/>
      <c r="L20" s="17"/>
      <c r="M20" s="34"/>
      <c r="N20" s="35"/>
    </row>
    <row r="21" spans="2:14" ht="18" customHeight="1" x14ac:dyDescent="0.2">
      <c r="B21" s="6"/>
      <c r="C21" s="52"/>
      <c r="D21" s="53"/>
      <c r="E21" s="52"/>
      <c r="F21" s="53"/>
      <c r="G21" s="52"/>
      <c r="H21" s="53"/>
      <c r="I21" s="67"/>
      <c r="J21" s="68"/>
      <c r="K21" s="13"/>
      <c r="L21" s="19"/>
      <c r="M21" s="36"/>
      <c r="N21" s="37"/>
    </row>
    <row r="22" spans="2:14" ht="18" customHeight="1" x14ac:dyDescent="0.2">
      <c r="B22" s="8"/>
      <c r="C22" s="54"/>
      <c r="D22" s="55"/>
      <c r="E22" s="54"/>
      <c r="F22" s="55"/>
      <c r="G22" s="54"/>
      <c r="H22" s="55"/>
      <c r="I22" s="54"/>
      <c r="J22" s="64"/>
      <c r="K22" s="32" t="s">
        <v>20</v>
      </c>
      <c r="L22" s="16"/>
      <c r="M22" s="38"/>
      <c r="N22" s="39"/>
    </row>
    <row r="23" spans="2:14" ht="18" customHeight="1" x14ac:dyDescent="0.2">
      <c r="B23" s="6"/>
      <c r="C23" s="52"/>
      <c r="D23" s="53"/>
      <c r="E23" s="52"/>
      <c r="F23" s="53"/>
      <c r="G23" s="52"/>
      <c r="H23" s="53"/>
      <c r="I23" s="61"/>
      <c r="J23" s="62"/>
      <c r="K23" s="33"/>
      <c r="L23" s="17"/>
      <c r="M23" s="34"/>
      <c r="N23" s="35"/>
    </row>
    <row r="24" spans="2:14" ht="18" customHeight="1" x14ac:dyDescent="0.2">
      <c r="B24" s="8"/>
      <c r="C24" s="54"/>
      <c r="D24" s="55"/>
      <c r="E24" s="54"/>
      <c r="F24" s="55"/>
      <c r="G24" s="54"/>
      <c r="H24" s="55"/>
      <c r="I24" s="54"/>
      <c r="J24" s="64"/>
      <c r="K24" s="33"/>
      <c r="L24" s="17"/>
      <c r="M24" s="34"/>
      <c r="N24" s="35"/>
    </row>
    <row r="25" spans="2:14" ht="18" customHeight="1" x14ac:dyDescent="0.2">
      <c r="B25" s="6"/>
      <c r="C25" s="52"/>
      <c r="D25" s="53"/>
      <c r="E25" s="52"/>
      <c r="F25" s="53"/>
      <c r="G25" s="52"/>
      <c r="H25" s="53"/>
      <c r="I25" s="61"/>
      <c r="J25" s="62"/>
      <c r="K25" s="33"/>
      <c r="L25" s="17"/>
      <c r="M25" s="34"/>
      <c r="N25" s="35"/>
    </row>
    <row r="26" spans="2:14" ht="18" customHeight="1" x14ac:dyDescent="0.2">
      <c r="B26" s="31">
        <v>0.58333333333333337</v>
      </c>
      <c r="C26" s="54"/>
      <c r="D26" s="55"/>
      <c r="E26" s="58">
        <v>0.58333333333333337</v>
      </c>
      <c r="F26" s="55"/>
      <c r="G26" s="54"/>
      <c r="H26" s="55"/>
      <c r="I26" s="58">
        <v>0.58333333333333337</v>
      </c>
      <c r="J26" s="64"/>
      <c r="K26" s="11"/>
      <c r="L26" s="17"/>
      <c r="M26" s="34"/>
      <c r="N26" s="35"/>
    </row>
    <row r="27" spans="2:14" ht="18" customHeight="1" x14ac:dyDescent="0.2">
      <c r="B27" s="6" t="s">
        <v>7</v>
      </c>
      <c r="C27" s="52"/>
      <c r="D27" s="53"/>
      <c r="E27" s="52" t="s">
        <v>7</v>
      </c>
      <c r="F27" s="53"/>
      <c r="G27" s="52"/>
      <c r="H27" s="53"/>
      <c r="I27" s="61" t="s">
        <v>7</v>
      </c>
      <c r="J27" s="62"/>
      <c r="K27" s="13"/>
      <c r="L27" s="19"/>
      <c r="M27" s="36"/>
      <c r="N27" s="37"/>
    </row>
    <row r="28" spans="2:14" ht="18" customHeight="1" x14ac:dyDescent="0.2">
      <c r="B28" s="8"/>
      <c r="C28" s="54"/>
      <c r="D28" s="55"/>
      <c r="E28" s="54"/>
      <c r="F28" s="55"/>
      <c r="G28" s="54"/>
      <c r="H28" s="55"/>
      <c r="I28" s="54"/>
      <c r="J28" s="64"/>
      <c r="K28" s="32" t="s">
        <v>17</v>
      </c>
      <c r="L28" s="16"/>
      <c r="M28" s="38"/>
      <c r="N28" s="39"/>
    </row>
    <row r="29" spans="2:14" ht="18" customHeight="1" x14ac:dyDescent="0.2">
      <c r="B29" s="6"/>
      <c r="C29" s="52"/>
      <c r="D29" s="53"/>
      <c r="E29" s="52"/>
      <c r="F29" s="53"/>
      <c r="G29" s="52"/>
      <c r="H29" s="53"/>
      <c r="I29" s="52"/>
      <c r="J29" s="69"/>
      <c r="K29" s="33"/>
      <c r="L29" s="17"/>
      <c r="M29" s="34"/>
      <c r="N29" s="35"/>
    </row>
    <row r="30" spans="2:14" ht="18" customHeight="1" x14ac:dyDescent="0.2">
      <c r="B30" s="8"/>
      <c r="C30" s="58">
        <v>0.66666666666666663</v>
      </c>
      <c r="D30" s="55"/>
      <c r="E30" s="54"/>
      <c r="F30" s="55"/>
      <c r="G30" s="58">
        <v>0.66666666666666663</v>
      </c>
      <c r="H30" s="55"/>
      <c r="I30" s="77"/>
      <c r="J30" s="78"/>
      <c r="K30" s="33"/>
      <c r="L30" s="17"/>
      <c r="M30" s="34"/>
      <c r="N30" s="35"/>
    </row>
    <row r="31" spans="2:14" ht="18" customHeight="1" x14ac:dyDescent="0.2">
      <c r="B31" s="6"/>
      <c r="C31" s="52" t="s">
        <v>12</v>
      </c>
      <c r="D31" s="53"/>
      <c r="E31" s="52"/>
      <c r="F31" s="53"/>
      <c r="G31" s="52" t="s">
        <v>12</v>
      </c>
      <c r="H31" s="53"/>
      <c r="I31" s="52"/>
      <c r="J31" s="69"/>
      <c r="K31" s="14"/>
      <c r="L31" s="17"/>
      <c r="M31" s="34"/>
      <c r="N31" s="35"/>
    </row>
    <row r="32" spans="2:14" ht="18" customHeight="1" x14ac:dyDescent="0.2">
      <c r="B32" s="8"/>
      <c r="C32" s="54"/>
      <c r="D32" s="55"/>
      <c r="E32" s="54"/>
      <c r="F32" s="55"/>
      <c r="G32" s="54"/>
      <c r="H32" s="55"/>
      <c r="I32" s="65"/>
      <c r="J32" s="66"/>
      <c r="K32" s="14"/>
      <c r="L32" s="17"/>
      <c r="M32" s="34"/>
      <c r="N32" s="35"/>
    </row>
    <row r="33" spans="2:14" ht="18" customHeight="1" x14ac:dyDescent="0.2">
      <c r="B33" s="7"/>
      <c r="C33" s="59"/>
      <c r="D33" s="60"/>
      <c r="E33" s="59"/>
      <c r="F33" s="60"/>
      <c r="G33" s="59"/>
      <c r="H33" s="60"/>
      <c r="I33" s="79"/>
      <c r="J33" s="80"/>
      <c r="K33" s="15"/>
      <c r="L33" s="20"/>
      <c r="M33" s="75"/>
      <c r="N33" s="76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43" priority="3" stopIfTrue="1">
      <formula>DAY(C4)&gt;8</formula>
    </cfRule>
  </conditionalFormatting>
  <conditionalFormatting sqref="C8:I10">
    <cfRule type="expression" dxfId="42" priority="2" stopIfTrue="1">
      <formula>AND(DAY(C8)&gt;=1,DAY(C8)&lt;=15)</formula>
    </cfRule>
  </conditionalFormatting>
  <conditionalFormatting sqref="C4:I9">
    <cfRule type="expression" dxfId="41" priority="4">
      <formula>VLOOKUP(DAY(C4),DiasTarefa,1,FALSE)=DAY(C4)</formula>
    </cfRule>
  </conditionalFormatting>
  <conditionalFormatting sqref="B14:J33">
    <cfRule type="expression" dxfId="40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3.85546875" style="1" customWidth="1"/>
    <col min="3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29"/>
      <c r="C2" s="21"/>
      <c r="D2" s="21"/>
      <c r="E2" s="21"/>
      <c r="F2" s="21"/>
      <c r="G2" s="21"/>
      <c r="H2" s="21"/>
      <c r="I2" s="21"/>
      <c r="J2" s="22"/>
      <c r="K2" s="43" t="s">
        <v>18</v>
      </c>
      <c r="L2" s="44">
        <v>2013</v>
      </c>
      <c r="M2" s="44"/>
      <c r="N2" s="81">
        <f>AnoCalendário</f>
        <v>2016</v>
      </c>
    </row>
    <row r="3" spans="1:14" ht="21" customHeight="1" x14ac:dyDescent="0.2">
      <c r="A3" s="4"/>
      <c r="B3" s="70" t="s">
        <v>27</v>
      </c>
      <c r="C3" s="2" t="s">
        <v>8</v>
      </c>
      <c r="D3" s="2" t="s">
        <v>13</v>
      </c>
      <c r="E3" s="2" t="s">
        <v>33</v>
      </c>
      <c r="F3" s="2" t="s">
        <v>14</v>
      </c>
      <c r="G3" s="2" t="s">
        <v>14</v>
      </c>
      <c r="H3" s="2" t="s">
        <v>13</v>
      </c>
      <c r="I3" s="2" t="s">
        <v>13</v>
      </c>
      <c r="J3" s="5"/>
      <c r="K3" s="45"/>
      <c r="L3" s="46"/>
      <c r="M3" s="46"/>
      <c r="N3" s="82"/>
    </row>
    <row r="4" spans="1:14" ht="18" customHeight="1" x14ac:dyDescent="0.2">
      <c r="A4" s="4"/>
      <c r="B4" s="70"/>
      <c r="C4" s="10">
        <f>IF(DAY(MarDom1)=1,MarDom1-6,MarDom1+1)</f>
        <v>42428</v>
      </c>
      <c r="D4" s="10">
        <f>IF(DAY(MarDom1)=1,MarDom1-5,MarDom1+2)</f>
        <v>42429</v>
      </c>
      <c r="E4" s="10">
        <f>IF(DAY(MarDom1)=1,MarDom1-4,MarDom1+3)</f>
        <v>42430</v>
      </c>
      <c r="F4" s="10">
        <f>IF(DAY(MarDom1)=1,MarDom1-3,MarDom1+4)</f>
        <v>42431</v>
      </c>
      <c r="G4" s="10">
        <f>IF(DAY(MarDom1)=1,MarDom1-2,MarDom1+5)</f>
        <v>42432</v>
      </c>
      <c r="H4" s="10">
        <f>IF(DAY(MarDom1)=1,MarDom1-1,MarDom1+6)</f>
        <v>42433</v>
      </c>
      <c r="I4" s="10">
        <f>IF(DAY(MarDom1)=1,MarDom1,MarDom1+7)</f>
        <v>42434</v>
      </c>
      <c r="J4" s="5"/>
      <c r="K4" s="47" t="s">
        <v>2</v>
      </c>
      <c r="L4" s="16"/>
      <c r="M4" s="48"/>
      <c r="N4" s="49"/>
    </row>
    <row r="5" spans="1:14" ht="18" customHeight="1" x14ac:dyDescent="0.2">
      <c r="A5" s="4"/>
      <c r="B5" s="27"/>
      <c r="C5" s="10">
        <f>IF(DAY(MarDom1)=1,MarDom1+1,MarDom1+8)</f>
        <v>42435</v>
      </c>
      <c r="D5" s="10">
        <f>IF(DAY(MarDom1)=1,MarDom1+2,MarDom1+9)</f>
        <v>42436</v>
      </c>
      <c r="E5" s="10">
        <f>IF(DAY(MarDom1)=1,MarDom1+3,MarDom1+10)</f>
        <v>42437</v>
      </c>
      <c r="F5" s="10">
        <f>IF(DAY(MarDom1)=1,MarDom1+4,MarDom1+11)</f>
        <v>42438</v>
      </c>
      <c r="G5" s="10">
        <f>IF(DAY(MarDom1)=1,MarDom1+5,MarDom1+12)</f>
        <v>42439</v>
      </c>
      <c r="H5" s="10">
        <f>IF(DAY(MarDom1)=1,MarDom1+6,MarDom1+13)</f>
        <v>42440</v>
      </c>
      <c r="I5" s="10">
        <f>IF(DAY(MarDom1)=1,MarDom1+7,MarDom1+14)</f>
        <v>42441</v>
      </c>
      <c r="J5" s="5"/>
      <c r="K5" s="33"/>
      <c r="L5" s="17"/>
      <c r="M5" s="34"/>
      <c r="N5" s="35"/>
    </row>
    <row r="6" spans="1:14" ht="18" customHeight="1" x14ac:dyDescent="0.2">
      <c r="A6" s="4"/>
      <c r="B6" s="27"/>
      <c r="C6" s="10">
        <f>IF(DAY(MarDom1)=1,MarDom1+8,MarDom1+15)</f>
        <v>42442</v>
      </c>
      <c r="D6" s="10">
        <f>IF(DAY(MarDom1)=1,MarDom1+9,MarDom1+16)</f>
        <v>42443</v>
      </c>
      <c r="E6" s="10">
        <f>IF(DAY(MarDom1)=1,MarDom1+10,MarDom1+17)</f>
        <v>42444</v>
      </c>
      <c r="F6" s="10">
        <f>IF(DAY(MarDom1)=1,MarDom1+11,MarDom1+18)</f>
        <v>42445</v>
      </c>
      <c r="G6" s="10">
        <f>IF(DAY(MarDom1)=1,MarDom1+12,MarDom1+19)</f>
        <v>42446</v>
      </c>
      <c r="H6" s="10">
        <f>IF(DAY(MarDom1)=1,MarDom1+13,MarDom1+20)</f>
        <v>42447</v>
      </c>
      <c r="I6" s="10">
        <f>IF(DAY(MarDom1)=1,MarDom1+14,MarDom1+21)</f>
        <v>42448</v>
      </c>
      <c r="J6" s="5"/>
      <c r="K6" s="33"/>
      <c r="L6" s="17"/>
      <c r="M6" s="34"/>
      <c r="N6" s="35"/>
    </row>
    <row r="7" spans="1:14" ht="18" customHeight="1" x14ac:dyDescent="0.2">
      <c r="A7" s="4"/>
      <c r="B7" s="27"/>
      <c r="C7" s="10">
        <f>IF(DAY(MarDom1)=1,MarDom1+15,MarDom1+22)</f>
        <v>42449</v>
      </c>
      <c r="D7" s="10">
        <f>IF(DAY(MarDom1)=1,MarDom1+16,MarDom1+23)</f>
        <v>42450</v>
      </c>
      <c r="E7" s="10">
        <f>IF(DAY(MarDom1)=1,MarDom1+17,MarDom1+24)</f>
        <v>42451</v>
      </c>
      <c r="F7" s="10">
        <f>IF(DAY(MarDom1)=1,MarDom1+18,MarDom1+25)</f>
        <v>42452</v>
      </c>
      <c r="G7" s="10">
        <f>IF(DAY(MarDom1)=1,MarDom1+19,MarDom1+26)</f>
        <v>42453</v>
      </c>
      <c r="H7" s="10">
        <f>IF(DAY(MarDom1)=1,MarDom1+20,MarDom1+27)</f>
        <v>42454</v>
      </c>
      <c r="I7" s="10">
        <f>IF(DAY(MarDom1)=1,MarDom1+21,MarDom1+28)</f>
        <v>42455</v>
      </c>
      <c r="J7" s="5"/>
      <c r="K7" s="11"/>
      <c r="L7" s="17"/>
      <c r="M7" s="34"/>
      <c r="N7" s="35"/>
    </row>
    <row r="8" spans="1:14" ht="18.75" customHeight="1" x14ac:dyDescent="0.2">
      <c r="A8" s="4"/>
      <c r="B8" s="27"/>
      <c r="C8" s="10">
        <f>IF(DAY(MarDom1)=1,MarDom1+22,MarDom1+29)</f>
        <v>42456</v>
      </c>
      <c r="D8" s="10">
        <f>IF(DAY(MarDom1)=1,MarDom1+23,MarDom1+30)</f>
        <v>42457</v>
      </c>
      <c r="E8" s="10">
        <f>IF(DAY(MarDom1)=1,MarDom1+24,MarDom1+31)</f>
        <v>42458</v>
      </c>
      <c r="F8" s="10">
        <f>IF(DAY(MarDom1)=1,MarDom1+25,MarDom1+32)</f>
        <v>42459</v>
      </c>
      <c r="G8" s="10">
        <f>IF(DAY(MarDom1)=1,MarDom1+26,MarDom1+33)</f>
        <v>42460</v>
      </c>
      <c r="H8" s="10">
        <f>IF(DAY(MarDom1)=1,MarDom1+27,MarDom1+34)</f>
        <v>42461</v>
      </c>
      <c r="I8" s="10">
        <f>IF(DAY(MarDom1)=1,MarDom1+28,MarDom1+35)</f>
        <v>42462</v>
      </c>
      <c r="J8" s="5"/>
      <c r="K8" s="11"/>
      <c r="L8" s="17"/>
      <c r="M8" s="34"/>
      <c r="N8" s="35"/>
    </row>
    <row r="9" spans="1:14" ht="18" customHeight="1" x14ac:dyDescent="0.2">
      <c r="A9" s="4"/>
      <c r="B9" s="27"/>
      <c r="C9" s="10">
        <f>IF(DAY(MarDom1)=1,MarDom1+29,MarDom1+36)</f>
        <v>42463</v>
      </c>
      <c r="D9" s="10">
        <f>IF(DAY(MarDom1)=1,MarDom1+30,MarDom1+37)</f>
        <v>42464</v>
      </c>
      <c r="E9" s="10">
        <f>IF(DAY(MarDom1)=1,MarDom1+31,MarDom1+38)</f>
        <v>42465</v>
      </c>
      <c r="F9" s="10">
        <f>IF(DAY(MarDom1)=1,MarDom1+32,MarDom1+39)</f>
        <v>42466</v>
      </c>
      <c r="G9" s="10">
        <f>IF(DAY(MarDom1)=1,MarDom1+33,MarDom1+40)</f>
        <v>42467</v>
      </c>
      <c r="H9" s="10">
        <f>IF(DAY(MarDom1)=1,MarDom1+34,MarDom1+41)</f>
        <v>42468</v>
      </c>
      <c r="I9" s="10">
        <f>IF(DAY(MarDom1)=1,MarDom1+35,MarDom1+42)</f>
        <v>42469</v>
      </c>
      <c r="J9" s="5"/>
      <c r="K9" s="12"/>
      <c r="L9" s="18"/>
      <c r="M9" s="36"/>
      <c r="N9" s="37"/>
    </row>
    <row r="10" spans="1:14" ht="18" customHeight="1" x14ac:dyDescent="0.2">
      <c r="A10" s="4"/>
      <c r="B10" s="28"/>
      <c r="C10" s="23"/>
      <c r="D10" s="23"/>
      <c r="E10" s="23"/>
      <c r="F10" s="23"/>
      <c r="G10" s="23"/>
      <c r="H10" s="23"/>
      <c r="I10" s="23"/>
      <c r="J10" s="24"/>
      <c r="K10" s="32" t="s">
        <v>19</v>
      </c>
      <c r="L10" s="16"/>
      <c r="M10" s="38"/>
      <c r="N10" s="39"/>
    </row>
    <row r="11" spans="1:14" ht="18" customHeight="1" x14ac:dyDescent="0.2">
      <c r="A11" s="4"/>
      <c r="B11" s="72" t="s">
        <v>1</v>
      </c>
      <c r="C11" s="73"/>
      <c r="D11" s="73"/>
      <c r="E11" s="73"/>
      <c r="F11" s="73"/>
      <c r="G11" s="73"/>
      <c r="H11" s="73"/>
      <c r="I11" s="73"/>
      <c r="J11" s="74"/>
      <c r="K11" s="33"/>
      <c r="L11" s="17"/>
      <c r="M11" s="34"/>
      <c r="N11" s="35"/>
    </row>
    <row r="12" spans="1:14" ht="18" customHeight="1" x14ac:dyDescent="0.2">
      <c r="A12" s="4"/>
      <c r="B12" s="72"/>
      <c r="C12" s="73"/>
      <c r="D12" s="73"/>
      <c r="E12" s="73"/>
      <c r="F12" s="73"/>
      <c r="G12" s="73"/>
      <c r="H12" s="73"/>
      <c r="I12" s="73"/>
      <c r="J12" s="74"/>
      <c r="K12" s="33"/>
      <c r="L12" s="17"/>
      <c r="M12" s="34"/>
      <c r="N12" s="35"/>
    </row>
    <row r="13" spans="1:14" ht="18" customHeight="1" x14ac:dyDescent="0.2">
      <c r="B13" s="3" t="s">
        <v>2</v>
      </c>
      <c r="C13" s="40" t="s">
        <v>9</v>
      </c>
      <c r="D13" s="42"/>
      <c r="E13" s="40" t="s">
        <v>15</v>
      </c>
      <c r="F13" s="42"/>
      <c r="G13" s="40" t="s">
        <v>16</v>
      </c>
      <c r="H13" s="42"/>
      <c r="I13" s="40" t="s">
        <v>17</v>
      </c>
      <c r="J13" s="41"/>
      <c r="K13" s="11"/>
      <c r="L13" s="17"/>
      <c r="M13" s="34"/>
      <c r="N13" s="35"/>
    </row>
    <row r="14" spans="1:14" ht="18" customHeight="1" x14ac:dyDescent="0.2">
      <c r="B14" s="8" t="s">
        <v>3</v>
      </c>
      <c r="C14" s="54"/>
      <c r="D14" s="55"/>
      <c r="E14" s="54" t="s">
        <v>3</v>
      </c>
      <c r="F14" s="55"/>
      <c r="G14" s="54"/>
      <c r="H14" s="55"/>
      <c r="I14" s="54" t="s">
        <v>3</v>
      </c>
      <c r="J14" s="64"/>
      <c r="K14" s="11"/>
      <c r="L14" s="17"/>
      <c r="M14" s="34"/>
      <c r="N14" s="35"/>
    </row>
    <row r="15" spans="1:14" ht="18" customHeight="1" x14ac:dyDescent="0.2">
      <c r="B15" s="6" t="s">
        <v>4</v>
      </c>
      <c r="C15" s="52"/>
      <c r="D15" s="53"/>
      <c r="E15" s="52" t="s">
        <v>4</v>
      </c>
      <c r="F15" s="53"/>
      <c r="G15" s="52"/>
      <c r="H15" s="53"/>
      <c r="I15" s="61" t="s">
        <v>4</v>
      </c>
      <c r="J15" s="62"/>
      <c r="K15" s="13"/>
      <c r="L15" s="19"/>
      <c r="M15" s="36"/>
      <c r="N15" s="37"/>
    </row>
    <row r="16" spans="1:14" ht="18" customHeight="1" x14ac:dyDescent="0.2">
      <c r="B16" s="8"/>
      <c r="C16" s="54" t="s">
        <v>10</v>
      </c>
      <c r="D16" s="55"/>
      <c r="E16" s="54"/>
      <c r="F16" s="55"/>
      <c r="G16" s="54" t="s">
        <v>10</v>
      </c>
      <c r="H16" s="55"/>
      <c r="I16" s="65"/>
      <c r="J16" s="66"/>
      <c r="K16" s="32" t="s">
        <v>15</v>
      </c>
      <c r="L16" s="16"/>
      <c r="M16" s="38"/>
      <c r="N16" s="39"/>
    </row>
    <row r="17" spans="2:14" ht="18" customHeight="1" x14ac:dyDescent="0.2">
      <c r="B17" s="6"/>
      <c r="C17" s="52" t="s">
        <v>11</v>
      </c>
      <c r="D17" s="53"/>
      <c r="E17" s="52"/>
      <c r="F17" s="53"/>
      <c r="G17" s="52" t="s">
        <v>11</v>
      </c>
      <c r="H17" s="53"/>
      <c r="I17" s="61"/>
      <c r="J17" s="62"/>
      <c r="K17" s="33"/>
      <c r="L17" s="17"/>
      <c r="M17" s="34"/>
      <c r="N17" s="35"/>
    </row>
    <row r="18" spans="2:14" ht="18" customHeight="1" x14ac:dyDescent="0.2">
      <c r="B18" s="9" t="s">
        <v>5</v>
      </c>
      <c r="C18" s="56"/>
      <c r="D18" s="57"/>
      <c r="E18" s="56" t="s">
        <v>5</v>
      </c>
      <c r="F18" s="57"/>
      <c r="G18" s="56"/>
      <c r="H18" s="57"/>
      <c r="I18" s="56" t="s">
        <v>5</v>
      </c>
      <c r="J18" s="63"/>
      <c r="K18" s="33"/>
      <c r="L18" s="17"/>
      <c r="M18" s="34"/>
      <c r="N18" s="35"/>
    </row>
    <row r="19" spans="2:14" ht="18" customHeight="1" x14ac:dyDescent="0.2">
      <c r="B19" s="6" t="s">
        <v>6</v>
      </c>
      <c r="C19" s="52"/>
      <c r="D19" s="53"/>
      <c r="E19" s="52" t="s">
        <v>6</v>
      </c>
      <c r="F19" s="53"/>
      <c r="G19" s="52"/>
      <c r="H19" s="53"/>
      <c r="I19" s="61" t="s">
        <v>6</v>
      </c>
      <c r="J19" s="62"/>
      <c r="K19" s="11"/>
      <c r="L19" s="17"/>
      <c r="M19" s="34"/>
      <c r="N19" s="35"/>
    </row>
    <row r="20" spans="2:14" ht="18" customHeight="1" x14ac:dyDescent="0.2">
      <c r="B20" s="8"/>
      <c r="C20" s="54"/>
      <c r="D20" s="55"/>
      <c r="E20" s="54"/>
      <c r="F20" s="55"/>
      <c r="G20" s="54"/>
      <c r="H20" s="55"/>
      <c r="I20" s="54"/>
      <c r="J20" s="64"/>
      <c r="K20" s="11"/>
      <c r="L20" s="17"/>
      <c r="M20" s="34"/>
      <c r="N20" s="35"/>
    </row>
    <row r="21" spans="2:14" ht="18" customHeight="1" x14ac:dyDescent="0.2">
      <c r="B21" s="6"/>
      <c r="C21" s="52"/>
      <c r="D21" s="53"/>
      <c r="E21" s="52"/>
      <c r="F21" s="53"/>
      <c r="G21" s="52"/>
      <c r="H21" s="53"/>
      <c r="I21" s="67"/>
      <c r="J21" s="68"/>
      <c r="K21" s="13"/>
      <c r="L21" s="19"/>
      <c r="M21" s="36"/>
      <c r="N21" s="37"/>
    </row>
    <row r="22" spans="2:14" ht="18" customHeight="1" x14ac:dyDescent="0.2">
      <c r="B22" s="8"/>
      <c r="C22" s="54"/>
      <c r="D22" s="55"/>
      <c r="E22" s="54"/>
      <c r="F22" s="55"/>
      <c r="G22" s="54"/>
      <c r="H22" s="55"/>
      <c r="I22" s="54"/>
      <c r="J22" s="64"/>
      <c r="K22" s="32" t="s">
        <v>20</v>
      </c>
      <c r="L22" s="16"/>
      <c r="M22" s="38"/>
      <c r="N22" s="39"/>
    </row>
    <row r="23" spans="2:14" ht="18" customHeight="1" x14ac:dyDescent="0.2">
      <c r="B23" s="6"/>
      <c r="C23" s="52"/>
      <c r="D23" s="53"/>
      <c r="E23" s="52"/>
      <c r="F23" s="53"/>
      <c r="G23" s="52"/>
      <c r="H23" s="53"/>
      <c r="I23" s="61"/>
      <c r="J23" s="62"/>
      <c r="K23" s="33"/>
      <c r="L23" s="17"/>
      <c r="M23" s="34"/>
      <c r="N23" s="35"/>
    </row>
    <row r="24" spans="2:14" ht="18" customHeight="1" x14ac:dyDescent="0.2">
      <c r="B24" s="8"/>
      <c r="C24" s="54"/>
      <c r="D24" s="55"/>
      <c r="E24" s="54"/>
      <c r="F24" s="55"/>
      <c r="G24" s="54"/>
      <c r="H24" s="55"/>
      <c r="I24" s="54"/>
      <c r="J24" s="64"/>
      <c r="K24" s="33"/>
      <c r="L24" s="17"/>
      <c r="M24" s="34"/>
      <c r="N24" s="35"/>
    </row>
    <row r="25" spans="2:14" ht="18" customHeight="1" x14ac:dyDescent="0.2">
      <c r="B25" s="6"/>
      <c r="C25" s="52"/>
      <c r="D25" s="53"/>
      <c r="E25" s="52"/>
      <c r="F25" s="53"/>
      <c r="G25" s="52"/>
      <c r="H25" s="53"/>
      <c r="I25" s="61"/>
      <c r="J25" s="62"/>
      <c r="K25" s="33"/>
      <c r="L25" s="17"/>
      <c r="M25" s="34"/>
      <c r="N25" s="35"/>
    </row>
    <row r="26" spans="2:14" ht="18" customHeight="1" x14ac:dyDescent="0.2">
      <c r="B26" s="31">
        <v>0.58333333333333337</v>
      </c>
      <c r="C26" s="54"/>
      <c r="D26" s="55"/>
      <c r="E26" s="58">
        <v>0.58333333333333337</v>
      </c>
      <c r="F26" s="55"/>
      <c r="G26" s="54"/>
      <c r="H26" s="55"/>
      <c r="I26" s="58">
        <v>0.58333333333333337</v>
      </c>
      <c r="J26" s="64"/>
      <c r="K26" s="11"/>
      <c r="L26" s="17"/>
      <c r="M26" s="34"/>
      <c r="N26" s="35"/>
    </row>
    <row r="27" spans="2:14" ht="18" customHeight="1" x14ac:dyDescent="0.2">
      <c r="B27" s="6" t="s">
        <v>7</v>
      </c>
      <c r="C27" s="52"/>
      <c r="D27" s="53"/>
      <c r="E27" s="52" t="s">
        <v>7</v>
      </c>
      <c r="F27" s="53"/>
      <c r="G27" s="52"/>
      <c r="H27" s="53"/>
      <c r="I27" s="61" t="s">
        <v>7</v>
      </c>
      <c r="J27" s="62"/>
      <c r="K27" s="13"/>
      <c r="L27" s="19"/>
      <c r="M27" s="36"/>
      <c r="N27" s="37"/>
    </row>
    <row r="28" spans="2:14" ht="18" customHeight="1" x14ac:dyDescent="0.2">
      <c r="B28" s="8"/>
      <c r="C28" s="54"/>
      <c r="D28" s="55"/>
      <c r="E28" s="54"/>
      <c r="F28" s="55"/>
      <c r="G28" s="54"/>
      <c r="H28" s="55"/>
      <c r="I28" s="54"/>
      <c r="J28" s="64"/>
      <c r="K28" s="32" t="s">
        <v>17</v>
      </c>
      <c r="L28" s="16"/>
      <c r="M28" s="38"/>
      <c r="N28" s="39"/>
    </row>
    <row r="29" spans="2:14" ht="18" customHeight="1" x14ac:dyDescent="0.2">
      <c r="B29" s="6"/>
      <c r="C29" s="52"/>
      <c r="D29" s="53"/>
      <c r="E29" s="52"/>
      <c r="F29" s="53"/>
      <c r="G29" s="52"/>
      <c r="H29" s="53"/>
      <c r="I29" s="52"/>
      <c r="J29" s="69"/>
      <c r="K29" s="33"/>
      <c r="L29" s="17"/>
      <c r="M29" s="34"/>
      <c r="N29" s="35"/>
    </row>
    <row r="30" spans="2:14" ht="18" customHeight="1" x14ac:dyDescent="0.2">
      <c r="B30" s="8"/>
      <c r="C30" s="58">
        <v>0.66666666666666663</v>
      </c>
      <c r="D30" s="55"/>
      <c r="E30" s="54"/>
      <c r="F30" s="55"/>
      <c r="G30" s="58">
        <v>0.66666666666666663</v>
      </c>
      <c r="H30" s="55"/>
      <c r="I30" s="77"/>
      <c r="J30" s="78"/>
      <c r="K30" s="33"/>
      <c r="L30" s="17"/>
      <c r="M30" s="34"/>
      <c r="N30" s="35"/>
    </row>
    <row r="31" spans="2:14" ht="18" customHeight="1" x14ac:dyDescent="0.2">
      <c r="B31" s="6"/>
      <c r="C31" s="52" t="s">
        <v>12</v>
      </c>
      <c r="D31" s="53"/>
      <c r="E31" s="52"/>
      <c r="F31" s="53"/>
      <c r="G31" s="52" t="s">
        <v>12</v>
      </c>
      <c r="H31" s="53"/>
      <c r="I31" s="52"/>
      <c r="J31" s="69"/>
      <c r="K31" s="14"/>
      <c r="L31" s="17"/>
      <c r="M31" s="34"/>
      <c r="N31" s="35"/>
    </row>
    <row r="32" spans="2:14" ht="18" customHeight="1" x14ac:dyDescent="0.2">
      <c r="B32" s="8"/>
      <c r="C32" s="54"/>
      <c r="D32" s="55"/>
      <c r="E32" s="54"/>
      <c r="F32" s="55"/>
      <c r="G32" s="54"/>
      <c r="H32" s="55"/>
      <c r="I32" s="65"/>
      <c r="J32" s="66"/>
      <c r="K32" s="14"/>
      <c r="L32" s="17"/>
      <c r="M32" s="34"/>
      <c r="N32" s="35"/>
    </row>
    <row r="33" spans="2:14" ht="18" customHeight="1" x14ac:dyDescent="0.2">
      <c r="B33" s="7"/>
      <c r="C33" s="59"/>
      <c r="D33" s="60"/>
      <c r="E33" s="59"/>
      <c r="F33" s="60"/>
      <c r="G33" s="59"/>
      <c r="H33" s="60"/>
      <c r="I33" s="79"/>
      <c r="J33" s="80"/>
      <c r="K33" s="15"/>
      <c r="L33" s="20"/>
      <c r="M33" s="75"/>
      <c r="N33" s="76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39" priority="3" stopIfTrue="1">
      <formula>DAY(C4)&gt;8</formula>
    </cfRule>
  </conditionalFormatting>
  <conditionalFormatting sqref="C8:I10">
    <cfRule type="expression" dxfId="38" priority="2" stopIfTrue="1">
      <formula>AND(DAY(C8)&gt;=1,DAY(C8)&lt;=15)</formula>
    </cfRule>
  </conditionalFormatting>
  <conditionalFormatting sqref="C4:I9">
    <cfRule type="expression" dxfId="37" priority="4">
      <formula>VLOOKUP(DAY(C4),DiasTarefa,1,FALSE)=DAY(C4)</formula>
    </cfRule>
  </conditionalFormatting>
  <conditionalFormatting sqref="B14:J33">
    <cfRule type="expression" dxfId="36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3.85546875" style="1" customWidth="1"/>
    <col min="3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29"/>
      <c r="C2" s="21"/>
      <c r="D2" s="21"/>
      <c r="E2" s="21"/>
      <c r="F2" s="21"/>
      <c r="G2" s="21"/>
      <c r="H2" s="21"/>
      <c r="I2" s="21"/>
      <c r="J2" s="22"/>
      <c r="K2" s="43" t="s">
        <v>18</v>
      </c>
      <c r="L2" s="44">
        <v>2013</v>
      </c>
      <c r="M2" s="44"/>
      <c r="N2" s="81">
        <f>AnoCalendário</f>
        <v>2016</v>
      </c>
    </row>
    <row r="3" spans="1:14" ht="21" customHeight="1" x14ac:dyDescent="0.2">
      <c r="A3" s="4"/>
      <c r="B3" s="70" t="s">
        <v>28</v>
      </c>
      <c r="C3" s="2" t="s">
        <v>8</v>
      </c>
      <c r="D3" s="2" t="s">
        <v>13</v>
      </c>
      <c r="E3" s="2" t="s">
        <v>33</v>
      </c>
      <c r="F3" s="2" t="s">
        <v>14</v>
      </c>
      <c r="G3" s="2" t="s">
        <v>14</v>
      </c>
      <c r="H3" s="2" t="s">
        <v>13</v>
      </c>
      <c r="I3" s="2" t="s">
        <v>13</v>
      </c>
      <c r="J3" s="5"/>
      <c r="K3" s="45"/>
      <c r="L3" s="46"/>
      <c r="M3" s="46"/>
      <c r="N3" s="82"/>
    </row>
    <row r="4" spans="1:14" ht="18" customHeight="1" x14ac:dyDescent="0.2">
      <c r="A4" s="4"/>
      <c r="B4" s="70"/>
      <c r="C4" s="10">
        <f>IF(DAY(AbrDom1)=1,AbrDom1-6,AbrDom1+1)</f>
        <v>42456</v>
      </c>
      <c r="D4" s="10">
        <f>IF(DAY(AbrDom1)=1,AbrDom1-5,AbrDom1+2)</f>
        <v>42457</v>
      </c>
      <c r="E4" s="10">
        <f>IF(DAY(AbrDom1)=1,AbrDom1-4,AbrDom1+3)</f>
        <v>42458</v>
      </c>
      <c r="F4" s="10">
        <f>IF(DAY(AbrDom1)=1,AbrDom1-3,AbrDom1+4)</f>
        <v>42459</v>
      </c>
      <c r="G4" s="10">
        <f>IF(DAY(AbrDom1)=1,AbrDom1-2,AbrDom1+5)</f>
        <v>42460</v>
      </c>
      <c r="H4" s="10">
        <f>IF(DAY(AbrDom1)=1,AbrDom1-1,AbrDom1+6)</f>
        <v>42461</v>
      </c>
      <c r="I4" s="10">
        <f>IF(DAY(AbrDom1)=1,AbrDom1,AbrDom1+7)</f>
        <v>42462</v>
      </c>
      <c r="J4" s="5"/>
      <c r="K4" s="47" t="s">
        <v>2</v>
      </c>
      <c r="L4" s="16"/>
      <c r="M4" s="48"/>
      <c r="N4" s="49"/>
    </row>
    <row r="5" spans="1:14" ht="18" customHeight="1" x14ac:dyDescent="0.2">
      <c r="A5" s="4"/>
      <c r="B5" s="27"/>
      <c r="C5" s="10">
        <f>IF(DAY(AbrDom1)=1,AbrDom1+1,AbrDom1+8)</f>
        <v>42463</v>
      </c>
      <c r="D5" s="10">
        <f>IF(DAY(AbrDom1)=1,AbrDom1+2,AbrDom1+9)</f>
        <v>42464</v>
      </c>
      <c r="E5" s="10">
        <f>IF(DAY(AbrDom1)=1,AbrDom1+3,AbrDom1+10)</f>
        <v>42465</v>
      </c>
      <c r="F5" s="10">
        <f>IF(DAY(AbrDom1)=1,AbrDom1+4,AbrDom1+11)</f>
        <v>42466</v>
      </c>
      <c r="G5" s="10">
        <f>IF(DAY(AbrDom1)=1,AbrDom1+5,AbrDom1+12)</f>
        <v>42467</v>
      </c>
      <c r="H5" s="10">
        <f>IF(DAY(AbrDom1)=1,AbrDom1+6,AbrDom1+13)</f>
        <v>42468</v>
      </c>
      <c r="I5" s="10">
        <f>IF(DAY(AbrDom1)=1,AbrDom1+7,AbrDom1+14)</f>
        <v>42469</v>
      </c>
      <c r="J5" s="5"/>
      <c r="K5" s="33"/>
      <c r="L5" s="17"/>
      <c r="M5" s="34"/>
      <c r="N5" s="35"/>
    </row>
    <row r="6" spans="1:14" ht="18" customHeight="1" x14ac:dyDescent="0.2">
      <c r="A6" s="4"/>
      <c r="B6" s="27"/>
      <c r="C6" s="10">
        <f>IF(DAY(AbrDom1)=1,AbrDom1+8,AbrDom1+15)</f>
        <v>42470</v>
      </c>
      <c r="D6" s="10">
        <f>IF(DAY(AbrDom1)=1,AbrDom1+9,AbrDom1+16)</f>
        <v>42471</v>
      </c>
      <c r="E6" s="10">
        <f>IF(DAY(AbrDom1)=1,AbrDom1+10,AbrDom1+17)</f>
        <v>42472</v>
      </c>
      <c r="F6" s="10">
        <f>IF(DAY(AbrDom1)=1,AbrDom1+11,AbrDom1+18)</f>
        <v>42473</v>
      </c>
      <c r="G6" s="10">
        <f>IF(DAY(AbrDom1)=1,AbrDom1+12,AbrDom1+19)</f>
        <v>42474</v>
      </c>
      <c r="H6" s="10">
        <f>IF(DAY(AbrDom1)=1,AbrDom1+13,AbrDom1+20)</f>
        <v>42475</v>
      </c>
      <c r="I6" s="10">
        <f>IF(DAY(AbrDom1)=1,AbrDom1+14,AbrDom1+21)</f>
        <v>42476</v>
      </c>
      <c r="J6" s="5"/>
      <c r="K6" s="33"/>
      <c r="L6" s="17"/>
      <c r="M6" s="34"/>
      <c r="N6" s="35"/>
    </row>
    <row r="7" spans="1:14" ht="18" customHeight="1" x14ac:dyDescent="0.2">
      <c r="A7" s="4"/>
      <c r="B7" s="27"/>
      <c r="C7" s="10">
        <f>IF(DAY(AbrDom1)=1,AbrDom1+15,AbrDom1+22)</f>
        <v>42477</v>
      </c>
      <c r="D7" s="10">
        <f>IF(DAY(AbrDom1)=1,AbrDom1+16,AbrDom1+23)</f>
        <v>42478</v>
      </c>
      <c r="E7" s="10">
        <f>IF(DAY(AbrDom1)=1,AbrDom1+17,AbrDom1+24)</f>
        <v>42479</v>
      </c>
      <c r="F7" s="10">
        <f>IF(DAY(AbrDom1)=1,AbrDom1+18,AbrDom1+25)</f>
        <v>42480</v>
      </c>
      <c r="G7" s="10">
        <f>IF(DAY(AbrDom1)=1,AbrDom1+19,AbrDom1+26)</f>
        <v>42481</v>
      </c>
      <c r="H7" s="10">
        <f>IF(DAY(AbrDom1)=1,AbrDom1+20,AbrDom1+27)</f>
        <v>42482</v>
      </c>
      <c r="I7" s="10">
        <f>IF(DAY(AbrDom1)=1,AbrDom1+21,AbrDom1+28)</f>
        <v>42483</v>
      </c>
      <c r="J7" s="5"/>
      <c r="K7" s="11"/>
      <c r="L7" s="17"/>
      <c r="M7" s="34"/>
      <c r="N7" s="35"/>
    </row>
    <row r="8" spans="1:14" ht="18.75" customHeight="1" x14ac:dyDescent="0.2">
      <c r="A8" s="4"/>
      <c r="B8" s="27"/>
      <c r="C8" s="10">
        <f>IF(DAY(AbrDom1)=1,AbrDom1+22,AbrDom1+29)</f>
        <v>42484</v>
      </c>
      <c r="D8" s="10">
        <f>IF(DAY(AbrDom1)=1,AbrDom1+23,AbrDom1+30)</f>
        <v>42485</v>
      </c>
      <c r="E8" s="10">
        <f>IF(DAY(AbrDom1)=1,AbrDom1+24,AbrDom1+31)</f>
        <v>42486</v>
      </c>
      <c r="F8" s="10">
        <f>IF(DAY(AbrDom1)=1,AbrDom1+25,AbrDom1+32)</f>
        <v>42487</v>
      </c>
      <c r="G8" s="10">
        <f>IF(DAY(AbrDom1)=1,AbrDom1+26,AbrDom1+33)</f>
        <v>42488</v>
      </c>
      <c r="H8" s="10">
        <f>IF(DAY(AbrDom1)=1,AbrDom1+27,AbrDom1+34)</f>
        <v>42489</v>
      </c>
      <c r="I8" s="10">
        <f>IF(DAY(AbrDom1)=1,AbrDom1+28,AbrDom1+35)</f>
        <v>42490</v>
      </c>
      <c r="J8" s="5"/>
      <c r="K8" s="11"/>
      <c r="L8" s="17"/>
      <c r="M8" s="34"/>
      <c r="N8" s="35"/>
    </row>
    <row r="9" spans="1:14" ht="18" customHeight="1" x14ac:dyDescent="0.2">
      <c r="A9" s="4"/>
      <c r="B9" s="27"/>
      <c r="C9" s="10">
        <f>IF(DAY(AbrDom1)=1,AbrDom1+29,AbrDom1+36)</f>
        <v>42491</v>
      </c>
      <c r="D9" s="10">
        <f>IF(DAY(AbrDom1)=1,AbrDom1+30,AbrDom1+37)</f>
        <v>42492</v>
      </c>
      <c r="E9" s="10">
        <f>IF(DAY(AbrDom1)=1,AbrDom1+31,AbrDom1+38)</f>
        <v>42493</v>
      </c>
      <c r="F9" s="10">
        <f>IF(DAY(AbrDom1)=1,AbrDom1+32,AbrDom1+39)</f>
        <v>42494</v>
      </c>
      <c r="G9" s="10">
        <f>IF(DAY(AbrDom1)=1,AbrDom1+33,AbrDom1+40)</f>
        <v>42495</v>
      </c>
      <c r="H9" s="10">
        <f>IF(DAY(AbrDom1)=1,AbrDom1+34,AbrDom1+41)</f>
        <v>42496</v>
      </c>
      <c r="I9" s="10">
        <f>IF(DAY(AbrDom1)=1,AbrDom1+35,AbrDom1+42)</f>
        <v>42497</v>
      </c>
      <c r="J9" s="5"/>
      <c r="K9" s="12"/>
      <c r="L9" s="18"/>
      <c r="M9" s="36"/>
      <c r="N9" s="37"/>
    </row>
    <row r="10" spans="1:14" ht="18" customHeight="1" x14ac:dyDescent="0.2">
      <c r="A10" s="4"/>
      <c r="B10" s="28"/>
      <c r="C10" s="23"/>
      <c r="D10" s="23"/>
      <c r="E10" s="23"/>
      <c r="F10" s="23"/>
      <c r="G10" s="23"/>
      <c r="H10" s="23"/>
      <c r="I10" s="23"/>
      <c r="J10" s="24"/>
      <c r="K10" s="32" t="s">
        <v>19</v>
      </c>
      <c r="L10" s="16"/>
      <c r="M10" s="38"/>
      <c r="N10" s="39"/>
    </row>
    <row r="11" spans="1:14" ht="18" customHeight="1" x14ac:dyDescent="0.2">
      <c r="A11" s="4"/>
      <c r="B11" s="72" t="s">
        <v>1</v>
      </c>
      <c r="C11" s="73"/>
      <c r="D11" s="73"/>
      <c r="E11" s="73"/>
      <c r="F11" s="73"/>
      <c r="G11" s="73"/>
      <c r="H11" s="73"/>
      <c r="I11" s="73"/>
      <c r="J11" s="74"/>
      <c r="K11" s="33"/>
      <c r="L11" s="17"/>
      <c r="M11" s="34"/>
      <c r="N11" s="35"/>
    </row>
    <row r="12" spans="1:14" ht="18" customHeight="1" x14ac:dyDescent="0.2">
      <c r="A12" s="4"/>
      <c r="B12" s="72"/>
      <c r="C12" s="73"/>
      <c r="D12" s="73"/>
      <c r="E12" s="73"/>
      <c r="F12" s="73"/>
      <c r="G12" s="73"/>
      <c r="H12" s="73"/>
      <c r="I12" s="73"/>
      <c r="J12" s="74"/>
      <c r="K12" s="33"/>
      <c r="L12" s="17"/>
      <c r="M12" s="34"/>
      <c r="N12" s="35"/>
    </row>
    <row r="13" spans="1:14" ht="18" customHeight="1" x14ac:dyDescent="0.2">
      <c r="B13" s="3" t="s">
        <v>2</v>
      </c>
      <c r="C13" s="40" t="s">
        <v>9</v>
      </c>
      <c r="D13" s="42"/>
      <c r="E13" s="40" t="s">
        <v>15</v>
      </c>
      <c r="F13" s="42"/>
      <c r="G13" s="40" t="s">
        <v>16</v>
      </c>
      <c r="H13" s="42"/>
      <c r="I13" s="40" t="s">
        <v>17</v>
      </c>
      <c r="J13" s="41"/>
      <c r="K13" s="11"/>
      <c r="L13" s="17"/>
      <c r="M13" s="34"/>
      <c r="N13" s="35"/>
    </row>
    <row r="14" spans="1:14" ht="18" customHeight="1" x14ac:dyDescent="0.2">
      <c r="B14" s="8" t="s">
        <v>3</v>
      </c>
      <c r="C14" s="54"/>
      <c r="D14" s="55"/>
      <c r="E14" s="54" t="s">
        <v>3</v>
      </c>
      <c r="F14" s="55"/>
      <c r="G14" s="54"/>
      <c r="H14" s="55"/>
      <c r="I14" s="54" t="s">
        <v>3</v>
      </c>
      <c r="J14" s="64"/>
      <c r="K14" s="11"/>
      <c r="L14" s="17"/>
      <c r="M14" s="34"/>
      <c r="N14" s="35"/>
    </row>
    <row r="15" spans="1:14" ht="18" customHeight="1" x14ac:dyDescent="0.2">
      <c r="B15" s="6" t="s">
        <v>4</v>
      </c>
      <c r="C15" s="52"/>
      <c r="D15" s="53"/>
      <c r="E15" s="52" t="s">
        <v>4</v>
      </c>
      <c r="F15" s="53"/>
      <c r="G15" s="52"/>
      <c r="H15" s="53"/>
      <c r="I15" s="61" t="s">
        <v>4</v>
      </c>
      <c r="J15" s="62"/>
      <c r="K15" s="13"/>
      <c r="L15" s="19"/>
      <c r="M15" s="36"/>
      <c r="N15" s="37"/>
    </row>
    <row r="16" spans="1:14" ht="18" customHeight="1" x14ac:dyDescent="0.2">
      <c r="B16" s="8"/>
      <c r="C16" s="54" t="s">
        <v>10</v>
      </c>
      <c r="D16" s="55"/>
      <c r="E16" s="54"/>
      <c r="F16" s="55"/>
      <c r="G16" s="54" t="s">
        <v>10</v>
      </c>
      <c r="H16" s="55"/>
      <c r="I16" s="65"/>
      <c r="J16" s="66"/>
      <c r="K16" s="32" t="s">
        <v>15</v>
      </c>
      <c r="L16" s="16"/>
      <c r="M16" s="38"/>
      <c r="N16" s="39"/>
    </row>
    <row r="17" spans="2:14" ht="18" customHeight="1" x14ac:dyDescent="0.2">
      <c r="B17" s="6"/>
      <c r="C17" s="52" t="s">
        <v>11</v>
      </c>
      <c r="D17" s="53"/>
      <c r="E17" s="52"/>
      <c r="F17" s="53"/>
      <c r="G17" s="52" t="s">
        <v>11</v>
      </c>
      <c r="H17" s="53"/>
      <c r="I17" s="61"/>
      <c r="J17" s="62"/>
      <c r="K17" s="33"/>
      <c r="L17" s="17"/>
      <c r="M17" s="34"/>
      <c r="N17" s="35"/>
    </row>
    <row r="18" spans="2:14" ht="18" customHeight="1" x14ac:dyDescent="0.2">
      <c r="B18" s="9" t="s">
        <v>5</v>
      </c>
      <c r="C18" s="56"/>
      <c r="D18" s="57"/>
      <c r="E18" s="56" t="s">
        <v>5</v>
      </c>
      <c r="F18" s="57"/>
      <c r="G18" s="56"/>
      <c r="H18" s="57"/>
      <c r="I18" s="56" t="s">
        <v>5</v>
      </c>
      <c r="J18" s="63"/>
      <c r="K18" s="33"/>
      <c r="L18" s="17"/>
      <c r="M18" s="34"/>
      <c r="N18" s="35"/>
    </row>
    <row r="19" spans="2:14" ht="18" customHeight="1" x14ac:dyDescent="0.2">
      <c r="B19" s="6" t="s">
        <v>6</v>
      </c>
      <c r="C19" s="52"/>
      <c r="D19" s="53"/>
      <c r="E19" s="52" t="s">
        <v>6</v>
      </c>
      <c r="F19" s="53"/>
      <c r="G19" s="52"/>
      <c r="H19" s="53"/>
      <c r="I19" s="61" t="s">
        <v>6</v>
      </c>
      <c r="J19" s="62"/>
      <c r="K19" s="11"/>
      <c r="L19" s="17"/>
      <c r="M19" s="34"/>
      <c r="N19" s="35"/>
    </row>
    <row r="20" spans="2:14" ht="18" customHeight="1" x14ac:dyDescent="0.2">
      <c r="B20" s="8"/>
      <c r="C20" s="54"/>
      <c r="D20" s="55"/>
      <c r="E20" s="54"/>
      <c r="F20" s="55"/>
      <c r="G20" s="54"/>
      <c r="H20" s="55"/>
      <c r="I20" s="54"/>
      <c r="J20" s="64"/>
      <c r="K20" s="11"/>
      <c r="L20" s="17"/>
      <c r="M20" s="34"/>
      <c r="N20" s="35"/>
    </row>
    <row r="21" spans="2:14" ht="18" customHeight="1" x14ac:dyDescent="0.2">
      <c r="B21" s="6"/>
      <c r="C21" s="52"/>
      <c r="D21" s="53"/>
      <c r="E21" s="52"/>
      <c r="F21" s="53"/>
      <c r="G21" s="52"/>
      <c r="H21" s="53"/>
      <c r="I21" s="67"/>
      <c r="J21" s="68"/>
      <c r="K21" s="13"/>
      <c r="L21" s="19"/>
      <c r="M21" s="36"/>
      <c r="N21" s="37"/>
    </row>
    <row r="22" spans="2:14" ht="18" customHeight="1" x14ac:dyDescent="0.2">
      <c r="B22" s="8"/>
      <c r="C22" s="54"/>
      <c r="D22" s="55"/>
      <c r="E22" s="54"/>
      <c r="F22" s="55"/>
      <c r="G22" s="54"/>
      <c r="H22" s="55"/>
      <c r="I22" s="54"/>
      <c r="J22" s="64"/>
      <c r="K22" s="32" t="s">
        <v>20</v>
      </c>
      <c r="L22" s="16"/>
      <c r="M22" s="38"/>
      <c r="N22" s="39"/>
    </row>
    <row r="23" spans="2:14" ht="18" customHeight="1" x14ac:dyDescent="0.2">
      <c r="B23" s="6"/>
      <c r="C23" s="52"/>
      <c r="D23" s="53"/>
      <c r="E23" s="52"/>
      <c r="F23" s="53"/>
      <c r="G23" s="52"/>
      <c r="H23" s="53"/>
      <c r="I23" s="61"/>
      <c r="J23" s="62"/>
      <c r="K23" s="33"/>
      <c r="L23" s="17"/>
      <c r="M23" s="34"/>
      <c r="N23" s="35"/>
    </row>
    <row r="24" spans="2:14" ht="18" customHeight="1" x14ac:dyDescent="0.2">
      <c r="B24" s="8"/>
      <c r="C24" s="54"/>
      <c r="D24" s="55"/>
      <c r="E24" s="54"/>
      <c r="F24" s="55"/>
      <c r="G24" s="54"/>
      <c r="H24" s="55"/>
      <c r="I24" s="54"/>
      <c r="J24" s="64"/>
      <c r="K24" s="33"/>
      <c r="L24" s="17"/>
      <c r="M24" s="34"/>
      <c r="N24" s="35"/>
    </row>
    <row r="25" spans="2:14" ht="18" customHeight="1" x14ac:dyDescent="0.2">
      <c r="B25" s="6"/>
      <c r="C25" s="52"/>
      <c r="D25" s="53"/>
      <c r="E25" s="52"/>
      <c r="F25" s="53"/>
      <c r="G25" s="52"/>
      <c r="H25" s="53"/>
      <c r="I25" s="61"/>
      <c r="J25" s="62"/>
      <c r="K25" s="33"/>
      <c r="L25" s="17"/>
      <c r="M25" s="34"/>
      <c r="N25" s="35"/>
    </row>
    <row r="26" spans="2:14" ht="18" customHeight="1" x14ac:dyDescent="0.2">
      <c r="B26" s="31">
        <v>0.58333333333333337</v>
      </c>
      <c r="C26" s="54"/>
      <c r="D26" s="55"/>
      <c r="E26" s="58">
        <v>0.58333333333333337</v>
      </c>
      <c r="F26" s="55"/>
      <c r="G26" s="54"/>
      <c r="H26" s="55"/>
      <c r="I26" s="58">
        <v>0.58333333333333337</v>
      </c>
      <c r="J26" s="64"/>
      <c r="K26" s="11"/>
      <c r="L26" s="17"/>
      <c r="M26" s="34"/>
      <c r="N26" s="35"/>
    </row>
    <row r="27" spans="2:14" ht="18" customHeight="1" x14ac:dyDescent="0.2">
      <c r="B27" s="6" t="s">
        <v>7</v>
      </c>
      <c r="C27" s="52"/>
      <c r="D27" s="53"/>
      <c r="E27" s="52" t="s">
        <v>7</v>
      </c>
      <c r="F27" s="53"/>
      <c r="G27" s="52"/>
      <c r="H27" s="53"/>
      <c r="I27" s="61" t="s">
        <v>7</v>
      </c>
      <c r="J27" s="62"/>
      <c r="K27" s="13"/>
      <c r="L27" s="19"/>
      <c r="M27" s="36"/>
      <c r="N27" s="37"/>
    </row>
    <row r="28" spans="2:14" ht="18" customHeight="1" x14ac:dyDescent="0.2">
      <c r="B28" s="8"/>
      <c r="C28" s="54"/>
      <c r="D28" s="55"/>
      <c r="E28" s="54"/>
      <c r="F28" s="55"/>
      <c r="G28" s="54"/>
      <c r="H28" s="55"/>
      <c r="I28" s="54"/>
      <c r="J28" s="64"/>
      <c r="K28" s="32" t="s">
        <v>17</v>
      </c>
      <c r="L28" s="16"/>
      <c r="M28" s="38"/>
      <c r="N28" s="39"/>
    </row>
    <row r="29" spans="2:14" ht="18" customHeight="1" x14ac:dyDescent="0.2">
      <c r="B29" s="6"/>
      <c r="C29" s="52"/>
      <c r="D29" s="53"/>
      <c r="E29" s="52"/>
      <c r="F29" s="53"/>
      <c r="G29" s="52"/>
      <c r="H29" s="53"/>
      <c r="I29" s="52"/>
      <c r="J29" s="69"/>
      <c r="K29" s="33"/>
      <c r="L29" s="17"/>
      <c r="M29" s="34"/>
      <c r="N29" s="35"/>
    </row>
    <row r="30" spans="2:14" ht="18" customHeight="1" x14ac:dyDescent="0.2">
      <c r="B30" s="8"/>
      <c r="C30" s="58">
        <v>0.66666666666666663</v>
      </c>
      <c r="D30" s="55"/>
      <c r="E30" s="54"/>
      <c r="F30" s="55"/>
      <c r="G30" s="58">
        <v>0.66666666666666663</v>
      </c>
      <c r="H30" s="55"/>
      <c r="I30" s="77"/>
      <c r="J30" s="78"/>
      <c r="K30" s="33"/>
      <c r="L30" s="17"/>
      <c r="M30" s="34"/>
      <c r="N30" s="35"/>
    </row>
    <row r="31" spans="2:14" ht="18" customHeight="1" x14ac:dyDescent="0.2">
      <c r="B31" s="6"/>
      <c r="C31" s="52" t="s">
        <v>12</v>
      </c>
      <c r="D31" s="53"/>
      <c r="E31" s="52"/>
      <c r="F31" s="53"/>
      <c r="G31" s="52" t="s">
        <v>12</v>
      </c>
      <c r="H31" s="53"/>
      <c r="I31" s="52"/>
      <c r="J31" s="69"/>
      <c r="K31" s="14"/>
      <c r="L31" s="17"/>
      <c r="M31" s="34"/>
      <c r="N31" s="35"/>
    </row>
    <row r="32" spans="2:14" ht="18" customHeight="1" x14ac:dyDescent="0.2">
      <c r="B32" s="8"/>
      <c r="C32" s="54"/>
      <c r="D32" s="55"/>
      <c r="E32" s="54"/>
      <c r="F32" s="55"/>
      <c r="G32" s="54"/>
      <c r="H32" s="55"/>
      <c r="I32" s="65"/>
      <c r="J32" s="66"/>
      <c r="K32" s="14"/>
      <c r="L32" s="17"/>
      <c r="M32" s="34"/>
      <c r="N32" s="35"/>
    </row>
    <row r="33" spans="2:14" ht="18" customHeight="1" x14ac:dyDescent="0.2">
      <c r="B33" s="7"/>
      <c r="C33" s="59"/>
      <c r="D33" s="60"/>
      <c r="E33" s="59"/>
      <c r="F33" s="60"/>
      <c r="G33" s="59"/>
      <c r="H33" s="60"/>
      <c r="I33" s="79"/>
      <c r="J33" s="80"/>
      <c r="K33" s="15"/>
      <c r="L33" s="20"/>
      <c r="M33" s="75"/>
      <c r="N33" s="76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35" priority="3" stopIfTrue="1">
      <formula>DAY(C4)&gt;8</formula>
    </cfRule>
  </conditionalFormatting>
  <conditionalFormatting sqref="C8:I10">
    <cfRule type="expression" dxfId="34" priority="2" stopIfTrue="1">
      <formula>AND(DAY(C8)&gt;=1,DAY(C8)&lt;=15)</formula>
    </cfRule>
  </conditionalFormatting>
  <conditionalFormatting sqref="C4:I9">
    <cfRule type="expression" dxfId="33" priority="4">
      <formula>VLOOKUP(DAY(C4),DiasTarefa,1,FALSE)=DAY(C4)</formula>
    </cfRule>
  </conditionalFormatting>
  <conditionalFormatting sqref="B14:J33">
    <cfRule type="expression" dxfId="32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3.85546875" style="1" customWidth="1"/>
    <col min="3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29"/>
      <c r="C2" s="21"/>
      <c r="D2" s="21"/>
      <c r="E2" s="21"/>
      <c r="F2" s="21"/>
      <c r="G2" s="21"/>
      <c r="H2" s="21"/>
      <c r="I2" s="21"/>
      <c r="J2" s="22"/>
      <c r="K2" s="43" t="s">
        <v>18</v>
      </c>
      <c r="L2" s="44">
        <v>2013</v>
      </c>
      <c r="M2" s="44"/>
      <c r="N2" s="81">
        <f>AnoCalendário</f>
        <v>2016</v>
      </c>
    </row>
    <row r="3" spans="1:14" ht="21" customHeight="1" x14ac:dyDescent="0.2">
      <c r="A3" s="4"/>
      <c r="B3" s="70" t="s">
        <v>34</v>
      </c>
      <c r="C3" s="2" t="s">
        <v>8</v>
      </c>
      <c r="D3" s="2" t="s">
        <v>13</v>
      </c>
      <c r="E3" s="2" t="s">
        <v>33</v>
      </c>
      <c r="F3" s="2" t="s">
        <v>14</v>
      </c>
      <c r="G3" s="2" t="s">
        <v>14</v>
      </c>
      <c r="H3" s="2" t="s">
        <v>13</v>
      </c>
      <c r="I3" s="2" t="s">
        <v>13</v>
      </c>
      <c r="J3" s="5"/>
      <c r="K3" s="45"/>
      <c r="L3" s="46"/>
      <c r="M3" s="46"/>
      <c r="N3" s="82"/>
    </row>
    <row r="4" spans="1:14" ht="18" customHeight="1" x14ac:dyDescent="0.2">
      <c r="A4" s="4"/>
      <c r="B4" s="70"/>
      <c r="C4" s="10">
        <f>IF(DAY(MaiDom1)=1,MaiDom1-6,MaiDom1+1)</f>
        <v>42491</v>
      </c>
      <c r="D4" s="10">
        <f>IF(DAY(MaiDom1)=1,MaiDom1-5,MaiDom1+2)</f>
        <v>42492</v>
      </c>
      <c r="E4" s="10">
        <f>IF(DAY(MaiDom1)=1,MaiDom1-4,MaiDom1+3)</f>
        <v>42493</v>
      </c>
      <c r="F4" s="10">
        <f>IF(DAY(MaiDom1)=1,MaiDom1-3,MaiDom1+4)</f>
        <v>42494</v>
      </c>
      <c r="G4" s="10">
        <f>IF(DAY(MaiDom1)=1,MaiDom1-2,MaiDom1+5)</f>
        <v>42495</v>
      </c>
      <c r="H4" s="10">
        <f>IF(DAY(MaiDom1)=1,MaiDom1-1,MaiDom1+6)</f>
        <v>42496</v>
      </c>
      <c r="I4" s="10">
        <f>IF(DAY(MaiDom1)=1,MaiDom1,MaiDom1+7)</f>
        <v>42497</v>
      </c>
      <c r="J4" s="5"/>
      <c r="K4" s="47" t="s">
        <v>2</v>
      </c>
      <c r="L4" s="16"/>
      <c r="M4" s="48"/>
      <c r="N4" s="49"/>
    </row>
    <row r="5" spans="1:14" ht="18" customHeight="1" x14ac:dyDescent="0.2">
      <c r="A5" s="4"/>
      <c r="B5" s="27"/>
      <c r="C5" s="10">
        <f>IF(DAY(MaiDom1)=1,MaiDom1+1,MaiDom1+8)</f>
        <v>42498</v>
      </c>
      <c r="D5" s="10">
        <f>IF(DAY(MaiDom1)=1,MaiDom1+2,MaiDom1+9)</f>
        <v>42499</v>
      </c>
      <c r="E5" s="10">
        <f>IF(DAY(MaiDom1)=1,MaiDom1+3,MaiDom1+10)</f>
        <v>42500</v>
      </c>
      <c r="F5" s="10">
        <f>IF(DAY(MaiDom1)=1,MaiDom1+4,MaiDom1+11)</f>
        <v>42501</v>
      </c>
      <c r="G5" s="10">
        <f>IF(DAY(MaiDom1)=1,MaiDom1+5,MaiDom1+12)</f>
        <v>42502</v>
      </c>
      <c r="H5" s="10">
        <f>IF(DAY(MaiDom1)=1,MaiDom1+6,MaiDom1+13)</f>
        <v>42503</v>
      </c>
      <c r="I5" s="10">
        <f>IF(DAY(MaiDom1)=1,MaiDom1+7,MaiDom1+14)</f>
        <v>42504</v>
      </c>
      <c r="J5" s="5"/>
      <c r="K5" s="33"/>
      <c r="L5" s="17"/>
      <c r="M5" s="34"/>
      <c r="N5" s="35"/>
    </row>
    <row r="6" spans="1:14" ht="18" customHeight="1" x14ac:dyDescent="0.2">
      <c r="A6" s="4"/>
      <c r="B6" s="27"/>
      <c r="C6" s="10">
        <f>IF(DAY(MaiDom1)=1,MaiDom1+8,MaiDom1+15)</f>
        <v>42505</v>
      </c>
      <c r="D6" s="10">
        <f>IF(DAY(MaiDom1)=1,MaiDom1+9,MaiDom1+16)</f>
        <v>42506</v>
      </c>
      <c r="E6" s="10">
        <f>IF(DAY(MaiDom1)=1,MaiDom1+10,MaiDom1+17)</f>
        <v>42507</v>
      </c>
      <c r="F6" s="10">
        <f>IF(DAY(MaiDom1)=1,MaiDom1+11,MaiDom1+18)</f>
        <v>42508</v>
      </c>
      <c r="G6" s="10">
        <f>IF(DAY(MaiDom1)=1,MaiDom1+12,MaiDom1+19)</f>
        <v>42509</v>
      </c>
      <c r="H6" s="10">
        <f>IF(DAY(MaiDom1)=1,MaiDom1+13,MaiDom1+20)</f>
        <v>42510</v>
      </c>
      <c r="I6" s="10">
        <f>IF(DAY(MaiDom1)=1,MaiDom1+14,MaiDom1+21)</f>
        <v>42511</v>
      </c>
      <c r="J6" s="5"/>
      <c r="K6" s="33"/>
      <c r="L6" s="17"/>
      <c r="M6" s="34"/>
      <c r="N6" s="35"/>
    </row>
    <row r="7" spans="1:14" ht="18" customHeight="1" x14ac:dyDescent="0.2">
      <c r="A7" s="4"/>
      <c r="B7" s="27"/>
      <c r="C7" s="10">
        <f>IF(DAY(MaiDom1)=1,MaiDom1+15,MaiDom1+22)</f>
        <v>42512</v>
      </c>
      <c r="D7" s="10">
        <f>IF(DAY(MaiDom1)=1,MaiDom1+16,MaiDom1+23)</f>
        <v>42513</v>
      </c>
      <c r="E7" s="10">
        <f>IF(DAY(MaiDom1)=1,MaiDom1+17,MaiDom1+24)</f>
        <v>42514</v>
      </c>
      <c r="F7" s="10">
        <f>IF(DAY(MaiDom1)=1,MaiDom1+18,MaiDom1+25)</f>
        <v>42515</v>
      </c>
      <c r="G7" s="10">
        <f>IF(DAY(MaiDom1)=1,MaiDom1+19,MaiDom1+26)</f>
        <v>42516</v>
      </c>
      <c r="H7" s="10">
        <f>IF(DAY(MaiDom1)=1,MaiDom1+20,MaiDom1+27)</f>
        <v>42517</v>
      </c>
      <c r="I7" s="10">
        <f>IF(DAY(MaiDom1)=1,MaiDom1+21,MaiDom1+28)</f>
        <v>42518</v>
      </c>
      <c r="J7" s="5"/>
      <c r="K7" s="11"/>
      <c r="L7" s="17"/>
      <c r="M7" s="34"/>
      <c r="N7" s="35"/>
    </row>
    <row r="8" spans="1:14" ht="18.75" customHeight="1" x14ac:dyDescent="0.2">
      <c r="A8" s="4"/>
      <c r="B8" s="27"/>
      <c r="C8" s="10">
        <f>IF(DAY(MaiDom1)=1,MaiDom1+22,MaiDom1+29)</f>
        <v>42519</v>
      </c>
      <c r="D8" s="10">
        <f>IF(DAY(MaiDom1)=1,MaiDom1+23,MaiDom1+30)</f>
        <v>42520</v>
      </c>
      <c r="E8" s="10">
        <f>IF(DAY(MaiDom1)=1,MaiDom1+24,MaiDom1+31)</f>
        <v>42521</v>
      </c>
      <c r="F8" s="10">
        <f>IF(DAY(MaiDom1)=1,MaiDom1+25,MaiDom1+32)</f>
        <v>42522</v>
      </c>
      <c r="G8" s="10">
        <f>IF(DAY(MaiDom1)=1,MaiDom1+26,MaiDom1+33)</f>
        <v>42523</v>
      </c>
      <c r="H8" s="10">
        <f>IF(DAY(MaiDom1)=1,MaiDom1+27,MaiDom1+34)</f>
        <v>42524</v>
      </c>
      <c r="I8" s="10">
        <f>IF(DAY(MaiDom1)=1,MaiDom1+28,MaiDom1+35)</f>
        <v>42525</v>
      </c>
      <c r="J8" s="5"/>
      <c r="K8" s="11"/>
      <c r="L8" s="17"/>
      <c r="M8" s="34"/>
      <c r="N8" s="35"/>
    </row>
    <row r="9" spans="1:14" ht="18" customHeight="1" x14ac:dyDescent="0.2">
      <c r="A9" s="4"/>
      <c r="B9" s="27"/>
      <c r="C9" s="10">
        <f>IF(DAY(MaiDom1)=1,MaiDom1+29,MaiDom1+36)</f>
        <v>42526</v>
      </c>
      <c r="D9" s="10">
        <f>IF(DAY(MaiDom1)=1,MaiDom1+30,MaiDom1+37)</f>
        <v>42527</v>
      </c>
      <c r="E9" s="10">
        <f>IF(DAY(MaiDom1)=1,MaiDom1+31,MaiDom1+38)</f>
        <v>42528</v>
      </c>
      <c r="F9" s="10">
        <f>IF(DAY(MaiDom1)=1,MaiDom1+32,MaiDom1+39)</f>
        <v>42529</v>
      </c>
      <c r="G9" s="10">
        <f>IF(DAY(MaiDom1)=1,MaiDom1+33,MaiDom1+40)</f>
        <v>42530</v>
      </c>
      <c r="H9" s="10">
        <f>IF(DAY(MaiDom1)=1,MaiDom1+34,MaiDom1+41)</f>
        <v>42531</v>
      </c>
      <c r="I9" s="10">
        <f>IF(DAY(MaiDom1)=1,MaiDom1+35,MaiDom1+42)</f>
        <v>42532</v>
      </c>
      <c r="J9" s="5"/>
      <c r="K9" s="12"/>
      <c r="L9" s="18"/>
      <c r="M9" s="36"/>
      <c r="N9" s="37"/>
    </row>
    <row r="10" spans="1:14" ht="18" customHeight="1" x14ac:dyDescent="0.2">
      <c r="A10" s="4"/>
      <c r="B10" s="28"/>
      <c r="C10" s="23"/>
      <c r="D10" s="23"/>
      <c r="E10" s="23"/>
      <c r="F10" s="23"/>
      <c r="G10" s="23"/>
      <c r="H10" s="23"/>
      <c r="I10" s="23"/>
      <c r="J10" s="24"/>
      <c r="K10" s="32" t="s">
        <v>19</v>
      </c>
      <c r="L10" s="16"/>
      <c r="M10" s="38"/>
      <c r="N10" s="39"/>
    </row>
    <row r="11" spans="1:14" ht="18" customHeight="1" x14ac:dyDescent="0.2">
      <c r="A11" s="4"/>
      <c r="B11" s="72" t="s">
        <v>1</v>
      </c>
      <c r="C11" s="73"/>
      <c r="D11" s="73"/>
      <c r="E11" s="73"/>
      <c r="F11" s="73"/>
      <c r="G11" s="73"/>
      <c r="H11" s="73"/>
      <c r="I11" s="73"/>
      <c r="J11" s="74"/>
      <c r="K11" s="33"/>
      <c r="L11" s="17"/>
      <c r="M11" s="34"/>
      <c r="N11" s="35"/>
    </row>
    <row r="12" spans="1:14" ht="18" customHeight="1" x14ac:dyDescent="0.2">
      <c r="A12" s="4"/>
      <c r="B12" s="72"/>
      <c r="C12" s="73"/>
      <c r="D12" s="73"/>
      <c r="E12" s="73"/>
      <c r="F12" s="73"/>
      <c r="G12" s="73"/>
      <c r="H12" s="73"/>
      <c r="I12" s="73"/>
      <c r="J12" s="74"/>
      <c r="K12" s="33"/>
      <c r="L12" s="17"/>
      <c r="M12" s="34"/>
      <c r="N12" s="35"/>
    </row>
    <row r="13" spans="1:14" ht="18" customHeight="1" x14ac:dyDescent="0.2">
      <c r="B13" s="3" t="s">
        <v>2</v>
      </c>
      <c r="C13" s="40" t="s">
        <v>9</v>
      </c>
      <c r="D13" s="42"/>
      <c r="E13" s="40" t="s">
        <v>15</v>
      </c>
      <c r="F13" s="42"/>
      <c r="G13" s="40" t="s">
        <v>16</v>
      </c>
      <c r="H13" s="42"/>
      <c r="I13" s="40" t="s">
        <v>17</v>
      </c>
      <c r="J13" s="41"/>
      <c r="K13" s="11"/>
      <c r="L13" s="17"/>
      <c r="M13" s="34"/>
      <c r="N13" s="35"/>
    </row>
    <row r="14" spans="1:14" ht="18" customHeight="1" x14ac:dyDescent="0.2">
      <c r="B14" s="8" t="s">
        <v>3</v>
      </c>
      <c r="C14" s="54"/>
      <c r="D14" s="55"/>
      <c r="E14" s="54" t="s">
        <v>3</v>
      </c>
      <c r="F14" s="55"/>
      <c r="G14" s="54"/>
      <c r="H14" s="55"/>
      <c r="I14" s="54" t="s">
        <v>3</v>
      </c>
      <c r="J14" s="64"/>
      <c r="K14" s="11"/>
      <c r="L14" s="17"/>
      <c r="M14" s="34"/>
      <c r="N14" s="35"/>
    </row>
    <row r="15" spans="1:14" ht="18" customHeight="1" x14ac:dyDescent="0.2">
      <c r="B15" s="6" t="s">
        <v>4</v>
      </c>
      <c r="C15" s="52"/>
      <c r="D15" s="53"/>
      <c r="E15" s="52" t="s">
        <v>4</v>
      </c>
      <c r="F15" s="53"/>
      <c r="G15" s="52"/>
      <c r="H15" s="53"/>
      <c r="I15" s="61" t="s">
        <v>4</v>
      </c>
      <c r="J15" s="62"/>
      <c r="K15" s="13"/>
      <c r="L15" s="19"/>
      <c r="M15" s="36"/>
      <c r="N15" s="37"/>
    </row>
    <row r="16" spans="1:14" ht="18" customHeight="1" x14ac:dyDescent="0.2">
      <c r="B16" s="8"/>
      <c r="C16" s="54" t="s">
        <v>10</v>
      </c>
      <c r="D16" s="55"/>
      <c r="E16" s="54"/>
      <c r="F16" s="55"/>
      <c r="G16" s="54" t="s">
        <v>10</v>
      </c>
      <c r="H16" s="55"/>
      <c r="I16" s="65"/>
      <c r="J16" s="66"/>
      <c r="K16" s="32" t="s">
        <v>15</v>
      </c>
      <c r="L16" s="16"/>
      <c r="M16" s="38"/>
      <c r="N16" s="39"/>
    </row>
    <row r="17" spans="2:14" ht="18" customHeight="1" x14ac:dyDescent="0.2">
      <c r="B17" s="6"/>
      <c r="C17" s="52" t="s">
        <v>11</v>
      </c>
      <c r="D17" s="53"/>
      <c r="E17" s="52"/>
      <c r="F17" s="53"/>
      <c r="G17" s="52" t="s">
        <v>11</v>
      </c>
      <c r="H17" s="53"/>
      <c r="I17" s="61"/>
      <c r="J17" s="62"/>
      <c r="K17" s="33"/>
      <c r="L17" s="17"/>
      <c r="M17" s="34"/>
      <c r="N17" s="35"/>
    </row>
    <row r="18" spans="2:14" ht="18" customHeight="1" x14ac:dyDescent="0.2">
      <c r="B18" s="9" t="s">
        <v>5</v>
      </c>
      <c r="C18" s="56"/>
      <c r="D18" s="57"/>
      <c r="E18" s="56" t="s">
        <v>5</v>
      </c>
      <c r="F18" s="57"/>
      <c r="G18" s="56"/>
      <c r="H18" s="57"/>
      <c r="I18" s="56" t="s">
        <v>5</v>
      </c>
      <c r="J18" s="63"/>
      <c r="K18" s="33"/>
      <c r="L18" s="17"/>
      <c r="M18" s="34"/>
      <c r="N18" s="35"/>
    </row>
    <row r="19" spans="2:14" ht="18" customHeight="1" x14ac:dyDescent="0.2">
      <c r="B19" s="6" t="s">
        <v>6</v>
      </c>
      <c r="C19" s="52"/>
      <c r="D19" s="53"/>
      <c r="E19" s="52" t="s">
        <v>6</v>
      </c>
      <c r="F19" s="53"/>
      <c r="G19" s="52"/>
      <c r="H19" s="53"/>
      <c r="I19" s="61" t="s">
        <v>6</v>
      </c>
      <c r="J19" s="62"/>
      <c r="K19" s="11"/>
      <c r="L19" s="17"/>
      <c r="M19" s="34"/>
      <c r="N19" s="35"/>
    </row>
    <row r="20" spans="2:14" ht="18" customHeight="1" x14ac:dyDescent="0.2">
      <c r="B20" s="8"/>
      <c r="C20" s="54"/>
      <c r="D20" s="55"/>
      <c r="E20" s="54"/>
      <c r="F20" s="55"/>
      <c r="G20" s="54"/>
      <c r="H20" s="55"/>
      <c r="I20" s="54"/>
      <c r="J20" s="64"/>
      <c r="K20" s="11"/>
      <c r="L20" s="17"/>
      <c r="M20" s="34"/>
      <c r="N20" s="35"/>
    </row>
    <row r="21" spans="2:14" ht="18" customHeight="1" x14ac:dyDescent="0.2">
      <c r="B21" s="6"/>
      <c r="C21" s="52"/>
      <c r="D21" s="53"/>
      <c r="E21" s="52"/>
      <c r="F21" s="53"/>
      <c r="G21" s="52"/>
      <c r="H21" s="53"/>
      <c r="I21" s="67"/>
      <c r="J21" s="68"/>
      <c r="K21" s="13"/>
      <c r="L21" s="19"/>
      <c r="M21" s="36"/>
      <c r="N21" s="37"/>
    </row>
    <row r="22" spans="2:14" ht="18" customHeight="1" x14ac:dyDescent="0.2">
      <c r="B22" s="8"/>
      <c r="C22" s="54"/>
      <c r="D22" s="55"/>
      <c r="E22" s="54"/>
      <c r="F22" s="55"/>
      <c r="G22" s="54"/>
      <c r="H22" s="55"/>
      <c r="I22" s="54"/>
      <c r="J22" s="64"/>
      <c r="K22" s="32" t="s">
        <v>20</v>
      </c>
      <c r="L22" s="16"/>
      <c r="M22" s="38"/>
      <c r="N22" s="39"/>
    </row>
    <row r="23" spans="2:14" ht="18" customHeight="1" x14ac:dyDescent="0.2">
      <c r="B23" s="6"/>
      <c r="C23" s="52"/>
      <c r="D23" s="53"/>
      <c r="E23" s="52"/>
      <c r="F23" s="53"/>
      <c r="G23" s="52"/>
      <c r="H23" s="53"/>
      <c r="I23" s="61"/>
      <c r="J23" s="62"/>
      <c r="K23" s="33"/>
      <c r="L23" s="17"/>
      <c r="M23" s="34"/>
      <c r="N23" s="35"/>
    </row>
    <row r="24" spans="2:14" ht="18" customHeight="1" x14ac:dyDescent="0.2">
      <c r="B24" s="8"/>
      <c r="C24" s="54"/>
      <c r="D24" s="55"/>
      <c r="E24" s="54"/>
      <c r="F24" s="55"/>
      <c r="G24" s="54"/>
      <c r="H24" s="55"/>
      <c r="I24" s="54"/>
      <c r="J24" s="64"/>
      <c r="K24" s="33"/>
      <c r="L24" s="17"/>
      <c r="M24" s="34"/>
      <c r="N24" s="35"/>
    </row>
    <row r="25" spans="2:14" ht="18" customHeight="1" x14ac:dyDescent="0.2">
      <c r="B25" s="6"/>
      <c r="C25" s="52"/>
      <c r="D25" s="53"/>
      <c r="E25" s="52"/>
      <c r="F25" s="53"/>
      <c r="G25" s="52"/>
      <c r="H25" s="53"/>
      <c r="I25" s="61"/>
      <c r="J25" s="62"/>
      <c r="K25" s="33"/>
      <c r="L25" s="17"/>
      <c r="M25" s="34"/>
      <c r="N25" s="35"/>
    </row>
    <row r="26" spans="2:14" ht="18" customHeight="1" x14ac:dyDescent="0.2">
      <c r="B26" s="31">
        <v>0.58333333333333337</v>
      </c>
      <c r="C26" s="54"/>
      <c r="D26" s="55"/>
      <c r="E26" s="58">
        <v>0.58333333333333337</v>
      </c>
      <c r="F26" s="55"/>
      <c r="G26" s="54"/>
      <c r="H26" s="55"/>
      <c r="I26" s="58">
        <v>0.58333333333333337</v>
      </c>
      <c r="J26" s="64"/>
      <c r="K26" s="11"/>
      <c r="L26" s="17"/>
      <c r="M26" s="34"/>
      <c r="N26" s="35"/>
    </row>
    <row r="27" spans="2:14" ht="18" customHeight="1" x14ac:dyDescent="0.2">
      <c r="B27" s="6" t="s">
        <v>7</v>
      </c>
      <c r="C27" s="52"/>
      <c r="D27" s="53"/>
      <c r="E27" s="52" t="s">
        <v>7</v>
      </c>
      <c r="F27" s="53"/>
      <c r="G27" s="52"/>
      <c r="H27" s="53"/>
      <c r="I27" s="61" t="s">
        <v>7</v>
      </c>
      <c r="J27" s="62"/>
      <c r="K27" s="13"/>
      <c r="L27" s="19"/>
      <c r="M27" s="36"/>
      <c r="N27" s="37"/>
    </row>
    <row r="28" spans="2:14" ht="18" customHeight="1" x14ac:dyDescent="0.2">
      <c r="B28" s="8"/>
      <c r="C28" s="54"/>
      <c r="D28" s="55"/>
      <c r="E28" s="54"/>
      <c r="F28" s="55"/>
      <c r="G28" s="54"/>
      <c r="H28" s="55"/>
      <c r="I28" s="54"/>
      <c r="J28" s="64"/>
      <c r="K28" s="32" t="s">
        <v>17</v>
      </c>
      <c r="L28" s="16"/>
      <c r="M28" s="38"/>
      <c r="N28" s="39"/>
    </row>
    <row r="29" spans="2:14" ht="18" customHeight="1" x14ac:dyDescent="0.2">
      <c r="B29" s="6"/>
      <c r="C29" s="52"/>
      <c r="D29" s="53"/>
      <c r="E29" s="52"/>
      <c r="F29" s="53"/>
      <c r="G29" s="52"/>
      <c r="H29" s="53"/>
      <c r="I29" s="52"/>
      <c r="J29" s="69"/>
      <c r="K29" s="33"/>
      <c r="L29" s="17"/>
      <c r="M29" s="34"/>
      <c r="N29" s="35"/>
    </row>
    <row r="30" spans="2:14" ht="18" customHeight="1" x14ac:dyDescent="0.2">
      <c r="B30" s="8"/>
      <c r="C30" s="58">
        <v>0.66666666666666663</v>
      </c>
      <c r="D30" s="55"/>
      <c r="E30" s="54"/>
      <c r="F30" s="55"/>
      <c r="G30" s="58">
        <v>0.66666666666666663</v>
      </c>
      <c r="H30" s="55"/>
      <c r="I30" s="77"/>
      <c r="J30" s="78"/>
      <c r="K30" s="33"/>
      <c r="L30" s="17"/>
      <c r="M30" s="34"/>
      <c r="N30" s="35"/>
    </row>
    <row r="31" spans="2:14" ht="18" customHeight="1" x14ac:dyDescent="0.2">
      <c r="B31" s="6"/>
      <c r="C31" s="52" t="s">
        <v>12</v>
      </c>
      <c r="D31" s="53"/>
      <c r="E31" s="52"/>
      <c r="F31" s="53"/>
      <c r="G31" s="52" t="s">
        <v>12</v>
      </c>
      <c r="H31" s="53"/>
      <c r="I31" s="52"/>
      <c r="J31" s="69"/>
      <c r="K31" s="14"/>
      <c r="L31" s="17"/>
      <c r="M31" s="34"/>
      <c r="N31" s="35"/>
    </row>
    <row r="32" spans="2:14" ht="18" customHeight="1" x14ac:dyDescent="0.2">
      <c r="B32" s="8"/>
      <c r="C32" s="54"/>
      <c r="D32" s="55"/>
      <c r="E32" s="54"/>
      <c r="F32" s="55"/>
      <c r="G32" s="54"/>
      <c r="H32" s="55"/>
      <c r="I32" s="65"/>
      <c r="J32" s="66"/>
      <c r="K32" s="14"/>
      <c r="L32" s="17"/>
      <c r="M32" s="34"/>
      <c r="N32" s="35"/>
    </row>
    <row r="33" spans="2:14" ht="18" customHeight="1" x14ac:dyDescent="0.2">
      <c r="B33" s="7"/>
      <c r="C33" s="59"/>
      <c r="D33" s="60"/>
      <c r="E33" s="59"/>
      <c r="F33" s="60"/>
      <c r="G33" s="59"/>
      <c r="H33" s="60"/>
      <c r="I33" s="79"/>
      <c r="J33" s="80"/>
      <c r="K33" s="15"/>
      <c r="L33" s="20"/>
      <c r="M33" s="75"/>
      <c r="N33" s="76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31" priority="3" stopIfTrue="1">
      <formula>DAY(C4)&gt;8</formula>
    </cfRule>
  </conditionalFormatting>
  <conditionalFormatting sqref="C8:I10">
    <cfRule type="expression" dxfId="30" priority="2" stopIfTrue="1">
      <formula>AND(DAY(C8)&gt;=1,DAY(C8)&lt;=15)</formula>
    </cfRule>
  </conditionalFormatting>
  <conditionalFormatting sqref="C4:I9">
    <cfRule type="expression" dxfId="29" priority="4">
      <formula>VLOOKUP(DAY(C4),DiasTarefa,1,FALSE)=DAY(C4)</formula>
    </cfRule>
  </conditionalFormatting>
  <conditionalFormatting sqref="B14:J33">
    <cfRule type="expression" dxfId="28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3.85546875" style="1" customWidth="1"/>
    <col min="3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29"/>
      <c r="C2" s="21"/>
      <c r="D2" s="21"/>
      <c r="E2" s="21"/>
      <c r="F2" s="21"/>
      <c r="G2" s="21"/>
      <c r="H2" s="21"/>
      <c r="I2" s="21"/>
      <c r="J2" s="22"/>
      <c r="K2" s="43" t="s">
        <v>18</v>
      </c>
      <c r="L2" s="44">
        <v>2013</v>
      </c>
      <c r="M2" s="44"/>
      <c r="N2" s="81">
        <f>AnoCalendário</f>
        <v>2016</v>
      </c>
    </row>
    <row r="3" spans="1:14" ht="21" customHeight="1" x14ac:dyDescent="0.2">
      <c r="A3" s="4"/>
      <c r="B3" s="70" t="s">
        <v>29</v>
      </c>
      <c r="C3" s="2" t="s">
        <v>8</v>
      </c>
      <c r="D3" s="2" t="s">
        <v>13</v>
      </c>
      <c r="E3" s="2" t="s">
        <v>33</v>
      </c>
      <c r="F3" s="2" t="s">
        <v>14</v>
      </c>
      <c r="G3" s="2" t="s">
        <v>14</v>
      </c>
      <c r="H3" s="2" t="s">
        <v>13</v>
      </c>
      <c r="I3" s="2" t="s">
        <v>13</v>
      </c>
      <c r="J3" s="5"/>
      <c r="K3" s="45"/>
      <c r="L3" s="46"/>
      <c r="M3" s="46"/>
      <c r="N3" s="82"/>
    </row>
    <row r="4" spans="1:14" ht="18" customHeight="1" x14ac:dyDescent="0.2">
      <c r="A4" s="4"/>
      <c r="B4" s="70"/>
      <c r="C4" s="10">
        <f>IF(DAY(JunDom1)=1,JunDom1-6,JunDom1+1)</f>
        <v>42519</v>
      </c>
      <c r="D4" s="10">
        <f>IF(DAY(JunDom1)=1,JunDom1-5,JunDom1+2)</f>
        <v>42520</v>
      </c>
      <c r="E4" s="10">
        <f>IF(DAY(JunDom1)=1,JunDom1-4,JunDom1+3)</f>
        <v>42521</v>
      </c>
      <c r="F4" s="10">
        <f>IF(DAY(JunDom1)=1,JunDom1-3,JunDom1+4)</f>
        <v>42522</v>
      </c>
      <c r="G4" s="10">
        <f>IF(DAY(JunDom1)=1,JunDom1-2,JunDom1+5)</f>
        <v>42523</v>
      </c>
      <c r="H4" s="10">
        <f>IF(DAY(JunDom1)=1,JunDom1-1,JunDom1+6)</f>
        <v>42524</v>
      </c>
      <c r="I4" s="10">
        <f>IF(DAY(JunDom1)=1,JunDom1,JunDom1+7)</f>
        <v>42525</v>
      </c>
      <c r="J4" s="5"/>
      <c r="K4" s="47" t="s">
        <v>2</v>
      </c>
      <c r="L4" s="16"/>
      <c r="M4" s="48"/>
      <c r="N4" s="49"/>
    </row>
    <row r="5" spans="1:14" ht="18" customHeight="1" x14ac:dyDescent="0.2">
      <c r="A5" s="4"/>
      <c r="B5" s="27"/>
      <c r="C5" s="10">
        <f>IF(DAY(JunDom1)=1,JunDom1+1,JunDom1+8)</f>
        <v>42526</v>
      </c>
      <c r="D5" s="10">
        <f>IF(DAY(JunDom1)=1,JunDom1+2,JunDom1+9)</f>
        <v>42527</v>
      </c>
      <c r="E5" s="10">
        <f>IF(DAY(JunDom1)=1,JunDom1+3,JunDom1+10)</f>
        <v>42528</v>
      </c>
      <c r="F5" s="10">
        <f>IF(DAY(JunDom1)=1,JunDom1+4,JunDom1+11)</f>
        <v>42529</v>
      </c>
      <c r="G5" s="10">
        <f>IF(DAY(JunDom1)=1,JunDom1+5,JunDom1+12)</f>
        <v>42530</v>
      </c>
      <c r="H5" s="10">
        <f>IF(DAY(JunDom1)=1,JunDom1+6,JunDom1+13)</f>
        <v>42531</v>
      </c>
      <c r="I5" s="10">
        <f>IF(DAY(JunDom1)=1,JunDom1+7,JunDom1+14)</f>
        <v>42532</v>
      </c>
      <c r="J5" s="5"/>
      <c r="K5" s="33"/>
      <c r="L5" s="17"/>
      <c r="M5" s="34"/>
      <c r="N5" s="35"/>
    </row>
    <row r="6" spans="1:14" ht="18" customHeight="1" x14ac:dyDescent="0.2">
      <c r="A6" s="4"/>
      <c r="B6" s="27"/>
      <c r="C6" s="10">
        <f>IF(DAY(JunDom1)=1,JunDom1+8,JunDom1+15)</f>
        <v>42533</v>
      </c>
      <c r="D6" s="10">
        <f>IF(DAY(JunDom1)=1,JunDom1+9,JunDom1+16)</f>
        <v>42534</v>
      </c>
      <c r="E6" s="10">
        <f>IF(DAY(JunDom1)=1,JunDom1+10,JunDom1+17)</f>
        <v>42535</v>
      </c>
      <c r="F6" s="10">
        <f>IF(DAY(JunDom1)=1,JunDom1+11,JunDom1+18)</f>
        <v>42536</v>
      </c>
      <c r="G6" s="10">
        <f>IF(DAY(JunDom1)=1,JunDom1+12,JunDom1+19)</f>
        <v>42537</v>
      </c>
      <c r="H6" s="10">
        <f>IF(DAY(JunDom1)=1,JunDom1+13,JunDom1+20)</f>
        <v>42538</v>
      </c>
      <c r="I6" s="10">
        <f>IF(DAY(JunDom1)=1,JunDom1+14,JunDom1+21)</f>
        <v>42539</v>
      </c>
      <c r="J6" s="5"/>
      <c r="K6" s="33"/>
      <c r="L6" s="17"/>
      <c r="M6" s="34"/>
      <c r="N6" s="35"/>
    </row>
    <row r="7" spans="1:14" ht="18" customHeight="1" x14ac:dyDescent="0.2">
      <c r="A7" s="4"/>
      <c r="B7" s="27"/>
      <c r="C7" s="10">
        <f>IF(DAY(JunDom1)=1,JunDom1+15,JunDom1+22)</f>
        <v>42540</v>
      </c>
      <c r="D7" s="10">
        <f>IF(DAY(JunDom1)=1,JunDom1+16,JunDom1+23)</f>
        <v>42541</v>
      </c>
      <c r="E7" s="10">
        <f>IF(DAY(JunDom1)=1,JunDom1+17,JunDom1+24)</f>
        <v>42542</v>
      </c>
      <c r="F7" s="10">
        <f>IF(DAY(JunDom1)=1,JunDom1+18,JunDom1+25)</f>
        <v>42543</v>
      </c>
      <c r="G7" s="10">
        <f>IF(DAY(JunDom1)=1,JunDom1+19,JunDom1+26)</f>
        <v>42544</v>
      </c>
      <c r="H7" s="10">
        <f>IF(DAY(JunDom1)=1,JunDom1+20,JunDom1+27)</f>
        <v>42545</v>
      </c>
      <c r="I7" s="10">
        <f>IF(DAY(JunDom1)=1,JunDom1+21,JunDom1+28)</f>
        <v>42546</v>
      </c>
      <c r="J7" s="5"/>
      <c r="K7" s="11"/>
      <c r="L7" s="17"/>
      <c r="M7" s="34"/>
      <c r="N7" s="35"/>
    </row>
    <row r="8" spans="1:14" ht="18.75" customHeight="1" x14ac:dyDescent="0.2">
      <c r="A8" s="4"/>
      <c r="B8" s="27"/>
      <c r="C8" s="10">
        <f>IF(DAY(JunDom1)=1,JunDom1+22,JunDom1+29)</f>
        <v>42547</v>
      </c>
      <c r="D8" s="10">
        <f>IF(DAY(JunDom1)=1,JunDom1+23,JunDom1+30)</f>
        <v>42548</v>
      </c>
      <c r="E8" s="10">
        <f>IF(DAY(JunDom1)=1,JunDom1+24,JunDom1+31)</f>
        <v>42549</v>
      </c>
      <c r="F8" s="10">
        <f>IF(DAY(JunDom1)=1,JunDom1+25,JunDom1+32)</f>
        <v>42550</v>
      </c>
      <c r="G8" s="10">
        <f>IF(DAY(JunDom1)=1,JunDom1+26,JunDom1+33)</f>
        <v>42551</v>
      </c>
      <c r="H8" s="10">
        <f>IF(DAY(JunDom1)=1,JunDom1+27,JunDom1+34)</f>
        <v>42552</v>
      </c>
      <c r="I8" s="10">
        <f>IF(DAY(JunDom1)=1,JunDom1+28,JunDom1+35)</f>
        <v>42553</v>
      </c>
      <c r="J8" s="5"/>
      <c r="K8" s="11"/>
      <c r="L8" s="17"/>
      <c r="M8" s="34"/>
      <c r="N8" s="35"/>
    </row>
    <row r="9" spans="1:14" ht="18" customHeight="1" x14ac:dyDescent="0.2">
      <c r="A9" s="4"/>
      <c r="B9" s="27"/>
      <c r="C9" s="10">
        <f>IF(DAY(JunDom1)=1,JunDom1+29,JunDom1+36)</f>
        <v>42554</v>
      </c>
      <c r="D9" s="10">
        <f>IF(DAY(JunDom1)=1,JunDom1+30,JunDom1+37)</f>
        <v>42555</v>
      </c>
      <c r="E9" s="10">
        <f>IF(DAY(JunDom1)=1,JunDom1+31,JunDom1+38)</f>
        <v>42556</v>
      </c>
      <c r="F9" s="10">
        <f>IF(DAY(JunDom1)=1,JunDom1+32,JunDom1+39)</f>
        <v>42557</v>
      </c>
      <c r="G9" s="10">
        <f>IF(DAY(JunDom1)=1,JunDom1+33,JunDom1+40)</f>
        <v>42558</v>
      </c>
      <c r="H9" s="10">
        <f>IF(DAY(JunDom1)=1,JunDom1+34,JunDom1+41)</f>
        <v>42559</v>
      </c>
      <c r="I9" s="10">
        <f>IF(DAY(JunDom1)=1,JunDom1+35,JunDom1+42)</f>
        <v>42560</v>
      </c>
      <c r="J9" s="5"/>
      <c r="K9" s="12"/>
      <c r="L9" s="18"/>
      <c r="M9" s="36"/>
      <c r="N9" s="37"/>
    </row>
    <row r="10" spans="1:14" ht="18" customHeight="1" x14ac:dyDescent="0.2">
      <c r="A10" s="4"/>
      <c r="B10" s="28"/>
      <c r="C10" s="23"/>
      <c r="D10" s="23"/>
      <c r="E10" s="23"/>
      <c r="F10" s="23"/>
      <c r="G10" s="23"/>
      <c r="H10" s="23"/>
      <c r="I10" s="23"/>
      <c r="J10" s="24"/>
      <c r="K10" s="32" t="s">
        <v>19</v>
      </c>
      <c r="L10" s="16"/>
      <c r="M10" s="38"/>
      <c r="N10" s="39"/>
    </row>
    <row r="11" spans="1:14" ht="18" customHeight="1" x14ac:dyDescent="0.2">
      <c r="A11" s="4"/>
      <c r="B11" s="72" t="s">
        <v>1</v>
      </c>
      <c r="C11" s="73"/>
      <c r="D11" s="73"/>
      <c r="E11" s="73"/>
      <c r="F11" s="73"/>
      <c r="G11" s="73"/>
      <c r="H11" s="73"/>
      <c r="I11" s="73"/>
      <c r="J11" s="74"/>
      <c r="K11" s="33"/>
      <c r="L11" s="17"/>
      <c r="M11" s="34"/>
      <c r="N11" s="35"/>
    </row>
    <row r="12" spans="1:14" ht="18" customHeight="1" x14ac:dyDescent="0.2">
      <c r="A12" s="4"/>
      <c r="B12" s="72"/>
      <c r="C12" s="73"/>
      <c r="D12" s="73"/>
      <c r="E12" s="73"/>
      <c r="F12" s="73"/>
      <c r="G12" s="73"/>
      <c r="H12" s="73"/>
      <c r="I12" s="73"/>
      <c r="J12" s="74"/>
      <c r="K12" s="33"/>
      <c r="L12" s="17"/>
      <c r="M12" s="34"/>
      <c r="N12" s="35"/>
    </row>
    <row r="13" spans="1:14" ht="18" customHeight="1" x14ac:dyDescent="0.2">
      <c r="B13" s="3" t="s">
        <v>2</v>
      </c>
      <c r="C13" s="40" t="s">
        <v>9</v>
      </c>
      <c r="D13" s="42"/>
      <c r="E13" s="40" t="s">
        <v>15</v>
      </c>
      <c r="F13" s="42"/>
      <c r="G13" s="40" t="s">
        <v>16</v>
      </c>
      <c r="H13" s="42"/>
      <c r="I13" s="40" t="s">
        <v>17</v>
      </c>
      <c r="J13" s="41"/>
      <c r="K13" s="11"/>
      <c r="L13" s="17"/>
      <c r="M13" s="34"/>
      <c r="N13" s="35"/>
    </row>
    <row r="14" spans="1:14" ht="18" customHeight="1" x14ac:dyDescent="0.2">
      <c r="B14" s="8" t="s">
        <v>3</v>
      </c>
      <c r="C14" s="54"/>
      <c r="D14" s="55"/>
      <c r="E14" s="54" t="s">
        <v>3</v>
      </c>
      <c r="F14" s="55"/>
      <c r="G14" s="54"/>
      <c r="H14" s="55"/>
      <c r="I14" s="54" t="s">
        <v>3</v>
      </c>
      <c r="J14" s="64"/>
      <c r="K14" s="11"/>
      <c r="L14" s="17"/>
      <c r="M14" s="34"/>
      <c r="N14" s="35"/>
    </row>
    <row r="15" spans="1:14" ht="18" customHeight="1" x14ac:dyDescent="0.2">
      <c r="B15" s="6" t="s">
        <v>4</v>
      </c>
      <c r="C15" s="52"/>
      <c r="D15" s="53"/>
      <c r="E15" s="52" t="s">
        <v>4</v>
      </c>
      <c r="F15" s="53"/>
      <c r="G15" s="52"/>
      <c r="H15" s="53"/>
      <c r="I15" s="61" t="s">
        <v>4</v>
      </c>
      <c r="J15" s="62"/>
      <c r="K15" s="13"/>
      <c r="L15" s="19"/>
      <c r="M15" s="36"/>
      <c r="N15" s="37"/>
    </row>
    <row r="16" spans="1:14" ht="18" customHeight="1" x14ac:dyDescent="0.2">
      <c r="B16" s="8"/>
      <c r="C16" s="54" t="s">
        <v>10</v>
      </c>
      <c r="D16" s="55"/>
      <c r="E16" s="54"/>
      <c r="F16" s="55"/>
      <c r="G16" s="54" t="s">
        <v>10</v>
      </c>
      <c r="H16" s="55"/>
      <c r="I16" s="65"/>
      <c r="J16" s="66"/>
      <c r="K16" s="32" t="s">
        <v>15</v>
      </c>
      <c r="L16" s="16"/>
      <c r="M16" s="38"/>
      <c r="N16" s="39"/>
    </row>
    <row r="17" spans="2:14" ht="18" customHeight="1" x14ac:dyDescent="0.2">
      <c r="B17" s="6"/>
      <c r="C17" s="52" t="s">
        <v>11</v>
      </c>
      <c r="D17" s="53"/>
      <c r="E17" s="52"/>
      <c r="F17" s="53"/>
      <c r="G17" s="52" t="s">
        <v>11</v>
      </c>
      <c r="H17" s="53"/>
      <c r="I17" s="61"/>
      <c r="J17" s="62"/>
      <c r="K17" s="33"/>
      <c r="L17" s="17"/>
      <c r="M17" s="34"/>
      <c r="N17" s="35"/>
    </row>
    <row r="18" spans="2:14" ht="18" customHeight="1" x14ac:dyDescent="0.2">
      <c r="B18" s="9" t="s">
        <v>5</v>
      </c>
      <c r="C18" s="56"/>
      <c r="D18" s="57"/>
      <c r="E18" s="56" t="s">
        <v>5</v>
      </c>
      <c r="F18" s="57"/>
      <c r="G18" s="56"/>
      <c r="H18" s="57"/>
      <c r="I18" s="56" t="s">
        <v>5</v>
      </c>
      <c r="J18" s="63"/>
      <c r="K18" s="33"/>
      <c r="L18" s="17"/>
      <c r="M18" s="34"/>
      <c r="N18" s="35"/>
    </row>
    <row r="19" spans="2:14" ht="18" customHeight="1" x14ac:dyDescent="0.2">
      <c r="B19" s="6" t="s">
        <v>6</v>
      </c>
      <c r="C19" s="52"/>
      <c r="D19" s="53"/>
      <c r="E19" s="52" t="s">
        <v>6</v>
      </c>
      <c r="F19" s="53"/>
      <c r="G19" s="52"/>
      <c r="H19" s="53"/>
      <c r="I19" s="61" t="s">
        <v>6</v>
      </c>
      <c r="J19" s="62"/>
      <c r="K19" s="11"/>
      <c r="L19" s="17"/>
      <c r="M19" s="34"/>
      <c r="N19" s="35"/>
    </row>
    <row r="20" spans="2:14" ht="18" customHeight="1" x14ac:dyDescent="0.2">
      <c r="B20" s="8"/>
      <c r="C20" s="54"/>
      <c r="D20" s="55"/>
      <c r="E20" s="54"/>
      <c r="F20" s="55"/>
      <c r="G20" s="54"/>
      <c r="H20" s="55"/>
      <c r="I20" s="54"/>
      <c r="J20" s="64"/>
      <c r="K20" s="11"/>
      <c r="L20" s="17"/>
      <c r="M20" s="34"/>
      <c r="N20" s="35"/>
    </row>
    <row r="21" spans="2:14" ht="18" customHeight="1" x14ac:dyDescent="0.2">
      <c r="B21" s="6"/>
      <c r="C21" s="52"/>
      <c r="D21" s="53"/>
      <c r="E21" s="52"/>
      <c r="F21" s="53"/>
      <c r="G21" s="52"/>
      <c r="H21" s="53"/>
      <c r="I21" s="67"/>
      <c r="J21" s="68"/>
      <c r="K21" s="13"/>
      <c r="L21" s="19"/>
      <c r="M21" s="36"/>
      <c r="N21" s="37"/>
    </row>
    <row r="22" spans="2:14" ht="18" customHeight="1" x14ac:dyDescent="0.2">
      <c r="B22" s="8"/>
      <c r="C22" s="54"/>
      <c r="D22" s="55"/>
      <c r="E22" s="54"/>
      <c r="F22" s="55"/>
      <c r="G22" s="54"/>
      <c r="H22" s="55"/>
      <c r="I22" s="54"/>
      <c r="J22" s="64"/>
      <c r="K22" s="32" t="s">
        <v>20</v>
      </c>
      <c r="L22" s="16"/>
      <c r="M22" s="38"/>
      <c r="N22" s="39"/>
    </row>
    <row r="23" spans="2:14" ht="18" customHeight="1" x14ac:dyDescent="0.2">
      <c r="B23" s="6"/>
      <c r="C23" s="52"/>
      <c r="D23" s="53"/>
      <c r="E23" s="52"/>
      <c r="F23" s="53"/>
      <c r="G23" s="52"/>
      <c r="H23" s="53"/>
      <c r="I23" s="61"/>
      <c r="J23" s="62"/>
      <c r="K23" s="33"/>
      <c r="L23" s="17"/>
      <c r="M23" s="34"/>
      <c r="N23" s="35"/>
    </row>
    <row r="24" spans="2:14" ht="18" customHeight="1" x14ac:dyDescent="0.2">
      <c r="B24" s="8"/>
      <c r="C24" s="54"/>
      <c r="D24" s="55"/>
      <c r="E24" s="54"/>
      <c r="F24" s="55"/>
      <c r="G24" s="54"/>
      <c r="H24" s="55"/>
      <c r="I24" s="54"/>
      <c r="J24" s="64"/>
      <c r="K24" s="33"/>
      <c r="L24" s="17"/>
      <c r="M24" s="34"/>
      <c r="N24" s="35"/>
    </row>
    <row r="25" spans="2:14" ht="18" customHeight="1" x14ac:dyDescent="0.2">
      <c r="B25" s="6"/>
      <c r="C25" s="52"/>
      <c r="D25" s="53"/>
      <c r="E25" s="52"/>
      <c r="F25" s="53"/>
      <c r="G25" s="52"/>
      <c r="H25" s="53"/>
      <c r="I25" s="61"/>
      <c r="J25" s="62"/>
      <c r="K25" s="33"/>
      <c r="L25" s="17"/>
      <c r="M25" s="34"/>
      <c r="N25" s="35"/>
    </row>
    <row r="26" spans="2:14" ht="18" customHeight="1" x14ac:dyDescent="0.2">
      <c r="B26" s="31">
        <v>0.58333333333333337</v>
      </c>
      <c r="C26" s="54"/>
      <c r="D26" s="55"/>
      <c r="E26" s="58">
        <v>0.58333333333333337</v>
      </c>
      <c r="F26" s="55"/>
      <c r="G26" s="54"/>
      <c r="H26" s="55"/>
      <c r="I26" s="58">
        <v>0.58333333333333337</v>
      </c>
      <c r="J26" s="64"/>
      <c r="K26" s="11"/>
      <c r="L26" s="17"/>
      <c r="M26" s="34"/>
      <c r="N26" s="35"/>
    </row>
    <row r="27" spans="2:14" ht="18" customHeight="1" x14ac:dyDescent="0.2">
      <c r="B27" s="6" t="s">
        <v>7</v>
      </c>
      <c r="C27" s="52"/>
      <c r="D27" s="53"/>
      <c r="E27" s="52" t="s">
        <v>7</v>
      </c>
      <c r="F27" s="53"/>
      <c r="G27" s="52"/>
      <c r="H27" s="53"/>
      <c r="I27" s="61" t="s">
        <v>7</v>
      </c>
      <c r="J27" s="62"/>
      <c r="K27" s="13"/>
      <c r="L27" s="19"/>
      <c r="M27" s="36"/>
      <c r="N27" s="37"/>
    </row>
    <row r="28" spans="2:14" ht="18" customHeight="1" x14ac:dyDescent="0.2">
      <c r="B28" s="8"/>
      <c r="C28" s="54"/>
      <c r="D28" s="55"/>
      <c r="E28" s="54"/>
      <c r="F28" s="55"/>
      <c r="G28" s="54"/>
      <c r="H28" s="55"/>
      <c r="I28" s="54"/>
      <c r="J28" s="64"/>
      <c r="K28" s="32" t="s">
        <v>17</v>
      </c>
      <c r="L28" s="16"/>
      <c r="M28" s="38"/>
      <c r="N28" s="39"/>
    </row>
    <row r="29" spans="2:14" ht="18" customHeight="1" x14ac:dyDescent="0.2">
      <c r="B29" s="6"/>
      <c r="C29" s="52"/>
      <c r="D29" s="53"/>
      <c r="E29" s="52"/>
      <c r="F29" s="53"/>
      <c r="G29" s="52"/>
      <c r="H29" s="53"/>
      <c r="I29" s="52"/>
      <c r="J29" s="69"/>
      <c r="K29" s="33"/>
      <c r="L29" s="17"/>
      <c r="M29" s="34"/>
      <c r="N29" s="35"/>
    </row>
    <row r="30" spans="2:14" ht="18" customHeight="1" x14ac:dyDescent="0.2">
      <c r="B30" s="8"/>
      <c r="C30" s="58">
        <v>0.66666666666666663</v>
      </c>
      <c r="D30" s="55"/>
      <c r="E30" s="54"/>
      <c r="F30" s="55"/>
      <c r="G30" s="58">
        <v>0.66666666666666663</v>
      </c>
      <c r="H30" s="55"/>
      <c r="I30" s="77"/>
      <c r="J30" s="78"/>
      <c r="K30" s="33"/>
      <c r="L30" s="17"/>
      <c r="M30" s="34"/>
      <c r="N30" s="35"/>
    </row>
    <row r="31" spans="2:14" ht="18" customHeight="1" x14ac:dyDescent="0.2">
      <c r="B31" s="6"/>
      <c r="C31" s="52" t="s">
        <v>12</v>
      </c>
      <c r="D31" s="53"/>
      <c r="E31" s="52"/>
      <c r="F31" s="53"/>
      <c r="G31" s="52" t="s">
        <v>12</v>
      </c>
      <c r="H31" s="53"/>
      <c r="I31" s="52"/>
      <c r="J31" s="69"/>
      <c r="K31" s="14"/>
      <c r="L31" s="17"/>
      <c r="M31" s="34"/>
      <c r="N31" s="35"/>
    </row>
    <row r="32" spans="2:14" ht="18" customHeight="1" x14ac:dyDescent="0.2">
      <c r="B32" s="8"/>
      <c r="C32" s="54"/>
      <c r="D32" s="55"/>
      <c r="E32" s="54"/>
      <c r="F32" s="55"/>
      <c r="G32" s="54"/>
      <c r="H32" s="55"/>
      <c r="I32" s="65"/>
      <c r="J32" s="66"/>
      <c r="K32" s="14"/>
      <c r="L32" s="17"/>
      <c r="M32" s="34"/>
      <c r="N32" s="35"/>
    </row>
    <row r="33" spans="2:14" ht="18" customHeight="1" x14ac:dyDescent="0.2">
      <c r="B33" s="7"/>
      <c r="C33" s="59"/>
      <c r="D33" s="60"/>
      <c r="E33" s="59"/>
      <c r="F33" s="60"/>
      <c r="G33" s="59"/>
      <c r="H33" s="60"/>
      <c r="I33" s="79"/>
      <c r="J33" s="80"/>
      <c r="K33" s="15"/>
      <c r="L33" s="20"/>
      <c r="M33" s="75"/>
      <c r="N33" s="76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27" priority="3" stopIfTrue="1">
      <formula>DAY(C4)&gt;8</formula>
    </cfRule>
  </conditionalFormatting>
  <conditionalFormatting sqref="C8:I10">
    <cfRule type="expression" dxfId="26" priority="2" stopIfTrue="1">
      <formula>AND(DAY(C8)&gt;=1,DAY(C8)&lt;=15)</formula>
    </cfRule>
  </conditionalFormatting>
  <conditionalFormatting sqref="C4:I9">
    <cfRule type="expression" dxfId="25" priority="4">
      <formula>VLOOKUP(DAY(C4),DiasTarefa,1,FALSE)=DAY(C4)</formula>
    </cfRule>
  </conditionalFormatting>
  <conditionalFormatting sqref="B14:J33">
    <cfRule type="expression" dxfId="24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3.85546875" style="1" customWidth="1"/>
    <col min="3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29"/>
      <c r="C2" s="21"/>
      <c r="D2" s="21"/>
      <c r="E2" s="21"/>
      <c r="F2" s="21"/>
      <c r="G2" s="21"/>
      <c r="H2" s="21"/>
      <c r="I2" s="21"/>
      <c r="J2" s="22"/>
      <c r="K2" s="43" t="s">
        <v>18</v>
      </c>
      <c r="L2" s="44">
        <v>2013</v>
      </c>
      <c r="M2" s="44"/>
      <c r="N2" s="81">
        <f>AnoCalendário</f>
        <v>2016</v>
      </c>
    </row>
    <row r="3" spans="1:14" ht="21" customHeight="1" x14ac:dyDescent="0.2">
      <c r="A3" s="4"/>
      <c r="B3" s="70" t="s">
        <v>30</v>
      </c>
      <c r="C3" s="2" t="s">
        <v>8</v>
      </c>
      <c r="D3" s="2" t="s">
        <v>13</v>
      </c>
      <c r="E3" s="2" t="s">
        <v>33</v>
      </c>
      <c r="F3" s="2" t="s">
        <v>14</v>
      </c>
      <c r="G3" s="2" t="s">
        <v>14</v>
      </c>
      <c r="H3" s="2" t="s">
        <v>13</v>
      </c>
      <c r="I3" s="2" t="s">
        <v>13</v>
      </c>
      <c r="J3" s="5"/>
      <c r="K3" s="45"/>
      <c r="L3" s="46"/>
      <c r="M3" s="46"/>
      <c r="N3" s="82"/>
    </row>
    <row r="4" spans="1:14" ht="18" customHeight="1" x14ac:dyDescent="0.2">
      <c r="A4" s="4"/>
      <c r="B4" s="70"/>
      <c r="C4" s="10">
        <f>IF(DAY(JulDom1)=1,JulDom1-6,JulDom1+1)</f>
        <v>42547</v>
      </c>
      <c r="D4" s="10">
        <f>IF(DAY(JulDom1)=1,JulDom1-5,JulDom1+2)</f>
        <v>42548</v>
      </c>
      <c r="E4" s="10">
        <f>IF(DAY(JulDom1)=1,JulDom1-4,JulDom1+3)</f>
        <v>42549</v>
      </c>
      <c r="F4" s="10">
        <f>IF(DAY(JulDom1)=1,JulDom1-3,JulDom1+4)</f>
        <v>42550</v>
      </c>
      <c r="G4" s="10">
        <f>IF(DAY(JulDom1)=1,JulDom1-2,JulDom1+5)</f>
        <v>42551</v>
      </c>
      <c r="H4" s="10">
        <f>IF(DAY(JulDom1)=1,JulDom1-1,JulDom1+6)</f>
        <v>42552</v>
      </c>
      <c r="I4" s="10">
        <f>IF(DAY(JulDom1)=1,JulDom1,JulDom1+7)</f>
        <v>42553</v>
      </c>
      <c r="J4" s="5"/>
      <c r="K4" s="47" t="s">
        <v>2</v>
      </c>
      <c r="L4" s="16"/>
      <c r="M4" s="48"/>
      <c r="N4" s="49"/>
    </row>
    <row r="5" spans="1:14" ht="18" customHeight="1" x14ac:dyDescent="0.2">
      <c r="A5" s="4"/>
      <c r="B5" s="27"/>
      <c r="C5" s="10">
        <f>IF(DAY(JulDom1)=1,JulDom1+1,JulDom1+8)</f>
        <v>42554</v>
      </c>
      <c r="D5" s="10">
        <f>IF(DAY(JulDom1)=1,JulDom1+2,JulDom1+9)</f>
        <v>42555</v>
      </c>
      <c r="E5" s="10">
        <f>IF(DAY(JulDom1)=1,JulDom1+3,JulDom1+10)</f>
        <v>42556</v>
      </c>
      <c r="F5" s="10">
        <f>IF(DAY(JulDom1)=1,JulDom1+4,JulDom1+11)</f>
        <v>42557</v>
      </c>
      <c r="G5" s="10">
        <f>IF(DAY(JulDom1)=1,JulDom1+5,JulDom1+12)</f>
        <v>42558</v>
      </c>
      <c r="H5" s="10">
        <f>IF(DAY(JulDom1)=1,JulDom1+6,JulDom1+13)</f>
        <v>42559</v>
      </c>
      <c r="I5" s="10">
        <f>IF(DAY(JulDom1)=1,JulDom1+7,JulDom1+14)</f>
        <v>42560</v>
      </c>
      <c r="J5" s="5"/>
      <c r="K5" s="33"/>
      <c r="L5" s="17"/>
      <c r="M5" s="34"/>
      <c r="N5" s="35"/>
    </row>
    <row r="6" spans="1:14" ht="18" customHeight="1" x14ac:dyDescent="0.2">
      <c r="A6" s="4"/>
      <c r="B6" s="27"/>
      <c r="C6" s="10">
        <f>IF(DAY(JulDom1)=1,JulDom1+8,JulDom1+15)</f>
        <v>42561</v>
      </c>
      <c r="D6" s="10">
        <f>IF(DAY(JulDom1)=1,JulDom1+9,JulDom1+16)</f>
        <v>42562</v>
      </c>
      <c r="E6" s="10">
        <f>IF(DAY(JulDom1)=1,JulDom1+10,JulDom1+17)</f>
        <v>42563</v>
      </c>
      <c r="F6" s="10">
        <f>IF(DAY(JulDom1)=1,JulDom1+11,JulDom1+18)</f>
        <v>42564</v>
      </c>
      <c r="G6" s="10">
        <f>IF(DAY(JulDom1)=1,JulDom1+12,JulDom1+19)</f>
        <v>42565</v>
      </c>
      <c r="H6" s="10">
        <f>IF(DAY(JulDom1)=1,JulDom1+13,JulDom1+20)</f>
        <v>42566</v>
      </c>
      <c r="I6" s="10">
        <f>IF(DAY(JulDom1)=1,JulDom1+14,JulDom1+21)</f>
        <v>42567</v>
      </c>
      <c r="J6" s="5"/>
      <c r="K6" s="33"/>
      <c r="L6" s="17"/>
      <c r="M6" s="34"/>
      <c r="N6" s="35"/>
    </row>
    <row r="7" spans="1:14" ht="18" customHeight="1" x14ac:dyDescent="0.2">
      <c r="A7" s="4"/>
      <c r="B7" s="27"/>
      <c r="C7" s="10">
        <f>IF(DAY(JulDom1)=1,JulDom1+15,JulDom1+22)</f>
        <v>42568</v>
      </c>
      <c r="D7" s="10">
        <f>IF(DAY(JulDom1)=1,JulDom1+16,JulDom1+23)</f>
        <v>42569</v>
      </c>
      <c r="E7" s="10">
        <f>IF(DAY(JulDom1)=1,JulDom1+17,JulDom1+24)</f>
        <v>42570</v>
      </c>
      <c r="F7" s="10">
        <f>IF(DAY(JulDom1)=1,JulDom1+18,JulDom1+25)</f>
        <v>42571</v>
      </c>
      <c r="G7" s="10">
        <f>IF(DAY(JulDom1)=1,JulDom1+19,JulDom1+26)</f>
        <v>42572</v>
      </c>
      <c r="H7" s="10">
        <f>IF(DAY(JulDom1)=1,JulDom1+20,JulDom1+27)</f>
        <v>42573</v>
      </c>
      <c r="I7" s="10">
        <f>IF(DAY(JulDom1)=1,JulDom1+21,JulDom1+28)</f>
        <v>42574</v>
      </c>
      <c r="J7" s="5"/>
      <c r="K7" s="11"/>
      <c r="L7" s="17"/>
      <c r="M7" s="34"/>
      <c r="N7" s="35"/>
    </row>
    <row r="8" spans="1:14" ht="18.75" customHeight="1" x14ac:dyDescent="0.2">
      <c r="A8" s="4"/>
      <c r="B8" s="27"/>
      <c r="C8" s="10">
        <f>IF(DAY(JulDom1)=1,JulDom1+22,JulDom1+29)</f>
        <v>42575</v>
      </c>
      <c r="D8" s="10">
        <f>IF(DAY(JulDom1)=1,JulDom1+23,JulDom1+30)</f>
        <v>42576</v>
      </c>
      <c r="E8" s="10">
        <f>IF(DAY(JulDom1)=1,JulDom1+24,JulDom1+31)</f>
        <v>42577</v>
      </c>
      <c r="F8" s="10">
        <f>IF(DAY(JulDom1)=1,JulDom1+25,JulDom1+32)</f>
        <v>42578</v>
      </c>
      <c r="G8" s="10">
        <f>IF(DAY(JulDom1)=1,JulDom1+26,JulDom1+33)</f>
        <v>42579</v>
      </c>
      <c r="H8" s="10">
        <f>IF(DAY(JulDom1)=1,JulDom1+27,JulDom1+34)</f>
        <v>42580</v>
      </c>
      <c r="I8" s="10">
        <f>IF(DAY(JulDom1)=1,JulDom1+28,JulDom1+35)</f>
        <v>42581</v>
      </c>
      <c r="J8" s="5"/>
      <c r="K8" s="11"/>
      <c r="L8" s="17"/>
      <c r="M8" s="34"/>
      <c r="N8" s="35"/>
    </row>
    <row r="9" spans="1:14" ht="18" customHeight="1" x14ac:dyDescent="0.2">
      <c r="A9" s="4"/>
      <c r="B9" s="27"/>
      <c r="C9" s="10">
        <f>IF(DAY(JulDom1)=1,JulDom1+29,JulDom1+36)</f>
        <v>42582</v>
      </c>
      <c r="D9" s="10">
        <f>IF(DAY(JulDom1)=1,JulDom1+30,JulDom1+37)</f>
        <v>42583</v>
      </c>
      <c r="E9" s="10">
        <f>IF(DAY(JulDom1)=1,JulDom1+31,JulDom1+38)</f>
        <v>42584</v>
      </c>
      <c r="F9" s="10">
        <f>IF(DAY(JulDom1)=1,JulDom1+32,JulDom1+39)</f>
        <v>42585</v>
      </c>
      <c r="G9" s="10">
        <f>IF(DAY(JulDom1)=1,JulDom1+33,JulDom1+40)</f>
        <v>42586</v>
      </c>
      <c r="H9" s="10">
        <f>IF(DAY(JulDom1)=1,JulDom1+34,JulDom1+41)</f>
        <v>42587</v>
      </c>
      <c r="I9" s="10">
        <f>IF(DAY(JulDom1)=1,JulDom1+35,JulDom1+42)</f>
        <v>42588</v>
      </c>
      <c r="J9" s="5"/>
      <c r="K9" s="12"/>
      <c r="L9" s="18"/>
      <c r="M9" s="36"/>
      <c r="N9" s="37"/>
    </row>
    <row r="10" spans="1:14" ht="18" customHeight="1" x14ac:dyDescent="0.2">
      <c r="A10" s="4"/>
      <c r="B10" s="28"/>
      <c r="C10" s="23"/>
      <c r="D10" s="23"/>
      <c r="E10" s="23"/>
      <c r="F10" s="23"/>
      <c r="G10" s="23"/>
      <c r="H10" s="23"/>
      <c r="I10" s="23"/>
      <c r="J10" s="24"/>
      <c r="K10" s="32" t="s">
        <v>19</v>
      </c>
      <c r="L10" s="16"/>
      <c r="M10" s="38"/>
      <c r="N10" s="39"/>
    </row>
    <row r="11" spans="1:14" ht="18" customHeight="1" x14ac:dyDescent="0.2">
      <c r="A11" s="4"/>
      <c r="B11" s="72" t="s">
        <v>1</v>
      </c>
      <c r="C11" s="73"/>
      <c r="D11" s="73"/>
      <c r="E11" s="73"/>
      <c r="F11" s="73"/>
      <c r="G11" s="73"/>
      <c r="H11" s="73"/>
      <c r="I11" s="73"/>
      <c r="J11" s="74"/>
      <c r="K11" s="33"/>
      <c r="L11" s="17"/>
      <c r="M11" s="34"/>
      <c r="N11" s="35"/>
    </row>
    <row r="12" spans="1:14" ht="18" customHeight="1" x14ac:dyDescent="0.2">
      <c r="A12" s="4"/>
      <c r="B12" s="72"/>
      <c r="C12" s="73"/>
      <c r="D12" s="73"/>
      <c r="E12" s="73"/>
      <c r="F12" s="73"/>
      <c r="G12" s="73"/>
      <c r="H12" s="73"/>
      <c r="I12" s="73"/>
      <c r="J12" s="74"/>
      <c r="K12" s="33"/>
      <c r="L12" s="17"/>
      <c r="M12" s="34"/>
      <c r="N12" s="35"/>
    </row>
    <row r="13" spans="1:14" ht="18" customHeight="1" x14ac:dyDescent="0.2">
      <c r="B13" s="3" t="s">
        <v>2</v>
      </c>
      <c r="C13" s="40" t="s">
        <v>9</v>
      </c>
      <c r="D13" s="42"/>
      <c r="E13" s="40" t="s">
        <v>15</v>
      </c>
      <c r="F13" s="42"/>
      <c r="G13" s="40" t="s">
        <v>16</v>
      </c>
      <c r="H13" s="42"/>
      <c r="I13" s="40" t="s">
        <v>17</v>
      </c>
      <c r="J13" s="41"/>
      <c r="K13" s="11"/>
      <c r="L13" s="17"/>
      <c r="M13" s="34"/>
      <c r="N13" s="35"/>
    </row>
    <row r="14" spans="1:14" ht="18" customHeight="1" x14ac:dyDescent="0.2">
      <c r="B14" s="8" t="s">
        <v>3</v>
      </c>
      <c r="C14" s="54"/>
      <c r="D14" s="55"/>
      <c r="E14" s="54" t="s">
        <v>3</v>
      </c>
      <c r="F14" s="55"/>
      <c r="G14" s="54"/>
      <c r="H14" s="55"/>
      <c r="I14" s="54" t="s">
        <v>3</v>
      </c>
      <c r="J14" s="64"/>
      <c r="K14" s="11"/>
      <c r="L14" s="17"/>
      <c r="M14" s="34"/>
      <c r="N14" s="35"/>
    </row>
    <row r="15" spans="1:14" ht="18" customHeight="1" x14ac:dyDescent="0.2">
      <c r="B15" s="6" t="s">
        <v>4</v>
      </c>
      <c r="C15" s="52"/>
      <c r="D15" s="53"/>
      <c r="E15" s="52" t="s">
        <v>4</v>
      </c>
      <c r="F15" s="53"/>
      <c r="G15" s="52"/>
      <c r="H15" s="53"/>
      <c r="I15" s="61" t="s">
        <v>4</v>
      </c>
      <c r="J15" s="62"/>
      <c r="K15" s="13"/>
      <c r="L15" s="19"/>
      <c r="M15" s="36"/>
      <c r="N15" s="37"/>
    </row>
    <row r="16" spans="1:14" ht="18" customHeight="1" x14ac:dyDescent="0.2">
      <c r="B16" s="8"/>
      <c r="C16" s="54" t="s">
        <v>10</v>
      </c>
      <c r="D16" s="55"/>
      <c r="E16" s="54"/>
      <c r="F16" s="55"/>
      <c r="G16" s="54" t="s">
        <v>10</v>
      </c>
      <c r="H16" s="55"/>
      <c r="I16" s="65"/>
      <c r="J16" s="66"/>
      <c r="K16" s="32" t="s">
        <v>15</v>
      </c>
      <c r="L16" s="16"/>
      <c r="M16" s="38"/>
      <c r="N16" s="39"/>
    </row>
    <row r="17" spans="2:14" ht="18" customHeight="1" x14ac:dyDescent="0.2">
      <c r="B17" s="6"/>
      <c r="C17" s="52" t="s">
        <v>11</v>
      </c>
      <c r="D17" s="53"/>
      <c r="E17" s="52"/>
      <c r="F17" s="53"/>
      <c r="G17" s="52" t="s">
        <v>11</v>
      </c>
      <c r="H17" s="53"/>
      <c r="I17" s="61"/>
      <c r="J17" s="62"/>
      <c r="K17" s="33"/>
      <c r="L17" s="17"/>
      <c r="M17" s="34"/>
      <c r="N17" s="35"/>
    </row>
    <row r="18" spans="2:14" ht="18" customHeight="1" x14ac:dyDescent="0.2">
      <c r="B18" s="9" t="s">
        <v>5</v>
      </c>
      <c r="C18" s="56"/>
      <c r="D18" s="57"/>
      <c r="E18" s="56" t="s">
        <v>5</v>
      </c>
      <c r="F18" s="57"/>
      <c r="G18" s="56"/>
      <c r="H18" s="57"/>
      <c r="I18" s="56" t="s">
        <v>5</v>
      </c>
      <c r="J18" s="63"/>
      <c r="K18" s="33"/>
      <c r="L18" s="17"/>
      <c r="M18" s="34"/>
      <c r="N18" s="35"/>
    </row>
    <row r="19" spans="2:14" ht="18" customHeight="1" x14ac:dyDescent="0.2">
      <c r="B19" s="6" t="s">
        <v>6</v>
      </c>
      <c r="C19" s="52"/>
      <c r="D19" s="53"/>
      <c r="E19" s="52" t="s">
        <v>6</v>
      </c>
      <c r="F19" s="53"/>
      <c r="G19" s="52"/>
      <c r="H19" s="53"/>
      <c r="I19" s="61" t="s">
        <v>6</v>
      </c>
      <c r="J19" s="62"/>
      <c r="K19" s="11"/>
      <c r="L19" s="17"/>
      <c r="M19" s="34"/>
      <c r="N19" s="35"/>
    </row>
    <row r="20" spans="2:14" ht="18" customHeight="1" x14ac:dyDescent="0.2">
      <c r="B20" s="8"/>
      <c r="C20" s="54"/>
      <c r="D20" s="55"/>
      <c r="E20" s="54"/>
      <c r="F20" s="55"/>
      <c r="G20" s="54"/>
      <c r="H20" s="55"/>
      <c r="I20" s="54"/>
      <c r="J20" s="64"/>
      <c r="K20" s="11"/>
      <c r="L20" s="17"/>
      <c r="M20" s="34"/>
      <c r="N20" s="35"/>
    </row>
    <row r="21" spans="2:14" ht="18" customHeight="1" x14ac:dyDescent="0.2">
      <c r="B21" s="6"/>
      <c r="C21" s="52"/>
      <c r="D21" s="53"/>
      <c r="E21" s="52"/>
      <c r="F21" s="53"/>
      <c r="G21" s="52"/>
      <c r="H21" s="53"/>
      <c r="I21" s="67"/>
      <c r="J21" s="68"/>
      <c r="K21" s="13"/>
      <c r="L21" s="19"/>
      <c r="M21" s="36"/>
      <c r="N21" s="37"/>
    </row>
    <row r="22" spans="2:14" ht="18" customHeight="1" x14ac:dyDescent="0.2">
      <c r="B22" s="8"/>
      <c r="C22" s="54"/>
      <c r="D22" s="55"/>
      <c r="E22" s="54"/>
      <c r="F22" s="55"/>
      <c r="G22" s="54"/>
      <c r="H22" s="55"/>
      <c r="I22" s="54"/>
      <c r="J22" s="64"/>
      <c r="K22" s="32" t="s">
        <v>20</v>
      </c>
      <c r="L22" s="16"/>
      <c r="M22" s="38"/>
      <c r="N22" s="39"/>
    </row>
    <row r="23" spans="2:14" ht="18" customHeight="1" x14ac:dyDescent="0.2">
      <c r="B23" s="6"/>
      <c r="C23" s="52"/>
      <c r="D23" s="53"/>
      <c r="E23" s="52"/>
      <c r="F23" s="53"/>
      <c r="G23" s="52"/>
      <c r="H23" s="53"/>
      <c r="I23" s="61"/>
      <c r="J23" s="62"/>
      <c r="K23" s="33"/>
      <c r="L23" s="17"/>
      <c r="M23" s="34"/>
      <c r="N23" s="35"/>
    </row>
    <row r="24" spans="2:14" ht="18" customHeight="1" x14ac:dyDescent="0.2">
      <c r="B24" s="8"/>
      <c r="C24" s="54"/>
      <c r="D24" s="55"/>
      <c r="E24" s="54"/>
      <c r="F24" s="55"/>
      <c r="G24" s="54"/>
      <c r="H24" s="55"/>
      <c r="I24" s="54"/>
      <c r="J24" s="64"/>
      <c r="K24" s="33"/>
      <c r="L24" s="17"/>
      <c r="M24" s="34"/>
      <c r="N24" s="35"/>
    </row>
    <row r="25" spans="2:14" ht="18" customHeight="1" x14ac:dyDescent="0.2">
      <c r="B25" s="6"/>
      <c r="C25" s="52"/>
      <c r="D25" s="53"/>
      <c r="E25" s="52"/>
      <c r="F25" s="53"/>
      <c r="G25" s="52"/>
      <c r="H25" s="53"/>
      <c r="I25" s="61"/>
      <c r="J25" s="62"/>
      <c r="K25" s="33"/>
      <c r="L25" s="17"/>
      <c r="M25" s="34"/>
      <c r="N25" s="35"/>
    </row>
    <row r="26" spans="2:14" ht="18" customHeight="1" x14ac:dyDescent="0.2">
      <c r="B26" s="31">
        <v>0.58333333333333337</v>
      </c>
      <c r="C26" s="54"/>
      <c r="D26" s="55"/>
      <c r="E26" s="58">
        <v>0.58333333333333337</v>
      </c>
      <c r="F26" s="55"/>
      <c r="G26" s="54"/>
      <c r="H26" s="55"/>
      <c r="I26" s="58">
        <v>0.58333333333333337</v>
      </c>
      <c r="J26" s="64"/>
      <c r="K26" s="11"/>
      <c r="L26" s="17"/>
      <c r="M26" s="34"/>
      <c r="N26" s="35"/>
    </row>
    <row r="27" spans="2:14" ht="18" customHeight="1" x14ac:dyDescent="0.2">
      <c r="B27" s="6" t="s">
        <v>7</v>
      </c>
      <c r="C27" s="52"/>
      <c r="D27" s="53"/>
      <c r="E27" s="52" t="s">
        <v>7</v>
      </c>
      <c r="F27" s="53"/>
      <c r="G27" s="52"/>
      <c r="H27" s="53"/>
      <c r="I27" s="61" t="s">
        <v>7</v>
      </c>
      <c r="J27" s="62"/>
      <c r="K27" s="13"/>
      <c r="L27" s="19"/>
      <c r="M27" s="36"/>
      <c r="N27" s="37"/>
    </row>
    <row r="28" spans="2:14" ht="18" customHeight="1" x14ac:dyDescent="0.2">
      <c r="B28" s="8"/>
      <c r="C28" s="54"/>
      <c r="D28" s="55"/>
      <c r="E28" s="54"/>
      <c r="F28" s="55"/>
      <c r="G28" s="54"/>
      <c r="H28" s="55"/>
      <c r="I28" s="54"/>
      <c r="J28" s="64"/>
      <c r="K28" s="32" t="s">
        <v>17</v>
      </c>
      <c r="L28" s="16"/>
      <c r="M28" s="38"/>
      <c r="N28" s="39"/>
    </row>
    <row r="29" spans="2:14" ht="18" customHeight="1" x14ac:dyDescent="0.2">
      <c r="B29" s="6"/>
      <c r="C29" s="52"/>
      <c r="D29" s="53"/>
      <c r="E29" s="52"/>
      <c r="F29" s="53"/>
      <c r="G29" s="52"/>
      <c r="H29" s="53"/>
      <c r="I29" s="52"/>
      <c r="J29" s="69"/>
      <c r="K29" s="33"/>
      <c r="L29" s="17"/>
      <c r="M29" s="34"/>
      <c r="N29" s="35"/>
    </row>
    <row r="30" spans="2:14" ht="18" customHeight="1" x14ac:dyDescent="0.2">
      <c r="B30" s="8"/>
      <c r="C30" s="58">
        <v>0.66666666666666663</v>
      </c>
      <c r="D30" s="55"/>
      <c r="E30" s="54"/>
      <c r="F30" s="55"/>
      <c r="G30" s="58">
        <v>0.66666666666666663</v>
      </c>
      <c r="H30" s="55"/>
      <c r="I30" s="77"/>
      <c r="J30" s="78"/>
      <c r="K30" s="33"/>
      <c r="L30" s="17"/>
      <c r="M30" s="34"/>
      <c r="N30" s="35"/>
    </row>
    <row r="31" spans="2:14" ht="18" customHeight="1" x14ac:dyDescent="0.2">
      <c r="B31" s="6"/>
      <c r="C31" s="52" t="s">
        <v>12</v>
      </c>
      <c r="D31" s="53"/>
      <c r="E31" s="52"/>
      <c r="F31" s="53"/>
      <c r="G31" s="52" t="s">
        <v>12</v>
      </c>
      <c r="H31" s="53"/>
      <c r="I31" s="52"/>
      <c r="J31" s="69"/>
      <c r="K31" s="14"/>
      <c r="L31" s="17"/>
      <c r="M31" s="34"/>
      <c r="N31" s="35"/>
    </row>
    <row r="32" spans="2:14" ht="18" customHeight="1" x14ac:dyDescent="0.2">
      <c r="B32" s="8"/>
      <c r="C32" s="54"/>
      <c r="D32" s="55"/>
      <c r="E32" s="54"/>
      <c r="F32" s="55"/>
      <c r="G32" s="54"/>
      <c r="H32" s="55"/>
      <c r="I32" s="65"/>
      <c r="J32" s="66"/>
      <c r="K32" s="14"/>
      <c r="L32" s="17"/>
      <c r="M32" s="34"/>
      <c r="N32" s="35"/>
    </row>
    <row r="33" spans="2:14" ht="18" customHeight="1" x14ac:dyDescent="0.2">
      <c r="B33" s="7"/>
      <c r="C33" s="59"/>
      <c r="D33" s="60"/>
      <c r="E33" s="59"/>
      <c r="F33" s="60"/>
      <c r="G33" s="59"/>
      <c r="H33" s="60"/>
      <c r="I33" s="79"/>
      <c r="J33" s="80"/>
      <c r="K33" s="15"/>
      <c r="L33" s="20"/>
      <c r="M33" s="75"/>
      <c r="N33" s="76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23" priority="3" stopIfTrue="1">
      <formula>DAY(C4)&gt;8</formula>
    </cfRule>
  </conditionalFormatting>
  <conditionalFormatting sqref="C8:I10">
    <cfRule type="expression" dxfId="22" priority="2" stopIfTrue="1">
      <formula>AND(DAY(C8)&gt;=1,DAY(C8)&lt;=15)</formula>
    </cfRule>
  </conditionalFormatting>
  <conditionalFormatting sqref="C4:I9">
    <cfRule type="expression" dxfId="21" priority="4">
      <formula>VLOOKUP(DAY(C4),DiasTarefa,1,FALSE)=DAY(C4)</formula>
    </cfRule>
  </conditionalFormatting>
  <conditionalFormatting sqref="B14:J33">
    <cfRule type="expression" dxfId="20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3.85546875" style="1" customWidth="1"/>
    <col min="3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29"/>
      <c r="C2" s="21"/>
      <c r="D2" s="21"/>
      <c r="E2" s="21"/>
      <c r="F2" s="21"/>
      <c r="G2" s="21"/>
      <c r="H2" s="21"/>
      <c r="I2" s="21"/>
      <c r="J2" s="22"/>
      <c r="K2" s="43" t="s">
        <v>18</v>
      </c>
      <c r="L2" s="44">
        <v>2013</v>
      </c>
      <c r="M2" s="44"/>
      <c r="N2" s="81">
        <f>AnoCalendário</f>
        <v>2016</v>
      </c>
    </row>
    <row r="3" spans="1:14" ht="21" customHeight="1" x14ac:dyDescent="0.2">
      <c r="A3" s="4"/>
      <c r="B3" s="70" t="s">
        <v>31</v>
      </c>
      <c r="C3" s="2" t="s">
        <v>8</v>
      </c>
      <c r="D3" s="2" t="s">
        <v>13</v>
      </c>
      <c r="E3" s="2" t="s">
        <v>33</v>
      </c>
      <c r="F3" s="2" t="s">
        <v>14</v>
      </c>
      <c r="G3" s="2" t="s">
        <v>14</v>
      </c>
      <c r="H3" s="2" t="s">
        <v>13</v>
      </c>
      <c r="I3" s="2" t="s">
        <v>13</v>
      </c>
      <c r="J3" s="5"/>
      <c r="K3" s="45"/>
      <c r="L3" s="46"/>
      <c r="M3" s="46"/>
      <c r="N3" s="82"/>
    </row>
    <row r="4" spans="1:14" ht="18" customHeight="1" x14ac:dyDescent="0.2">
      <c r="A4" s="4"/>
      <c r="B4" s="70"/>
      <c r="C4" s="10">
        <f>IF(DAY(AgoDom1)=1,AgoDom1-6,AgoDom1+1)</f>
        <v>42582</v>
      </c>
      <c r="D4" s="10">
        <f>IF(DAY(AgoDom1)=1,AgoDom1-5,AgoDom1+2)</f>
        <v>42583</v>
      </c>
      <c r="E4" s="10">
        <f>IF(DAY(AgoDom1)=1,AgoDom1-4,AgoDom1+3)</f>
        <v>42584</v>
      </c>
      <c r="F4" s="10">
        <f>IF(DAY(AgoDom1)=1,AgoDom1-3,AgoDom1+4)</f>
        <v>42585</v>
      </c>
      <c r="G4" s="10">
        <f>IF(DAY(AgoDom1)=1,AgoDom1-2,AgoDom1+5)</f>
        <v>42586</v>
      </c>
      <c r="H4" s="10">
        <f>IF(DAY(AgoDom1)=1,AgoDom1-1,AgoDom1+6)</f>
        <v>42587</v>
      </c>
      <c r="I4" s="10">
        <f>IF(DAY(AgoDom1)=1,AgoDom1,AgoDom1+7)</f>
        <v>42588</v>
      </c>
      <c r="J4" s="5"/>
      <c r="K4" s="47" t="s">
        <v>2</v>
      </c>
      <c r="L4" s="16"/>
      <c r="M4" s="48"/>
      <c r="N4" s="49"/>
    </row>
    <row r="5" spans="1:14" ht="18" customHeight="1" x14ac:dyDescent="0.2">
      <c r="A5" s="4"/>
      <c r="B5" s="27"/>
      <c r="C5" s="10">
        <f>IF(DAY(AgoDom1)=1,AgoDom1+1,AgoDom1+8)</f>
        <v>42589</v>
      </c>
      <c r="D5" s="10">
        <f>IF(DAY(AgoDom1)=1,AgoDom1+2,AgoDom1+9)</f>
        <v>42590</v>
      </c>
      <c r="E5" s="10">
        <f>IF(DAY(AgoDom1)=1,AgoDom1+3,AgoDom1+10)</f>
        <v>42591</v>
      </c>
      <c r="F5" s="10">
        <f>IF(DAY(AgoDom1)=1,AgoDom1+4,AgoDom1+11)</f>
        <v>42592</v>
      </c>
      <c r="G5" s="10">
        <f>IF(DAY(AgoDom1)=1,AgoDom1+5,AgoDom1+12)</f>
        <v>42593</v>
      </c>
      <c r="H5" s="10">
        <f>IF(DAY(AgoDom1)=1,AgoDom1+6,AgoDom1+13)</f>
        <v>42594</v>
      </c>
      <c r="I5" s="10">
        <f>IF(DAY(AgoDom1)=1,AgoDom1+7,AgoDom1+14)</f>
        <v>42595</v>
      </c>
      <c r="J5" s="5"/>
      <c r="K5" s="33"/>
      <c r="L5" s="17"/>
      <c r="M5" s="34"/>
      <c r="N5" s="35"/>
    </row>
    <row r="6" spans="1:14" ht="18" customHeight="1" x14ac:dyDescent="0.2">
      <c r="A6" s="4"/>
      <c r="B6" s="27"/>
      <c r="C6" s="10">
        <f>IF(DAY(AgoDom1)=1,AgoDom1+8,AgoDom1+15)</f>
        <v>42596</v>
      </c>
      <c r="D6" s="10">
        <f>IF(DAY(AgoDom1)=1,AgoDom1+9,AgoDom1+16)</f>
        <v>42597</v>
      </c>
      <c r="E6" s="10">
        <f>IF(DAY(AgoDom1)=1,AgoDom1+10,AgoDom1+17)</f>
        <v>42598</v>
      </c>
      <c r="F6" s="10">
        <f>IF(DAY(AgoDom1)=1,AgoDom1+11,AgoDom1+18)</f>
        <v>42599</v>
      </c>
      <c r="G6" s="10">
        <f>IF(DAY(AgoDom1)=1,AgoDom1+12,AgoDom1+19)</f>
        <v>42600</v>
      </c>
      <c r="H6" s="10">
        <f>IF(DAY(AgoDom1)=1,AgoDom1+13,AgoDom1+20)</f>
        <v>42601</v>
      </c>
      <c r="I6" s="10">
        <f>IF(DAY(AgoDom1)=1,AgoDom1+14,AgoDom1+21)</f>
        <v>42602</v>
      </c>
      <c r="J6" s="5"/>
      <c r="K6" s="33"/>
      <c r="L6" s="17"/>
      <c r="M6" s="34"/>
      <c r="N6" s="35"/>
    </row>
    <row r="7" spans="1:14" ht="18" customHeight="1" x14ac:dyDescent="0.2">
      <c r="A7" s="4"/>
      <c r="B7" s="27"/>
      <c r="C7" s="10">
        <f>IF(DAY(AgoDom1)=1,AgoDom1+15,AgoDom1+22)</f>
        <v>42603</v>
      </c>
      <c r="D7" s="10">
        <f>IF(DAY(AgoDom1)=1,AgoDom1+16,AgoDom1+23)</f>
        <v>42604</v>
      </c>
      <c r="E7" s="10">
        <f>IF(DAY(AgoDom1)=1,AgoDom1+17,AgoDom1+24)</f>
        <v>42605</v>
      </c>
      <c r="F7" s="10">
        <f>IF(DAY(AgoDom1)=1,AgoDom1+18,AgoDom1+25)</f>
        <v>42606</v>
      </c>
      <c r="G7" s="10">
        <f>IF(DAY(AgoDom1)=1,AgoDom1+19,AgoDom1+26)</f>
        <v>42607</v>
      </c>
      <c r="H7" s="10">
        <f>IF(DAY(AgoDom1)=1,AgoDom1+20,AgoDom1+27)</f>
        <v>42608</v>
      </c>
      <c r="I7" s="10">
        <f>IF(DAY(AgoDom1)=1,AgoDom1+21,AgoDom1+28)</f>
        <v>42609</v>
      </c>
      <c r="J7" s="5"/>
      <c r="K7" s="11"/>
      <c r="L7" s="17"/>
      <c r="M7" s="34"/>
      <c r="N7" s="35"/>
    </row>
    <row r="8" spans="1:14" ht="18.75" customHeight="1" x14ac:dyDescent="0.2">
      <c r="A8" s="4"/>
      <c r="B8" s="27"/>
      <c r="C8" s="10">
        <f>IF(DAY(AgoDom1)=1,AgoDom1+22,AgoDom1+29)</f>
        <v>42610</v>
      </c>
      <c r="D8" s="10">
        <f>IF(DAY(AgoDom1)=1,AgoDom1+23,AgoDom1+30)</f>
        <v>42611</v>
      </c>
      <c r="E8" s="10">
        <f>IF(DAY(AgoDom1)=1,AgoDom1+24,AgoDom1+31)</f>
        <v>42612</v>
      </c>
      <c r="F8" s="10">
        <f>IF(DAY(AgoDom1)=1,AgoDom1+25,AgoDom1+32)</f>
        <v>42613</v>
      </c>
      <c r="G8" s="10">
        <f>IF(DAY(AgoDom1)=1,AgoDom1+26,AgoDom1+33)</f>
        <v>42614</v>
      </c>
      <c r="H8" s="10">
        <f>IF(DAY(AgoDom1)=1,AgoDom1+27,AgoDom1+34)</f>
        <v>42615</v>
      </c>
      <c r="I8" s="10">
        <f>IF(DAY(AgoDom1)=1,AgoDom1+28,AgoDom1+35)</f>
        <v>42616</v>
      </c>
      <c r="J8" s="5"/>
      <c r="K8" s="11"/>
      <c r="L8" s="17"/>
      <c r="M8" s="34"/>
      <c r="N8" s="35"/>
    </row>
    <row r="9" spans="1:14" ht="18" customHeight="1" x14ac:dyDescent="0.2">
      <c r="A9" s="4"/>
      <c r="B9" s="27"/>
      <c r="C9" s="10">
        <f>IF(DAY(AgoDom1)=1,AgoDom1+29,AgoDom1+36)</f>
        <v>42617</v>
      </c>
      <c r="D9" s="10">
        <f>IF(DAY(AgoDom1)=1,AgoDom1+30,AgoDom1+37)</f>
        <v>42618</v>
      </c>
      <c r="E9" s="10">
        <f>IF(DAY(AgoDom1)=1,AgoDom1+31,AgoDom1+38)</f>
        <v>42619</v>
      </c>
      <c r="F9" s="10">
        <f>IF(DAY(AgoDom1)=1,AgoDom1+32,AgoDom1+39)</f>
        <v>42620</v>
      </c>
      <c r="G9" s="10">
        <f>IF(DAY(AgoDom1)=1,AgoDom1+33,AgoDom1+40)</f>
        <v>42621</v>
      </c>
      <c r="H9" s="10">
        <f>IF(DAY(AgoDom1)=1,AgoDom1+34,AgoDom1+41)</f>
        <v>42622</v>
      </c>
      <c r="I9" s="10">
        <f>IF(DAY(AgoDom1)=1,AgoDom1+35,AgoDom1+42)</f>
        <v>42623</v>
      </c>
      <c r="J9" s="5"/>
      <c r="K9" s="12"/>
      <c r="L9" s="18"/>
      <c r="M9" s="36"/>
      <c r="N9" s="37"/>
    </row>
    <row r="10" spans="1:14" ht="18" customHeight="1" x14ac:dyDescent="0.2">
      <c r="A10" s="4"/>
      <c r="B10" s="28"/>
      <c r="C10" s="23"/>
      <c r="D10" s="23"/>
      <c r="E10" s="23"/>
      <c r="F10" s="23"/>
      <c r="G10" s="23"/>
      <c r="H10" s="23"/>
      <c r="I10" s="23"/>
      <c r="J10" s="24"/>
      <c r="K10" s="32" t="s">
        <v>19</v>
      </c>
      <c r="L10" s="16"/>
      <c r="M10" s="38"/>
      <c r="N10" s="39"/>
    </row>
    <row r="11" spans="1:14" ht="18" customHeight="1" x14ac:dyDescent="0.2">
      <c r="A11" s="4"/>
      <c r="B11" s="72" t="s">
        <v>1</v>
      </c>
      <c r="C11" s="73"/>
      <c r="D11" s="73"/>
      <c r="E11" s="73"/>
      <c r="F11" s="73"/>
      <c r="G11" s="73"/>
      <c r="H11" s="73"/>
      <c r="I11" s="73"/>
      <c r="J11" s="74"/>
      <c r="K11" s="33"/>
      <c r="L11" s="17"/>
      <c r="M11" s="34"/>
      <c r="N11" s="35"/>
    </row>
    <row r="12" spans="1:14" ht="18" customHeight="1" x14ac:dyDescent="0.2">
      <c r="A12" s="4"/>
      <c r="B12" s="72"/>
      <c r="C12" s="73"/>
      <c r="D12" s="73"/>
      <c r="E12" s="73"/>
      <c r="F12" s="73"/>
      <c r="G12" s="73"/>
      <c r="H12" s="73"/>
      <c r="I12" s="73"/>
      <c r="J12" s="74"/>
      <c r="K12" s="33"/>
      <c r="L12" s="17"/>
      <c r="M12" s="34"/>
      <c r="N12" s="35"/>
    </row>
    <row r="13" spans="1:14" ht="18" customHeight="1" x14ac:dyDescent="0.2">
      <c r="B13" s="3" t="s">
        <v>2</v>
      </c>
      <c r="C13" s="40" t="s">
        <v>9</v>
      </c>
      <c r="D13" s="42"/>
      <c r="E13" s="40" t="s">
        <v>15</v>
      </c>
      <c r="F13" s="42"/>
      <c r="G13" s="40" t="s">
        <v>16</v>
      </c>
      <c r="H13" s="42"/>
      <c r="I13" s="40" t="s">
        <v>17</v>
      </c>
      <c r="J13" s="41"/>
      <c r="K13" s="11"/>
      <c r="L13" s="17"/>
      <c r="M13" s="34"/>
      <c r="N13" s="35"/>
    </row>
    <row r="14" spans="1:14" ht="18" customHeight="1" x14ac:dyDescent="0.2">
      <c r="B14" s="8" t="s">
        <v>3</v>
      </c>
      <c r="C14" s="54"/>
      <c r="D14" s="55"/>
      <c r="E14" s="54" t="s">
        <v>3</v>
      </c>
      <c r="F14" s="55"/>
      <c r="G14" s="54"/>
      <c r="H14" s="55"/>
      <c r="I14" s="54" t="s">
        <v>3</v>
      </c>
      <c r="J14" s="64"/>
      <c r="K14" s="11"/>
      <c r="L14" s="17"/>
      <c r="M14" s="34"/>
      <c r="N14" s="35"/>
    </row>
    <row r="15" spans="1:14" ht="18" customHeight="1" x14ac:dyDescent="0.2">
      <c r="B15" s="6" t="s">
        <v>4</v>
      </c>
      <c r="C15" s="52"/>
      <c r="D15" s="53"/>
      <c r="E15" s="52" t="s">
        <v>4</v>
      </c>
      <c r="F15" s="53"/>
      <c r="G15" s="52"/>
      <c r="H15" s="53"/>
      <c r="I15" s="61" t="s">
        <v>4</v>
      </c>
      <c r="J15" s="62"/>
      <c r="K15" s="13"/>
      <c r="L15" s="19"/>
      <c r="M15" s="36"/>
      <c r="N15" s="37"/>
    </row>
    <row r="16" spans="1:14" ht="18" customHeight="1" x14ac:dyDescent="0.2">
      <c r="B16" s="8"/>
      <c r="C16" s="54" t="s">
        <v>10</v>
      </c>
      <c r="D16" s="55"/>
      <c r="E16" s="54"/>
      <c r="F16" s="55"/>
      <c r="G16" s="54" t="s">
        <v>10</v>
      </c>
      <c r="H16" s="55"/>
      <c r="I16" s="65"/>
      <c r="J16" s="66"/>
      <c r="K16" s="32" t="s">
        <v>15</v>
      </c>
      <c r="L16" s="16"/>
      <c r="M16" s="38"/>
      <c r="N16" s="39"/>
    </row>
    <row r="17" spans="2:14" ht="18" customHeight="1" x14ac:dyDescent="0.2">
      <c r="B17" s="6"/>
      <c r="C17" s="52" t="s">
        <v>11</v>
      </c>
      <c r="D17" s="53"/>
      <c r="E17" s="52"/>
      <c r="F17" s="53"/>
      <c r="G17" s="52" t="s">
        <v>11</v>
      </c>
      <c r="H17" s="53"/>
      <c r="I17" s="61"/>
      <c r="J17" s="62"/>
      <c r="K17" s="33"/>
      <c r="L17" s="17"/>
      <c r="M17" s="34"/>
      <c r="N17" s="35"/>
    </row>
    <row r="18" spans="2:14" ht="18" customHeight="1" x14ac:dyDescent="0.2">
      <c r="B18" s="9" t="s">
        <v>5</v>
      </c>
      <c r="C18" s="56"/>
      <c r="D18" s="57"/>
      <c r="E18" s="56" t="s">
        <v>5</v>
      </c>
      <c r="F18" s="57"/>
      <c r="G18" s="56"/>
      <c r="H18" s="57"/>
      <c r="I18" s="56" t="s">
        <v>5</v>
      </c>
      <c r="J18" s="63"/>
      <c r="K18" s="33"/>
      <c r="L18" s="17"/>
      <c r="M18" s="34"/>
      <c r="N18" s="35"/>
    </row>
    <row r="19" spans="2:14" ht="18" customHeight="1" x14ac:dyDescent="0.2">
      <c r="B19" s="6" t="s">
        <v>6</v>
      </c>
      <c r="C19" s="52"/>
      <c r="D19" s="53"/>
      <c r="E19" s="52" t="s">
        <v>6</v>
      </c>
      <c r="F19" s="53"/>
      <c r="G19" s="52"/>
      <c r="H19" s="53"/>
      <c r="I19" s="61" t="s">
        <v>6</v>
      </c>
      <c r="J19" s="62"/>
      <c r="K19" s="11"/>
      <c r="L19" s="17"/>
      <c r="M19" s="34"/>
      <c r="N19" s="35"/>
    </row>
    <row r="20" spans="2:14" ht="18" customHeight="1" x14ac:dyDescent="0.2">
      <c r="B20" s="8"/>
      <c r="C20" s="54"/>
      <c r="D20" s="55"/>
      <c r="E20" s="54"/>
      <c r="F20" s="55"/>
      <c r="G20" s="54"/>
      <c r="H20" s="55"/>
      <c r="I20" s="54"/>
      <c r="J20" s="64"/>
      <c r="K20" s="11"/>
      <c r="L20" s="17"/>
      <c r="M20" s="34"/>
      <c r="N20" s="35"/>
    </row>
    <row r="21" spans="2:14" ht="18" customHeight="1" x14ac:dyDescent="0.2">
      <c r="B21" s="6"/>
      <c r="C21" s="52"/>
      <c r="D21" s="53"/>
      <c r="E21" s="52"/>
      <c r="F21" s="53"/>
      <c r="G21" s="52"/>
      <c r="H21" s="53"/>
      <c r="I21" s="67"/>
      <c r="J21" s="68"/>
      <c r="K21" s="13"/>
      <c r="L21" s="19"/>
      <c r="M21" s="36"/>
      <c r="N21" s="37"/>
    </row>
    <row r="22" spans="2:14" ht="18" customHeight="1" x14ac:dyDescent="0.2">
      <c r="B22" s="8"/>
      <c r="C22" s="54"/>
      <c r="D22" s="55"/>
      <c r="E22" s="54"/>
      <c r="F22" s="55"/>
      <c r="G22" s="54"/>
      <c r="H22" s="55"/>
      <c r="I22" s="54"/>
      <c r="J22" s="64"/>
      <c r="K22" s="32" t="s">
        <v>20</v>
      </c>
      <c r="L22" s="16"/>
      <c r="M22" s="38"/>
      <c r="N22" s="39"/>
    </row>
    <row r="23" spans="2:14" ht="18" customHeight="1" x14ac:dyDescent="0.2">
      <c r="B23" s="6"/>
      <c r="C23" s="52"/>
      <c r="D23" s="53"/>
      <c r="E23" s="52"/>
      <c r="F23" s="53"/>
      <c r="G23" s="52"/>
      <c r="H23" s="53"/>
      <c r="I23" s="61"/>
      <c r="J23" s="62"/>
      <c r="K23" s="33"/>
      <c r="L23" s="17"/>
      <c r="M23" s="34"/>
      <c r="N23" s="35"/>
    </row>
    <row r="24" spans="2:14" ht="18" customHeight="1" x14ac:dyDescent="0.2">
      <c r="B24" s="8"/>
      <c r="C24" s="54"/>
      <c r="D24" s="55"/>
      <c r="E24" s="54"/>
      <c r="F24" s="55"/>
      <c r="G24" s="54"/>
      <c r="H24" s="55"/>
      <c r="I24" s="54"/>
      <c r="J24" s="64"/>
      <c r="K24" s="33"/>
      <c r="L24" s="17"/>
      <c r="M24" s="34"/>
      <c r="N24" s="35"/>
    </row>
    <row r="25" spans="2:14" ht="18" customHeight="1" x14ac:dyDescent="0.2">
      <c r="B25" s="6"/>
      <c r="C25" s="52"/>
      <c r="D25" s="53"/>
      <c r="E25" s="52"/>
      <c r="F25" s="53"/>
      <c r="G25" s="52"/>
      <c r="H25" s="53"/>
      <c r="I25" s="61"/>
      <c r="J25" s="62"/>
      <c r="K25" s="33"/>
      <c r="L25" s="17"/>
      <c r="M25" s="34"/>
      <c r="N25" s="35"/>
    </row>
    <row r="26" spans="2:14" ht="18" customHeight="1" x14ac:dyDescent="0.2">
      <c r="B26" s="31">
        <v>0.58333333333333337</v>
      </c>
      <c r="C26" s="54"/>
      <c r="D26" s="55"/>
      <c r="E26" s="58">
        <v>0.58333333333333337</v>
      </c>
      <c r="F26" s="55"/>
      <c r="G26" s="54"/>
      <c r="H26" s="55"/>
      <c r="I26" s="58">
        <v>0.58333333333333337</v>
      </c>
      <c r="J26" s="64"/>
      <c r="K26" s="11"/>
      <c r="L26" s="17"/>
      <c r="M26" s="34"/>
      <c r="N26" s="35"/>
    </row>
    <row r="27" spans="2:14" ht="18" customHeight="1" x14ac:dyDescent="0.2">
      <c r="B27" s="6" t="s">
        <v>7</v>
      </c>
      <c r="C27" s="52"/>
      <c r="D27" s="53"/>
      <c r="E27" s="52" t="s">
        <v>7</v>
      </c>
      <c r="F27" s="53"/>
      <c r="G27" s="52"/>
      <c r="H27" s="53"/>
      <c r="I27" s="61" t="s">
        <v>7</v>
      </c>
      <c r="J27" s="62"/>
      <c r="K27" s="13"/>
      <c r="L27" s="19"/>
      <c r="M27" s="36"/>
      <c r="N27" s="37"/>
    </row>
    <row r="28" spans="2:14" ht="18" customHeight="1" x14ac:dyDescent="0.2">
      <c r="B28" s="8"/>
      <c r="C28" s="54"/>
      <c r="D28" s="55"/>
      <c r="E28" s="54"/>
      <c r="F28" s="55"/>
      <c r="G28" s="54"/>
      <c r="H28" s="55"/>
      <c r="I28" s="54"/>
      <c r="J28" s="64"/>
      <c r="K28" s="32" t="s">
        <v>17</v>
      </c>
      <c r="L28" s="16"/>
      <c r="M28" s="38"/>
      <c r="N28" s="39"/>
    </row>
    <row r="29" spans="2:14" ht="18" customHeight="1" x14ac:dyDescent="0.2">
      <c r="B29" s="6"/>
      <c r="C29" s="52"/>
      <c r="D29" s="53"/>
      <c r="E29" s="52"/>
      <c r="F29" s="53"/>
      <c r="G29" s="52"/>
      <c r="H29" s="53"/>
      <c r="I29" s="52"/>
      <c r="J29" s="69"/>
      <c r="K29" s="33"/>
      <c r="L29" s="17"/>
      <c r="M29" s="34"/>
      <c r="N29" s="35"/>
    </row>
    <row r="30" spans="2:14" ht="18" customHeight="1" x14ac:dyDescent="0.2">
      <c r="B30" s="8"/>
      <c r="C30" s="58">
        <v>0.66666666666666663</v>
      </c>
      <c r="D30" s="55"/>
      <c r="E30" s="54"/>
      <c r="F30" s="55"/>
      <c r="G30" s="58">
        <v>0.66666666666666663</v>
      </c>
      <c r="H30" s="55"/>
      <c r="I30" s="77"/>
      <c r="J30" s="78"/>
      <c r="K30" s="33"/>
      <c r="L30" s="17"/>
      <c r="M30" s="34"/>
      <c r="N30" s="35"/>
    </row>
    <row r="31" spans="2:14" ht="18" customHeight="1" x14ac:dyDescent="0.2">
      <c r="B31" s="6"/>
      <c r="C31" s="52" t="s">
        <v>12</v>
      </c>
      <c r="D31" s="53"/>
      <c r="E31" s="52"/>
      <c r="F31" s="53"/>
      <c r="G31" s="52" t="s">
        <v>12</v>
      </c>
      <c r="H31" s="53"/>
      <c r="I31" s="52"/>
      <c r="J31" s="69"/>
      <c r="K31" s="14"/>
      <c r="L31" s="17"/>
      <c r="M31" s="34"/>
      <c r="N31" s="35"/>
    </row>
    <row r="32" spans="2:14" ht="18" customHeight="1" x14ac:dyDescent="0.2">
      <c r="B32" s="8"/>
      <c r="C32" s="54"/>
      <c r="D32" s="55"/>
      <c r="E32" s="54"/>
      <c r="F32" s="55"/>
      <c r="G32" s="54"/>
      <c r="H32" s="55"/>
      <c r="I32" s="65"/>
      <c r="J32" s="66"/>
      <c r="K32" s="14"/>
      <c r="L32" s="17"/>
      <c r="M32" s="34"/>
      <c r="N32" s="35"/>
    </row>
    <row r="33" spans="2:14" ht="18" customHeight="1" x14ac:dyDescent="0.2">
      <c r="B33" s="7"/>
      <c r="C33" s="59"/>
      <c r="D33" s="60"/>
      <c r="E33" s="59"/>
      <c r="F33" s="60"/>
      <c r="G33" s="59"/>
      <c r="H33" s="60"/>
      <c r="I33" s="79"/>
      <c r="J33" s="80"/>
      <c r="K33" s="15"/>
      <c r="L33" s="20"/>
      <c r="M33" s="75"/>
      <c r="N33" s="76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19" priority="3" stopIfTrue="1">
      <formula>DAY(C4)&gt;8</formula>
    </cfRule>
  </conditionalFormatting>
  <conditionalFormatting sqref="C8:I10">
    <cfRule type="expression" dxfId="18" priority="2" stopIfTrue="1">
      <formula>AND(DAY(C8)&gt;=1,DAY(C8)&lt;=15)</formula>
    </cfRule>
  </conditionalFormatting>
  <conditionalFormatting sqref="C4:I9">
    <cfRule type="expression" dxfId="17" priority="4">
      <formula>VLOOKUP(DAY(C4),DiasTarefa,1,FALSE)=DAY(C4)</formula>
    </cfRule>
  </conditionalFormatting>
  <conditionalFormatting sqref="B14:J33">
    <cfRule type="expression" dxfId="16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3.85546875" style="1" customWidth="1"/>
    <col min="3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29"/>
      <c r="C2" s="21"/>
      <c r="D2" s="21"/>
      <c r="E2" s="21"/>
      <c r="F2" s="21"/>
      <c r="G2" s="21"/>
      <c r="H2" s="21"/>
      <c r="I2" s="21"/>
      <c r="J2" s="22"/>
      <c r="K2" s="43" t="s">
        <v>18</v>
      </c>
      <c r="L2" s="44">
        <v>2013</v>
      </c>
      <c r="M2" s="44"/>
      <c r="N2" s="81">
        <f>AnoCalendário</f>
        <v>2016</v>
      </c>
    </row>
    <row r="3" spans="1:14" ht="21" customHeight="1" x14ac:dyDescent="0.2">
      <c r="A3" s="4"/>
      <c r="B3" s="70" t="s">
        <v>32</v>
      </c>
      <c r="C3" s="2" t="s">
        <v>8</v>
      </c>
      <c r="D3" s="2" t="s">
        <v>13</v>
      </c>
      <c r="E3" s="2" t="s">
        <v>33</v>
      </c>
      <c r="F3" s="2" t="s">
        <v>14</v>
      </c>
      <c r="G3" s="2" t="s">
        <v>14</v>
      </c>
      <c r="H3" s="2" t="s">
        <v>13</v>
      </c>
      <c r="I3" s="2" t="s">
        <v>13</v>
      </c>
      <c r="J3" s="5"/>
      <c r="K3" s="45"/>
      <c r="L3" s="46"/>
      <c r="M3" s="46"/>
      <c r="N3" s="82"/>
    </row>
    <row r="4" spans="1:14" ht="18" customHeight="1" x14ac:dyDescent="0.2">
      <c r="A4" s="4"/>
      <c r="B4" s="70"/>
      <c r="C4" s="10">
        <f>IF(DAY(SetDom1)=1,SetDom1-6,SetDom1+1)</f>
        <v>42610</v>
      </c>
      <c r="D4" s="10">
        <f>IF(DAY(SetDom1)=1,SetDom1-5,SetDom1+2)</f>
        <v>42611</v>
      </c>
      <c r="E4" s="10">
        <f>IF(DAY(SetDom1)=1,SetDom1-4,SetDom1+3)</f>
        <v>42612</v>
      </c>
      <c r="F4" s="10">
        <f>IF(DAY(SetDom1)=1,SetDom1-3,SetDom1+4)</f>
        <v>42613</v>
      </c>
      <c r="G4" s="10">
        <f>IF(DAY(SetDom1)=1,SetDom1-2,SetDom1+5)</f>
        <v>42614</v>
      </c>
      <c r="H4" s="10">
        <f>IF(DAY(SetDom1)=1,SetDom1-1,SetDom1+6)</f>
        <v>42615</v>
      </c>
      <c r="I4" s="10">
        <f>IF(DAY(SetDom1)=1,SetDom1,SetDom1+7)</f>
        <v>42616</v>
      </c>
      <c r="J4" s="5"/>
      <c r="K4" s="47" t="s">
        <v>2</v>
      </c>
      <c r="L4" s="16"/>
      <c r="M4" s="48"/>
      <c r="N4" s="49"/>
    </row>
    <row r="5" spans="1:14" ht="18" customHeight="1" x14ac:dyDescent="0.2">
      <c r="A5" s="4"/>
      <c r="B5" s="27"/>
      <c r="C5" s="10">
        <f>IF(DAY(SetDom1)=1,SetDom1+1,SetDom1+8)</f>
        <v>42617</v>
      </c>
      <c r="D5" s="10">
        <f>IF(DAY(SetDom1)=1,SetDom1+2,SetDom1+9)</f>
        <v>42618</v>
      </c>
      <c r="E5" s="10">
        <f>IF(DAY(SetDom1)=1,SetDom1+3,SetDom1+10)</f>
        <v>42619</v>
      </c>
      <c r="F5" s="10">
        <f>IF(DAY(SetDom1)=1,SetDom1+4,SetDom1+11)</f>
        <v>42620</v>
      </c>
      <c r="G5" s="10">
        <f>IF(DAY(SetDom1)=1,SetDom1+5,SetDom1+12)</f>
        <v>42621</v>
      </c>
      <c r="H5" s="10">
        <f>IF(DAY(SetDom1)=1,SetDom1+6,SetDom1+13)</f>
        <v>42622</v>
      </c>
      <c r="I5" s="10">
        <f>IF(DAY(SetDom1)=1,SetDom1+7,SetDom1+14)</f>
        <v>42623</v>
      </c>
      <c r="J5" s="5"/>
      <c r="K5" s="33"/>
      <c r="L5" s="17"/>
      <c r="M5" s="34"/>
      <c r="N5" s="35"/>
    </row>
    <row r="6" spans="1:14" ht="18" customHeight="1" x14ac:dyDescent="0.2">
      <c r="A6" s="4"/>
      <c r="B6" s="27"/>
      <c r="C6" s="10">
        <f>IF(DAY(SetDom1)=1,SetDom1+8,SetDom1+15)</f>
        <v>42624</v>
      </c>
      <c r="D6" s="10">
        <f>IF(DAY(SetDom1)=1,SetDom1+9,SetDom1+16)</f>
        <v>42625</v>
      </c>
      <c r="E6" s="10">
        <f>IF(DAY(SetDom1)=1,SetDom1+10,SetDom1+17)</f>
        <v>42626</v>
      </c>
      <c r="F6" s="10">
        <f>IF(DAY(SetDom1)=1,SetDom1+11,SetDom1+18)</f>
        <v>42627</v>
      </c>
      <c r="G6" s="10">
        <f>IF(DAY(SetDom1)=1,SetDom1+12,SetDom1+19)</f>
        <v>42628</v>
      </c>
      <c r="H6" s="10">
        <f>IF(DAY(SetDom1)=1,SetDom1+13,SetDom1+20)</f>
        <v>42629</v>
      </c>
      <c r="I6" s="10">
        <f>IF(DAY(SetDom1)=1,SetDom1+14,SetDom1+21)</f>
        <v>42630</v>
      </c>
      <c r="J6" s="5"/>
      <c r="K6" s="33"/>
      <c r="L6" s="17"/>
      <c r="M6" s="34"/>
      <c r="N6" s="35"/>
    </row>
    <row r="7" spans="1:14" ht="18" customHeight="1" x14ac:dyDescent="0.2">
      <c r="A7" s="4"/>
      <c r="B7" s="27"/>
      <c r="C7" s="10">
        <f>IF(DAY(SetDom1)=1,SetDom1+15,SetDom1+22)</f>
        <v>42631</v>
      </c>
      <c r="D7" s="10">
        <f>IF(DAY(SetDom1)=1,SetDom1+16,SetDom1+23)</f>
        <v>42632</v>
      </c>
      <c r="E7" s="10">
        <f>IF(DAY(SetDom1)=1,SetDom1+17,SetDom1+24)</f>
        <v>42633</v>
      </c>
      <c r="F7" s="10">
        <f>IF(DAY(SetDom1)=1,SetDom1+18,SetDom1+25)</f>
        <v>42634</v>
      </c>
      <c r="G7" s="10">
        <f>IF(DAY(SetDom1)=1,SetDom1+19,SetDom1+26)</f>
        <v>42635</v>
      </c>
      <c r="H7" s="10">
        <f>IF(DAY(SetDom1)=1,SetDom1+20,SetDom1+27)</f>
        <v>42636</v>
      </c>
      <c r="I7" s="10">
        <f>IF(DAY(SetDom1)=1,SetDom1+21,SetDom1+28)</f>
        <v>42637</v>
      </c>
      <c r="J7" s="5"/>
      <c r="K7" s="11"/>
      <c r="L7" s="17"/>
      <c r="M7" s="34"/>
      <c r="N7" s="35"/>
    </row>
    <row r="8" spans="1:14" ht="18.75" customHeight="1" x14ac:dyDescent="0.2">
      <c r="A8" s="4"/>
      <c r="B8" s="27"/>
      <c r="C8" s="10">
        <f>IF(DAY(SetDom1)=1,SetDom1+22,SetDom1+29)</f>
        <v>42638</v>
      </c>
      <c r="D8" s="10">
        <f>IF(DAY(SetDom1)=1,SetDom1+23,SetDom1+30)</f>
        <v>42639</v>
      </c>
      <c r="E8" s="10">
        <f>IF(DAY(SetDom1)=1,SetDom1+24,SetDom1+31)</f>
        <v>42640</v>
      </c>
      <c r="F8" s="10">
        <f>IF(DAY(SetDom1)=1,SetDom1+25,SetDom1+32)</f>
        <v>42641</v>
      </c>
      <c r="G8" s="10">
        <f>IF(DAY(SetDom1)=1,SetDom1+26,SetDom1+33)</f>
        <v>42642</v>
      </c>
      <c r="H8" s="10">
        <f>IF(DAY(SetDom1)=1,SetDom1+27,SetDom1+34)</f>
        <v>42643</v>
      </c>
      <c r="I8" s="10">
        <f>IF(DAY(SetDom1)=1,SetDom1+28,SetDom1+35)</f>
        <v>42644</v>
      </c>
      <c r="J8" s="5"/>
      <c r="K8" s="11"/>
      <c r="L8" s="17"/>
      <c r="M8" s="34"/>
      <c r="N8" s="35"/>
    </row>
    <row r="9" spans="1:14" ht="18" customHeight="1" x14ac:dyDescent="0.2">
      <c r="A9" s="4"/>
      <c r="B9" s="27"/>
      <c r="C9" s="10">
        <f>IF(DAY(SetDom1)=1,SetDom1+29,SetDom1+36)</f>
        <v>42645</v>
      </c>
      <c r="D9" s="10">
        <f>IF(DAY(SetDom1)=1,SetDom1+30,SetDom1+37)</f>
        <v>42646</v>
      </c>
      <c r="E9" s="10">
        <f>IF(DAY(SetDom1)=1,SetDom1+31,SetDom1+38)</f>
        <v>42647</v>
      </c>
      <c r="F9" s="10">
        <f>IF(DAY(SetDom1)=1,SetDom1+32,SetDom1+39)</f>
        <v>42648</v>
      </c>
      <c r="G9" s="10">
        <f>IF(DAY(SetDom1)=1,SetDom1+33,SetDom1+40)</f>
        <v>42649</v>
      </c>
      <c r="H9" s="10">
        <f>IF(DAY(SetDom1)=1,SetDom1+34,SetDom1+41)</f>
        <v>42650</v>
      </c>
      <c r="I9" s="10">
        <f>IF(DAY(SetDom1)=1,SetDom1+35,SetDom1+42)</f>
        <v>42651</v>
      </c>
      <c r="J9" s="5"/>
      <c r="K9" s="12"/>
      <c r="L9" s="18"/>
      <c r="M9" s="36"/>
      <c r="N9" s="37"/>
    </row>
    <row r="10" spans="1:14" ht="18" customHeight="1" x14ac:dyDescent="0.2">
      <c r="A10" s="4"/>
      <c r="B10" s="28"/>
      <c r="C10" s="23"/>
      <c r="D10" s="23"/>
      <c r="E10" s="23"/>
      <c r="F10" s="23"/>
      <c r="G10" s="23"/>
      <c r="H10" s="23"/>
      <c r="I10" s="23"/>
      <c r="J10" s="24"/>
      <c r="K10" s="32" t="s">
        <v>19</v>
      </c>
      <c r="L10" s="16"/>
      <c r="M10" s="38"/>
      <c r="N10" s="39"/>
    </row>
    <row r="11" spans="1:14" ht="18" customHeight="1" x14ac:dyDescent="0.2">
      <c r="A11" s="4"/>
      <c r="B11" s="72" t="s">
        <v>1</v>
      </c>
      <c r="C11" s="73"/>
      <c r="D11" s="73"/>
      <c r="E11" s="73"/>
      <c r="F11" s="73"/>
      <c r="G11" s="73"/>
      <c r="H11" s="73"/>
      <c r="I11" s="73"/>
      <c r="J11" s="74"/>
      <c r="K11" s="33"/>
      <c r="L11" s="17"/>
      <c r="M11" s="34"/>
      <c r="N11" s="35"/>
    </row>
    <row r="12" spans="1:14" ht="18" customHeight="1" x14ac:dyDescent="0.2">
      <c r="A12" s="4"/>
      <c r="B12" s="72"/>
      <c r="C12" s="73"/>
      <c r="D12" s="73"/>
      <c r="E12" s="73"/>
      <c r="F12" s="73"/>
      <c r="G12" s="73"/>
      <c r="H12" s="73"/>
      <c r="I12" s="73"/>
      <c r="J12" s="74"/>
      <c r="K12" s="33"/>
      <c r="L12" s="17"/>
      <c r="M12" s="34"/>
      <c r="N12" s="35"/>
    </row>
    <row r="13" spans="1:14" ht="18" customHeight="1" x14ac:dyDescent="0.2">
      <c r="B13" s="3" t="s">
        <v>2</v>
      </c>
      <c r="C13" s="40" t="s">
        <v>9</v>
      </c>
      <c r="D13" s="42"/>
      <c r="E13" s="40" t="s">
        <v>15</v>
      </c>
      <c r="F13" s="42"/>
      <c r="G13" s="40" t="s">
        <v>16</v>
      </c>
      <c r="H13" s="42"/>
      <c r="I13" s="40" t="s">
        <v>17</v>
      </c>
      <c r="J13" s="41"/>
      <c r="K13" s="11"/>
      <c r="L13" s="17"/>
      <c r="M13" s="34"/>
      <c r="N13" s="35"/>
    </row>
    <row r="14" spans="1:14" ht="18" customHeight="1" x14ac:dyDescent="0.2">
      <c r="B14" s="8" t="s">
        <v>3</v>
      </c>
      <c r="C14" s="54"/>
      <c r="D14" s="55"/>
      <c r="E14" s="54" t="s">
        <v>3</v>
      </c>
      <c r="F14" s="55"/>
      <c r="G14" s="54"/>
      <c r="H14" s="55"/>
      <c r="I14" s="54" t="s">
        <v>3</v>
      </c>
      <c r="J14" s="64"/>
      <c r="K14" s="11"/>
      <c r="L14" s="17"/>
      <c r="M14" s="34"/>
      <c r="N14" s="35"/>
    </row>
    <row r="15" spans="1:14" ht="18" customHeight="1" x14ac:dyDescent="0.2">
      <c r="B15" s="6" t="s">
        <v>4</v>
      </c>
      <c r="C15" s="52"/>
      <c r="D15" s="53"/>
      <c r="E15" s="52" t="s">
        <v>4</v>
      </c>
      <c r="F15" s="53"/>
      <c r="G15" s="52"/>
      <c r="H15" s="53"/>
      <c r="I15" s="61" t="s">
        <v>4</v>
      </c>
      <c r="J15" s="62"/>
      <c r="K15" s="13"/>
      <c r="L15" s="19"/>
      <c r="M15" s="36"/>
      <c r="N15" s="37"/>
    </row>
    <row r="16" spans="1:14" ht="18" customHeight="1" x14ac:dyDescent="0.2">
      <c r="B16" s="8"/>
      <c r="C16" s="54" t="s">
        <v>10</v>
      </c>
      <c r="D16" s="55"/>
      <c r="E16" s="54"/>
      <c r="F16" s="55"/>
      <c r="G16" s="54" t="s">
        <v>10</v>
      </c>
      <c r="H16" s="55"/>
      <c r="I16" s="65"/>
      <c r="J16" s="66"/>
      <c r="K16" s="32" t="s">
        <v>15</v>
      </c>
      <c r="L16" s="16"/>
      <c r="M16" s="38"/>
      <c r="N16" s="39"/>
    </row>
    <row r="17" spans="2:14" ht="18" customHeight="1" x14ac:dyDescent="0.2">
      <c r="B17" s="6"/>
      <c r="C17" s="52" t="s">
        <v>11</v>
      </c>
      <c r="D17" s="53"/>
      <c r="E17" s="52"/>
      <c r="F17" s="53"/>
      <c r="G17" s="52" t="s">
        <v>11</v>
      </c>
      <c r="H17" s="53"/>
      <c r="I17" s="61"/>
      <c r="J17" s="62"/>
      <c r="K17" s="33"/>
      <c r="L17" s="17"/>
      <c r="M17" s="34"/>
      <c r="N17" s="35"/>
    </row>
    <row r="18" spans="2:14" ht="18" customHeight="1" x14ac:dyDescent="0.2">
      <c r="B18" s="9" t="s">
        <v>5</v>
      </c>
      <c r="C18" s="56"/>
      <c r="D18" s="57"/>
      <c r="E18" s="56" t="s">
        <v>5</v>
      </c>
      <c r="F18" s="57"/>
      <c r="G18" s="56"/>
      <c r="H18" s="57"/>
      <c r="I18" s="56" t="s">
        <v>5</v>
      </c>
      <c r="J18" s="63"/>
      <c r="K18" s="33"/>
      <c r="L18" s="17"/>
      <c r="M18" s="34"/>
      <c r="N18" s="35"/>
    </row>
    <row r="19" spans="2:14" ht="18" customHeight="1" x14ac:dyDescent="0.2">
      <c r="B19" s="6" t="s">
        <v>6</v>
      </c>
      <c r="C19" s="52"/>
      <c r="D19" s="53"/>
      <c r="E19" s="52" t="s">
        <v>6</v>
      </c>
      <c r="F19" s="53"/>
      <c r="G19" s="52"/>
      <c r="H19" s="53"/>
      <c r="I19" s="61" t="s">
        <v>6</v>
      </c>
      <c r="J19" s="62"/>
      <c r="K19" s="11"/>
      <c r="L19" s="17"/>
      <c r="M19" s="34"/>
      <c r="N19" s="35"/>
    </row>
    <row r="20" spans="2:14" ht="18" customHeight="1" x14ac:dyDescent="0.2">
      <c r="B20" s="8"/>
      <c r="C20" s="54"/>
      <c r="D20" s="55"/>
      <c r="E20" s="54"/>
      <c r="F20" s="55"/>
      <c r="G20" s="54"/>
      <c r="H20" s="55"/>
      <c r="I20" s="54"/>
      <c r="J20" s="64"/>
      <c r="K20" s="11"/>
      <c r="L20" s="17"/>
      <c r="M20" s="34"/>
      <c r="N20" s="35"/>
    </row>
    <row r="21" spans="2:14" ht="18" customHeight="1" x14ac:dyDescent="0.2">
      <c r="B21" s="6"/>
      <c r="C21" s="52"/>
      <c r="D21" s="53"/>
      <c r="E21" s="52"/>
      <c r="F21" s="53"/>
      <c r="G21" s="52"/>
      <c r="H21" s="53"/>
      <c r="I21" s="67"/>
      <c r="J21" s="68"/>
      <c r="K21" s="13"/>
      <c r="L21" s="19"/>
      <c r="M21" s="36"/>
      <c r="N21" s="37"/>
    </row>
    <row r="22" spans="2:14" ht="18" customHeight="1" x14ac:dyDescent="0.2">
      <c r="B22" s="8"/>
      <c r="C22" s="54"/>
      <c r="D22" s="55"/>
      <c r="E22" s="54"/>
      <c r="F22" s="55"/>
      <c r="G22" s="54"/>
      <c r="H22" s="55"/>
      <c r="I22" s="54"/>
      <c r="J22" s="64"/>
      <c r="K22" s="32" t="s">
        <v>20</v>
      </c>
      <c r="L22" s="16"/>
      <c r="M22" s="38"/>
      <c r="N22" s="39"/>
    </row>
    <row r="23" spans="2:14" ht="18" customHeight="1" x14ac:dyDescent="0.2">
      <c r="B23" s="6"/>
      <c r="C23" s="52"/>
      <c r="D23" s="53"/>
      <c r="E23" s="52"/>
      <c r="F23" s="53"/>
      <c r="G23" s="52"/>
      <c r="H23" s="53"/>
      <c r="I23" s="61"/>
      <c r="J23" s="62"/>
      <c r="K23" s="33"/>
      <c r="L23" s="17"/>
      <c r="M23" s="34"/>
      <c r="N23" s="35"/>
    </row>
    <row r="24" spans="2:14" ht="18" customHeight="1" x14ac:dyDescent="0.2">
      <c r="B24" s="8"/>
      <c r="C24" s="54"/>
      <c r="D24" s="55"/>
      <c r="E24" s="54"/>
      <c r="F24" s="55"/>
      <c r="G24" s="54"/>
      <c r="H24" s="55"/>
      <c r="I24" s="54"/>
      <c r="J24" s="64"/>
      <c r="K24" s="33"/>
      <c r="L24" s="17"/>
      <c r="M24" s="34"/>
      <c r="N24" s="35"/>
    </row>
    <row r="25" spans="2:14" ht="18" customHeight="1" x14ac:dyDescent="0.2">
      <c r="B25" s="6"/>
      <c r="C25" s="52"/>
      <c r="D25" s="53"/>
      <c r="E25" s="52"/>
      <c r="F25" s="53"/>
      <c r="G25" s="52"/>
      <c r="H25" s="53"/>
      <c r="I25" s="61"/>
      <c r="J25" s="62"/>
      <c r="K25" s="33"/>
      <c r="L25" s="17"/>
      <c r="M25" s="34"/>
      <c r="N25" s="35"/>
    </row>
    <row r="26" spans="2:14" ht="18" customHeight="1" x14ac:dyDescent="0.2">
      <c r="B26" s="31">
        <v>0.58333333333333337</v>
      </c>
      <c r="C26" s="54"/>
      <c r="D26" s="55"/>
      <c r="E26" s="58">
        <v>0.58333333333333337</v>
      </c>
      <c r="F26" s="55"/>
      <c r="G26" s="54"/>
      <c r="H26" s="55"/>
      <c r="I26" s="58">
        <v>0.58333333333333337</v>
      </c>
      <c r="J26" s="64"/>
      <c r="K26" s="11"/>
      <c r="L26" s="17"/>
      <c r="M26" s="34"/>
      <c r="N26" s="35"/>
    </row>
    <row r="27" spans="2:14" ht="18" customHeight="1" x14ac:dyDescent="0.2">
      <c r="B27" s="6" t="s">
        <v>7</v>
      </c>
      <c r="C27" s="52"/>
      <c r="D27" s="53"/>
      <c r="E27" s="52" t="s">
        <v>7</v>
      </c>
      <c r="F27" s="53"/>
      <c r="G27" s="52"/>
      <c r="H27" s="53"/>
      <c r="I27" s="61" t="s">
        <v>7</v>
      </c>
      <c r="J27" s="62"/>
      <c r="K27" s="13"/>
      <c r="L27" s="19"/>
      <c r="M27" s="36"/>
      <c r="N27" s="37"/>
    </row>
    <row r="28" spans="2:14" ht="18" customHeight="1" x14ac:dyDescent="0.2">
      <c r="B28" s="8"/>
      <c r="C28" s="54"/>
      <c r="D28" s="55"/>
      <c r="E28" s="54"/>
      <c r="F28" s="55"/>
      <c r="G28" s="54"/>
      <c r="H28" s="55"/>
      <c r="I28" s="54"/>
      <c r="J28" s="64"/>
      <c r="K28" s="32" t="s">
        <v>17</v>
      </c>
      <c r="L28" s="16"/>
      <c r="M28" s="38"/>
      <c r="N28" s="39"/>
    </row>
    <row r="29" spans="2:14" ht="18" customHeight="1" x14ac:dyDescent="0.2">
      <c r="B29" s="6"/>
      <c r="C29" s="52"/>
      <c r="D29" s="53"/>
      <c r="E29" s="52"/>
      <c r="F29" s="53"/>
      <c r="G29" s="52"/>
      <c r="H29" s="53"/>
      <c r="I29" s="52"/>
      <c r="J29" s="69"/>
      <c r="K29" s="33"/>
      <c r="L29" s="17"/>
      <c r="M29" s="34"/>
      <c r="N29" s="35"/>
    </row>
    <row r="30" spans="2:14" ht="18" customHeight="1" x14ac:dyDescent="0.2">
      <c r="B30" s="8"/>
      <c r="C30" s="58">
        <v>0.66666666666666663</v>
      </c>
      <c r="D30" s="55"/>
      <c r="E30" s="54"/>
      <c r="F30" s="55"/>
      <c r="G30" s="58">
        <v>0.66666666666666663</v>
      </c>
      <c r="H30" s="55"/>
      <c r="I30" s="77"/>
      <c r="J30" s="78"/>
      <c r="K30" s="33"/>
      <c r="L30" s="17"/>
      <c r="M30" s="34"/>
      <c r="N30" s="35"/>
    </row>
    <row r="31" spans="2:14" ht="18" customHeight="1" x14ac:dyDescent="0.2">
      <c r="B31" s="6"/>
      <c r="C31" s="52" t="s">
        <v>12</v>
      </c>
      <c r="D31" s="53"/>
      <c r="E31" s="52"/>
      <c r="F31" s="53"/>
      <c r="G31" s="52" t="s">
        <v>12</v>
      </c>
      <c r="H31" s="53"/>
      <c r="I31" s="52"/>
      <c r="J31" s="69"/>
      <c r="K31" s="14"/>
      <c r="L31" s="17"/>
      <c r="M31" s="34"/>
      <c r="N31" s="35"/>
    </row>
    <row r="32" spans="2:14" ht="18" customHeight="1" x14ac:dyDescent="0.2">
      <c r="B32" s="8"/>
      <c r="C32" s="54"/>
      <c r="D32" s="55"/>
      <c r="E32" s="54"/>
      <c r="F32" s="55"/>
      <c r="G32" s="54"/>
      <c r="H32" s="55"/>
      <c r="I32" s="65"/>
      <c r="J32" s="66"/>
      <c r="K32" s="14"/>
      <c r="L32" s="17"/>
      <c r="M32" s="34"/>
      <c r="N32" s="35"/>
    </row>
    <row r="33" spans="2:14" ht="18" customHeight="1" x14ac:dyDescent="0.2">
      <c r="B33" s="7"/>
      <c r="C33" s="59"/>
      <c r="D33" s="60"/>
      <c r="E33" s="59"/>
      <c r="F33" s="60"/>
      <c r="G33" s="59"/>
      <c r="H33" s="60"/>
      <c r="I33" s="79"/>
      <c r="J33" s="80"/>
      <c r="K33" s="15"/>
      <c r="L33" s="20"/>
      <c r="M33" s="75"/>
      <c r="N33" s="76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15" priority="3" stopIfTrue="1">
      <formula>DAY(C4)&gt;8</formula>
    </cfRule>
  </conditionalFormatting>
  <conditionalFormatting sqref="C8:I10">
    <cfRule type="expression" dxfId="14" priority="2" stopIfTrue="1">
      <formula>AND(DAY(C8)&gt;=1,DAY(C8)&lt;=15)</formula>
    </cfRule>
  </conditionalFormatting>
  <conditionalFormatting sqref="C4:I9">
    <cfRule type="expression" dxfId="13" priority="4">
      <formula>VLOOKUP(DAY(C4),DiasTarefa,1,FALSE)=DAY(C4)</formula>
    </cfRule>
  </conditionalFormatting>
  <conditionalFormatting sqref="B14:J33">
    <cfRule type="expression" dxfId="12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FBE566F53DFD4AA74AC8D2FE3AD7C9" ma:contentTypeVersion="0" ma:contentTypeDescription="Create a new document." ma:contentTypeScope="" ma:versionID="93de840cb4bcf9f2c9f53c1c805cd46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ba56f4b7a3d6c6dc8efac387470227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C80E9C-A8FE-4638-A860-8A12315A37A2}">
  <ds:schemaRefs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D6248E3-257F-4386-A8BD-660821F743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01A289-E493-4B41-A17E-57A0047ED0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30</vt:i4>
      </vt:variant>
    </vt:vector>
  </HeadingPairs>
  <TitlesOfParts>
    <vt:vector size="42" baseType="lpstr"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  <vt:lpstr>AnoCalendário</vt:lpstr>
      <vt:lpstr>abr!DiasTarefa</vt:lpstr>
      <vt:lpstr>ago!DiasTarefa</vt:lpstr>
      <vt:lpstr>dez!DiasTarefa</vt:lpstr>
      <vt:lpstr>fev!DiasTarefa</vt:lpstr>
      <vt:lpstr>jul!DiasTarefa</vt:lpstr>
      <vt:lpstr>jun!DiasTarefa</vt:lpstr>
      <vt:lpstr>mai!DiasTarefa</vt:lpstr>
      <vt:lpstr>mar!DiasTarefa</vt:lpstr>
      <vt:lpstr>nov!DiasTarefa</vt:lpstr>
      <vt:lpstr>out!DiasTarefa</vt:lpstr>
      <vt:lpstr>set!DiasTarefa</vt:lpstr>
      <vt:lpstr>DiasTarefa</vt:lpstr>
      <vt:lpstr>jan!Print_Area</vt:lpstr>
      <vt:lpstr>jul!Print_Area</vt:lpstr>
      <vt:lpstr>jun!Print_Area</vt:lpstr>
      <vt:lpstr>mar!Print_Area</vt:lpstr>
      <vt:lpstr>nov!Print_Area</vt:lpstr>
      <vt:lpstr>abr!TabelaDatasImportantes</vt:lpstr>
      <vt:lpstr>ago!TabelaDatasImportantes</vt:lpstr>
      <vt:lpstr>dez!TabelaDatasImportantes</vt:lpstr>
      <vt:lpstr>fev!TabelaDatasImportantes</vt:lpstr>
      <vt:lpstr>jul!TabelaDatasImportantes</vt:lpstr>
      <vt:lpstr>jun!TabelaDatasImportantes</vt:lpstr>
      <vt:lpstr>mai!TabelaDatasImportantes</vt:lpstr>
      <vt:lpstr>mar!TabelaDatasImportantes</vt:lpstr>
      <vt:lpstr>nov!TabelaDatasImportantes</vt:lpstr>
      <vt:lpstr>out!TabelaDatasImportantes</vt:lpstr>
      <vt:lpstr>set!TabelaDatasImportantes</vt:lpstr>
      <vt:lpstr>TabelaDatasImportantes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 </cp:lastModifiedBy>
  <cp:revision/>
  <dcterms:created xsi:type="dcterms:W3CDTF">2013-11-22T23:21:45Z</dcterms:created>
  <dcterms:modified xsi:type="dcterms:W3CDTF">2015-10-21T09:01:32Z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0x01010007FBE566F53DFD4AA74AC8D2FE3AD7C9</vt:lpwstr>
  </property>
  <property fmtid="{D5CDD505-2E9C-101B-9397-08002B2CF9AE}" pid="3" name="IsMyDocuments">
    <vt:bool>true</vt:bool>
  </property>
</Properties>
</file>