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360" yWindow="1425" windowWidth="11340" windowHeight="6735"/>
  </bookViews>
  <sheets>
    <sheet name="Kalendarz" sheetId="1" r:id="rId1"/>
  </sheets>
  <definedNames>
    <definedName name="Cze_n_1">DATE(Rok,7,1)-WEEKDAY(DATE(Rok,7,1),2)+1</definedName>
    <definedName name="Gru_n_1">DATE(Rok,12,1)-WEEKDAY(DATE(Rok,12,1),2)+1</definedName>
    <definedName name="Kwi_n_1">DATE(Rok,4,1)-WEEKDAY(DATE(Rok,4,1),2)+1</definedName>
    <definedName name="Lip_n_1">DATE(Rok,6,1)-WEEKDAY(DATE(Rok,6,1),2)+1</definedName>
    <definedName name="Lis_n_1">DATE(Rok,11,1)-WEEKDAY(DATE(Rok,11,1),2)+1</definedName>
    <definedName name="Lut_n_1">DATE(Rok,2,1)-WEEKDAY(DATE(Rok,2,1),2)+1</definedName>
    <definedName name="Maj_n_1">DATE(Rok,5,1)-WEEKDAY(DATE(Rok,5,1),2)+1</definedName>
    <definedName name="Mar_n_1">DATE(Rok,3,1)-WEEKDAY(DATE(Rok,3,1),2)+1</definedName>
    <definedName name="Paź_n_1">DATE(Rok,10,1)-WEEKDAY(DATE(Rok,10,1),2)+1</definedName>
    <definedName name="_xlnm.Print_Area" localSheetId="0">Kalendarz!$B$2:$AJ$34</definedName>
    <definedName name="Rok">Kalendarz!$Z$2</definedName>
    <definedName name="Sie_n_1">DATE(Rok,8,1)-WEEKDAY(DATE(Rok,8,1),2)+1</definedName>
    <definedName name="Sty_n_1">DATE(Rok,1,1)-WEEKDAY(DATE(Rok,1,1),2)+1</definedName>
    <definedName name="Wrz_n_1">DATE(Rok,9,1)-WEEKDAY(DATE(Rok,9,1),2)+1</definedName>
  </definedNames>
  <calcPr calcId="152511"/>
</workbook>
</file>

<file path=xl/calcChain.xml><?xml version="1.0" encoding="utf-8"?>
<calcChain xmlns="http://schemas.openxmlformats.org/spreadsheetml/2006/main">
  <c r="AH30" i="1" l="1"/>
  <c r="AG30" i="1"/>
  <c r="AF30" i="1"/>
  <c r="AE30" i="1"/>
  <c r="AD30" i="1"/>
  <c r="AC30" i="1"/>
  <c r="AB30" i="1"/>
  <c r="Z30" i="1"/>
  <c r="Y30" i="1"/>
  <c r="X30" i="1"/>
  <c r="W30" i="1"/>
  <c r="V30" i="1"/>
  <c r="U30" i="1"/>
  <c r="T30" i="1"/>
  <c r="R30" i="1"/>
  <c r="Q30" i="1"/>
  <c r="P30" i="1"/>
  <c r="O30" i="1"/>
  <c r="N30" i="1"/>
  <c r="M30" i="1"/>
  <c r="L30" i="1"/>
  <c r="J30" i="1"/>
  <c r="I30" i="1"/>
  <c r="H30" i="1"/>
  <c r="G30" i="1"/>
  <c r="F30" i="1"/>
  <c r="E30" i="1"/>
  <c r="D30" i="1"/>
  <c r="AH29" i="1"/>
  <c r="AG29" i="1"/>
  <c r="AF29" i="1"/>
  <c r="AE29" i="1"/>
  <c r="AD29" i="1"/>
  <c r="AC29" i="1"/>
  <c r="AB29" i="1"/>
  <c r="Z29" i="1"/>
  <c r="Y29" i="1"/>
  <c r="X29" i="1"/>
  <c r="W29" i="1"/>
  <c r="V29" i="1"/>
  <c r="U29" i="1"/>
  <c r="T29" i="1"/>
  <c r="R29" i="1"/>
  <c r="Q29" i="1"/>
  <c r="P29" i="1"/>
  <c r="O29" i="1"/>
  <c r="N29" i="1"/>
  <c r="M29" i="1"/>
  <c r="L29" i="1"/>
  <c r="J29" i="1"/>
  <c r="I29" i="1"/>
  <c r="H29" i="1"/>
  <c r="G29" i="1"/>
  <c r="F29" i="1"/>
  <c r="E29" i="1"/>
  <c r="D29" i="1"/>
  <c r="AH28" i="1"/>
  <c r="AG28" i="1"/>
  <c r="AF28" i="1"/>
  <c r="AE28" i="1"/>
  <c r="AD28" i="1"/>
  <c r="AC28" i="1"/>
  <c r="AB28" i="1"/>
  <c r="Z28" i="1"/>
  <c r="Y28" i="1"/>
  <c r="X28" i="1"/>
  <c r="W28" i="1"/>
  <c r="V28" i="1"/>
  <c r="U28" i="1"/>
  <c r="T28" i="1"/>
  <c r="R28" i="1"/>
  <c r="Q28" i="1"/>
  <c r="P28" i="1"/>
  <c r="O28" i="1"/>
  <c r="N28" i="1"/>
  <c r="M28" i="1"/>
  <c r="L28" i="1"/>
  <c r="J28" i="1"/>
  <c r="I28" i="1"/>
  <c r="H28" i="1"/>
  <c r="G28" i="1"/>
  <c r="F28" i="1"/>
  <c r="E28" i="1"/>
  <c r="D28" i="1"/>
  <c r="AH27" i="1"/>
  <c r="AG27" i="1"/>
  <c r="AF27" i="1"/>
  <c r="AE27" i="1"/>
  <c r="AD27" i="1"/>
  <c r="AC27" i="1"/>
  <c r="AB27" i="1"/>
  <c r="Z27" i="1"/>
  <c r="Y27" i="1"/>
  <c r="X27" i="1"/>
  <c r="W27" i="1"/>
  <c r="V27" i="1"/>
  <c r="U27" i="1"/>
  <c r="T27" i="1"/>
  <c r="R27" i="1"/>
  <c r="Q27" i="1"/>
  <c r="P27" i="1"/>
  <c r="O27" i="1"/>
  <c r="N27" i="1"/>
  <c r="M27" i="1"/>
  <c r="L27" i="1"/>
  <c r="J27" i="1"/>
  <c r="I27" i="1"/>
  <c r="H27" i="1"/>
  <c r="G27" i="1"/>
  <c r="F27" i="1"/>
  <c r="E27" i="1"/>
  <c r="D27" i="1"/>
  <c r="AH26" i="1"/>
  <c r="AG26" i="1"/>
  <c r="AF26" i="1"/>
  <c r="AE26" i="1"/>
  <c r="AD26" i="1"/>
  <c r="AC26" i="1"/>
  <c r="AB26" i="1"/>
  <c r="Z26" i="1"/>
  <c r="Y26" i="1"/>
  <c r="X26" i="1"/>
  <c r="W26" i="1"/>
  <c r="V26" i="1"/>
  <c r="U26" i="1"/>
  <c r="T26" i="1"/>
  <c r="R26" i="1"/>
  <c r="Q26" i="1"/>
  <c r="P26" i="1"/>
  <c r="O26" i="1"/>
  <c r="N26" i="1"/>
  <c r="M26" i="1"/>
  <c r="L26" i="1"/>
  <c r="J26" i="1"/>
  <c r="I26" i="1"/>
  <c r="H26" i="1"/>
  <c r="G26" i="1"/>
  <c r="F26" i="1"/>
  <c r="E26" i="1"/>
  <c r="D26" i="1"/>
  <c r="AH25" i="1"/>
  <c r="AG25" i="1"/>
  <c r="AF25" i="1"/>
  <c r="AE25" i="1"/>
  <c r="AD25" i="1"/>
  <c r="AC25" i="1"/>
  <c r="AB25" i="1"/>
  <c r="Z25" i="1"/>
  <c r="Y25" i="1"/>
  <c r="X25" i="1"/>
  <c r="W25" i="1"/>
  <c r="V25" i="1"/>
  <c r="U25" i="1"/>
  <c r="T25" i="1"/>
  <c r="R25" i="1"/>
  <c r="Q25" i="1"/>
  <c r="P25" i="1"/>
  <c r="O25" i="1"/>
  <c r="N25" i="1"/>
  <c r="M25" i="1"/>
  <c r="L25" i="1"/>
  <c r="J25" i="1"/>
  <c r="I25" i="1"/>
  <c r="H25" i="1"/>
  <c r="G25" i="1"/>
  <c r="F25" i="1"/>
  <c r="E25" i="1"/>
  <c r="D25" i="1"/>
  <c r="AH21" i="1"/>
  <c r="AG21" i="1"/>
  <c r="AF21" i="1"/>
  <c r="AE21" i="1"/>
  <c r="AD21" i="1"/>
  <c r="AC21" i="1"/>
  <c r="AB21" i="1"/>
  <c r="Z21" i="1"/>
  <c r="Y21" i="1"/>
  <c r="X21" i="1"/>
  <c r="W21" i="1"/>
  <c r="V21" i="1"/>
  <c r="U21" i="1"/>
  <c r="T21" i="1"/>
  <c r="R21" i="1"/>
  <c r="Q21" i="1"/>
  <c r="P21" i="1"/>
  <c r="O21" i="1"/>
  <c r="N21" i="1"/>
  <c r="M21" i="1"/>
  <c r="L21" i="1"/>
  <c r="J21" i="1"/>
  <c r="I21" i="1"/>
  <c r="H21" i="1"/>
  <c r="G21" i="1"/>
  <c r="F21" i="1"/>
  <c r="E21" i="1"/>
  <c r="D21" i="1"/>
  <c r="AH20" i="1"/>
  <c r="AG20" i="1"/>
  <c r="AF20" i="1"/>
  <c r="AE20" i="1"/>
  <c r="AD20" i="1"/>
  <c r="AC20" i="1"/>
  <c r="AB20" i="1"/>
  <c r="Z20" i="1"/>
  <c r="Y20" i="1"/>
  <c r="X20" i="1"/>
  <c r="W20" i="1"/>
  <c r="V20" i="1"/>
  <c r="U20" i="1"/>
  <c r="T20" i="1"/>
  <c r="R20" i="1"/>
  <c r="Q20" i="1"/>
  <c r="P20" i="1"/>
  <c r="O20" i="1"/>
  <c r="N20" i="1"/>
  <c r="M20" i="1"/>
  <c r="L20" i="1"/>
  <c r="J20" i="1"/>
  <c r="I20" i="1"/>
  <c r="H20" i="1"/>
  <c r="G20" i="1"/>
  <c r="F20" i="1"/>
  <c r="E20" i="1"/>
  <c r="D20" i="1"/>
  <c r="AH19" i="1"/>
  <c r="AG19" i="1"/>
  <c r="AF19" i="1"/>
  <c r="AE19" i="1"/>
  <c r="AD19" i="1"/>
  <c r="AC19" i="1"/>
  <c r="AB19" i="1"/>
  <c r="Z19" i="1"/>
  <c r="Y19" i="1"/>
  <c r="X19" i="1"/>
  <c r="W19" i="1"/>
  <c r="V19" i="1"/>
  <c r="U19" i="1"/>
  <c r="T19" i="1"/>
  <c r="R19" i="1"/>
  <c r="Q19" i="1"/>
  <c r="P19" i="1"/>
  <c r="O19" i="1"/>
  <c r="N19" i="1"/>
  <c r="M19" i="1"/>
  <c r="L19" i="1"/>
  <c r="J19" i="1"/>
  <c r="I19" i="1"/>
  <c r="H19" i="1"/>
  <c r="G19" i="1"/>
  <c r="F19" i="1"/>
  <c r="E19" i="1"/>
  <c r="D19" i="1"/>
  <c r="AH18" i="1"/>
  <c r="AG18" i="1"/>
  <c r="AF18" i="1"/>
  <c r="AE18" i="1"/>
  <c r="AD18" i="1"/>
  <c r="AC18" i="1"/>
  <c r="AB18" i="1"/>
  <c r="Z18" i="1"/>
  <c r="Y18" i="1"/>
  <c r="X18" i="1"/>
  <c r="W18" i="1"/>
  <c r="V18" i="1"/>
  <c r="U18" i="1"/>
  <c r="T18" i="1"/>
  <c r="R18" i="1"/>
  <c r="Q18" i="1"/>
  <c r="P18" i="1"/>
  <c r="O18" i="1"/>
  <c r="N18" i="1"/>
  <c r="M18" i="1"/>
  <c r="L18" i="1"/>
  <c r="J18" i="1"/>
  <c r="I18" i="1"/>
  <c r="H18" i="1"/>
  <c r="G18" i="1"/>
  <c r="F18" i="1"/>
  <c r="E18" i="1"/>
  <c r="D18" i="1"/>
  <c r="AH17" i="1"/>
  <c r="AG17" i="1"/>
  <c r="AF17" i="1"/>
  <c r="AE17" i="1"/>
  <c r="AD17" i="1"/>
  <c r="AC17" i="1"/>
  <c r="AB17" i="1"/>
  <c r="Z17" i="1"/>
  <c r="Y17" i="1"/>
  <c r="X17" i="1"/>
  <c r="W17" i="1"/>
  <c r="V17" i="1"/>
  <c r="U17" i="1"/>
  <c r="T17" i="1"/>
  <c r="R17" i="1"/>
  <c r="Q17" i="1"/>
  <c r="P17" i="1"/>
  <c r="O17" i="1"/>
  <c r="N17" i="1"/>
  <c r="M17" i="1"/>
  <c r="L17" i="1"/>
  <c r="J17" i="1"/>
  <c r="I17" i="1"/>
  <c r="H17" i="1"/>
  <c r="G17" i="1"/>
  <c r="F17" i="1"/>
  <c r="E17" i="1"/>
  <c r="D17" i="1"/>
  <c r="AH16" i="1"/>
  <c r="AG16" i="1"/>
  <c r="AF16" i="1"/>
  <c r="AE16" i="1"/>
  <c r="AD16" i="1"/>
  <c r="AC16" i="1"/>
  <c r="AB16" i="1"/>
  <c r="Z16" i="1"/>
  <c r="Y16" i="1"/>
  <c r="X16" i="1"/>
  <c r="W16" i="1"/>
  <c r="V16" i="1"/>
  <c r="U16" i="1"/>
  <c r="T16" i="1"/>
  <c r="R16" i="1"/>
  <c r="Q16" i="1"/>
  <c r="P16" i="1"/>
  <c r="O16" i="1"/>
  <c r="N16" i="1"/>
  <c r="M16" i="1"/>
  <c r="L16" i="1"/>
  <c r="J16" i="1"/>
  <c r="I16" i="1"/>
  <c r="H16" i="1"/>
  <c r="G16" i="1"/>
  <c r="F16" i="1"/>
  <c r="E16" i="1"/>
  <c r="D16" i="1"/>
  <c r="AH12" i="1"/>
  <c r="AG12" i="1"/>
  <c r="AF12" i="1"/>
  <c r="AE12" i="1"/>
  <c r="AD12" i="1"/>
  <c r="AC12" i="1"/>
  <c r="AB12" i="1"/>
  <c r="Z12" i="1"/>
  <c r="Y12" i="1"/>
  <c r="X12" i="1"/>
  <c r="W12" i="1"/>
  <c r="V12" i="1"/>
  <c r="U12" i="1"/>
  <c r="T12" i="1"/>
  <c r="R12" i="1"/>
  <c r="Q12" i="1"/>
  <c r="P12" i="1"/>
  <c r="O12" i="1"/>
  <c r="N12" i="1"/>
  <c r="M12" i="1"/>
  <c r="L12" i="1"/>
  <c r="J12" i="1"/>
  <c r="I12" i="1"/>
  <c r="H12" i="1"/>
  <c r="G12" i="1"/>
  <c r="F12" i="1"/>
  <c r="E12" i="1"/>
  <c r="D12" i="1"/>
  <c r="AH11" i="1"/>
  <c r="AG11" i="1"/>
  <c r="AF11" i="1"/>
  <c r="AE11" i="1"/>
  <c r="AD11" i="1"/>
  <c r="AC11" i="1"/>
  <c r="AB11" i="1"/>
  <c r="Z11" i="1"/>
  <c r="Y11" i="1"/>
  <c r="X11" i="1"/>
  <c r="W11" i="1"/>
  <c r="V11" i="1"/>
  <c r="U11" i="1"/>
  <c r="T11" i="1"/>
  <c r="R11" i="1"/>
  <c r="Q11" i="1"/>
  <c r="P11" i="1"/>
  <c r="O11" i="1"/>
  <c r="N11" i="1"/>
  <c r="M11" i="1"/>
  <c r="L11" i="1"/>
  <c r="J11" i="1"/>
  <c r="I11" i="1"/>
  <c r="H11" i="1"/>
  <c r="G11" i="1"/>
  <c r="F11" i="1"/>
  <c r="E11" i="1"/>
  <c r="D11" i="1"/>
  <c r="AH10" i="1"/>
  <c r="AG10" i="1"/>
  <c r="AF10" i="1"/>
  <c r="AE10" i="1"/>
  <c r="AD10" i="1"/>
  <c r="AC10" i="1"/>
  <c r="AB10" i="1"/>
  <c r="Z10" i="1"/>
  <c r="Y10" i="1"/>
  <c r="X10" i="1"/>
  <c r="W10" i="1"/>
  <c r="V10" i="1"/>
  <c r="U10" i="1"/>
  <c r="T10" i="1"/>
  <c r="R10" i="1"/>
  <c r="Q10" i="1"/>
  <c r="P10" i="1"/>
  <c r="O10" i="1"/>
  <c r="N10" i="1"/>
  <c r="M10" i="1"/>
  <c r="L10" i="1"/>
  <c r="J10" i="1"/>
  <c r="I10" i="1"/>
  <c r="H10" i="1"/>
  <c r="G10" i="1"/>
  <c r="F10" i="1"/>
  <c r="E10" i="1"/>
  <c r="D10" i="1"/>
  <c r="AH9" i="1"/>
  <c r="AG9" i="1"/>
  <c r="AF9" i="1"/>
  <c r="AE9" i="1"/>
  <c r="AD9" i="1"/>
  <c r="AC9" i="1"/>
  <c r="AB9" i="1"/>
  <c r="Z9" i="1"/>
  <c r="Y9" i="1"/>
  <c r="X9" i="1"/>
  <c r="W9" i="1"/>
  <c r="V9" i="1"/>
  <c r="U9" i="1"/>
  <c r="T9" i="1"/>
  <c r="R9" i="1"/>
  <c r="Q9" i="1"/>
  <c r="P9" i="1"/>
  <c r="O9" i="1"/>
  <c r="N9" i="1"/>
  <c r="M9" i="1"/>
  <c r="L9" i="1"/>
  <c r="J9" i="1"/>
  <c r="I9" i="1"/>
  <c r="H9" i="1"/>
  <c r="G9" i="1"/>
  <c r="F9" i="1"/>
  <c r="E9" i="1"/>
  <c r="D9" i="1"/>
  <c r="AH8" i="1"/>
  <c r="AG8" i="1"/>
  <c r="AF8" i="1"/>
  <c r="AE8" i="1"/>
  <c r="AD8" i="1"/>
  <c r="AC8" i="1"/>
  <c r="AB8" i="1"/>
  <c r="Z8" i="1"/>
  <c r="Y8" i="1"/>
  <c r="X8" i="1"/>
  <c r="W8" i="1"/>
  <c r="V8" i="1"/>
  <c r="U8" i="1"/>
  <c r="T8" i="1"/>
  <c r="R8" i="1"/>
  <c r="Q8" i="1"/>
  <c r="P8" i="1"/>
  <c r="O8" i="1"/>
  <c r="N8" i="1"/>
  <c r="M8" i="1"/>
  <c r="L8" i="1"/>
  <c r="J8" i="1"/>
  <c r="I8" i="1"/>
  <c r="H8" i="1"/>
  <c r="G8" i="1"/>
  <c r="F8" i="1"/>
  <c r="E8" i="1"/>
  <c r="D8" i="1"/>
  <c r="AH7" i="1"/>
  <c r="AG7" i="1"/>
  <c r="AF7" i="1"/>
  <c r="AE7" i="1"/>
  <c r="AD7" i="1"/>
  <c r="AC7" i="1"/>
  <c r="AB7" i="1"/>
  <c r="Z7" i="1"/>
  <c r="Y7" i="1"/>
  <c r="X7" i="1"/>
  <c r="W7" i="1"/>
  <c r="V7" i="1"/>
  <c r="U7" i="1"/>
  <c r="T7" i="1"/>
  <c r="R7" i="1"/>
  <c r="Q7" i="1"/>
  <c r="P7" i="1"/>
  <c r="O7" i="1"/>
  <c r="N7" i="1"/>
  <c r="M7" i="1"/>
  <c r="L7" i="1"/>
  <c r="J7" i="1"/>
  <c r="I7" i="1"/>
  <c r="H7" i="1"/>
  <c r="G7" i="1"/>
  <c r="F7" i="1"/>
  <c r="E7" i="1"/>
  <c r="D7" i="1"/>
</calcChain>
</file>

<file path=xl/sharedStrings.xml><?xml version="1.0" encoding="utf-8"?>
<sst xmlns="http://schemas.openxmlformats.org/spreadsheetml/2006/main" count="96" uniqueCount="19">
  <si>
    <t xml:space="preserve"> styczeń</t>
  </si>
  <si>
    <t xml:space="preserve"> maj</t>
  </si>
  <si>
    <t xml:space="preserve"> wrzesień</t>
  </si>
  <si>
    <t>n</t>
  </si>
  <si>
    <t xml:space="preserve"> luty</t>
  </si>
  <si>
    <t xml:space="preserve"> czerwiec</t>
  </si>
  <si>
    <t xml:space="preserve"> październik</t>
  </si>
  <si>
    <t xml:space="preserve"> marzec</t>
  </si>
  <si>
    <t xml:space="preserve"> lipiec</t>
  </si>
  <si>
    <t xml:space="preserve"> listopad</t>
  </si>
  <si>
    <t xml:space="preserve"> kwiecień</t>
  </si>
  <si>
    <t xml:space="preserve"> sierpień</t>
  </si>
  <si>
    <t xml:space="preserve"> grudzień</t>
  </si>
  <si>
    <t>pn</t>
  </si>
  <si>
    <t>wt</t>
  </si>
  <si>
    <t>śr</t>
  </si>
  <si>
    <t>cz</t>
  </si>
  <si>
    <t>pt</t>
  </si>
  <si>
    <t>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</si>
</sst>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d"/>
  </numFmts>
  <fonts count="12"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27">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Border="1" applyAlignment="1">
      <alignment vertical="top"/>
    </xf>
    <xf numFmtId="0" fontId="2" fillId="3" borderId="0" xfId="0" applyFont="1" applyFill="1" applyAlignment="1">
      <alignment horizontal="center"/>
    </xf>
    <xf numFmtId="0" fontId="10" fillId="3" borderId="0" xfId="2" applyFill="1">
      <alignment horizontal="center" vertical="center"/>
    </xf>
    <xf numFmtId="0" fontId="2" fillId="3" borderId="0" xfId="0" applyFont="1" applyFill="1" applyBorder="1"/>
    <xf numFmtId="165" fontId="11" fillId="3" borderId="0" xfId="3" applyFill="1" applyBorder="1">
      <alignment horizontal="center" vertical="center"/>
    </xf>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65" fontId="11" fillId="3" borderId="0" xfId="3">
      <alignment horizontal="center" vertical="center"/>
    </xf>
    <xf numFmtId="1" fontId="8" fillId="4" borderId="0" xfId="4" applyFill="1" applyAlignment="1">
      <alignment vertical="top"/>
    </xf>
    <xf numFmtId="0" fontId="9" fillId="3" borderId="0" xfId="1">
      <alignment horizontal="left"/>
    </xf>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cellXfs>
  <cellStyles count="5">
    <cellStyle name="Data" xfId="3"/>
    <cellStyle name="Dzień tygodnia" xfId="2"/>
    <cellStyle name="Miesiąc" xfId="1"/>
    <cellStyle name="Normal" xfId="0" builtinId="0"/>
    <cellStyle name="Rok" xfId="4"/>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16"/>
</file>

<file path=xl/drawings/drawing1.xml><?xml version="1.0" encoding="utf-8"?>
<xdr:wsDr xmlns:xdr="http://schemas.openxmlformats.org/drawingml/2006/spreadsheetDrawing" xmlns:a="http://schemas.openxmlformats.org/drawingml/2006/main">
  <xdr:twoCellAnchor editAs="absolute">
    <xdr:from>
      <xdr:col>0</xdr:col>
      <xdr:colOff>315540</xdr:colOff>
      <xdr:row>0</xdr:row>
      <xdr:rowOff>277811</xdr:rowOff>
    </xdr:from>
    <xdr:to>
      <xdr:col>36</xdr:col>
      <xdr:colOff>73775</xdr:colOff>
      <xdr:row>33</xdr:row>
      <xdr:rowOff>420689</xdr:rowOff>
    </xdr:to>
    <xdr:grpSp>
      <xdr:nvGrpSpPr>
        <xdr:cNvPr id="2" name="Grupa 1"/>
        <xdr:cNvGrpSpPr/>
      </xdr:nvGrpSpPr>
      <xdr:grpSpPr>
        <a:xfrm>
          <a:off x="315540" y="277811"/>
          <a:ext cx="8349785" cy="6905628"/>
          <a:chOff x="315540" y="277811"/>
          <a:chExt cx="8349785" cy="6905628"/>
        </a:xfrm>
      </xdr:grpSpPr>
      <xdr:sp macro="" textlink="">
        <xdr:nvSpPr>
          <xdr:cNvPr id="31" name="Dowolny kształt 30"/>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Dowolny kształt 33"/>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Dowolny kształt 15"/>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Dowolny kształt 16"/>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Dowolny kształt 22"/>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Dowolny kształt 39"/>
          <xdr:cNvSpPr/>
        </xdr:nvSpPr>
        <xdr:spPr>
          <a:xfrm flipH="1" flipV="1">
            <a:off x="332504" y="714374"/>
            <a:ext cx="8291903" cy="992723"/>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64790 w 8476334"/>
              <a:gd name="connsiteY2" fmla="*/ 579856 h 675131"/>
              <a:gd name="connsiteX3" fmla="*/ 0 w 8476334"/>
              <a:gd name="connsiteY3" fmla="*/ 675131 h 675131"/>
              <a:gd name="connsiteX4" fmla="*/ 3756 w 8476334"/>
              <a:gd name="connsiteY4" fmla="*/ 0 h 675131"/>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11690 w 8484268"/>
              <a:gd name="connsiteY0" fmla="*/ 0 h 793792"/>
              <a:gd name="connsiteX1" fmla="*/ 8484268 w 8484268"/>
              <a:gd name="connsiteY1" fmla="*/ 238881 h 793792"/>
              <a:gd name="connsiteX2" fmla="*/ 8480659 w 8484268"/>
              <a:gd name="connsiteY2" fmla="*/ 758586 h 793792"/>
              <a:gd name="connsiteX3" fmla="*/ 0 w 8484268"/>
              <a:gd name="connsiteY3" fmla="*/ 790029 h 793792"/>
              <a:gd name="connsiteX4" fmla="*/ 11690 w 8484268"/>
              <a:gd name="connsiteY4" fmla="*/ 0 h 793792"/>
              <a:gd name="connsiteX0" fmla="*/ 11690 w 8484268"/>
              <a:gd name="connsiteY0" fmla="*/ 0 h 803268"/>
              <a:gd name="connsiteX1" fmla="*/ 8484268 w 8484268"/>
              <a:gd name="connsiteY1" fmla="*/ 238881 h 803268"/>
              <a:gd name="connsiteX2" fmla="*/ 8472725 w 8484268"/>
              <a:gd name="connsiteY2" fmla="*/ 803268 h 803268"/>
              <a:gd name="connsiteX3" fmla="*/ 0 w 8484268"/>
              <a:gd name="connsiteY3" fmla="*/ 790029 h 803268"/>
              <a:gd name="connsiteX4" fmla="*/ 11690 w 8484268"/>
              <a:gd name="connsiteY4" fmla="*/ 0 h 8032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84268" h="803268">
                <a:moveTo>
                  <a:pt x="11690" y="0"/>
                </a:moveTo>
                <a:cubicBezTo>
                  <a:pt x="1795236" y="846622"/>
                  <a:pt x="5398217" y="-303413"/>
                  <a:pt x="8484268" y="238881"/>
                </a:cubicBezTo>
                <a:lnTo>
                  <a:pt x="8472725" y="803268"/>
                </a:lnTo>
                <a:cubicBezTo>
                  <a:pt x="5711954" y="724384"/>
                  <a:pt x="2824242" y="817847"/>
                  <a:pt x="0" y="790029"/>
                </a:cubicBezTo>
                <a:cubicBezTo>
                  <a:pt x="136" y="552922"/>
                  <a:pt x="11554" y="237107"/>
                  <a:pt x="11690" y="0"/>
                </a:cubicBezTo>
                <a:close/>
              </a:path>
            </a:pathLst>
          </a:custGeom>
          <a:gradFill flip="none" rotWithShape="1">
            <a:gsLst>
              <a:gs pos="0">
                <a:schemeClr val="accent1">
                  <a:alpha val="38000"/>
                </a:schemeClr>
              </a:gs>
              <a:gs pos="100000">
                <a:schemeClr val="bg1">
                  <a:alpha val="0"/>
                </a:schemeClr>
              </a:gs>
              <a:gs pos="68000">
                <a:schemeClr val="accent1">
                  <a:alpha val="19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Dowolny kształt 40"/>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Dowolny kształt 41"/>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Dowolny kształt 42"/>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Dowolny kształt 43"/>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 name="Dowolny kształt 10"/>
          <xdr:cNvSpPr/>
        </xdr:nvSpPr>
        <xdr:spPr>
          <a:xfrm>
            <a:off x="325437" y="277811"/>
            <a:ext cx="5626101" cy="1057752"/>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83251" h="1056165">
                <a:moveTo>
                  <a:pt x="0" y="0"/>
                </a:moveTo>
                <a:lnTo>
                  <a:pt x="15874" y="1016001"/>
                </a:lnTo>
                <a:cubicBezTo>
                  <a:pt x="1165488" y="1190626"/>
                  <a:pt x="4725459" y="754062"/>
                  <a:pt x="5683251" y="507999"/>
                </a:cubicBezTo>
                <a:lnTo>
                  <a:pt x="5667374" y="1"/>
                </a:lnTo>
                <a:lnTo>
                  <a:pt x="0" y="0"/>
                </a:lnTo>
                <a:close/>
              </a:path>
            </a:pathLst>
          </a:custGeom>
          <a:gradFill flip="none" rotWithShape="1">
            <a:gsLst>
              <a:gs pos="0">
                <a:schemeClr val="bg1">
                  <a:alpha val="78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5" name="Dowolny kształt 44"/>
          <xdr:cNvSpPr/>
        </xdr:nvSpPr>
        <xdr:spPr>
          <a:xfrm flipV="1">
            <a:off x="349249" y="6485993"/>
            <a:ext cx="7035804" cy="691566"/>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 name="connsiteX0" fmla="*/ 1 w 5683252"/>
              <a:gd name="connsiteY0" fmla="*/ 0 h 1150274"/>
              <a:gd name="connsiteX1" fmla="*/ 0 w 5683252"/>
              <a:gd name="connsiteY1" fmla="*/ 1115970 h 1150274"/>
              <a:gd name="connsiteX2" fmla="*/ 5683252 w 5683252"/>
              <a:gd name="connsiteY2" fmla="*/ 507999 h 1150274"/>
              <a:gd name="connsiteX3" fmla="*/ 5667375 w 5683252"/>
              <a:gd name="connsiteY3" fmla="*/ 1 h 1150274"/>
              <a:gd name="connsiteX4" fmla="*/ 1 w 5683252"/>
              <a:gd name="connsiteY4" fmla="*/ 0 h 1150274"/>
              <a:gd name="connsiteX0" fmla="*/ 1 w 5683252"/>
              <a:gd name="connsiteY0" fmla="*/ 0 h 1115970"/>
              <a:gd name="connsiteX1" fmla="*/ 0 w 5683252"/>
              <a:gd name="connsiteY1" fmla="*/ 1115970 h 1115970"/>
              <a:gd name="connsiteX2" fmla="*/ 5683252 w 5683252"/>
              <a:gd name="connsiteY2" fmla="*/ 507999 h 1115970"/>
              <a:gd name="connsiteX3" fmla="*/ 5667375 w 5683252"/>
              <a:gd name="connsiteY3" fmla="*/ 1 h 1115970"/>
              <a:gd name="connsiteX4" fmla="*/ 1 w 5683252"/>
              <a:gd name="connsiteY4" fmla="*/ 0 h 1115970"/>
              <a:gd name="connsiteX0" fmla="*/ 1 w 6127752"/>
              <a:gd name="connsiteY0" fmla="*/ 0 h 1383801"/>
              <a:gd name="connsiteX1" fmla="*/ 0 w 6127752"/>
              <a:gd name="connsiteY1" fmla="*/ 1115970 h 1383801"/>
              <a:gd name="connsiteX2" fmla="*/ 6127752 w 6127752"/>
              <a:gd name="connsiteY2" fmla="*/ 1332740 h 1383801"/>
              <a:gd name="connsiteX3" fmla="*/ 5667375 w 6127752"/>
              <a:gd name="connsiteY3" fmla="*/ 1 h 1383801"/>
              <a:gd name="connsiteX4" fmla="*/ 1 w 6127752"/>
              <a:gd name="connsiteY4" fmla="*/ 0 h 1383801"/>
              <a:gd name="connsiteX0" fmla="*/ 1 w 6127752"/>
              <a:gd name="connsiteY0" fmla="*/ 0 h 1332740"/>
              <a:gd name="connsiteX1" fmla="*/ 0 w 6127752"/>
              <a:gd name="connsiteY1" fmla="*/ 1115970 h 1332740"/>
              <a:gd name="connsiteX2" fmla="*/ 6127752 w 6127752"/>
              <a:gd name="connsiteY2" fmla="*/ 1332740 h 1332740"/>
              <a:gd name="connsiteX3" fmla="*/ 5667375 w 6127752"/>
              <a:gd name="connsiteY3" fmla="*/ 1 h 1332740"/>
              <a:gd name="connsiteX4" fmla="*/ 1 w 6127752"/>
              <a:gd name="connsiteY4" fmla="*/ 0 h 133274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667503"/>
              <a:gd name="connsiteY0" fmla="*/ 24991 h 1465860"/>
              <a:gd name="connsiteX1" fmla="*/ 0 w 6667503"/>
              <a:gd name="connsiteY1" fmla="*/ 1465860 h 1465860"/>
              <a:gd name="connsiteX2" fmla="*/ 6667503 w 6667503"/>
              <a:gd name="connsiteY2" fmla="*/ 1207781 h 1465860"/>
              <a:gd name="connsiteX3" fmla="*/ 5643563 w 6667503"/>
              <a:gd name="connsiteY3" fmla="*/ 1 h 1465860"/>
              <a:gd name="connsiteX4" fmla="*/ 1 w 6667503"/>
              <a:gd name="connsiteY4" fmla="*/ 24991 h 1465860"/>
              <a:gd name="connsiteX0" fmla="*/ 1 w 6667503"/>
              <a:gd name="connsiteY0" fmla="*/ 24991 h 1765766"/>
              <a:gd name="connsiteX1" fmla="*/ 0 w 6667503"/>
              <a:gd name="connsiteY1" fmla="*/ 1765766 h 1765766"/>
              <a:gd name="connsiteX2" fmla="*/ 6667503 w 6667503"/>
              <a:gd name="connsiteY2" fmla="*/ 1207781 h 1765766"/>
              <a:gd name="connsiteX3" fmla="*/ 5643563 w 6667503"/>
              <a:gd name="connsiteY3" fmla="*/ 1 h 1765766"/>
              <a:gd name="connsiteX4" fmla="*/ 1 w 6667503"/>
              <a:gd name="connsiteY4" fmla="*/ 24991 h 1765766"/>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157485"/>
              <a:gd name="connsiteX1" fmla="*/ 0 w 7104066"/>
              <a:gd name="connsiteY1" fmla="*/ 1815753 h 2157485"/>
              <a:gd name="connsiteX2" fmla="*/ 7104066 w 7104066"/>
              <a:gd name="connsiteY2" fmla="*/ 2157485 h 2157485"/>
              <a:gd name="connsiteX3" fmla="*/ 6302375 w 7104066"/>
              <a:gd name="connsiteY3" fmla="*/ 124965 h 2157485"/>
              <a:gd name="connsiteX4" fmla="*/ 1 w 7104066"/>
              <a:gd name="connsiteY4" fmla="*/ 0 h 2157485"/>
              <a:gd name="connsiteX0" fmla="*/ 1 w 7104066"/>
              <a:gd name="connsiteY0" fmla="*/ 24987 h 2182472"/>
              <a:gd name="connsiteX1" fmla="*/ 0 w 7104066"/>
              <a:gd name="connsiteY1" fmla="*/ 1840740 h 2182472"/>
              <a:gd name="connsiteX2" fmla="*/ 7104066 w 7104066"/>
              <a:gd name="connsiteY2" fmla="*/ 2182472 h 2182472"/>
              <a:gd name="connsiteX3" fmla="*/ 6302375 w 7104066"/>
              <a:gd name="connsiteY3" fmla="*/ 0 h 2182472"/>
              <a:gd name="connsiteX4" fmla="*/ 1 w 7104066"/>
              <a:gd name="connsiteY4" fmla="*/ 24987 h 2182472"/>
              <a:gd name="connsiteX0" fmla="*/ 7939 w 7104066"/>
              <a:gd name="connsiteY0" fmla="*/ 0 h 2232459"/>
              <a:gd name="connsiteX1" fmla="*/ 0 w 7104066"/>
              <a:gd name="connsiteY1" fmla="*/ 1890727 h 2232459"/>
              <a:gd name="connsiteX2" fmla="*/ 7104066 w 7104066"/>
              <a:gd name="connsiteY2" fmla="*/ 2232459 h 2232459"/>
              <a:gd name="connsiteX3" fmla="*/ 6302375 w 7104066"/>
              <a:gd name="connsiteY3" fmla="*/ 49987 h 2232459"/>
              <a:gd name="connsiteX4" fmla="*/ 7939 w 7104066"/>
              <a:gd name="connsiteY4" fmla="*/ 0 h 2232459"/>
              <a:gd name="connsiteX0" fmla="*/ 2 w 7104066"/>
              <a:gd name="connsiteY0" fmla="*/ 0 h 2207465"/>
              <a:gd name="connsiteX1" fmla="*/ 0 w 7104066"/>
              <a:gd name="connsiteY1" fmla="*/ 1865733 h 2207465"/>
              <a:gd name="connsiteX2" fmla="*/ 7104066 w 7104066"/>
              <a:gd name="connsiteY2" fmla="*/ 2207465 h 2207465"/>
              <a:gd name="connsiteX3" fmla="*/ 6302375 w 7104066"/>
              <a:gd name="connsiteY3" fmla="*/ 24993 h 2207465"/>
              <a:gd name="connsiteX4" fmla="*/ 2 w 7104066"/>
              <a:gd name="connsiteY4" fmla="*/ 0 h 22074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04066" h="2207465">
                <a:moveTo>
                  <a:pt x="2" y="0"/>
                </a:moveTo>
                <a:cubicBezTo>
                  <a:pt x="2" y="371990"/>
                  <a:pt x="0" y="1493743"/>
                  <a:pt x="0" y="1865733"/>
                </a:cubicBezTo>
                <a:cubicBezTo>
                  <a:pt x="1736989" y="240925"/>
                  <a:pt x="4939775" y="1828721"/>
                  <a:pt x="7104066" y="2207465"/>
                </a:cubicBezTo>
                <a:lnTo>
                  <a:pt x="6302375" y="24993"/>
                </a:lnTo>
                <a:lnTo>
                  <a:pt x="2" y="0"/>
                </a:lnTo>
                <a:close/>
              </a:path>
            </a:pathLst>
          </a:custGeom>
          <a:gradFill flip="none" rotWithShape="1">
            <a:gsLst>
              <a:gs pos="0">
                <a:schemeClr val="bg1">
                  <a:alpha val="67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6" name="Prostokąt 45"/>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37</xdr:col>
      <xdr:colOff>402416</xdr:colOff>
      <xdr:row>1</xdr:row>
      <xdr:rowOff>85186</xdr:rowOff>
    </xdr:from>
    <xdr:to>
      <xdr:col>41</xdr:col>
      <xdr:colOff>88091</xdr:colOff>
      <xdr:row>3</xdr:row>
      <xdr:rowOff>372013</xdr:rowOff>
    </xdr:to>
    <xdr:sp macro="" textlink="">
      <xdr:nvSpPr>
        <xdr:cNvPr id="3" name="Pole tekstowe 2"/>
        <xdr:cNvSpPr txBox="1"/>
      </xdr:nvSpPr>
      <xdr:spPr>
        <a:xfrm>
          <a:off x="9213041" y="370936"/>
          <a:ext cx="2124075" cy="858327"/>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5760" rIns="45720" rtlCol="0" anchor="ctr" anchorCtr="0"/>
        <a:lstStyle/>
        <a:p>
          <a:pPr rtl="0">
            <a:lnSpc>
              <a:spcPct val="80000"/>
            </a:lnSpc>
          </a:pPr>
          <a:r>
            <a:rPr lang="pl" sz="1100">
              <a:solidFill>
                <a:schemeClr val="accent6">
                  <a:lumMod val="75000"/>
                </a:schemeClr>
              </a:solidFill>
              <a:latin typeface="+mj-lt"/>
            </a:rPr>
            <a:t>Wybierz rok kalendarza za pomocą strzałek.</a:t>
          </a:r>
          <a:r>
            <a:rPr lang="pl" sz="1100" baseline="0">
              <a:solidFill>
                <a:schemeClr val="accent6">
                  <a:lumMod val="75000"/>
                </a:schemeClr>
              </a:solidFill>
              <a:latin typeface="+mj-lt"/>
            </a:rPr>
            <a:t> </a:t>
          </a:r>
        </a:p>
        <a:p>
          <a:pPr algn="l" rtl="0">
            <a:lnSpc>
              <a:spcPct val="80000"/>
            </a:lnSpc>
            <a:spcBef>
              <a:spcPts val="300"/>
            </a:spcBef>
          </a:pPr>
          <a:r>
            <a:rPr lang="pl" sz="900" i="1" baseline="0">
              <a:solidFill>
                <a:schemeClr val="tx1">
                  <a:lumMod val="75000"/>
                  <a:lumOff val="25000"/>
                </a:schemeClr>
              </a:solidFill>
              <a:latin typeface="+mj-lt"/>
            </a:rPr>
            <a:t>Ta instrukcja nie będzie widoczna na wydrukowanym kalendarzu.</a:t>
          </a:r>
          <a:endParaRPr lang="en-US" sz="900" i="1">
            <a:solidFill>
              <a:schemeClr val="tx1">
                <a:lumMod val="75000"/>
                <a:lumOff val="25000"/>
              </a:schemeClr>
            </a:solidFill>
            <a:latin typeface="+mj-lt"/>
          </a:endParaRPr>
        </a:p>
      </xdr:txBody>
    </xdr:sp>
    <xdr:clientData/>
  </xdr:twoCellAnchor>
  <mc:AlternateContent xmlns:mc="http://schemas.openxmlformats.org/markup-compatibility/2006">
    <mc:Choice xmlns:a14="http://schemas.microsoft.com/office/drawing/2010/main" Requires="a14">
      <xdr:twoCellAnchor editAs="absolute">
        <xdr:from>
          <xdr:col>37</xdr:col>
          <xdr:colOff>523875</xdr:colOff>
          <xdr:row>1</xdr:row>
          <xdr:rowOff>219075</xdr:rowOff>
        </xdr:from>
        <xdr:to>
          <xdr:col>38</xdr:col>
          <xdr:colOff>95250</xdr:colOff>
          <xdr:row>2</xdr:row>
          <xdr:rowOff>266700</xdr:rowOff>
        </xdr:to>
        <xdr:sp macro="" textlink="">
          <xdr:nvSpPr>
            <xdr:cNvPr id="1045" name="Pokrętło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2</xdr:col>
      <xdr:colOff>239713</xdr:colOff>
      <xdr:row>33</xdr:row>
      <xdr:rowOff>79373</xdr:rowOff>
    </xdr:from>
    <xdr:to>
      <xdr:col>34</xdr:col>
      <xdr:colOff>220663</xdr:colOff>
      <xdr:row>33</xdr:row>
      <xdr:rowOff>333373</xdr:rowOff>
    </xdr:to>
    <xdr:sp macro="" textlink="">
      <xdr:nvSpPr>
        <xdr:cNvPr id="35" name="Pole tekstowe 34"/>
        <xdr:cNvSpPr txBox="1"/>
      </xdr:nvSpPr>
      <xdr:spPr>
        <a:xfrm>
          <a:off x="811213" y="6842123"/>
          <a:ext cx="75057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rtl="0">
            <a:lnSpc>
              <a:spcPct val="90000"/>
            </a:lnSpc>
          </a:pPr>
          <a:r>
            <a:rPr lang="pl" sz="900" i="1">
              <a:solidFill>
                <a:schemeClr val="accent6">
                  <a:lumMod val="75000"/>
                </a:schemeClr>
              </a:solidFill>
              <a:latin typeface="+mn-lt"/>
            </a:rPr>
            <a:t>Tutaj</a:t>
          </a:r>
          <a:r>
            <a:rPr lang="pl" sz="900" i="1" baseline="0">
              <a:solidFill>
                <a:schemeClr val="accent6">
                  <a:lumMod val="75000"/>
                </a:schemeClr>
              </a:solidFill>
              <a:latin typeface="+mn-lt"/>
            </a:rPr>
            <a:t> umieść wiadomość lub dewizę firmy.</a:t>
          </a:r>
          <a:endParaRPr lang="en-US" sz="900" i="1">
            <a:solidFill>
              <a:schemeClr val="accent6">
                <a:lumMod val="75000"/>
              </a:schemeClr>
            </a:solidFill>
            <a:latin typeface="+mn-lt"/>
          </a:endParaRPr>
        </a:p>
      </xdr:txBody>
    </xdr:sp>
    <xdr:clientData/>
  </xdr:twoCellAnchor>
  <xdr:twoCellAnchor editAs="absolute">
    <xdr:from>
      <xdr:col>2</xdr:col>
      <xdr:colOff>239713</xdr:colOff>
      <xdr:row>1</xdr:row>
      <xdr:rowOff>163516</xdr:rowOff>
    </xdr:from>
    <xdr:to>
      <xdr:col>21</xdr:col>
      <xdr:colOff>190502</xdr:colOff>
      <xdr:row>4</xdr:row>
      <xdr:rowOff>31752</xdr:rowOff>
    </xdr:to>
    <xdr:sp macro="" textlink="">
      <xdr:nvSpPr>
        <xdr:cNvPr id="8" name="Pole tekstowe 7"/>
        <xdr:cNvSpPr txBox="1"/>
      </xdr:nvSpPr>
      <xdr:spPr>
        <a:xfrm>
          <a:off x="811213" y="449266"/>
          <a:ext cx="4465639" cy="8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rtl="0">
            <a:lnSpc>
              <a:spcPct val="95000"/>
            </a:lnSpc>
          </a:pPr>
          <a:r>
            <a:rPr lang="pl" sz="1400">
              <a:solidFill>
                <a:schemeClr val="accent6">
                  <a:lumMod val="75000"/>
                </a:schemeClr>
              </a:solidFill>
              <a:latin typeface="+mj-lt"/>
            </a:rPr>
            <a:t>Nazwa firmy</a:t>
          </a:r>
        </a:p>
        <a:p>
          <a:pPr rtl="0">
            <a:lnSpc>
              <a:spcPct val="95000"/>
            </a:lnSpc>
          </a:pPr>
          <a:r>
            <a:rPr lang="pl" sz="800">
              <a:solidFill>
                <a:schemeClr val="tx1">
                  <a:lumMod val="75000"/>
                  <a:lumOff val="25000"/>
                </a:schemeClr>
              </a:solidFill>
            </a:rPr>
            <a:t>ul. Zielona 12345, 01-502 Warszawa,</a:t>
          </a:r>
          <a:r>
            <a:rPr lang="pl" sz="800" baseline="0">
              <a:solidFill>
                <a:schemeClr val="tx1">
                  <a:lumMod val="75000"/>
                  <a:lumOff val="25000"/>
                </a:schemeClr>
              </a:solidFill>
            </a:rPr>
            <a:t> </a:t>
          </a:r>
          <a:r>
            <a:rPr lang="pl" sz="800">
              <a:solidFill>
                <a:schemeClr val="tx1">
                  <a:lumMod val="75000"/>
                  <a:lumOff val="25000"/>
                </a:schemeClr>
              </a:solidFill>
            </a:rPr>
            <a:t>Mazowieckie</a:t>
          </a:r>
        </a:p>
        <a:p>
          <a:pPr rtl="0">
            <a:lnSpc>
              <a:spcPct val="95000"/>
            </a:lnSpc>
          </a:pPr>
          <a:r>
            <a:rPr lang="pl" sz="800" i="1">
              <a:solidFill>
                <a:schemeClr val="accent6">
                  <a:lumMod val="75000"/>
                </a:schemeClr>
              </a:solidFill>
            </a:rPr>
            <a:t>telefon </a:t>
          </a:r>
          <a:r>
            <a:rPr lang="pl" sz="800">
              <a:solidFill>
                <a:schemeClr val="tx1">
                  <a:lumMod val="75000"/>
                  <a:lumOff val="25000"/>
                </a:schemeClr>
              </a:solidFill>
            </a:rPr>
            <a:t>12-34-567 </a:t>
          </a:r>
          <a:r>
            <a:rPr lang="en-US" sz="800">
              <a:solidFill>
                <a:schemeClr val="tx1">
                  <a:lumMod val="75000"/>
                  <a:lumOff val="25000"/>
                </a:schemeClr>
              </a:solidFill>
            </a:rPr>
            <a:t> </a:t>
          </a:r>
          <a:r>
            <a:rPr lang="pl" sz="800" i="1">
              <a:solidFill>
                <a:schemeClr val="accent6">
                  <a:lumMod val="75000"/>
                </a:schemeClr>
              </a:solidFill>
            </a:rPr>
            <a:t>faks </a:t>
          </a:r>
          <a:r>
            <a:rPr lang="pl" sz="800" baseline="0">
              <a:solidFill>
                <a:schemeClr val="tx1">
                  <a:lumMod val="75000"/>
                  <a:lumOff val="25000"/>
                </a:schemeClr>
              </a:solidFill>
            </a:rPr>
            <a:t>12-34-567  </a:t>
          </a:r>
        </a:p>
        <a:p>
          <a:pPr rtl="0">
            <a:lnSpc>
              <a:spcPct val="95000"/>
            </a:lnSpc>
          </a:pPr>
          <a:r>
            <a:rPr lang="pl" sz="800" i="1" baseline="0">
              <a:solidFill>
                <a:schemeClr val="accent6">
                  <a:lumMod val="75000"/>
                </a:schemeClr>
              </a:solidFill>
            </a:rPr>
            <a:t>e-mail </a:t>
          </a:r>
          <a:r>
            <a:rPr lang="pl" sz="800" baseline="0">
              <a:solidFill>
                <a:schemeClr val="tx1">
                  <a:lumMod val="75000"/>
                  <a:lumOff val="25000"/>
                </a:schemeClr>
              </a:solidFill>
            </a:rPr>
            <a:t>email_firmy@przyklad.com</a:t>
          </a:r>
        </a:p>
      </xdr:txBody>
    </xdr:sp>
    <xdr:clientData/>
  </xdr:twoCellAnchor>
  <xdr:twoCellAnchor>
    <xdr:from>
      <xdr:col>37</xdr:col>
      <xdr:colOff>400049</xdr:colOff>
      <xdr:row>4</xdr:row>
      <xdr:rowOff>209550</xdr:rowOff>
    </xdr:from>
    <xdr:to>
      <xdr:col>41</xdr:col>
      <xdr:colOff>85724</xdr:colOff>
      <xdr:row>11</xdr:row>
      <xdr:rowOff>114300</xdr:rowOff>
    </xdr:to>
    <xdr:sp macro="" textlink="">
      <xdr:nvSpPr>
        <xdr:cNvPr id="25" name="Pole tekstowe 24"/>
        <xdr:cNvSpPr txBox="1"/>
      </xdr:nvSpPr>
      <xdr:spPr>
        <a:xfrm>
          <a:off x="9210674" y="1457325"/>
          <a:ext cx="2124075" cy="1619250"/>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ctr" anchorCtr="0"/>
        <a:lstStyle/>
        <a:p>
          <a:pPr lvl="0" algn="l" rtl="0">
            <a:lnSpc>
              <a:spcPct val="80000"/>
            </a:lnSpc>
          </a:pPr>
          <a:r>
            <a:rPr lang="pl" sz="1100">
              <a:solidFill>
                <a:schemeClr val="accent6">
                  <a:lumMod val="75000"/>
                </a:schemeClr>
              </a:solidFill>
              <a:latin typeface="+mj-lt"/>
            </a:rPr>
            <a:t>Aby ten kalendarz</a:t>
          </a:r>
          <a:r>
            <a:rPr lang="pl" sz="1100" baseline="0">
              <a:solidFill>
                <a:schemeClr val="accent6">
                  <a:lumMod val="75000"/>
                </a:schemeClr>
              </a:solidFill>
              <a:latin typeface="+mj-lt"/>
            </a:rPr>
            <a:t> był drukowany poprawnie na wszystkich drukarkach, należy zaznaczyć pole wyboru „Tryb wysokiej jakości grafiki” w obszarze Plik — Opcje — Zaawansowane — Drukowanie</a:t>
          </a:r>
        </a:p>
        <a:p>
          <a:pPr lvl="0" algn="l" rtl="0">
            <a:lnSpc>
              <a:spcPct val="80000"/>
            </a:lnSpc>
            <a:spcBef>
              <a:spcPts val="300"/>
            </a:spcBef>
          </a:pPr>
          <a:r>
            <a:rPr lang="pl" sz="900" i="1" baseline="0">
              <a:solidFill>
                <a:schemeClr val="tx1">
                  <a:lumMod val="75000"/>
                  <a:lumOff val="25000"/>
                </a:schemeClr>
              </a:solidFill>
              <a:latin typeface="+mj-lt"/>
            </a:rPr>
            <a:t>Ta instrukcja nie będzie widoczna na wydrukowanym kalendarzu.</a:t>
          </a:r>
          <a:endParaRPr lang="en-US" sz="900" i="1">
            <a:solidFill>
              <a:schemeClr val="tx1">
                <a:lumMod val="75000"/>
                <a:lumOff val="25000"/>
              </a:schemeClr>
            </a:solidFill>
            <a:latin typeface="+mj-lt"/>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52"/>
  <sheetViews>
    <sheetView tabSelected="1" zoomScaleNormal="100" workbookViewId="0"/>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23"/>
      <c r="C2" s="23"/>
      <c r="D2" s="23"/>
      <c r="E2" s="23"/>
      <c r="F2" s="23"/>
      <c r="G2" s="26"/>
      <c r="H2" s="26"/>
      <c r="I2" s="26"/>
      <c r="J2" s="26"/>
      <c r="K2" s="26"/>
      <c r="L2" s="26"/>
      <c r="M2" s="26"/>
      <c r="N2" s="26"/>
      <c r="O2" s="26"/>
      <c r="P2" s="26"/>
      <c r="Q2" s="26"/>
      <c r="R2" s="26"/>
      <c r="S2" s="26"/>
      <c r="T2" s="26"/>
      <c r="U2" s="26"/>
      <c r="V2" s="26"/>
      <c r="W2" s="26"/>
      <c r="X2" s="26"/>
      <c r="Y2" s="26"/>
      <c r="Z2" s="25">
        <v>2016</v>
      </c>
      <c r="AA2" s="25"/>
      <c r="AB2" s="25"/>
      <c r="AC2" s="25"/>
      <c r="AD2" s="25"/>
      <c r="AE2" s="25"/>
      <c r="AF2" s="25"/>
      <c r="AG2" s="25"/>
      <c r="AH2" s="25"/>
      <c r="AI2" s="25"/>
      <c r="AJ2" s="23"/>
    </row>
    <row r="3" spans="2:74" ht="26.25" customHeight="1" x14ac:dyDescent="0.35">
      <c r="B3" s="23"/>
      <c r="C3" s="23"/>
      <c r="D3" s="23"/>
      <c r="E3" s="23"/>
      <c r="F3" s="23"/>
      <c r="G3" s="26"/>
      <c r="H3" s="26"/>
      <c r="I3" s="26"/>
      <c r="J3" s="26"/>
      <c r="K3" s="26"/>
      <c r="L3" s="26"/>
      <c r="M3" s="26"/>
      <c r="N3" s="26"/>
      <c r="O3" s="26"/>
      <c r="P3" s="26"/>
      <c r="Q3" s="26"/>
      <c r="R3" s="26"/>
      <c r="S3" s="26"/>
      <c r="T3" s="26"/>
      <c r="U3" s="26"/>
      <c r="V3" s="26"/>
      <c r="W3" s="26"/>
      <c r="X3" s="26"/>
      <c r="Y3" s="26"/>
      <c r="Z3" s="25"/>
      <c r="AA3" s="25"/>
      <c r="AB3" s="25"/>
      <c r="AC3" s="25"/>
      <c r="AD3" s="25"/>
      <c r="AE3" s="25"/>
      <c r="AF3" s="25"/>
      <c r="AG3" s="25"/>
      <c r="AH3" s="25"/>
      <c r="AI3" s="25"/>
      <c r="AJ3" s="23"/>
      <c r="AP3" s="18"/>
      <c r="AQ3" s="18"/>
      <c r="AR3" s="18"/>
      <c r="AS3" s="18"/>
      <c r="AT3" s="19"/>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row>
    <row r="4" spans="2:74" ht="30.75" customHeight="1" x14ac:dyDescent="0.25">
      <c r="B4" s="23"/>
      <c r="C4" s="23"/>
      <c r="D4" s="23"/>
      <c r="E4" s="23"/>
      <c r="F4" s="23"/>
      <c r="G4" s="26"/>
      <c r="H4" s="26"/>
      <c r="I4" s="26"/>
      <c r="J4" s="26"/>
      <c r="K4" s="26"/>
      <c r="L4" s="26"/>
      <c r="M4" s="26"/>
      <c r="N4" s="26"/>
      <c r="O4" s="26"/>
      <c r="P4" s="26"/>
      <c r="Q4" s="26"/>
      <c r="R4" s="26"/>
      <c r="S4" s="26"/>
      <c r="T4" s="26"/>
      <c r="U4" s="26"/>
      <c r="V4" s="26"/>
      <c r="W4" s="26"/>
      <c r="X4" s="26"/>
      <c r="Y4" s="26"/>
      <c r="Z4" s="25"/>
      <c r="AA4" s="25"/>
      <c r="AB4" s="25"/>
      <c r="AC4" s="25"/>
      <c r="AD4" s="25"/>
      <c r="AE4" s="25"/>
      <c r="AF4" s="25"/>
      <c r="AG4" s="25"/>
      <c r="AH4" s="25"/>
      <c r="AI4" s="25"/>
      <c r="AJ4" s="23"/>
      <c r="AL4" s="12"/>
      <c r="AM4" s="13"/>
      <c r="AN4" s="13"/>
      <c r="AO4" s="13"/>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row>
    <row r="5" spans="2:74" s="3" customFormat="1" ht="58.5" customHeight="1" x14ac:dyDescent="0.35">
      <c r="D5" s="22" t="s">
        <v>0</v>
      </c>
      <c r="E5" s="22"/>
      <c r="F5" s="22"/>
      <c r="G5" s="22"/>
      <c r="H5" s="22"/>
      <c r="I5" s="22"/>
      <c r="J5" s="22"/>
      <c r="K5" s="4"/>
      <c r="L5" s="22" t="s">
        <v>4</v>
      </c>
      <c r="M5" s="22"/>
      <c r="N5" s="22"/>
      <c r="O5" s="22"/>
      <c r="P5" s="22"/>
      <c r="Q5" s="22"/>
      <c r="R5" s="22"/>
      <c r="S5" s="4"/>
      <c r="T5" s="22" t="s">
        <v>7</v>
      </c>
      <c r="U5" s="22"/>
      <c r="V5" s="22"/>
      <c r="W5" s="22"/>
      <c r="X5" s="22"/>
      <c r="Y5" s="22"/>
      <c r="Z5" s="22"/>
      <c r="AA5" s="4"/>
      <c r="AB5" s="22" t="s">
        <v>10</v>
      </c>
      <c r="AC5" s="22"/>
      <c r="AD5" s="22"/>
      <c r="AE5" s="22"/>
      <c r="AF5" s="22"/>
      <c r="AG5" s="22"/>
      <c r="AH5" s="22"/>
      <c r="AM5" s="14"/>
      <c r="AN5" s="14"/>
      <c r="AO5" s="14"/>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row>
    <row r="6" spans="2:74" ht="12.75" customHeight="1" x14ac:dyDescent="0.25">
      <c r="C6" s="5"/>
      <c r="D6" s="6" t="s">
        <v>13</v>
      </c>
      <c r="E6" s="6" t="s">
        <v>14</v>
      </c>
      <c r="F6" s="6" t="s">
        <v>15</v>
      </c>
      <c r="G6" s="6" t="s">
        <v>16</v>
      </c>
      <c r="H6" s="6" t="s">
        <v>17</v>
      </c>
      <c r="I6" s="6" t="s">
        <v>18</v>
      </c>
      <c r="J6" s="1" t="s">
        <v>3</v>
      </c>
      <c r="K6" s="7"/>
      <c r="L6" s="6" t="s">
        <v>13</v>
      </c>
      <c r="M6" s="6" t="s">
        <v>14</v>
      </c>
      <c r="N6" s="6" t="s">
        <v>15</v>
      </c>
      <c r="O6" s="6" t="s">
        <v>16</v>
      </c>
      <c r="P6" s="6" t="s">
        <v>17</v>
      </c>
      <c r="Q6" s="6" t="s">
        <v>18</v>
      </c>
      <c r="R6" s="1" t="s">
        <v>3</v>
      </c>
      <c r="S6" s="7"/>
      <c r="T6" s="6" t="s">
        <v>13</v>
      </c>
      <c r="U6" s="6" t="s">
        <v>14</v>
      </c>
      <c r="V6" s="6" t="s">
        <v>15</v>
      </c>
      <c r="W6" s="6" t="s">
        <v>16</v>
      </c>
      <c r="X6" s="6" t="s">
        <v>17</v>
      </c>
      <c r="Y6" s="6" t="s">
        <v>18</v>
      </c>
      <c r="Z6" s="1" t="s">
        <v>3</v>
      </c>
      <c r="AA6" s="7"/>
      <c r="AB6" s="6" t="s">
        <v>13</v>
      </c>
      <c r="AC6" s="6" t="s">
        <v>14</v>
      </c>
      <c r="AD6" s="6" t="s">
        <v>15</v>
      </c>
      <c r="AE6" s="6" t="s">
        <v>16</v>
      </c>
      <c r="AF6" s="6" t="s">
        <v>17</v>
      </c>
      <c r="AG6" s="6" t="s">
        <v>18</v>
      </c>
      <c r="AH6" s="1" t="s">
        <v>3</v>
      </c>
    </row>
    <row r="7" spans="2:74" ht="12.95" customHeight="1" x14ac:dyDescent="0.25">
      <c r="D7" s="20" t="str">
        <f>IF(AND(YEAR(Sty_n_1)=Rok,MONTH(Sty_n_1)=1),Sty_n_1, "")</f>
        <v/>
      </c>
      <c r="E7" s="20" t="str">
        <f>IF(AND(YEAR(Sty_n_1+1)=Rok,MONTH(Sty_n_1+1)=1),Sty_n_1+1, "")</f>
        <v/>
      </c>
      <c r="F7" s="20" t="str">
        <f>IF(AND(YEAR(Sty_n_1+2)=Rok,MONTH(Sty_n_1+2)=1),Sty_n_1+2, "")</f>
        <v/>
      </c>
      <c r="G7" s="20" t="str">
        <f>IF(AND(YEAR(Sty_n_1+3)=Rok,MONTH(Sty_n_1+3)=1),Sty_n_1+3, "")</f>
        <v/>
      </c>
      <c r="H7" s="20">
        <f>IF(AND(YEAR(Sty_n_1+4)=Rok,MONTH(Sty_n_1+4)=1),Sty_n_1+4, "")</f>
        <v>42370</v>
      </c>
      <c r="I7" s="20">
        <f>IF(AND(YEAR(Sty_n_1+5)=Rok,MONTH(Sty_n_1+5)=1),Sty_n_1+5, "")</f>
        <v>42371</v>
      </c>
      <c r="J7" s="20">
        <f>IF(AND(YEAR(Sty_n_1+6)=Rok,MONTH(Sty_n_1+6)=1),Sty_n_1+6, "")</f>
        <v>42372</v>
      </c>
      <c r="K7" s="7"/>
      <c r="L7" s="20">
        <f>IF(AND(YEAR(Lut_n_1)=Rok,MONTH(Lut_n_1)=2),Lut_n_1, "")</f>
        <v>42401</v>
      </c>
      <c r="M7" s="20">
        <f>IF(AND(YEAR(Lut_n_1+1)=Rok,MONTH(Lut_n_1+1)=2),Lut_n_1+1, "")</f>
        <v>42402</v>
      </c>
      <c r="N7" s="20">
        <f>IF(AND(YEAR(Lut_n_1+2)=Rok,MONTH(Lut_n_1+2)=2),Lut_n_1+2, "")</f>
        <v>42403</v>
      </c>
      <c r="O7" s="20">
        <f>IF(AND(YEAR(Lut_n_1+3)=Rok,MONTH(Lut_n_1+3)=2),Lut_n_1+3, "")</f>
        <v>42404</v>
      </c>
      <c r="P7" s="20">
        <f>IF(AND(YEAR(Lut_n_1+4)=Rok,MONTH(Lut_n_1+4)=2),Lut_n_1+4, "")</f>
        <v>42405</v>
      </c>
      <c r="Q7" s="20">
        <f>IF(AND(YEAR(Lut_n_1+5)=Rok,MONTH(Lut_n_1+5)=2),Lut_n_1+5, "")</f>
        <v>42406</v>
      </c>
      <c r="R7" s="20">
        <f>IF(AND(YEAR(Lut_n_1+6)=Rok,MONTH(Lut_n_1+6)=2),Lut_n_1+6, "")</f>
        <v>42407</v>
      </c>
      <c r="S7" s="7"/>
      <c r="T7" s="20" t="str">
        <f>IF(AND(YEAR(Mar_n_1)=Rok,MONTH(Mar_n_1)=3),Mar_n_1, "")</f>
        <v/>
      </c>
      <c r="U7" s="20">
        <f>IF(AND(YEAR(Mar_n_1+1)=Rok,MONTH(Mar_n_1+1)=3),Mar_n_1+1, "")</f>
        <v>42430</v>
      </c>
      <c r="V7" s="20">
        <f>IF(AND(YEAR(Mar_n_1+2)=Rok,MONTH(Mar_n_1+2)=3),Mar_n_1+2, "")</f>
        <v>42431</v>
      </c>
      <c r="W7" s="20">
        <f>IF(AND(YEAR(Mar_n_1+3)=Rok,MONTH(Mar_n_1+3)=3),Mar_n_1+3, "")</f>
        <v>42432</v>
      </c>
      <c r="X7" s="20">
        <f>IF(AND(YEAR(Mar_n_1+4)=Rok,MONTH(Mar_n_1+4)=3),Mar_n_1+4, "")</f>
        <v>42433</v>
      </c>
      <c r="Y7" s="20">
        <f>IF(AND(YEAR(Mar_n_1+5)=Rok,MONTH(Mar_n_1+5)=3),Mar_n_1+5, "")</f>
        <v>42434</v>
      </c>
      <c r="Z7" s="20">
        <f>IF(AND(YEAR(Mar_n_1+6)=Rok,MONTH(Mar_n_1+6)=3),Mar_n_1+6, "")</f>
        <v>42435</v>
      </c>
      <c r="AA7" s="7"/>
      <c r="AB7" s="20" t="str">
        <f>IF(AND(YEAR(Kwi_n_1)=Rok,MONTH(Kwi_n_1)=4),Kwi_n_1, "")</f>
        <v/>
      </c>
      <c r="AC7" s="20" t="str">
        <f>IF(AND(YEAR(Kwi_n_1+1)=Rok,MONTH(Kwi_n_1+1)=4),Kwi_n_1+1, "")</f>
        <v/>
      </c>
      <c r="AD7" s="20" t="str">
        <f>IF(AND(YEAR(Kwi_n_1+2)=Rok,MONTH(Kwi_n_1+2)=4),Kwi_n_1+2, "")</f>
        <v/>
      </c>
      <c r="AE7" s="20" t="str">
        <f>IF(AND(YEAR(Kwi_n_1+3)=Rok,MONTH(Kwi_n_1+3)=4),Kwi_n_1+3, "")</f>
        <v/>
      </c>
      <c r="AF7" s="20">
        <f>IF(AND(YEAR(Kwi_n_1+4)=Rok,MONTH(Kwi_n_1+4)=4),Kwi_n_1+4, "")</f>
        <v>42461</v>
      </c>
      <c r="AG7" s="20">
        <f>IF(AND(YEAR(Kwi_n_1+5)=Rok,MONTH(Kwi_n_1+5)=4),Kwi_n_1+5, "")</f>
        <v>42462</v>
      </c>
      <c r="AH7" s="20">
        <f>IF(AND(YEAR(Kwi_n_1+6)=Rok,MONTH(Kwi_n_1+6)=4),Kwi_n_1+6, "")</f>
        <v>42463</v>
      </c>
    </row>
    <row r="8" spans="2:74" ht="12.95" customHeight="1" x14ac:dyDescent="0.25">
      <c r="D8" s="20">
        <f>IF(AND(YEAR(Sty_n_1+7)=Rok,MONTH(Sty_n_1+7)=1),Sty_n_1+7, "")</f>
        <v>42373</v>
      </c>
      <c r="E8" s="20">
        <f>IF(AND(YEAR(Sty_n_1+8)=Rok,MONTH(Sty_n_1+8)=1),Sty_n_1+8, "")</f>
        <v>42374</v>
      </c>
      <c r="F8" s="20">
        <f>IF(AND(YEAR(Sty_n_1+9)=Rok,MONTH(Sty_n_1+9)=1),Sty_n_1+9, "")</f>
        <v>42375</v>
      </c>
      <c r="G8" s="20">
        <f>IF(AND(YEAR(Sty_n_1+10)=Rok,MONTH(Sty_n_1+10)=1),Sty_n_1+10, "")</f>
        <v>42376</v>
      </c>
      <c r="H8" s="20">
        <f>IF(AND(YEAR(Sty_n_1+11)=Rok,MONTH(Sty_n_1+11)=1),Sty_n_1+11, "")</f>
        <v>42377</v>
      </c>
      <c r="I8" s="20">
        <f>IF(AND(YEAR(Sty_n_1+12)=Rok,MONTH(Sty_n_1+12)=1),Sty_n_1+12, "")</f>
        <v>42378</v>
      </c>
      <c r="J8" s="20">
        <f>IF(AND(YEAR(Sty_n_1+13)=Rok,MONTH(Sty_n_1+13)=1),Sty_n_1+13, "")</f>
        <v>42379</v>
      </c>
      <c r="K8" s="7"/>
      <c r="L8" s="20">
        <f>IF(AND(YEAR(Lut_n_1+7)=Rok,MONTH(Lut_n_1+7)=2),Lut_n_1+7, "")</f>
        <v>42408</v>
      </c>
      <c r="M8" s="20">
        <f>IF(AND(YEAR(Lut_n_1+8)=Rok,MONTH(Lut_n_1+8)=2),Lut_n_1+8, "")</f>
        <v>42409</v>
      </c>
      <c r="N8" s="20">
        <f>IF(AND(YEAR(Lut_n_1+9)=Rok,MONTH(Lut_n_1+9)=2),Lut_n_1+9, "")</f>
        <v>42410</v>
      </c>
      <c r="O8" s="20">
        <f>IF(AND(YEAR(Lut_n_1+10)=Rok,MONTH(Lut_n_1+10)=2),Lut_n_1+10, "")</f>
        <v>42411</v>
      </c>
      <c r="P8" s="20">
        <f>IF(AND(YEAR(Lut_n_1+11)=Rok,MONTH(Lut_n_1+11)=2),Lut_n_1+11, "")</f>
        <v>42412</v>
      </c>
      <c r="Q8" s="20">
        <f>IF(AND(YEAR(Lut_n_1+12)=Rok,MONTH(Lut_n_1+12)=2),Lut_n_1+12, "")</f>
        <v>42413</v>
      </c>
      <c r="R8" s="20">
        <f>IF(AND(YEAR(Lut_n_1+13)=Rok,MONTH(Lut_n_1+13)=2),Lut_n_1+13, "")</f>
        <v>42414</v>
      </c>
      <c r="S8" s="7"/>
      <c r="T8" s="20">
        <f>IF(AND(YEAR(Mar_n_1+7)=Rok,MONTH(Mar_n_1+7)=3),Mar_n_1+7, "")</f>
        <v>42436</v>
      </c>
      <c r="U8" s="20">
        <f>IF(AND(YEAR(Mar_n_1+8)=Rok,MONTH(Mar_n_1+8)=3),Mar_n_1+8, "")</f>
        <v>42437</v>
      </c>
      <c r="V8" s="20">
        <f>IF(AND(YEAR(Mar_n_1+9)=Rok,MONTH(Mar_n_1+9)=3),Mar_n_1+9, "")</f>
        <v>42438</v>
      </c>
      <c r="W8" s="20">
        <f>IF(AND(YEAR(Mar_n_1+10)=Rok,MONTH(Mar_n_1+10)=3),Mar_n_1+10, "")</f>
        <v>42439</v>
      </c>
      <c r="X8" s="20">
        <f>IF(AND(YEAR(Mar_n_1+11)=Rok,MONTH(Mar_n_1+11)=3),Mar_n_1+11, "")</f>
        <v>42440</v>
      </c>
      <c r="Y8" s="20">
        <f>IF(AND(YEAR(Mar_n_1+12)=Rok,MONTH(Mar_n_1+12)=3),Mar_n_1+12, "")</f>
        <v>42441</v>
      </c>
      <c r="Z8" s="20">
        <f>IF(AND(YEAR(Mar_n_1+13)=Rok,MONTH(Mar_n_1+13)=3),Mar_n_1+13, "")</f>
        <v>42442</v>
      </c>
      <c r="AA8" s="7"/>
      <c r="AB8" s="20">
        <f>IF(AND(YEAR(Kwi_n_1+7)=Rok,MONTH(Kwi_n_1+7)=4),Kwi_n_1+7, "")</f>
        <v>42464</v>
      </c>
      <c r="AC8" s="20">
        <f>IF(AND(YEAR(Kwi_n_1+8)=Rok,MONTH(Kwi_n_1+8)=4),Kwi_n_1+8, "")</f>
        <v>42465</v>
      </c>
      <c r="AD8" s="20">
        <f>IF(AND(YEAR(Kwi_n_1+9)=Rok,MONTH(Kwi_n_1+9)=4),Kwi_n_1+9, "")</f>
        <v>42466</v>
      </c>
      <c r="AE8" s="20">
        <f>IF(AND(YEAR(Kwi_n_1+10)=Rok,MONTH(Kwi_n_1+10)=4),Kwi_n_1+10, "")</f>
        <v>42467</v>
      </c>
      <c r="AF8" s="20">
        <f>IF(AND(YEAR(Kwi_n_1+11)=Rok,MONTH(Kwi_n_1+11)=4),Kwi_n_1+11, "")</f>
        <v>42468</v>
      </c>
      <c r="AG8" s="20">
        <f>IF(AND(YEAR(Kwi_n_1+12)=Rok,MONTH(Kwi_n_1+12)=4),Kwi_n_1+12, "")</f>
        <v>42469</v>
      </c>
      <c r="AH8" s="20">
        <f>IF(AND(YEAR(Kwi_n_1+13)=Rok,MONTH(Kwi_n_1+13)=4),Kwi_n_1+13, "")</f>
        <v>42470</v>
      </c>
    </row>
    <row r="9" spans="2:74" ht="12.95" customHeight="1" x14ac:dyDescent="0.25">
      <c r="D9" s="20">
        <f>IF(AND(YEAR(Sty_n_1+14)=Rok,MONTH(Sty_n_1+14)=1),Sty_n_1+14, "")</f>
        <v>42380</v>
      </c>
      <c r="E9" s="20">
        <f>IF(AND(YEAR(Sty_n_1+15)=Rok,MONTH(Sty_n_1+15)=1),Sty_n_1+15, "")</f>
        <v>42381</v>
      </c>
      <c r="F9" s="20">
        <f>IF(AND(YEAR(Sty_n_1+16)=Rok,MONTH(Sty_n_1+16)=1),Sty_n_1+16, "")</f>
        <v>42382</v>
      </c>
      <c r="G9" s="20">
        <f>IF(AND(YEAR(Sty_n_1+17)=Rok,MONTH(Sty_n_1+17)=1),Sty_n_1+17, "")</f>
        <v>42383</v>
      </c>
      <c r="H9" s="20">
        <f>IF(AND(YEAR(Sty_n_1+18)=Rok,MONTH(Sty_n_1+18)=1),Sty_n_1+18, "")</f>
        <v>42384</v>
      </c>
      <c r="I9" s="20">
        <f>IF(AND(YEAR(Sty_n_1+19)=Rok,MONTH(Sty_n_1+19)=1),Sty_n_1+19, "")</f>
        <v>42385</v>
      </c>
      <c r="J9" s="20">
        <f>IF(AND(YEAR(Sty_n_1+20)=Rok,MONTH(Sty_n_1+20)=1),Sty_n_1+20, "")</f>
        <v>42386</v>
      </c>
      <c r="K9" s="7"/>
      <c r="L9" s="20">
        <f>IF(AND(YEAR(Lut_n_1+14)=Rok,MONTH(Lut_n_1+14)=2),Lut_n_1+14, "")</f>
        <v>42415</v>
      </c>
      <c r="M9" s="20">
        <f>IF(AND(YEAR(Lut_n_1+15)=Rok,MONTH(Lut_n_1+15)=2),Lut_n_1+15, "")</f>
        <v>42416</v>
      </c>
      <c r="N9" s="20">
        <f>IF(AND(YEAR(Lut_n_1+16)=Rok,MONTH(Lut_n_1+16)=2),Lut_n_1+16, "")</f>
        <v>42417</v>
      </c>
      <c r="O9" s="20">
        <f>IF(AND(YEAR(Lut_n_1+17)=Rok,MONTH(Lut_n_1+17)=2),Lut_n_1+17, "")</f>
        <v>42418</v>
      </c>
      <c r="P9" s="20">
        <f>IF(AND(YEAR(Lut_n_1+18)=Rok,MONTH(Lut_n_1+18)=2),Lut_n_1+18, "")</f>
        <v>42419</v>
      </c>
      <c r="Q9" s="20">
        <f>IF(AND(YEAR(Lut_n_1+19)=Rok,MONTH(Lut_n_1+19)=2),Lut_n_1+19, "")</f>
        <v>42420</v>
      </c>
      <c r="R9" s="20">
        <f>IF(AND(YEAR(Lut_n_1+20)=Rok,MONTH(Lut_n_1+20)=2),Lut_n_1+20, "")</f>
        <v>42421</v>
      </c>
      <c r="S9" s="7"/>
      <c r="T9" s="20">
        <f>IF(AND(YEAR(Mar_n_1+14)=Rok,MONTH(Mar_n_1+14)=3),Mar_n_1+14, "")</f>
        <v>42443</v>
      </c>
      <c r="U9" s="20">
        <f>IF(AND(YEAR(Mar_n_1+15)=Rok,MONTH(Mar_n_1+15)=3),Mar_n_1+15, "")</f>
        <v>42444</v>
      </c>
      <c r="V9" s="20">
        <f>IF(AND(YEAR(Mar_n_1+16)=Rok,MONTH(Mar_n_1+16)=3),Mar_n_1+16, "")</f>
        <v>42445</v>
      </c>
      <c r="W9" s="20">
        <f>IF(AND(YEAR(Mar_n_1+17)=Rok,MONTH(Mar_n_1+17)=3),Mar_n_1+17, "")</f>
        <v>42446</v>
      </c>
      <c r="X9" s="20">
        <f>IF(AND(YEAR(Mar_n_1+18)=Rok,MONTH(Mar_n_1+18)=3),Mar_n_1+18, "")</f>
        <v>42447</v>
      </c>
      <c r="Y9" s="20">
        <f>IF(AND(YEAR(Mar_n_1+19)=Rok,MONTH(Mar_n_1+19)=3),Mar_n_1+19, "")</f>
        <v>42448</v>
      </c>
      <c r="Z9" s="20">
        <f>IF(AND(YEAR(Mar_n_1+20)=Rok,MONTH(Mar_n_1+20)=3),Mar_n_1+20, "")</f>
        <v>42449</v>
      </c>
      <c r="AA9" s="7"/>
      <c r="AB9" s="20">
        <f>IF(AND(YEAR(Kwi_n_1+14)=Rok,MONTH(Kwi_n_1+14)=4),Kwi_n_1+14, "")</f>
        <v>42471</v>
      </c>
      <c r="AC9" s="20">
        <f>IF(AND(YEAR(Kwi_n_1+15)=Rok,MONTH(Kwi_n_1+15)=4),Kwi_n_1+15, "")</f>
        <v>42472</v>
      </c>
      <c r="AD9" s="20">
        <f>IF(AND(YEAR(Kwi_n_1+16)=Rok,MONTH(Kwi_n_1+16)=4),Kwi_n_1+16, "")</f>
        <v>42473</v>
      </c>
      <c r="AE9" s="20">
        <f>IF(AND(YEAR(Kwi_n_1+17)=Rok,MONTH(Kwi_n_1+17)=4),Kwi_n_1+17, "")</f>
        <v>42474</v>
      </c>
      <c r="AF9" s="20">
        <f>IF(AND(YEAR(Kwi_n_1+18)=Rok,MONTH(Kwi_n_1+18)=4),Kwi_n_1+18, "")</f>
        <v>42475</v>
      </c>
      <c r="AG9" s="20">
        <f>IF(AND(YEAR(Kwi_n_1+19)=Rok,MONTH(Kwi_n_1+19)=4),Kwi_n_1+19, "")</f>
        <v>42476</v>
      </c>
      <c r="AH9" s="20">
        <f>IF(AND(YEAR(Kwi_n_1+20)=Rok,MONTH(Kwi_n_1+20)=4),Kwi_n_1+20, "")</f>
        <v>42477</v>
      </c>
    </row>
    <row r="10" spans="2:74" ht="12.95" customHeight="1" x14ac:dyDescent="0.25">
      <c r="D10" s="20">
        <f>IF(AND(YEAR(Sty_n_1+21)=Rok,MONTH(Sty_n_1+21)=1),Sty_n_1+21, "")</f>
        <v>42387</v>
      </c>
      <c r="E10" s="20">
        <f>IF(AND(YEAR(Sty_n_1+22)=Rok,MONTH(Sty_n_1+22)=1),Sty_n_1+22, "")</f>
        <v>42388</v>
      </c>
      <c r="F10" s="20">
        <f>IF(AND(YEAR(Sty_n_1+23)=Rok,MONTH(Sty_n_1+23)=1),Sty_n_1+23, "")</f>
        <v>42389</v>
      </c>
      <c r="G10" s="20">
        <f>IF(AND(YEAR(Sty_n_1+24)=Rok,MONTH(Sty_n_1+24)=1),Sty_n_1+24, "")</f>
        <v>42390</v>
      </c>
      <c r="H10" s="20">
        <f>IF(AND(YEAR(Sty_n_1+25)=Rok,MONTH(Sty_n_1+25)=1),Sty_n_1+25, "")</f>
        <v>42391</v>
      </c>
      <c r="I10" s="20">
        <f>IF(AND(YEAR(Sty_n_1+26)=Rok,MONTH(Sty_n_1+26)=1),Sty_n_1+26, "")</f>
        <v>42392</v>
      </c>
      <c r="J10" s="20">
        <f>IF(AND(YEAR(Sty_n_1+27)=Rok,MONTH(Sty_n_1+27)=1),Sty_n_1+27, "")</f>
        <v>42393</v>
      </c>
      <c r="K10" s="7"/>
      <c r="L10" s="20">
        <f>IF(AND(YEAR(Lut_n_1+21)=Rok,MONTH(Lut_n_1+21)=2),Lut_n_1+21, "")</f>
        <v>42422</v>
      </c>
      <c r="M10" s="20">
        <f>IF(AND(YEAR(Lut_n_1+22)=Rok,MONTH(Lut_n_1+22)=2),Lut_n_1+22, "")</f>
        <v>42423</v>
      </c>
      <c r="N10" s="20">
        <f>IF(AND(YEAR(Lut_n_1+23)=Rok,MONTH(Lut_n_1+23)=2),Lut_n_1+23, "")</f>
        <v>42424</v>
      </c>
      <c r="O10" s="20">
        <f>IF(AND(YEAR(Lut_n_1+24)=Rok,MONTH(Lut_n_1+24)=2),Lut_n_1+24, "")</f>
        <v>42425</v>
      </c>
      <c r="P10" s="20">
        <f>IF(AND(YEAR(Lut_n_1+25)=Rok,MONTH(Lut_n_1+25)=2),Lut_n_1+25, "")</f>
        <v>42426</v>
      </c>
      <c r="Q10" s="20">
        <f>IF(AND(YEAR(Lut_n_1+26)=Rok,MONTH(Lut_n_1+26)=2),Lut_n_1+26, "")</f>
        <v>42427</v>
      </c>
      <c r="R10" s="20">
        <f>IF(AND(YEAR(Lut_n_1+27)=Rok,MONTH(Lut_n_1+27)=2),Lut_n_1+27, "")</f>
        <v>42428</v>
      </c>
      <c r="S10" s="7"/>
      <c r="T10" s="20">
        <f>IF(AND(YEAR(Mar_n_1+21)=Rok,MONTH(Mar_n_1+21)=3),Mar_n_1+21, "")</f>
        <v>42450</v>
      </c>
      <c r="U10" s="20">
        <f>IF(AND(YEAR(Mar_n_1+22)=Rok,MONTH(Mar_n_1+22)=3),Mar_n_1+22, "")</f>
        <v>42451</v>
      </c>
      <c r="V10" s="20">
        <f>IF(AND(YEAR(Mar_n_1+23)=Rok,MONTH(Mar_n_1+23)=3),Mar_n_1+23, "")</f>
        <v>42452</v>
      </c>
      <c r="W10" s="20">
        <f>IF(AND(YEAR(Mar_n_1+24)=Rok,MONTH(Mar_n_1+24)=3),Mar_n_1+24, "")</f>
        <v>42453</v>
      </c>
      <c r="X10" s="20">
        <f>IF(AND(YEAR(Mar_n_1+25)=Rok,MONTH(Mar_n_1+25)=3),Mar_n_1+25, "")</f>
        <v>42454</v>
      </c>
      <c r="Y10" s="20">
        <f>IF(AND(YEAR(Mar_n_1+26)=Rok,MONTH(Mar_n_1+26)=3),Mar_n_1+26, "")</f>
        <v>42455</v>
      </c>
      <c r="Z10" s="20">
        <f>IF(AND(YEAR(Mar_n_1+27)=Rok,MONTH(Mar_n_1+27)=3),Mar_n_1+27, "")</f>
        <v>42456</v>
      </c>
      <c r="AA10" s="7"/>
      <c r="AB10" s="20">
        <f>IF(AND(YEAR(Kwi_n_1+21)=Rok,MONTH(Kwi_n_1+21)=4),Kwi_n_1+21, "")</f>
        <v>42478</v>
      </c>
      <c r="AC10" s="20">
        <f>IF(AND(YEAR(Kwi_n_1+22)=Rok,MONTH(Kwi_n_1+22)=4),Kwi_n_1+22, "")</f>
        <v>42479</v>
      </c>
      <c r="AD10" s="20">
        <f>IF(AND(YEAR(Kwi_n_1+23)=Rok,MONTH(Kwi_n_1+23)=4),Kwi_n_1+23, "")</f>
        <v>42480</v>
      </c>
      <c r="AE10" s="20">
        <f>IF(AND(YEAR(Kwi_n_1+24)=Rok,MONTH(Kwi_n_1+24)=4),Kwi_n_1+24, "")</f>
        <v>42481</v>
      </c>
      <c r="AF10" s="20">
        <f>IF(AND(YEAR(Kwi_n_1+25)=Rok,MONTH(Kwi_n_1+25)=4),Kwi_n_1+25, "")</f>
        <v>42482</v>
      </c>
      <c r="AG10" s="20">
        <f>IF(AND(YEAR(Kwi_n_1+26)=Rok,MONTH(Kwi_n_1+26)=4),Kwi_n_1+26, "")</f>
        <v>42483</v>
      </c>
      <c r="AH10" s="20">
        <f>IF(AND(YEAR(Kwi_n_1+27)=Rok,MONTH(Kwi_n_1+27)=4),Kwi_n_1+27, "")</f>
        <v>42484</v>
      </c>
    </row>
    <row r="11" spans="2:74" ht="12.95" customHeight="1" x14ac:dyDescent="0.25">
      <c r="D11" s="20">
        <f>IF(AND(YEAR(Sty_n_1+28)=Rok,MONTH(Sty_n_1+28)=1),Sty_n_1+28, "")</f>
        <v>42394</v>
      </c>
      <c r="E11" s="20">
        <f>IF(AND(YEAR(Sty_n_1+29)=Rok,MONTH(Sty_n_1+29)=1),Sty_n_1+29, "")</f>
        <v>42395</v>
      </c>
      <c r="F11" s="20">
        <f>IF(AND(YEAR(Sty_n_1+30)=Rok,MONTH(Sty_n_1+30)=1),Sty_n_1+30, "")</f>
        <v>42396</v>
      </c>
      <c r="G11" s="20">
        <f>IF(AND(YEAR(Sty_n_1+31)=Rok,MONTH(Sty_n_1+31)=1),Sty_n_1+31, "")</f>
        <v>42397</v>
      </c>
      <c r="H11" s="20">
        <f>IF(AND(YEAR(Sty_n_1+32)=Rok,MONTH(Sty_n_1+32)=1),Sty_n_1+32, "")</f>
        <v>42398</v>
      </c>
      <c r="I11" s="20">
        <f>IF(AND(YEAR(Sty_n_1+33)=Rok,MONTH(Sty_n_1+33)=1),Sty_n_1+33, "")</f>
        <v>42399</v>
      </c>
      <c r="J11" s="20">
        <f>IF(AND(YEAR(Sty_n_1+34)=Rok,MONTH(Sty_n_1+34)=1),Sty_n_1+34, "")</f>
        <v>42400</v>
      </c>
      <c r="K11" s="7"/>
      <c r="L11" s="20">
        <f>IF(AND(YEAR(Lut_n_1+28)=Rok,MONTH(Lut_n_1+28)=2),Lut_n_1+28, "")</f>
        <v>42429</v>
      </c>
      <c r="M11" s="20" t="str">
        <f>IF(AND(YEAR(Lut_n_1+29)=Rok,MONTH(Lut_n_1+29)=2),Lut_n_1+29, "")</f>
        <v/>
      </c>
      <c r="N11" s="20" t="str">
        <f>IF(AND(YEAR(Lut_n_1+30)=Rok,MONTH(Lut_n_1+30)=2),Lut_n_1+30, "")</f>
        <v/>
      </c>
      <c r="O11" s="20" t="str">
        <f>IF(AND(YEAR(Lut_n_1+31)=Rok,MONTH(Lut_n_1+31)=2),Lut_n_1+31, "")</f>
        <v/>
      </c>
      <c r="P11" s="20" t="str">
        <f>IF(AND(YEAR(Lut_n_1+32)=Rok,MONTH(Lut_n_1+32)=2),Lut_n_1+32, "")</f>
        <v/>
      </c>
      <c r="Q11" s="20" t="str">
        <f>IF(AND(YEAR(Lut_n_1+33)=Rok,MONTH(Lut_n_1+33)=2),Lut_n_1+33, "")</f>
        <v/>
      </c>
      <c r="R11" s="20" t="str">
        <f>IF(AND(YEAR(Lut_n_1+34)=Rok,MONTH(Lut_n_1+34)=2),Lut_n_1+34, "")</f>
        <v/>
      </c>
      <c r="S11" s="7"/>
      <c r="T11" s="20">
        <f>IF(AND(YEAR(Mar_n_1+28)=Rok,MONTH(Mar_n_1+28)=3),Mar_n_1+28, "")</f>
        <v>42457</v>
      </c>
      <c r="U11" s="20">
        <f>IF(AND(YEAR(Mar_n_1+29)=Rok,MONTH(Mar_n_1+29)=3),Mar_n_1+29, "")</f>
        <v>42458</v>
      </c>
      <c r="V11" s="20">
        <f>IF(AND(YEAR(Mar_n_1+30)=Rok,MONTH(Mar_n_1+30)=3),Mar_n_1+30, "")</f>
        <v>42459</v>
      </c>
      <c r="W11" s="20">
        <f>IF(AND(YEAR(Mar_n_1+31)=Rok,MONTH(Mar_n_1+31)=3),Mar_n_1+31, "")</f>
        <v>42460</v>
      </c>
      <c r="X11" s="20" t="str">
        <f>IF(AND(YEAR(Mar_n_1+32)=Rok,MONTH(Mar_n_1+32)=3),Mar_n_1+32, "")</f>
        <v/>
      </c>
      <c r="Y11" s="20" t="str">
        <f>IF(AND(YEAR(Mar_n_1+33)=Rok,MONTH(Mar_n_1+33)=3),Mar_n_1+33, "")</f>
        <v/>
      </c>
      <c r="Z11" s="20" t="str">
        <f>IF(AND(YEAR(Mar_n_1+34)=Rok,MONTH(Mar_n_1+34)=3),Mar_n_1+34, "")</f>
        <v/>
      </c>
      <c r="AA11" s="7"/>
      <c r="AB11" s="20">
        <f>IF(AND(YEAR(Kwi_n_1+28)=Rok,MONTH(Kwi_n_1+28)=4),Kwi_n_1+28, "")</f>
        <v>42485</v>
      </c>
      <c r="AC11" s="20">
        <f>IF(AND(YEAR(Kwi_n_1+29)=Rok,MONTH(Kwi_n_1+29)=4),Kwi_n_1+29, "")</f>
        <v>42486</v>
      </c>
      <c r="AD11" s="20">
        <f>IF(AND(YEAR(Kwi_n_1+30)=Rok,MONTH(Kwi_n_1+30)=4),Kwi_n_1+30, "")</f>
        <v>42487</v>
      </c>
      <c r="AE11" s="20">
        <f>IF(AND(YEAR(Kwi_n_1+31)=Rok,MONTH(Kwi_n_1+31)=4),Kwi_n_1+31, "")</f>
        <v>42488</v>
      </c>
      <c r="AF11" s="20">
        <f>IF(AND(YEAR(Kwi_n_1+32)=Rok,MONTH(Kwi_n_1+32)=4),Kwi_n_1+32, "")</f>
        <v>42489</v>
      </c>
      <c r="AG11" s="20">
        <f>IF(AND(YEAR(Kwi_n_1+33)=Rok,MONTH(Kwi_n_1+33)=4),Kwi_n_1+33, "")</f>
        <v>42490</v>
      </c>
      <c r="AH11" s="20" t="str">
        <f>IF(AND(YEAR(Kwi_n_1+34)=Rok,MONTH(Kwi_n_1+34)=4),Kwi_n_1+34, "")</f>
        <v/>
      </c>
      <c r="AM11" s="15"/>
    </row>
    <row r="12" spans="2:74" ht="12.95" customHeight="1" x14ac:dyDescent="0.25">
      <c r="D12" s="20" t="str">
        <f>IF(AND(YEAR(Sty_n_1+35)=Rok,MONTH(Sty_n_1+35)=1),Sty_n_1+35, "")</f>
        <v/>
      </c>
      <c r="E12" s="20" t="str">
        <f>IF(AND(YEAR(Sty_n_1+36)=Rok,MONTH(Sty_n_1+36)=1),Sty_n_1+36, "")</f>
        <v/>
      </c>
      <c r="F12" s="20" t="str">
        <f>IF(AND(YEAR(Sty_n_1+37)=Rok,MONTH(Sty_n_1+37)=1),Sty_n_1+37, "")</f>
        <v/>
      </c>
      <c r="G12" s="20" t="str">
        <f>IF(AND(YEAR(Sty_n_1+38)=Rok,MONTH(Sty_n_1+38)=1),Sty_n_1+38, "")</f>
        <v/>
      </c>
      <c r="H12" s="20" t="str">
        <f>IF(AND(YEAR(Sty_n_1+39)=Rok,MONTH(Sty_n_1+39)=1),Sty_n_1+39, "")</f>
        <v/>
      </c>
      <c r="I12" s="20" t="str">
        <f>IF(AND(YEAR(Sty_n_1+40)=Rok,MONTH(Sty_n_1+40)=1),Sty_n_1+40, "")</f>
        <v/>
      </c>
      <c r="J12" s="20" t="str">
        <f>IF(AND(YEAR(Sty_n_1+41)=Rok,MONTH(Sty_n_1+41)=1),Sty_n_1+41, "")</f>
        <v/>
      </c>
      <c r="K12" s="7"/>
      <c r="L12" s="20" t="str">
        <f>IF(AND(YEAR(Lut_n_1+35)=Rok,MONTH(Lut_n_1+35)=2),Lut_n_1+35, "")</f>
        <v/>
      </c>
      <c r="M12" s="20" t="str">
        <f>IF(AND(YEAR(Lut_n_1+36)=Rok,MONTH(Lut_n_1+36)=2),Lut_n_1+36, "")</f>
        <v/>
      </c>
      <c r="N12" s="20" t="str">
        <f>IF(AND(YEAR(Lut_n_1+37)=Rok,MONTH(Lut_n_1+37)=2),Lut_n_1+37, "")</f>
        <v/>
      </c>
      <c r="O12" s="20" t="str">
        <f>IF(AND(YEAR(Lut_n_1+38)=Rok,MONTH(Lut_n_1+38)=2),Lut_n_1+38, "")</f>
        <v/>
      </c>
      <c r="P12" s="20" t="str">
        <f>IF(AND(YEAR(Lut_n_1+39)=Rok,MONTH(Lut_n_1+39)=2),Lut_n_1+39, "")</f>
        <v/>
      </c>
      <c r="Q12" s="20" t="str">
        <f>IF(AND(YEAR(Lut_n_1+40)=Rok,MONTH(Lut_n_1+40)=2),Lut_n_1+40, "")</f>
        <v/>
      </c>
      <c r="R12" s="20" t="str">
        <f>IF(AND(YEAR(Lut_n_1+41)=Rok,MONTH(Lut_n_1+41)=2),Lut_n_1+41, "")</f>
        <v/>
      </c>
      <c r="S12" s="7"/>
      <c r="T12" s="20" t="str">
        <f>IF(AND(YEAR(Mar_n_1+35)=Rok,MONTH(Mar_n_1+35)=3),Mar_n_1+35, "")</f>
        <v/>
      </c>
      <c r="U12" s="20" t="str">
        <f>IF(AND(YEAR(Mar_n_1+36)=Rok,MONTH(Mar_n_1+36)=3),Mar_n_1+36, "")</f>
        <v/>
      </c>
      <c r="V12" s="20" t="str">
        <f>IF(AND(YEAR(Mar_n_1+37)=Rok,MONTH(Mar_n_1+37)=3),Mar_n_1+37, "")</f>
        <v/>
      </c>
      <c r="W12" s="20" t="str">
        <f>IF(AND(YEAR(Mar_n_1+38)=Rok,MONTH(Mar_n_1+38)=3),Mar_n_1+38, "")</f>
        <v/>
      </c>
      <c r="X12" s="20" t="str">
        <f>IF(AND(YEAR(Mar_n_1+39)=Rok,MONTH(Mar_n_1+39)=3),Mar_n_1+39, "")</f>
        <v/>
      </c>
      <c r="Y12" s="20" t="str">
        <f>IF(AND(YEAR(Mar_n_1+40)=Rok,MONTH(Mar_n_1+40)=3),Mar_n_1+40, "")</f>
        <v/>
      </c>
      <c r="Z12" s="20" t="str">
        <f>IF(AND(YEAR(Mar_n_1+41)=Rok,MONTH(Mar_n_1+41)=3),Mar_n_1+41, "")</f>
        <v/>
      </c>
      <c r="AA12" s="7"/>
      <c r="AB12" s="20" t="str">
        <f>IF(AND(YEAR(Kwi_n_1+35)=Rok,MONTH(Kwi_n_1+35)=4),Kwi_n_1+35, "")</f>
        <v/>
      </c>
      <c r="AC12" s="20" t="str">
        <f>IF(AND(YEAR(Kwi_n_1+36)=Rok,MONTH(Kwi_n_1+36)=4),Kwi_n_1+36, "")</f>
        <v/>
      </c>
      <c r="AD12" s="20" t="str">
        <f>IF(AND(YEAR(Kwi_n_1+37)=Rok,MONTH(Kwi_n_1+37)=4),Kwi_n_1+37, "")</f>
        <v/>
      </c>
      <c r="AE12" s="20" t="str">
        <f>IF(AND(YEAR(Kwi_n_1+38)=Rok,MONTH(Kwi_n_1+38)=4),Kwi_n_1+38, "")</f>
        <v/>
      </c>
      <c r="AF12" s="20" t="str">
        <f>IF(AND(YEAR(Kwi_n_1+39)=Rok,MONTH(Kwi_n_1+39)=4),Kwi_n_1+39, "")</f>
        <v/>
      </c>
      <c r="AG12" s="20" t="str">
        <f>IF(AND(YEAR(Kwi_n_1+40)=Rok,MONTH(Kwi_n_1+40)=4),Kwi_n_1+40, "")</f>
        <v/>
      </c>
      <c r="AH12" s="20" t="str">
        <f>IF(AND(YEAR(Kwi_n_1+41)=Rok,MONTH(Kwi_n_1+41)=4),Kwi_n_1+41, "")</f>
        <v/>
      </c>
    </row>
    <row r="13" spans="2:74" ht="9.9499999999999993" customHeight="1" x14ac:dyDescent="0.25">
      <c r="C13" s="7"/>
      <c r="D13" s="9"/>
      <c r="E13" s="9"/>
      <c r="F13" s="9"/>
      <c r="G13" s="9"/>
      <c r="H13" s="9"/>
      <c r="I13" s="9"/>
      <c r="J13" s="9"/>
      <c r="K13" s="7"/>
      <c r="L13" s="9"/>
      <c r="M13" s="9"/>
      <c r="N13" s="9"/>
      <c r="O13" s="9"/>
      <c r="P13" s="9"/>
      <c r="Q13" s="9"/>
      <c r="R13" s="9"/>
      <c r="S13" s="7"/>
      <c r="T13" s="10"/>
      <c r="U13" s="10"/>
      <c r="V13" s="10"/>
      <c r="W13" s="10"/>
      <c r="X13" s="10"/>
      <c r="Y13" s="10"/>
      <c r="Z13" s="10"/>
      <c r="AA13" s="7"/>
      <c r="AB13" s="9"/>
      <c r="AC13" s="9"/>
      <c r="AD13" s="9"/>
      <c r="AE13" s="9"/>
      <c r="AF13" s="9"/>
      <c r="AG13" s="9"/>
      <c r="AH13" s="9"/>
      <c r="AI13" s="7"/>
    </row>
    <row r="14" spans="2:74" s="3" customFormat="1" ht="24" customHeight="1" x14ac:dyDescent="0.35">
      <c r="D14" s="22" t="s">
        <v>1</v>
      </c>
      <c r="E14" s="22"/>
      <c r="F14" s="22"/>
      <c r="G14" s="22"/>
      <c r="H14" s="22"/>
      <c r="I14" s="22"/>
      <c r="J14" s="22"/>
      <c r="K14" s="4"/>
      <c r="L14" s="22" t="s">
        <v>5</v>
      </c>
      <c r="M14" s="22"/>
      <c r="N14" s="22"/>
      <c r="O14" s="22"/>
      <c r="P14" s="22"/>
      <c r="Q14" s="22"/>
      <c r="R14" s="22"/>
      <c r="S14" s="4"/>
      <c r="T14" s="22" t="s">
        <v>8</v>
      </c>
      <c r="U14" s="22"/>
      <c r="V14" s="22"/>
      <c r="W14" s="22"/>
      <c r="X14" s="22"/>
      <c r="Y14" s="22"/>
      <c r="Z14" s="22"/>
      <c r="AA14" s="4"/>
      <c r="AB14" s="22" t="s">
        <v>11</v>
      </c>
      <c r="AC14" s="22"/>
      <c r="AD14" s="22"/>
      <c r="AE14" s="22"/>
      <c r="AF14" s="22"/>
      <c r="AG14" s="22"/>
      <c r="AH14" s="22"/>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2:74" ht="12.95" customHeight="1" x14ac:dyDescent="0.25">
      <c r="C15" s="5"/>
      <c r="D15" s="6" t="s">
        <v>13</v>
      </c>
      <c r="E15" s="6" t="s">
        <v>14</v>
      </c>
      <c r="F15" s="6" t="s">
        <v>15</v>
      </c>
      <c r="G15" s="6" t="s">
        <v>16</v>
      </c>
      <c r="H15" s="6" t="s">
        <v>17</v>
      </c>
      <c r="I15" s="6" t="s">
        <v>18</v>
      </c>
      <c r="J15" s="1" t="s">
        <v>3</v>
      </c>
      <c r="K15" s="7"/>
      <c r="L15" s="6" t="s">
        <v>13</v>
      </c>
      <c r="M15" s="6" t="s">
        <v>14</v>
      </c>
      <c r="N15" s="6" t="s">
        <v>15</v>
      </c>
      <c r="O15" s="6" t="s">
        <v>16</v>
      </c>
      <c r="P15" s="6" t="s">
        <v>17</v>
      </c>
      <c r="Q15" s="6" t="s">
        <v>18</v>
      </c>
      <c r="R15" s="1" t="s">
        <v>3</v>
      </c>
      <c r="S15" s="7"/>
      <c r="T15" s="6" t="s">
        <v>13</v>
      </c>
      <c r="U15" s="6" t="s">
        <v>14</v>
      </c>
      <c r="V15" s="6" t="s">
        <v>15</v>
      </c>
      <c r="W15" s="6" t="s">
        <v>16</v>
      </c>
      <c r="X15" s="6" t="s">
        <v>17</v>
      </c>
      <c r="Y15" s="6" t="s">
        <v>18</v>
      </c>
      <c r="Z15" s="1" t="s">
        <v>3</v>
      </c>
      <c r="AA15" s="7"/>
      <c r="AB15" s="6" t="s">
        <v>13</v>
      </c>
      <c r="AC15" s="6" t="s">
        <v>14</v>
      </c>
      <c r="AD15" s="6" t="s">
        <v>15</v>
      </c>
      <c r="AE15" s="6" t="s">
        <v>16</v>
      </c>
      <c r="AF15" s="6" t="s">
        <v>17</v>
      </c>
      <c r="AG15" s="6" t="s">
        <v>18</v>
      </c>
      <c r="AH15" s="1" t="s">
        <v>3</v>
      </c>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row>
    <row r="16" spans="2:74" ht="12.95" customHeight="1" x14ac:dyDescent="0.25">
      <c r="D16" s="20" t="str">
        <f>IF(AND(YEAR(Maj_n_1)=Rok,MONTH(Maj_n_1)=5),Maj_n_1, "")</f>
        <v/>
      </c>
      <c r="E16" s="20" t="str">
        <f>IF(AND(YEAR(Maj_n_1+1)=Rok,MONTH(Maj_n_1+1)=5),Maj_n_1+1, "")</f>
        <v/>
      </c>
      <c r="F16" s="20" t="str">
        <f>IF(AND(YEAR(Maj_n_1+2)=Rok,MONTH(Maj_n_1+2)=5),Maj_n_1+2, "")</f>
        <v/>
      </c>
      <c r="G16" s="20" t="str">
        <f>IF(AND(YEAR(Maj_n_1+3)=Rok,MONTH(Maj_n_1+3)=5),Maj_n_1+3, "")</f>
        <v/>
      </c>
      <c r="H16" s="20" t="str">
        <f>IF(AND(YEAR(Maj_n_1+4)=Rok,MONTH(Maj_n_1+4)=5),Maj_n_1+4, "")</f>
        <v/>
      </c>
      <c r="I16" s="20" t="str">
        <f>IF(AND(YEAR(Maj_n_1+5)=Rok,MONTH(Maj_n_1+5)=5),Maj_n_1+5, "")</f>
        <v/>
      </c>
      <c r="J16" s="20">
        <f>IF(AND(YEAR(Maj_n_1+6)=Rok,MONTH(Maj_n_1+6)=5),Maj_n_1+6, "")</f>
        <v>42491</v>
      </c>
      <c r="K16" s="7"/>
      <c r="L16" s="20" t="str">
        <f>IF(AND(YEAR(Lip_n_1)=Rok,MONTH(Lip_n_1)=6),Lip_n_1, "")</f>
        <v/>
      </c>
      <c r="M16" s="20" t="str">
        <f>IF(AND(YEAR(Lip_n_1+1)=Rok,MONTH(Lip_n_1+1)=6),Lip_n_1+1, "")</f>
        <v/>
      </c>
      <c r="N16" s="20">
        <f>IF(AND(YEAR(Lip_n_1+2)=Rok,MONTH(Lip_n_1+2)=6),Lip_n_1+2, "")</f>
        <v>42522</v>
      </c>
      <c r="O16" s="20">
        <f>IF(AND(YEAR(Lip_n_1+3)=Rok,MONTH(Lip_n_1+3)=6),Lip_n_1+3, "")</f>
        <v>42523</v>
      </c>
      <c r="P16" s="20">
        <f>IF(AND(YEAR(Lip_n_1+4)=Rok,MONTH(Lip_n_1+4)=6),Lip_n_1+4, "")</f>
        <v>42524</v>
      </c>
      <c r="Q16" s="20">
        <f>IF(AND(YEAR(Lip_n_1+5)=Rok,MONTH(Lip_n_1+5)=6),Lip_n_1+5, "")</f>
        <v>42525</v>
      </c>
      <c r="R16" s="20">
        <f>IF(AND(YEAR(Lip_n_1+6)=Rok,MONTH(Lip_n_1+6)=6),Lip_n_1+6, "")</f>
        <v>42526</v>
      </c>
      <c r="S16" s="7"/>
      <c r="T16" s="8" t="str">
        <f>IF(AND(YEAR(Cze_n_1)=Rok,MONTH(Cze_n_1)=7),Cze_n_1, "")</f>
        <v/>
      </c>
      <c r="U16" s="8" t="str">
        <f>IF(AND(YEAR(Cze_n_1+1)=Rok,MONTH(Cze_n_1+1)=7),Cze_n_1+1, "")</f>
        <v/>
      </c>
      <c r="V16" s="8" t="str">
        <f>IF(AND(YEAR(Cze_n_1+2)=Rok,MONTH(Cze_n_1+2)=7),Cze_n_1+2, "")</f>
        <v/>
      </c>
      <c r="W16" s="8" t="str">
        <f>IF(AND(YEAR(Cze_n_1+3)=Rok,MONTH(Cze_n_1+3)=7),Cze_n_1+3, "")</f>
        <v/>
      </c>
      <c r="X16" s="8">
        <f>IF(AND(YEAR(Cze_n_1+4)=Rok,MONTH(Cze_n_1+4)=7),Cze_n_1+4, "")</f>
        <v>42552</v>
      </c>
      <c r="Y16" s="8">
        <f>IF(AND(YEAR(Cze_n_1+5)=Rok,MONTH(Cze_n_1+5)=7),Cze_n_1+5, "")</f>
        <v>42553</v>
      </c>
      <c r="Z16" s="8">
        <f>IF(AND(YEAR(Cze_n_1+6)=Rok,MONTH(Cze_n_1+6)=7),Cze_n_1+6, "")</f>
        <v>42554</v>
      </c>
      <c r="AA16" s="7"/>
      <c r="AB16" s="8">
        <f>IF(AND(YEAR(Sie_n_1)=Rok,MONTH(Sie_n_1)=8),Sie_n_1, "")</f>
        <v>42583</v>
      </c>
      <c r="AC16" s="8">
        <f>IF(AND(YEAR(Sie_n_1+1)=Rok,MONTH(Sie_n_1+1)=8),Sie_n_1+1, "")</f>
        <v>42584</v>
      </c>
      <c r="AD16" s="8">
        <f>IF(AND(YEAR(Sie_n_1+2)=Rok,MONTH(Sie_n_1+2)=8),Sie_n_1+2, "")</f>
        <v>42585</v>
      </c>
      <c r="AE16" s="8">
        <f>IF(AND(YEAR(Sie_n_1+3)=Rok,MONTH(Sie_n_1+3)=8),Sie_n_1+3, "")</f>
        <v>42586</v>
      </c>
      <c r="AF16" s="8">
        <f>IF(AND(YEAR(Sie_n_1+4)=Rok,MONTH(Sie_n_1+4)=8),Sie_n_1+4, "")</f>
        <v>42587</v>
      </c>
      <c r="AG16" s="8">
        <f>IF(AND(YEAR(Sie_n_1+5)=Rok,MONTH(Sie_n_1+5)=8),Sie_n_1+5, "")</f>
        <v>42588</v>
      </c>
      <c r="AH16" s="8">
        <f>IF(AND(YEAR(Sie_n_1+6)=Rok,MONTH(Sie_n_1+6)=8),Sie_n_1+6, "")</f>
        <v>42589</v>
      </c>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row>
    <row r="17" spans="2:80" ht="12.95" customHeight="1" x14ac:dyDescent="0.25">
      <c r="D17" s="20">
        <f>IF(AND(YEAR(Maj_n_1+7)=Rok,MONTH(Maj_n_1+7)=5),Maj_n_1+7, "")</f>
        <v>42492</v>
      </c>
      <c r="E17" s="20">
        <f>IF(AND(YEAR(Maj_n_1+8)=Rok,MONTH(Maj_n_1+8)=5),Maj_n_1+8, "")</f>
        <v>42493</v>
      </c>
      <c r="F17" s="20">
        <f>IF(AND(YEAR(Maj_n_1+9)=Rok,MONTH(Maj_n_1+9)=5),Maj_n_1+9, "")</f>
        <v>42494</v>
      </c>
      <c r="G17" s="20">
        <f>IF(AND(YEAR(Maj_n_1+10)=Rok,MONTH(Maj_n_1+10)=5),Maj_n_1+10, "")</f>
        <v>42495</v>
      </c>
      <c r="H17" s="20">
        <f>IF(AND(YEAR(Maj_n_1+11)=Rok,MONTH(Maj_n_1+11)=5),Maj_n_1+11, "")</f>
        <v>42496</v>
      </c>
      <c r="I17" s="20">
        <f>IF(AND(YEAR(Maj_n_1+12)=Rok,MONTH(Maj_n_1+12)=5),Maj_n_1+12, "")</f>
        <v>42497</v>
      </c>
      <c r="J17" s="20">
        <f>IF(AND(YEAR(Maj_n_1+13)=Rok,MONTH(Maj_n_1+13)=5),Maj_n_1+13, "")</f>
        <v>42498</v>
      </c>
      <c r="K17" s="7"/>
      <c r="L17" s="20">
        <f>IF(AND(YEAR(Lip_n_1+7)=Rok,MONTH(Lip_n_1+7)=6),Lip_n_1+7, "")</f>
        <v>42527</v>
      </c>
      <c r="M17" s="20">
        <f>IF(AND(YEAR(Lip_n_1+8)=Rok,MONTH(Lip_n_1+8)=6),Lip_n_1+8, "")</f>
        <v>42528</v>
      </c>
      <c r="N17" s="20">
        <f>IF(AND(YEAR(Lip_n_1+9)=Rok,MONTH(Lip_n_1+9)=6),Lip_n_1+9, "")</f>
        <v>42529</v>
      </c>
      <c r="O17" s="20">
        <f>IF(AND(YEAR(Lip_n_1+10)=Rok,MONTH(Lip_n_1+10)=6),Lip_n_1+10, "")</f>
        <v>42530</v>
      </c>
      <c r="P17" s="20">
        <f>IF(AND(YEAR(Lip_n_1+11)=Rok,MONTH(Lip_n_1+11)=6),Lip_n_1+11, "")</f>
        <v>42531</v>
      </c>
      <c r="Q17" s="20">
        <f>IF(AND(YEAR(Lip_n_1+12)=Rok,MONTH(Lip_n_1+12)=6),Lip_n_1+12, "")</f>
        <v>42532</v>
      </c>
      <c r="R17" s="20">
        <f>IF(AND(YEAR(Lip_n_1+13)=Rok,MONTH(Lip_n_1+13)=6),Lip_n_1+13, "")</f>
        <v>42533</v>
      </c>
      <c r="S17" s="7"/>
      <c r="T17" s="8">
        <f>IF(AND(YEAR(Cze_n_1+7)=Rok,MONTH(Cze_n_1+7)=7),Cze_n_1+7, "")</f>
        <v>42555</v>
      </c>
      <c r="U17" s="8">
        <f>IF(AND(YEAR(Cze_n_1+8)=Rok,MONTH(Cze_n_1+8)=7),Cze_n_1+8, "")</f>
        <v>42556</v>
      </c>
      <c r="V17" s="8">
        <f>IF(AND(YEAR(Cze_n_1+9)=Rok,MONTH(Cze_n_1+9)=7),Cze_n_1+9, "")</f>
        <v>42557</v>
      </c>
      <c r="W17" s="8">
        <f>IF(AND(YEAR(Cze_n_1+10)=Rok,MONTH(Cze_n_1+10)=7),Cze_n_1+10, "")</f>
        <v>42558</v>
      </c>
      <c r="X17" s="8">
        <f>IF(AND(YEAR(Cze_n_1+11)=Rok,MONTH(Cze_n_1+11)=7),Cze_n_1+11, "")</f>
        <v>42559</v>
      </c>
      <c r="Y17" s="8">
        <f>IF(AND(YEAR(Cze_n_1+12)=Rok,MONTH(Cze_n_1+12)=7),Cze_n_1+12, "")</f>
        <v>42560</v>
      </c>
      <c r="Z17" s="8">
        <f>IF(AND(YEAR(Cze_n_1+13)=Rok,MONTH(Cze_n_1+13)=7),Cze_n_1+13, "")</f>
        <v>42561</v>
      </c>
      <c r="AA17" s="7"/>
      <c r="AB17" s="8">
        <f>IF(AND(YEAR(Sie_n_1+7)=Rok,MONTH(Sie_n_1+7)=8),Sie_n_1+7, "")</f>
        <v>42590</v>
      </c>
      <c r="AC17" s="8">
        <f>IF(AND(YEAR(Sie_n_1+8)=Rok,MONTH(Sie_n_1+8)=8),Sie_n_1+8, "")</f>
        <v>42591</v>
      </c>
      <c r="AD17" s="8">
        <f>IF(AND(YEAR(Sie_n_1+9)=Rok,MONTH(Sie_n_1+9)=8),Sie_n_1+9, "")</f>
        <v>42592</v>
      </c>
      <c r="AE17" s="8">
        <f>IF(AND(YEAR(Sie_n_1+10)=Rok,MONTH(Sie_n_1+10)=8),Sie_n_1+10, "")</f>
        <v>42593</v>
      </c>
      <c r="AF17" s="8">
        <f>IF(AND(YEAR(Sie_n_1+11)=Rok,MONTH(Sie_n_1+11)=8),Sie_n_1+11, "")</f>
        <v>42594</v>
      </c>
      <c r="AG17" s="8">
        <f>IF(AND(YEAR(Sie_n_1+12)=Rok,MONTH(Sie_n_1+12)=8),Sie_n_1+12, "")</f>
        <v>42595</v>
      </c>
      <c r="AH17" s="8">
        <f>IF(AND(YEAR(Sie_n_1+13)=Rok,MONTH(Sie_n_1+13)=8),Sie_n_1+13, "")</f>
        <v>42596</v>
      </c>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row>
    <row r="18" spans="2:80" ht="12.95" customHeight="1" x14ac:dyDescent="0.25">
      <c r="D18" s="20">
        <f>IF(AND(YEAR(Maj_n_1+14)=Rok,MONTH(Maj_n_1+14)=5),Maj_n_1+14, "")</f>
        <v>42499</v>
      </c>
      <c r="E18" s="20">
        <f>IF(AND(YEAR(Maj_n_1+15)=Rok,MONTH(Maj_n_1+15)=5),Maj_n_1+15, "")</f>
        <v>42500</v>
      </c>
      <c r="F18" s="20">
        <f>IF(AND(YEAR(Maj_n_1+16)=Rok,MONTH(Maj_n_1+16)=5),Maj_n_1+16, "")</f>
        <v>42501</v>
      </c>
      <c r="G18" s="20">
        <f>IF(AND(YEAR(Maj_n_1+17)=Rok,MONTH(Maj_n_1+17)=5),Maj_n_1+17, "")</f>
        <v>42502</v>
      </c>
      <c r="H18" s="20">
        <f>IF(AND(YEAR(Maj_n_1+18)=Rok,MONTH(Maj_n_1+18)=5),Maj_n_1+18, "")</f>
        <v>42503</v>
      </c>
      <c r="I18" s="20">
        <f>IF(AND(YEAR(Maj_n_1+19)=Rok,MONTH(Maj_n_1+19)=5),Maj_n_1+19, "")</f>
        <v>42504</v>
      </c>
      <c r="J18" s="20">
        <f>IF(AND(YEAR(Maj_n_1+20)=Rok,MONTH(Maj_n_1+20)=5),Maj_n_1+20, "")</f>
        <v>42505</v>
      </c>
      <c r="K18" s="7"/>
      <c r="L18" s="20">
        <f>IF(AND(YEAR(Lip_n_1+14)=Rok,MONTH(Lip_n_1+14)=6),Lip_n_1+14, "")</f>
        <v>42534</v>
      </c>
      <c r="M18" s="20">
        <f>IF(AND(YEAR(Lip_n_1+15)=Rok,MONTH(Lip_n_1+15)=6),Lip_n_1+15, "")</f>
        <v>42535</v>
      </c>
      <c r="N18" s="20">
        <f>IF(AND(YEAR(Lip_n_1+16)=Rok,MONTH(Lip_n_1+16)=6),Lip_n_1+16, "")</f>
        <v>42536</v>
      </c>
      <c r="O18" s="20">
        <f>IF(AND(YEAR(Lip_n_1+17)=Rok,MONTH(Lip_n_1+17)=6),Lip_n_1+17, "")</f>
        <v>42537</v>
      </c>
      <c r="P18" s="20">
        <f>IF(AND(YEAR(Lip_n_1+18)=Rok,MONTH(Lip_n_1+18)=6),Lip_n_1+18, "")</f>
        <v>42538</v>
      </c>
      <c r="Q18" s="20">
        <f>IF(AND(YEAR(Lip_n_1+19)=Rok,MONTH(Lip_n_1+19)=6),Lip_n_1+19, "")</f>
        <v>42539</v>
      </c>
      <c r="R18" s="20">
        <f>IF(AND(YEAR(Lip_n_1+20)=Rok,MONTH(Lip_n_1+20)=6),Lip_n_1+20, "")</f>
        <v>42540</v>
      </c>
      <c r="S18" s="7"/>
      <c r="T18" s="8">
        <f>IF(AND(YEAR(Cze_n_1+14)=Rok,MONTH(Cze_n_1+14)=7),Cze_n_1+14, "")</f>
        <v>42562</v>
      </c>
      <c r="U18" s="8">
        <f>IF(AND(YEAR(Cze_n_1+15)=Rok,MONTH(Cze_n_1+15)=7),Cze_n_1+15, "")</f>
        <v>42563</v>
      </c>
      <c r="V18" s="8">
        <f>IF(AND(YEAR(Cze_n_1+16)=Rok,MONTH(Cze_n_1+16)=7),Cze_n_1+16, "")</f>
        <v>42564</v>
      </c>
      <c r="W18" s="8">
        <f>IF(AND(YEAR(Cze_n_1+17)=Rok,MONTH(Cze_n_1+17)=7),Cze_n_1+17, "")</f>
        <v>42565</v>
      </c>
      <c r="X18" s="8">
        <f>IF(AND(YEAR(Cze_n_1+18)=Rok,MONTH(Cze_n_1+18)=7),Cze_n_1+18, "")</f>
        <v>42566</v>
      </c>
      <c r="Y18" s="8">
        <f>IF(AND(YEAR(Cze_n_1+19)=Rok,MONTH(Cze_n_1+19)=7),Cze_n_1+19, "")</f>
        <v>42567</v>
      </c>
      <c r="Z18" s="8">
        <f>IF(AND(YEAR(Cze_n_1+20)=Rok,MONTH(Cze_n_1+20)=7),Cze_n_1+20, "")</f>
        <v>42568</v>
      </c>
      <c r="AA18" s="7"/>
      <c r="AB18" s="8">
        <f>IF(AND(YEAR(Sie_n_1+14)=Rok,MONTH(Sie_n_1+14)=8),Sie_n_1+14, "")</f>
        <v>42597</v>
      </c>
      <c r="AC18" s="8">
        <f>IF(AND(YEAR(Sie_n_1+15)=Rok,MONTH(Sie_n_1+15)=8),Sie_n_1+15, "")</f>
        <v>42598</v>
      </c>
      <c r="AD18" s="8">
        <f>IF(AND(YEAR(Sie_n_1+16)=Rok,MONTH(Sie_n_1+16)=8),Sie_n_1+16, "")</f>
        <v>42599</v>
      </c>
      <c r="AE18" s="8">
        <f>IF(AND(YEAR(Sie_n_1+17)=Rok,MONTH(Sie_n_1+17)=8),Sie_n_1+17, "")</f>
        <v>42600</v>
      </c>
      <c r="AF18" s="8">
        <f>IF(AND(YEAR(Sie_n_1+18)=Rok,MONTH(Sie_n_1+18)=8),Sie_n_1+18, "")</f>
        <v>42601</v>
      </c>
      <c r="AG18" s="8">
        <f>IF(AND(YEAR(Sie_n_1+19)=Rok,MONTH(Sie_n_1+19)=8),Sie_n_1+19, "")</f>
        <v>42602</v>
      </c>
      <c r="AH18" s="8">
        <f>IF(AND(YEAR(Sie_n_1+20)=Rok,MONTH(Sie_n_1+20)=8),Sie_n_1+20, "")</f>
        <v>42603</v>
      </c>
    </row>
    <row r="19" spans="2:80" ht="12.95" customHeight="1" x14ac:dyDescent="0.25">
      <c r="D19" s="20">
        <f>IF(AND(YEAR(Maj_n_1+21)=Rok,MONTH(Maj_n_1+21)=5),Maj_n_1+21, "")</f>
        <v>42506</v>
      </c>
      <c r="E19" s="20">
        <f>IF(AND(YEAR(Maj_n_1+22)=Rok,MONTH(Maj_n_1+22)=5),Maj_n_1+22, "")</f>
        <v>42507</v>
      </c>
      <c r="F19" s="20">
        <f>IF(AND(YEAR(Maj_n_1+23)=Rok,MONTH(Maj_n_1+23)=5),Maj_n_1+23, "")</f>
        <v>42508</v>
      </c>
      <c r="G19" s="20">
        <f>IF(AND(YEAR(Maj_n_1+24)=Rok,MONTH(Maj_n_1+24)=5),Maj_n_1+24, "")</f>
        <v>42509</v>
      </c>
      <c r="H19" s="20">
        <f>IF(AND(YEAR(Maj_n_1+25)=Rok,MONTH(Maj_n_1+25)=5),Maj_n_1+25, "")</f>
        <v>42510</v>
      </c>
      <c r="I19" s="20">
        <f>IF(AND(YEAR(Maj_n_1+26)=Rok,MONTH(Maj_n_1+26)=5),Maj_n_1+26, "")</f>
        <v>42511</v>
      </c>
      <c r="J19" s="20">
        <f>IF(AND(YEAR(Maj_n_1+27)=Rok,MONTH(Maj_n_1+27)=5),Maj_n_1+27, "")</f>
        <v>42512</v>
      </c>
      <c r="K19" s="7"/>
      <c r="L19" s="20">
        <f>IF(AND(YEAR(Lip_n_1+21)=Rok,MONTH(Lip_n_1+21)=6),Lip_n_1+21, "")</f>
        <v>42541</v>
      </c>
      <c r="M19" s="20">
        <f>IF(AND(YEAR(Lip_n_1+22)=Rok,MONTH(Lip_n_1+22)=6),Lip_n_1+22, "")</f>
        <v>42542</v>
      </c>
      <c r="N19" s="20">
        <f>IF(AND(YEAR(Lip_n_1+23)=Rok,MONTH(Lip_n_1+23)=6),Lip_n_1+23, "")</f>
        <v>42543</v>
      </c>
      <c r="O19" s="20">
        <f>IF(AND(YEAR(Lip_n_1+24)=Rok,MONTH(Lip_n_1+24)=6),Lip_n_1+24, "")</f>
        <v>42544</v>
      </c>
      <c r="P19" s="20">
        <f>IF(AND(YEAR(Lip_n_1+25)=Rok,MONTH(Lip_n_1+25)=6),Lip_n_1+25, "")</f>
        <v>42545</v>
      </c>
      <c r="Q19" s="20">
        <f>IF(AND(YEAR(Lip_n_1+26)=Rok,MONTH(Lip_n_1+26)=6),Lip_n_1+26, "")</f>
        <v>42546</v>
      </c>
      <c r="R19" s="20">
        <f>IF(AND(YEAR(Lip_n_1+27)=Rok,MONTH(Lip_n_1+27)=6),Lip_n_1+27, "")</f>
        <v>42547</v>
      </c>
      <c r="S19" s="7"/>
      <c r="T19" s="8">
        <f>IF(AND(YEAR(Cze_n_1+21)=Rok,MONTH(Cze_n_1+21)=7),Cze_n_1+21, "")</f>
        <v>42569</v>
      </c>
      <c r="U19" s="8">
        <f>IF(AND(YEAR(Cze_n_1+22)=Rok,MONTH(Cze_n_1+22)=7),Cze_n_1+22, "")</f>
        <v>42570</v>
      </c>
      <c r="V19" s="8">
        <f>IF(AND(YEAR(Cze_n_1+23)=Rok,MONTH(Cze_n_1+23)=7),Cze_n_1+23, "")</f>
        <v>42571</v>
      </c>
      <c r="W19" s="8">
        <f>IF(AND(YEAR(Cze_n_1+24)=Rok,MONTH(Cze_n_1+24)=7),Cze_n_1+24, "")</f>
        <v>42572</v>
      </c>
      <c r="X19" s="8">
        <f>IF(AND(YEAR(Cze_n_1+25)=Rok,MONTH(Cze_n_1+25)=7),Cze_n_1+25, "")</f>
        <v>42573</v>
      </c>
      <c r="Y19" s="8">
        <f>IF(AND(YEAR(Cze_n_1+26)=Rok,MONTH(Cze_n_1+26)=7),Cze_n_1+26, "")</f>
        <v>42574</v>
      </c>
      <c r="Z19" s="8">
        <f>IF(AND(YEAR(Cze_n_1+27)=Rok,MONTH(Cze_n_1+27)=7),Cze_n_1+27, "")</f>
        <v>42575</v>
      </c>
      <c r="AA19" s="7"/>
      <c r="AB19" s="8">
        <f>IF(AND(YEAR(Sie_n_1+21)=Rok,MONTH(Sie_n_1+21)=8),Sie_n_1+21, "")</f>
        <v>42604</v>
      </c>
      <c r="AC19" s="8">
        <f>IF(AND(YEAR(Sie_n_1+22)=Rok,MONTH(Sie_n_1+22)=8),Sie_n_1+22, "")</f>
        <v>42605</v>
      </c>
      <c r="AD19" s="8">
        <f>IF(AND(YEAR(Sie_n_1+23)=Rok,MONTH(Sie_n_1+23)=8),Sie_n_1+23, "")</f>
        <v>42606</v>
      </c>
      <c r="AE19" s="8">
        <f>IF(AND(YEAR(Sie_n_1+24)=Rok,MONTH(Sie_n_1+24)=8),Sie_n_1+24, "")</f>
        <v>42607</v>
      </c>
      <c r="AF19" s="8">
        <f>IF(AND(YEAR(Sie_n_1+25)=Rok,MONTH(Sie_n_1+25)=8),Sie_n_1+25, "")</f>
        <v>42608</v>
      </c>
      <c r="AG19" s="8">
        <f>IF(AND(YEAR(Sie_n_1+26)=Rok,MONTH(Sie_n_1+26)=8),Sie_n_1+26, "")</f>
        <v>42609</v>
      </c>
      <c r="AH19" s="8">
        <f>IF(AND(YEAR(Sie_n_1+27)=Rok,MONTH(Sie_n_1+27)=8),Sie_n_1+27, "")</f>
        <v>42610</v>
      </c>
    </row>
    <row r="20" spans="2:80" ht="12.95" customHeight="1" x14ac:dyDescent="0.25">
      <c r="D20" s="20">
        <f>IF(AND(YEAR(Maj_n_1+28)=Rok,MONTH(Maj_n_1+28)=5),Maj_n_1+28, "")</f>
        <v>42513</v>
      </c>
      <c r="E20" s="20">
        <f>IF(AND(YEAR(Maj_n_1+29)=Rok,MONTH(Maj_n_1+29)=5),Maj_n_1+29, "")</f>
        <v>42514</v>
      </c>
      <c r="F20" s="20">
        <f>IF(AND(YEAR(Maj_n_1+30)=Rok,MONTH(Maj_n_1+30)=5),Maj_n_1+30, "")</f>
        <v>42515</v>
      </c>
      <c r="G20" s="20">
        <f>IF(AND(YEAR(Maj_n_1+31)=Rok,MONTH(Maj_n_1+31)=5),Maj_n_1+31, "")</f>
        <v>42516</v>
      </c>
      <c r="H20" s="20">
        <f>IF(AND(YEAR(Maj_n_1+32)=Rok,MONTH(Maj_n_1+32)=5),Maj_n_1+32, "")</f>
        <v>42517</v>
      </c>
      <c r="I20" s="20">
        <f>IF(AND(YEAR(Maj_n_1+33)=Rok,MONTH(Maj_n_1+33)=5),Maj_n_1+33, "")</f>
        <v>42518</v>
      </c>
      <c r="J20" s="20">
        <f>IF(AND(YEAR(Maj_n_1+34)=Rok,MONTH(Maj_n_1+34)=5),Maj_n_1+34, "")</f>
        <v>42519</v>
      </c>
      <c r="K20" s="7"/>
      <c r="L20" s="20">
        <f>IF(AND(YEAR(Lip_n_1+28)=Rok,MONTH(Lip_n_1+28)=6),Lip_n_1+28, "")</f>
        <v>42548</v>
      </c>
      <c r="M20" s="20">
        <f>IF(AND(YEAR(Lip_n_1+29)=Rok,MONTH(Lip_n_1+29)=6),Lip_n_1+29, "")</f>
        <v>42549</v>
      </c>
      <c r="N20" s="20">
        <f>IF(AND(YEAR(Lip_n_1+30)=Rok,MONTH(Lip_n_1+30)=6),Lip_n_1+30, "")</f>
        <v>42550</v>
      </c>
      <c r="O20" s="20">
        <f>IF(AND(YEAR(Lip_n_1+31)=Rok,MONTH(Lip_n_1+31)=6),Lip_n_1+31, "")</f>
        <v>42551</v>
      </c>
      <c r="P20" s="20" t="str">
        <f>IF(AND(YEAR(Lip_n_1+32)=Rok,MONTH(Lip_n_1+32)=6),Lip_n_1+32, "")</f>
        <v/>
      </c>
      <c r="Q20" s="20" t="str">
        <f>IF(AND(YEAR(Lip_n_1+33)=Rok,MONTH(Lip_n_1+33)=6),Lip_n_1+33, "")</f>
        <v/>
      </c>
      <c r="R20" s="20" t="str">
        <f>IF(AND(YEAR(Lip_n_1+34)=Rok,MONTH(Lip_n_1+34)=6),Lip_n_1+34, "")</f>
        <v/>
      </c>
      <c r="S20" s="7"/>
      <c r="T20" s="8">
        <f>IF(AND(YEAR(Cze_n_1+28)=Rok,MONTH(Cze_n_1+28)=7),Cze_n_1+28, "")</f>
        <v>42576</v>
      </c>
      <c r="U20" s="8">
        <f>IF(AND(YEAR(Cze_n_1+29)=Rok,MONTH(Cze_n_1+29)=7),Cze_n_1+29, "")</f>
        <v>42577</v>
      </c>
      <c r="V20" s="8">
        <f>IF(AND(YEAR(Cze_n_1+30)=Rok,MONTH(Cze_n_1+30)=7),Cze_n_1+30, "")</f>
        <v>42578</v>
      </c>
      <c r="W20" s="8">
        <f>IF(AND(YEAR(Cze_n_1+31)=Rok,MONTH(Cze_n_1+31)=7),Cze_n_1+31, "")</f>
        <v>42579</v>
      </c>
      <c r="X20" s="8">
        <f>IF(AND(YEAR(Cze_n_1+32)=Rok,MONTH(Cze_n_1+32)=7),Cze_n_1+32, "")</f>
        <v>42580</v>
      </c>
      <c r="Y20" s="8">
        <f>IF(AND(YEAR(Cze_n_1+33)=Rok,MONTH(Cze_n_1+33)=7),Cze_n_1+33, "")</f>
        <v>42581</v>
      </c>
      <c r="Z20" s="8">
        <f>IF(AND(YEAR(Cze_n_1+34)=Rok,MONTH(Cze_n_1+34)=7),Cze_n_1+34, "")</f>
        <v>42582</v>
      </c>
      <c r="AA20" s="7"/>
      <c r="AB20" s="8">
        <f>IF(AND(YEAR(Sie_n_1+28)=Rok,MONTH(Sie_n_1+28)=8),Sie_n_1+28, "")</f>
        <v>42611</v>
      </c>
      <c r="AC20" s="8">
        <f>IF(AND(YEAR(Sie_n_1+29)=Rok,MONTH(Sie_n_1+29)=8),Sie_n_1+29, "")</f>
        <v>42612</v>
      </c>
      <c r="AD20" s="8">
        <f>IF(AND(YEAR(Sie_n_1+30)=Rok,MONTH(Sie_n_1+30)=8),Sie_n_1+30, "")</f>
        <v>42613</v>
      </c>
      <c r="AE20" s="8" t="str">
        <f>IF(AND(YEAR(Sie_n_1+31)=Rok,MONTH(Sie_n_1+31)=8),Sie_n_1+31, "")</f>
        <v/>
      </c>
      <c r="AF20" s="8" t="str">
        <f>IF(AND(YEAR(Sie_n_1+32)=Rok,MONTH(Sie_n_1+32)=8),Sie_n_1+32, "")</f>
        <v/>
      </c>
      <c r="AG20" s="8" t="str">
        <f>IF(AND(YEAR(Sie_n_1+33)=Rok,MONTH(Sie_n_1+33)=8),Sie_n_1+33, "")</f>
        <v/>
      </c>
      <c r="AH20" s="8" t="str">
        <f>IF(AND(YEAR(Sie_n_1+34)=Rok,MONTH(Sie_n_1+34)=8),Sie_n_1+34, "")</f>
        <v/>
      </c>
    </row>
    <row r="21" spans="2:80" ht="12.95" customHeight="1" x14ac:dyDescent="0.25">
      <c r="D21" s="20">
        <f>IF(AND(YEAR(Maj_n_1+35)=Rok,MONTH(Maj_n_1+35)=5),Maj_n_1+35, "")</f>
        <v>42520</v>
      </c>
      <c r="E21" s="20">
        <f>IF(AND(YEAR(Maj_n_1+36)=Rok,MONTH(Maj_n_1+36)=5),Maj_n_1+36, "")</f>
        <v>42521</v>
      </c>
      <c r="F21" s="20" t="str">
        <f>IF(AND(YEAR(Maj_n_1+37)=Rok,MONTH(Maj_n_1+37)=5),Maj_n_1+37, "")</f>
        <v/>
      </c>
      <c r="G21" s="20" t="str">
        <f>IF(AND(YEAR(Maj_n_1+38)=Rok,MONTH(Maj_n_1+38)=5),Maj_n_1+38, "")</f>
        <v/>
      </c>
      <c r="H21" s="20" t="str">
        <f>IF(AND(YEAR(Maj_n_1+39)=Rok,MONTH(Maj_n_1+39)=5),Maj_n_1+39, "")</f>
        <v/>
      </c>
      <c r="I21" s="20" t="str">
        <f>IF(AND(YEAR(Maj_n_1+40)=Rok,MONTH(Maj_n_1+40)=5),Maj_n_1+40, "")</f>
        <v/>
      </c>
      <c r="J21" s="20" t="str">
        <f>IF(AND(YEAR(Maj_n_1+41)=Rok,MONTH(Maj_n_1+41)=5),Maj_n_1+41, "")</f>
        <v/>
      </c>
      <c r="K21" s="7"/>
      <c r="L21" s="20" t="str">
        <f>IF(AND(YEAR(Lip_n_1+35)=Rok,MONTH(Lip_n_1+35)=6),Lip_n_1+35, "")</f>
        <v/>
      </c>
      <c r="M21" s="20" t="str">
        <f>IF(AND(YEAR(Lip_n_1+36)=Rok,MONTH(Lip_n_1+36)=6),Lip_n_1+36, "")</f>
        <v/>
      </c>
      <c r="N21" s="20" t="str">
        <f>IF(AND(YEAR(Lip_n_1+37)=Rok,MONTH(Lip_n_1+37)=6),Lip_n_1+37, "")</f>
        <v/>
      </c>
      <c r="O21" s="20" t="str">
        <f>IF(AND(YEAR(Lip_n_1+38)=Rok,MONTH(Lip_n_1+38)=6),Lip_n_1+38, "")</f>
        <v/>
      </c>
      <c r="P21" s="20" t="str">
        <f>IF(AND(YEAR(Lip_n_1+39)=Rok,MONTH(Lip_n_1+39)=6),Lip_n_1+39, "")</f>
        <v/>
      </c>
      <c r="Q21" s="20" t="str">
        <f>IF(AND(YEAR(Lip_n_1+40)=Rok,MONTH(Lip_n_1+40)=6),Lip_n_1+40, "")</f>
        <v/>
      </c>
      <c r="R21" s="20" t="str">
        <f>IF(AND(YEAR(Lip_n_1+41)=Rok,MONTH(Lip_n_1+41)=6),Lip_n_1+41, "")</f>
        <v/>
      </c>
      <c r="S21" s="7"/>
      <c r="T21" s="8" t="str">
        <f>IF(AND(YEAR(Cze_n_1+35)=Rok,MONTH(Cze_n_1+35)=7),Cze_n_1+35, "")</f>
        <v/>
      </c>
      <c r="U21" s="8" t="str">
        <f>IF(AND(YEAR(Cze_n_1+36)=Rok,MONTH(Cze_n_1+36)=7),Cze_n_1+36, "")</f>
        <v/>
      </c>
      <c r="V21" s="8" t="str">
        <f>IF(AND(YEAR(Cze_n_1+37)=Rok,MONTH(Cze_n_1+37)=7),Cze_n_1+37, "")</f>
        <v/>
      </c>
      <c r="W21" s="8" t="str">
        <f>IF(AND(YEAR(Cze_n_1+38)=Rok,MONTH(Cze_n_1+38)=7),Cze_n_1+38, "")</f>
        <v/>
      </c>
      <c r="X21" s="8" t="str">
        <f>IF(AND(YEAR(Cze_n_1+39)=Rok,MONTH(Cze_n_1+39)=7),Cze_n_1+39, "")</f>
        <v/>
      </c>
      <c r="Y21" s="8" t="str">
        <f>IF(AND(YEAR(Cze_n_1+40)=Rok,MONTH(Cze_n_1+40)=7),Cze_n_1+40, "")</f>
        <v/>
      </c>
      <c r="Z21" s="8" t="str">
        <f>IF(AND(YEAR(Cze_n_1+41)=Rok,MONTH(Cze_n_1+41)=7),Cze_n_1+41, "")</f>
        <v/>
      </c>
      <c r="AA21" s="7"/>
      <c r="AB21" s="8" t="str">
        <f>IF(AND(YEAR(Sie_n_1+35)=Rok,MONTH(Sie_n_1+35)=8),Sie_n_1+35, "")</f>
        <v/>
      </c>
      <c r="AC21" s="8" t="str">
        <f>IF(AND(YEAR(Sie_n_1+36)=Rok,MONTH(Sie_n_1+36)=8),Sie_n_1+36, "")</f>
        <v/>
      </c>
      <c r="AD21" s="8" t="str">
        <f>IF(AND(YEAR(Sie_n_1+37)=Rok,MONTH(Sie_n_1+37)=8),Sie_n_1+37, "")</f>
        <v/>
      </c>
      <c r="AE21" s="8" t="str">
        <f>IF(AND(YEAR(Sie_n_1+38)=Rok,MONTH(Sie_n_1+38)=8),Sie_n_1+38, "")</f>
        <v/>
      </c>
      <c r="AF21" s="8" t="str">
        <f>IF(AND(YEAR(Sie_n_1+39)=Rok,MONTH(Sie_n_1+39)=8),Sie_n_1+39, "")</f>
        <v/>
      </c>
      <c r="AG21" s="8" t="str">
        <f>IF(AND(YEAR(Sie_n_1+40)=Rok,MONTH(Sie_n_1+40)=8),Sie_n_1+40, "")</f>
        <v/>
      </c>
      <c r="AH21" s="8" t="str">
        <f>IF(AND(YEAR(Sie_n_1+41)=Rok,MONTH(Sie_n_1+41)=8),Sie_n_1+41, "")</f>
        <v/>
      </c>
    </row>
    <row r="22" spans="2:80" ht="9.9499999999999993" customHeight="1" x14ac:dyDescent="0.25">
      <c r="C22" s="7"/>
      <c r="D22" s="9"/>
      <c r="E22" s="9"/>
      <c r="F22" s="9"/>
      <c r="G22" s="9"/>
      <c r="H22" s="9"/>
      <c r="I22" s="9"/>
      <c r="J22" s="9"/>
      <c r="K22" s="7"/>
      <c r="L22" s="10"/>
      <c r="M22" s="10"/>
      <c r="N22" s="10"/>
      <c r="O22" s="10"/>
      <c r="P22" s="10"/>
      <c r="Q22" s="10"/>
      <c r="R22" s="10"/>
      <c r="S22" s="7"/>
      <c r="T22" s="9"/>
      <c r="U22" s="9"/>
      <c r="V22" s="9"/>
      <c r="W22" s="9"/>
      <c r="X22" s="9"/>
      <c r="Y22" s="9"/>
      <c r="Z22" s="9"/>
      <c r="AA22" s="7"/>
      <c r="AB22" s="9"/>
      <c r="AC22" s="9"/>
      <c r="AD22" s="9"/>
      <c r="AE22" s="9"/>
      <c r="AF22" s="9"/>
      <c r="AG22" s="9"/>
      <c r="AH22" s="9"/>
      <c r="AI22" s="7"/>
    </row>
    <row r="23" spans="2:80" s="3" customFormat="1" ht="24" customHeight="1" x14ac:dyDescent="0.35">
      <c r="D23" s="22" t="s">
        <v>2</v>
      </c>
      <c r="E23" s="22"/>
      <c r="F23" s="22"/>
      <c r="G23" s="22"/>
      <c r="H23" s="22"/>
      <c r="I23" s="22"/>
      <c r="J23" s="22"/>
      <c r="K23" s="4"/>
      <c r="L23" s="22" t="s">
        <v>6</v>
      </c>
      <c r="M23" s="22"/>
      <c r="N23" s="22"/>
      <c r="O23" s="22"/>
      <c r="P23" s="22"/>
      <c r="Q23" s="22"/>
      <c r="R23" s="22"/>
      <c r="S23" s="4"/>
      <c r="T23" s="22" t="s">
        <v>9</v>
      </c>
      <c r="U23" s="22"/>
      <c r="V23" s="22"/>
      <c r="W23" s="22"/>
      <c r="X23" s="22"/>
      <c r="Y23" s="22"/>
      <c r="Z23" s="22"/>
      <c r="AA23" s="4"/>
      <c r="AB23" s="22" t="s">
        <v>12</v>
      </c>
      <c r="AC23" s="22"/>
      <c r="AD23" s="22"/>
      <c r="AE23" s="22"/>
      <c r="AF23" s="22"/>
      <c r="AG23" s="22"/>
      <c r="AH23" s="22"/>
    </row>
    <row r="24" spans="2:80" ht="12.95" customHeight="1" x14ac:dyDescent="0.25">
      <c r="C24" s="5"/>
      <c r="D24" s="6" t="s">
        <v>13</v>
      </c>
      <c r="E24" s="6" t="s">
        <v>14</v>
      </c>
      <c r="F24" s="6" t="s">
        <v>15</v>
      </c>
      <c r="G24" s="6" t="s">
        <v>16</v>
      </c>
      <c r="H24" s="6" t="s">
        <v>17</v>
      </c>
      <c r="I24" s="6" t="s">
        <v>18</v>
      </c>
      <c r="J24" s="1" t="s">
        <v>3</v>
      </c>
      <c r="K24" s="7"/>
      <c r="L24" s="6" t="s">
        <v>13</v>
      </c>
      <c r="M24" s="6" t="s">
        <v>14</v>
      </c>
      <c r="N24" s="6" t="s">
        <v>15</v>
      </c>
      <c r="O24" s="6" t="s">
        <v>16</v>
      </c>
      <c r="P24" s="6" t="s">
        <v>17</v>
      </c>
      <c r="Q24" s="6" t="s">
        <v>18</v>
      </c>
      <c r="R24" s="1" t="s">
        <v>3</v>
      </c>
      <c r="T24" s="6" t="s">
        <v>13</v>
      </c>
      <c r="U24" s="6" t="s">
        <v>14</v>
      </c>
      <c r="V24" s="6" t="s">
        <v>15</v>
      </c>
      <c r="W24" s="6" t="s">
        <v>16</v>
      </c>
      <c r="X24" s="6" t="s">
        <v>17</v>
      </c>
      <c r="Y24" s="6" t="s">
        <v>18</v>
      </c>
      <c r="Z24" s="1" t="s">
        <v>3</v>
      </c>
      <c r="AB24" s="6" t="s">
        <v>13</v>
      </c>
      <c r="AC24" s="6" t="s">
        <v>14</v>
      </c>
      <c r="AD24" s="6" t="s">
        <v>15</v>
      </c>
      <c r="AE24" s="6" t="s">
        <v>16</v>
      </c>
      <c r="AF24" s="6" t="s">
        <v>17</v>
      </c>
      <c r="AG24" s="6" t="s">
        <v>18</v>
      </c>
      <c r="AH24" s="1" t="s">
        <v>3</v>
      </c>
    </row>
    <row r="25" spans="2:80" ht="12.95" customHeight="1" x14ac:dyDescent="0.25">
      <c r="D25" s="8" t="str">
        <f>IF(AND(YEAR(Wrz_n_1)=Rok,MONTH(Wrz_n_1)=9),Wrz_n_1, "")</f>
        <v/>
      </c>
      <c r="E25" s="8" t="str">
        <f>IF(AND(YEAR(Wrz_n_1+1)=Rok,MONTH(Wrz_n_1+1)=9),Wrz_n_1+1, "")</f>
        <v/>
      </c>
      <c r="F25" s="8" t="str">
        <f>IF(AND(YEAR(Wrz_n_1+2)=Rok,MONTH(Wrz_n_1+2)=9),Wrz_n_1+2, "")</f>
        <v/>
      </c>
      <c r="G25" s="8">
        <f>IF(AND(YEAR(Wrz_n_1+3)=Rok,MONTH(Wrz_n_1+3)=9),Wrz_n_1+3, "")</f>
        <v>42614</v>
      </c>
      <c r="H25" s="8">
        <f>IF(AND(YEAR(Wrz_n_1+4)=Rok,MONTH(Wrz_n_1+4)=9),Wrz_n_1+4, "")</f>
        <v>42615</v>
      </c>
      <c r="I25" s="8">
        <f>IF(AND(YEAR(Wrz_n_1+5)=Rok,MONTH(Wrz_n_1+5)=9),Wrz_n_1+5, "")</f>
        <v>42616</v>
      </c>
      <c r="J25" s="8">
        <f>IF(AND(YEAR(Wrz_n_1+6)=Rok,MONTH(Wrz_n_1+6)=9),Wrz_n_1+6, "")</f>
        <v>42617</v>
      </c>
      <c r="K25" s="7"/>
      <c r="L25" s="8" t="str">
        <f>IF(AND(YEAR(Paź_n_1)=Rok,MONTH(Paź_n_1)=10),Paź_n_1, "")</f>
        <v/>
      </c>
      <c r="M25" s="8" t="str">
        <f>IF(AND(YEAR(Paź_n_1+1)=Rok,MONTH(Paź_n_1+1)=10),Paź_n_1+1, "")</f>
        <v/>
      </c>
      <c r="N25" s="8" t="str">
        <f>IF(AND(YEAR(Paź_n_1+2)=Rok,MONTH(Paź_n_1+2)=10),Paź_n_1+2, "")</f>
        <v/>
      </c>
      <c r="O25" s="8" t="str">
        <f>IF(AND(YEAR(Paź_n_1+3)=Rok,MONTH(Paź_n_1+3)=10),Paź_n_1+3, "")</f>
        <v/>
      </c>
      <c r="P25" s="8" t="str">
        <f>IF(AND(YEAR(Paź_n_1+4)=Rok,MONTH(Paź_n_1+4)=10),Paź_n_1+4, "")</f>
        <v/>
      </c>
      <c r="Q25" s="8">
        <f>IF(AND(YEAR(Paź_n_1+5)=Rok,MONTH(Paź_n_1+5)=10),Paź_n_1+5, "")</f>
        <v>42644</v>
      </c>
      <c r="R25" s="8">
        <f>IF(AND(YEAR(Paź_n_1+6)=Rok,MONTH(Paź_n_1+6)=10),Paź_n_1+6, "")</f>
        <v>42645</v>
      </c>
      <c r="T25" s="8" t="str">
        <f>IF(AND(YEAR(Lis_n_1)=Rok,MONTH(Lis_n_1)=11),Lis_n_1, "")</f>
        <v/>
      </c>
      <c r="U25" s="8">
        <f>IF(AND(YEAR(Lis_n_1+1)=Rok,MONTH(Lis_n_1+1)=11),Lis_n_1+1, "")</f>
        <v>42675</v>
      </c>
      <c r="V25" s="8">
        <f>IF(AND(YEAR(Lis_n_1+2)=Rok,MONTH(Lis_n_1+2)=11),Lis_n_1+2, "")</f>
        <v>42676</v>
      </c>
      <c r="W25" s="8">
        <f>IF(AND(YEAR(Lis_n_1+3)=Rok,MONTH(Lis_n_1+3)=11),Lis_n_1+3, "")</f>
        <v>42677</v>
      </c>
      <c r="X25" s="8">
        <f>IF(AND(YEAR(Lis_n_1+4)=Rok,MONTH(Lis_n_1+4)=11),Lis_n_1+4, "")</f>
        <v>42678</v>
      </c>
      <c r="Y25" s="8">
        <f>IF(AND(YEAR(Lis_n_1+5)=Rok,MONTH(Lis_n_1+5)=11),Lis_n_1+5, "")</f>
        <v>42679</v>
      </c>
      <c r="Z25" s="8">
        <f>IF(AND(YEAR(Lis_n_1+6)=Rok,MONTH(Lis_n_1+6)=11),Lis_n_1+6, "")</f>
        <v>42680</v>
      </c>
      <c r="AB25" s="8" t="str">
        <f>IF(AND(YEAR(Gru_n_1)=Rok,MONTH(Gru_n_1)=12),Gru_n_1, "")</f>
        <v/>
      </c>
      <c r="AC25" s="8" t="str">
        <f>IF(AND(YEAR(Gru_n_1+1)=Rok,MONTH(Gru_n_1+1)=12),Gru_n_1+1, "")</f>
        <v/>
      </c>
      <c r="AD25" s="8" t="str">
        <f>IF(AND(YEAR(Gru_n_1+2)=Rok,MONTH(Gru_n_1+2)=12),Gru_n_1+2, "")</f>
        <v/>
      </c>
      <c r="AE25" s="8">
        <f>IF(AND(YEAR(Gru_n_1+3)=Rok,MONTH(Gru_n_1+3)=12),Gru_n_1+3, "")</f>
        <v>42705</v>
      </c>
      <c r="AF25" s="8">
        <f>IF(AND(YEAR(Gru_n_1+4)=Rok,MONTH(Gru_n_1+4)=12),Gru_n_1+4, "")</f>
        <v>42706</v>
      </c>
      <c r="AG25" s="8">
        <f>IF(AND(YEAR(Gru_n_1+5)=Rok,MONTH(Gru_n_1+5)=12),Gru_n_1+5, "")</f>
        <v>42707</v>
      </c>
      <c r="AH25" s="8">
        <f>IF(AND(YEAR(Gru_n_1+6)=Rok,MONTH(Gru_n_1+6)=12),Gru_n_1+6, "")</f>
        <v>42708</v>
      </c>
    </row>
    <row r="26" spans="2:80" ht="12.95" customHeight="1" x14ac:dyDescent="0.25">
      <c r="D26" s="8">
        <f>IF(AND(YEAR(Wrz_n_1+7)=Rok,MONTH(Wrz_n_1+7)=9),Wrz_n_1+7, "")</f>
        <v>42618</v>
      </c>
      <c r="E26" s="8">
        <f>IF(AND(YEAR(Wrz_n_1+8)=Rok,MONTH(Wrz_n_1+8)=9),Wrz_n_1+8, "")</f>
        <v>42619</v>
      </c>
      <c r="F26" s="8">
        <f>IF(AND(YEAR(Wrz_n_1+9)=Rok,MONTH(Wrz_n_1+9)=9),Wrz_n_1+9, "")</f>
        <v>42620</v>
      </c>
      <c r="G26" s="8">
        <f>IF(AND(YEAR(Wrz_n_1+10)=Rok,MONTH(Wrz_n_1+10)=9),Wrz_n_1+10, "")</f>
        <v>42621</v>
      </c>
      <c r="H26" s="8">
        <f>IF(AND(YEAR(Wrz_n_1+11)=Rok,MONTH(Wrz_n_1+11)=9),Wrz_n_1+11, "")</f>
        <v>42622</v>
      </c>
      <c r="I26" s="8">
        <f>IF(AND(YEAR(Wrz_n_1+12)=Rok,MONTH(Wrz_n_1+12)=9),Wrz_n_1+12, "")</f>
        <v>42623</v>
      </c>
      <c r="J26" s="8">
        <f>IF(AND(YEAR(Wrz_n_1+13)=Rok,MONTH(Wrz_n_1+13)=9),Wrz_n_1+13, "")</f>
        <v>42624</v>
      </c>
      <c r="K26" s="7"/>
      <c r="L26" s="8">
        <f>IF(AND(YEAR(Paź_n_1+7)=Rok,MONTH(Paź_n_1+7)=10),Paź_n_1+7, "")</f>
        <v>42646</v>
      </c>
      <c r="M26" s="8">
        <f>IF(AND(YEAR(Paź_n_1+8)=Rok,MONTH(Paź_n_1+8)=10),Paź_n_1+8, "")</f>
        <v>42647</v>
      </c>
      <c r="N26" s="8">
        <f>IF(AND(YEAR(Paź_n_1+9)=Rok,MONTH(Paź_n_1+9)=10),Paź_n_1+9, "")</f>
        <v>42648</v>
      </c>
      <c r="O26" s="8">
        <f>IF(AND(YEAR(Paź_n_1+10)=Rok,MONTH(Paź_n_1+10)=10),Paź_n_1+10, "")</f>
        <v>42649</v>
      </c>
      <c r="P26" s="8">
        <f>IF(AND(YEAR(Paź_n_1+11)=Rok,MONTH(Paź_n_1+11)=10),Paź_n_1+11, "")</f>
        <v>42650</v>
      </c>
      <c r="Q26" s="8">
        <f>IF(AND(YEAR(Paź_n_1+12)=Rok,MONTH(Paź_n_1+12)=10),Paź_n_1+12, "")</f>
        <v>42651</v>
      </c>
      <c r="R26" s="8">
        <f>IF(AND(YEAR(Paź_n_1+13)=Rok,MONTH(Paź_n_1+13)=10),Paź_n_1+13, "")</f>
        <v>42652</v>
      </c>
      <c r="T26" s="8">
        <f>IF(AND(YEAR(Lis_n_1+7)=Rok,MONTH(Lis_n_1+7)=11),Lis_n_1+7, "")</f>
        <v>42681</v>
      </c>
      <c r="U26" s="8">
        <f>IF(AND(YEAR(Lis_n_1+8)=Rok,MONTH(Lis_n_1+8)=11),Lis_n_1+8, "")</f>
        <v>42682</v>
      </c>
      <c r="V26" s="8">
        <f>IF(AND(YEAR(Lis_n_1+9)=Rok,MONTH(Lis_n_1+9)=11),Lis_n_1+9, "")</f>
        <v>42683</v>
      </c>
      <c r="W26" s="8">
        <f>IF(AND(YEAR(Lis_n_1+10)=Rok,MONTH(Lis_n_1+10)=11),Lis_n_1+10, "")</f>
        <v>42684</v>
      </c>
      <c r="X26" s="8">
        <f>IF(AND(YEAR(Lis_n_1+11)=Rok,MONTH(Lis_n_1+11)=11),Lis_n_1+11, "")</f>
        <v>42685</v>
      </c>
      <c r="Y26" s="8">
        <f>IF(AND(YEAR(Lis_n_1+12)=Rok,MONTH(Lis_n_1+12)=11),Lis_n_1+12, "")</f>
        <v>42686</v>
      </c>
      <c r="Z26" s="8">
        <f>IF(AND(YEAR(Lis_n_1+13)=Rok,MONTH(Lis_n_1+13)=11),Lis_n_1+13, "")</f>
        <v>42687</v>
      </c>
      <c r="AB26" s="8">
        <f>IF(AND(YEAR(Gru_n_1+7)=Rok,MONTH(Gru_n_1+7)=12),Gru_n_1+7, "")</f>
        <v>42709</v>
      </c>
      <c r="AC26" s="8">
        <f>IF(AND(YEAR(Gru_n_1+8)=Rok,MONTH(Gru_n_1+8)=12),Gru_n_1+8, "")</f>
        <v>42710</v>
      </c>
      <c r="AD26" s="8">
        <f>IF(AND(YEAR(Gru_n_1+9)=Rok,MONTH(Gru_n_1+9)=12),Gru_n_1+9, "")</f>
        <v>42711</v>
      </c>
      <c r="AE26" s="8">
        <f>IF(AND(YEAR(Gru_n_1+10)=Rok,MONTH(Gru_n_1+10)=12),Gru_n_1+10, "")</f>
        <v>42712</v>
      </c>
      <c r="AF26" s="8">
        <f>IF(AND(YEAR(Gru_n_1+11)=Rok,MONTH(Gru_n_1+11)=12),Gru_n_1+11, "")</f>
        <v>42713</v>
      </c>
      <c r="AG26" s="8">
        <f>IF(AND(YEAR(Gru_n_1+12)=Rok,MONTH(Gru_n_1+12)=12),Gru_n_1+12, "")</f>
        <v>42714</v>
      </c>
      <c r="AH26" s="8">
        <f>IF(AND(YEAR(Gru_n_1+13)=Rok,MONTH(Gru_n_1+13)=12),Gru_n_1+13, "")</f>
        <v>42715</v>
      </c>
      <c r="AV26" s="21">
        <v>2010</v>
      </c>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row>
    <row r="27" spans="2:80" ht="12.95" customHeight="1" x14ac:dyDescent="0.25">
      <c r="D27" s="8">
        <f>IF(AND(YEAR(Wrz_n_1+14)=Rok,MONTH(Wrz_n_1+14)=9),Wrz_n_1+14, "")</f>
        <v>42625</v>
      </c>
      <c r="E27" s="8">
        <f>IF(AND(YEAR(Wrz_n_1+15)=Rok,MONTH(Wrz_n_1+15)=9),Wrz_n_1+15, "")</f>
        <v>42626</v>
      </c>
      <c r="F27" s="8">
        <f>IF(AND(YEAR(Wrz_n_1+16)=Rok,MONTH(Wrz_n_1+16)=9),Wrz_n_1+16, "")</f>
        <v>42627</v>
      </c>
      <c r="G27" s="8">
        <f>IF(AND(YEAR(Wrz_n_1+17)=Rok,MONTH(Wrz_n_1+17)=9),Wrz_n_1+17, "")</f>
        <v>42628</v>
      </c>
      <c r="H27" s="8">
        <f>IF(AND(YEAR(Wrz_n_1+18)=Rok,MONTH(Wrz_n_1+18)=9),Wrz_n_1+18, "")</f>
        <v>42629</v>
      </c>
      <c r="I27" s="8">
        <f>IF(AND(YEAR(Wrz_n_1+19)=Rok,MONTH(Wrz_n_1+19)=9),Wrz_n_1+19, "")</f>
        <v>42630</v>
      </c>
      <c r="J27" s="8">
        <f>IF(AND(YEAR(Wrz_n_1+20)=Rok,MONTH(Wrz_n_1+20)=9),Wrz_n_1+20, "")</f>
        <v>42631</v>
      </c>
      <c r="K27" s="7"/>
      <c r="L27" s="8">
        <f>IF(AND(YEAR(Paź_n_1+14)=Rok,MONTH(Paź_n_1+14)=10),Paź_n_1+14, "")</f>
        <v>42653</v>
      </c>
      <c r="M27" s="8">
        <f>IF(AND(YEAR(Paź_n_1+15)=Rok,MONTH(Paź_n_1+15)=10),Paź_n_1+15, "")</f>
        <v>42654</v>
      </c>
      <c r="N27" s="8">
        <f>IF(AND(YEAR(Paź_n_1+16)=Rok,MONTH(Paź_n_1+16)=10),Paź_n_1+16, "")</f>
        <v>42655</v>
      </c>
      <c r="O27" s="8">
        <f>IF(AND(YEAR(Paź_n_1+17)=Rok,MONTH(Paź_n_1+17)=10),Paź_n_1+17, "")</f>
        <v>42656</v>
      </c>
      <c r="P27" s="8">
        <f>IF(AND(YEAR(Paź_n_1+18)=Rok,MONTH(Paź_n_1+18)=10),Paź_n_1+18, "")</f>
        <v>42657</v>
      </c>
      <c r="Q27" s="8">
        <f>IF(AND(YEAR(Paź_n_1+19)=Rok,MONTH(Paź_n_1+19)=10),Paź_n_1+19, "")</f>
        <v>42658</v>
      </c>
      <c r="R27" s="8">
        <f>IF(AND(YEAR(Paź_n_1+20)=Rok,MONTH(Paź_n_1+20)=10),Paź_n_1+20, "")</f>
        <v>42659</v>
      </c>
      <c r="T27" s="8">
        <f>IF(AND(YEAR(Lis_n_1+14)=Rok,MONTH(Lis_n_1+14)=11),Lis_n_1+14, "")</f>
        <v>42688</v>
      </c>
      <c r="U27" s="8">
        <f>IF(AND(YEAR(Lis_n_1+15)=Rok,MONTH(Lis_n_1+15)=11),Lis_n_1+15, "")</f>
        <v>42689</v>
      </c>
      <c r="V27" s="8">
        <f>IF(AND(YEAR(Lis_n_1+16)=Rok,MONTH(Lis_n_1+16)=11),Lis_n_1+16, "")</f>
        <v>42690</v>
      </c>
      <c r="W27" s="8">
        <f>IF(AND(YEAR(Lis_n_1+17)=Rok,MONTH(Lis_n_1+17)=11),Lis_n_1+17, "")</f>
        <v>42691</v>
      </c>
      <c r="X27" s="8">
        <f>IF(AND(YEAR(Lis_n_1+18)=Rok,MONTH(Lis_n_1+18)=11),Lis_n_1+18, "")</f>
        <v>42692</v>
      </c>
      <c r="Y27" s="8">
        <f>IF(AND(YEAR(Lis_n_1+19)=Rok,MONTH(Lis_n_1+19)=11),Lis_n_1+19, "")</f>
        <v>42693</v>
      </c>
      <c r="Z27" s="8">
        <f>IF(AND(YEAR(Lis_n_1+20)=Rok,MONTH(Lis_n_1+20)=11),Lis_n_1+20, "")</f>
        <v>42694</v>
      </c>
      <c r="AB27" s="8">
        <f>IF(AND(YEAR(Gru_n_1+14)=Rok,MONTH(Gru_n_1+14)=12),Gru_n_1+14, "")</f>
        <v>42716</v>
      </c>
      <c r="AC27" s="8">
        <f>IF(AND(YEAR(Gru_n_1+15)=Rok,MONTH(Gru_n_1+15)=12),Gru_n_1+15, "")</f>
        <v>42717</v>
      </c>
      <c r="AD27" s="8">
        <f>IF(AND(YEAR(Gru_n_1+16)=Rok,MONTH(Gru_n_1+16)=12),Gru_n_1+16, "")</f>
        <v>42718</v>
      </c>
      <c r="AE27" s="8">
        <f>IF(AND(YEAR(Gru_n_1+17)=Rok,MONTH(Gru_n_1+17)=12),Gru_n_1+17, "")</f>
        <v>42719</v>
      </c>
      <c r="AF27" s="8">
        <f>IF(AND(YEAR(Gru_n_1+18)=Rok,MONTH(Gru_n_1+18)=12),Gru_n_1+18, "")</f>
        <v>42720</v>
      </c>
      <c r="AG27" s="8">
        <f>IF(AND(YEAR(Gru_n_1+19)=Rok,MONTH(Gru_n_1+19)=12),Gru_n_1+19, "")</f>
        <v>42721</v>
      </c>
      <c r="AH27" s="8">
        <f>IF(AND(YEAR(Gru_n_1+20)=Rok,MONTH(Gru_n_1+20)=12),Gru_n_1+20, "")</f>
        <v>42722</v>
      </c>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row>
    <row r="28" spans="2:80" ht="12.95" customHeight="1" x14ac:dyDescent="0.25">
      <c r="D28" s="8">
        <f>IF(AND(YEAR(Wrz_n_1+21)=Rok,MONTH(Wrz_n_1+21)=9),Wrz_n_1+21, "")</f>
        <v>42632</v>
      </c>
      <c r="E28" s="8">
        <f>IF(AND(YEAR(Wrz_n_1+22)=Rok,MONTH(Wrz_n_1+22)=9),Wrz_n_1+22, "")</f>
        <v>42633</v>
      </c>
      <c r="F28" s="8">
        <f>IF(AND(YEAR(Wrz_n_1+23)=Rok,MONTH(Wrz_n_1+23)=9),Wrz_n_1+23, "")</f>
        <v>42634</v>
      </c>
      <c r="G28" s="8">
        <f>IF(AND(YEAR(Wrz_n_1+24)=Rok,MONTH(Wrz_n_1+24)=9),Wrz_n_1+24, "")</f>
        <v>42635</v>
      </c>
      <c r="H28" s="8">
        <f>IF(AND(YEAR(Wrz_n_1+25)=Rok,MONTH(Wrz_n_1+25)=9),Wrz_n_1+25, "")</f>
        <v>42636</v>
      </c>
      <c r="I28" s="8">
        <f>IF(AND(YEAR(Wrz_n_1+26)=Rok,MONTH(Wrz_n_1+26)=9),Wrz_n_1+26, "")</f>
        <v>42637</v>
      </c>
      <c r="J28" s="8">
        <f>IF(AND(YEAR(Wrz_n_1+27)=Rok,MONTH(Wrz_n_1+27)=9),Wrz_n_1+27, "")</f>
        <v>42638</v>
      </c>
      <c r="K28" s="7"/>
      <c r="L28" s="8">
        <f>IF(AND(YEAR(Paź_n_1+21)=Rok,MONTH(Paź_n_1+21)=10),Paź_n_1+21, "")</f>
        <v>42660</v>
      </c>
      <c r="M28" s="8">
        <f>IF(AND(YEAR(Paź_n_1+22)=Rok,MONTH(Paź_n_1+22)=10),Paź_n_1+22, "")</f>
        <v>42661</v>
      </c>
      <c r="N28" s="8">
        <f>IF(AND(YEAR(Paź_n_1+23)=Rok,MONTH(Paź_n_1+23)=10),Paź_n_1+23, "")</f>
        <v>42662</v>
      </c>
      <c r="O28" s="8">
        <f>IF(AND(YEAR(Paź_n_1+24)=Rok,MONTH(Paź_n_1+24)=10),Paź_n_1+24, "")</f>
        <v>42663</v>
      </c>
      <c r="P28" s="8">
        <f>IF(AND(YEAR(Paź_n_1+25)=Rok,MONTH(Paź_n_1+25)=10),Paź_n_1+25, "")</f>
        <v>42664</v>
      </c>
      <c r="Q28" s="8">
        <f>IF(AND(YEAR(Paź_n_1+26)=Rok,MONTH(Paź_n_1+26)=10),Paź_n_1+26, "")</f>
        <v>42665</v>
      </c>
      <c r="R28" s="8">
        <f>IF(AND(YEAR(Paź_n_1+27)=Rok,MONTH(Paź_n_1+27)=10),Paź_n_1+27, "")</f>
        <v>42666</v>
      </c>
      <c r="T28" s="8">
        <f>IF(AND(YEAR(Lis_n_1+21)=Rok,MONTH(Lis_n_1+21)=11),Lis_n_1+21, "")</f>
        <v>42695</v>
      </c>
      <c r="U28" s="8">
        <f>IF(AND(YEAR(Lis_n_1+22)=Rok,MONTH(Lis_n_1+22)=11),Lis_n_1+22, "")</f>
        <v>42696</v>
      </c>
      <c r="V28" s="8">
        <f>IF(AND(YEAR(Lis_n_1+23)=Rok,MONTH(Lis_n_1+23)=11),Lis_n_1+23, "")</f>
        <v>42697</v>
      </c>
      <c r="W28" s="8">
        <f>IF(AND(YEAR(Lis_n_1+24)=Rok,MONTH(Lis_n_1+24)=11),Lis_n_1+24, "")</f>
        <v>42698</v>
      </c>
      <c r="X28" s="8">
        <f>IF(AND(YEAR(Lis_n_1+25)=Rok,MONTH(Lis_n_1+25)=11),Lis_n_1+25, "")</f>
        <v>42699</v>
      </c>
      <c r="Y28" s="8">
        <f>IF(AND(YEAR(Lis_n_1+26)=Rok,MONTH(Lis_n_1+26)=11),Lis_n_1+26, "")</f>
        <v>42700</v>
      </c>
      <c r="Z28" s="8">
        <f>IF(AND(YEAR(Lis_n_1+27)=Rok,MONTH(Lis_n_1+27)=11),Lis_n_1+27, "")</f>
        <v>42701</v>
      </c>
      <c r="AB28" s="8">
        <f>IF(AND(YEAR(Gru_n_1+21)=Rok,MONTH(Gru_n_1+21)=12),Gru_n_1+21, "")</f>
        <v>42723</v>
      </c>
      <c r="AC28" s="8">
        <f>IF(AND(YEAR(Gru_n_1+22)=Rok,MONTH(Gru_n_1+22)=12),Gru_n_1+22, "")</f>
        <v>42724</v>
      </c>
      <c r="AD28" s="8">
        <f>IF(AND(YEAR(Gru_n_1+23)=Rok,MONTH(Gru_n_1+23)=12),Gru_n_1+23, "")</f>
        <v>42725</v>
      </c>
      <c r="AE28" s="8">
        <f>IF(AND(YEAR(Gru_n_1+24)=Rok,MONTH(Gru_n_1+24)=12),Gru_n_1+24, "")</f>
        <v>42726</v>
      </c>
      <c r="AF28" s="8">
        <f>IF(AND(YEAR(Gru_n_1+25)=Rok,MONTH(Gru_n_1+25)=12),Gru_n_1+25, "")</f>
        <v>42727</v>
      </c>
      <c r="AG28" s="8">
        <f>IF(AND(YEAR(Gru_n_1+26)=Rok,MONTH(Gru_n_1+26)=12),Gru_n_1+26, "")</f>
        <v>42728</v>
      </c>
      <c r="AH28" s="8">
        <f>IF(AND(YEAR(Gru_n_1+27)=Rok,MONTH(Gru_n_1+27)=12),Gru_n_1+27, "")</f>
        <v>42729</v>
      </c>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row>
    <row r="29" spans="2:80" ht="12.95" customHeight="1" x14ac:dyDescent="0.25">
      <c r="D29" s="8">
        <f>IF(AND(YEAR(Wrz_n_1+28)=Rok,MONTH(Wrz_n_1+28)=9),Wrz_n_1+28, "")</f>
        <v>42639</v>
      </c>
      <c r="E29" s="8">
        <f>IF(AND(YEAR(Wrz_n_1+29)=Rok,MONTH(Wrz_n_1+29)=9),Wrz_n_1+29, "")</f>
        <v>42640</v>
      </c>
      <c r="F29" s="8">
        <f>IF(AND(YEAR(Wrz_n_1+30)=Rok,MONTH(Wrz_n_1+30)=9),Wrz_n_1+30, "")</f>
        <v>42641</v>
      </c>
      <c r="G29" s="8">
        <f>IF(AND(YEAR(Wrz_n_1+31)=Rok,MONTH(Wrz_n_1+31)=9),Wrz_n_1+31, "")</f>
        <v>42642</v>
      </c>
      <c r="H29" s="8">
        <f>IF(AND(YEAR(Wrz_n_1+32)=Rok,MONTH(Wrz_n_1+32)=9),Wrz_n_1+32, "")</f>
        <v>42643</v>
      </c>
      <c r="I29" s="8" t="str">
        <f>IF(AND(YEAR(Wrz_n_1+33)=Rok,MONTH(Wrz_n_1+33)=9),Wrz_n_1+33, "")</f>
        <v/>
      </c>
      <c r="J29" s="8" t="str">
        <f>IF(AND(YEAR(Wrz_n_1+34)=Rok,MONTH(Wrz_n_1+34)=9),Wrz_n_1+34, "")</f>
        <v/>
      </c>
      <c r="K29" s="7"/>
      <c r="L29" s="8">
        <f>IF(AND(YEAR(Paź_n_1+28)=Rok,MONTH(Paź_n_1+28)=10),Paź_n_1+28, "")</f>
        <v>42667</v>
      </c>
      <c r="M29" s="8">
        <f>IF(AND(YEAR(Paź_n_1+29)=Rok,MONTH(Paź_n_1+29)=10),Paź_n_1+29, "")</f>
        <v>42668</v>
      </c>
      <c r="N29" s="8">
        <f>IF(AND(YEAR(Paź_n_1+30)=Rok,MONTH(Paź_n_1+30)=10),Paź_n_1+30, "")</f>
        <v>42669</v>
      </c>
      <c r="O29" s="8">
        <f>IF(AND(YEAR(Paź_n_1+31)=Rok,MONTH(Paź_n_1+31)=10),Paź_n_1+31, "")</f>
        <v>42670</v>
      </c>
      <c r="P29" s="8">
        <f>IF(AND(YEAR(Paź_n_1+32)=Rok,MONTH(Paź_n_1+32)=10),Paź_n_1+32, "")</f>
        <v>42671</v>
      </c>
      <c r="Q29" s="8">
        <f>IF(AND(YEAR(Paź_n_1+33)=Rok,MONTH(Paź_n_1+33)=10),Paź_n_1+33, "")</f>
        <v>42672</v>
      </c>
      <c r="R29" s="8">
        <f>IF(AND(YEAR(Paź_n_1+34)=Rok,MONTH(Paź_n_1+34)=10),Paź_n_1+34, "")</f>
        <v>42673</v>
      </c>
      <c r="T29" s="8">
        <f>IF(AND(YEAR(Lis_n_1+28)=Rok,MONTH(Lis_n_1+28)=11),Lis_n_1+28, "")</f>
        <v>42702</v>
      </c>
      <c r="U29" s="8">
        <f>IF(AND(YEAR(Lis_n_1+29)=Rok,MONTH(Lis_n_1+29)=11),Lis_n_1+29, "")</f>
        <v>42703</v>
      </c>
      <c r="V29" s="8">
        <f>IF(AND(YEAR(Lis_n_1+30)=Rok,MONTH(Lis_n_1+30)=11),Lis_n_1+30, "")</f>
        <v>42704</v>
      </c>
      <c r="W29" s="8" t="str">
        <f>IF(AND(YEAR(Lis_n_1+31)=Rok,MONTH(Lis_n_1+31)=11),Lis_n_1+31, "")</f>
        <v/>
      </c>
      <c r="X29" s="8" t="str">
        <f>IF(AND(YEAR(Lis_n_1+32)=Rok,MONTH(Lis_n_1+32)=11),Lis_n_1+32, "")</f>
        <v/>
      </c>
      <c r="Y29" s="8" t="str">
        <f>IF(AND(YEAR(Lis_n_1+33)=Rok,MONTH(Lis_n_1+33)=11),Lis_n_1+33, "")</f>
        <v/>
      </c>
      <c r="Z29" s="8" t="str">
        <f>IF(AND(YEAR(Lis_n_1+34)=Rok,MONTH(Lis_n_1+34)=11),Lis_n_1+34, "")</f>
        <v/>
      </c>
      <c r="AB29" s="8">
        <f>IF(AND(YEAR(Gru_n_1+28)=Rok,MONTH(Gru_n_1+28)=12),Gru_n_1+28, "")</f>
        <v>42730</v>
      </c>
      <c r="AC29" s="8">
        <f>IF(AND(YEAR(Gru_n_1+29)=Rok,MONTH(Gru_n_1+29)=12),Gru_n_1+29, "")</f>
        <v>42731</v>
      </c>
      <c r="AD29" s="8">
        <f>IF(AND(YEAR(Gru_n_1+30)=Rok,MONTH(Gru_n_1+30)=12),Gru_n_1+30, "")</f>
        <v>42732</v>
      </c>
      <c r="AE29" s="8">
        <f>IF(AND(YEAR(Gru_n_1+31)=Rok,MONTH(Gru_n_1+31)=12),Gru_n_1+31, "")</f>
        <v>42733</v>
      </c>
      <c r="AF29" s="8">
        <f>IF(AND(YEAR(Gru_n_1+32)=Rok,MONTH(Gru_n_1+32)=12),Gru_n_1+32, "")</f>
        <v>42734</v>
      </c>
      <c r="AG29" s="8">
        <f>IF(AND(YEAR(Gru_n_1+33)=Rok,MONTH(Gru_n_1+33)=12),Gru_n_1+33, "")</f>
        <v>42735</v>
      </c>
      <c r="AH29" s="8" t="str">
        <f>IF(AND(YEAR(Gru_n_1+34)=Rok,MONTH(Gru_n_1+34)=12),Gru_n_1+34, "")</f>
        <v/>
      </c>
      <c r="AT29" s="15"/>
    </row>
    <row r="30" spans="2:80" ht="12.95" customHeight="1" x14ac:dyDescent="0.25">
      <c r="D30" s="8" t="str">
        <f>IF(AND(YEAR(Wrz_n_1+35)=Rok,MONTH(Wrz_n_1+35)=9),Wrz_n_1+35, "")</f>
        <v/>
      </c>
      <c r="E30" s="8" t="str">
        <f>IF(AND(YEAR(Wrz_n_1+36)=Rok,MONTH(Wrz_n_1+36)=9),Wrz_n_1+36, "")</f>
        <v/>
      </c>
      <c r="F30" s="8" t="str">
        <f>IF(AND(YEAR(Wrz_n_1+37)=Rok,MONTH(Wrz_n_1+37)=9),Wrz_n_1+37, "")</f>
        <v/>
      </c>
      <c r="G30" s="8" t="str">
        <f>IF(AND(YEAR(Wrz_n_1+38)=Rok,MONTH(Wrz_n_1+38)=9),Wrz_n_1+38, "")</f>
        <v/>
      </c>
      <c r="H30" s="8" t="str">
        <f>IF(AND(YEAR(Wrz_n_1+39)=Rok,MONTH(Wrz_n_1+39)=9),Wrz_n_1+39, "")</f>
        <v/>
      </c>
      <c r="I30" s="8" t="str">
        <f>IF(AND(YEAR(Wrz_n_1+40)=Rok,MONTH(Wrz_n_1+40)=9),Wrz_n_1+40, "")</f>
        <v/>
      </c>
      <c r="J30" s="8" t="str">
        <f>IF(AND(YEAR(Wrz_n_1+41)=Rok,MONTH(Wrz_n_1+41)=9),Wrz_n_1+41, "")</f>
        <v/>
      </c>
      <c r="K30" s="7"/>
      <c r="L30" s="8">
        <f>IF(AND(YEAR(Paź_n_1+35)=Rok,MONTH(Paź_n_1+35)=10),Paź_n_1+35, "")</f>
        <v>42674</v>
      </c>
      <c r="M30" s="8" t="str">
        <f>IF(AND(YEAR(Paź_n_1+36)=Rok,MONTH(Paź_n_1+36)=10),Paź_n_1+36, "")</f>
        <v/>
      </c>
      <c r="N30" s="8" t="str">
        <f>IF(AND(YEAR(Paź_n_1+37)=Rok,MONTH(Paź_n_1+37)=10),Paź_n_1+37, "")</f>
        <v/>
      </c>
      <c r="O30" s="8" t="str">
        <f>IF(AND(YEAR(Paź_n_1+38)=Rok,MONTH(Paź_n_1+38)=10),Paź_n_1+38, "")</f>
        <v/>
      </c>
      <c r="P30" s="8" t="str">
        <f>IF(AND(YEAR(Paź_n_1+39)=Rok,MONTH(Paź_n_1+39)=10),Paź_n_1+39, "")</f>
        <v/>
      </c>
      <c r="Q30" s="8" t="str">
        <f>IF(AND(YEAR(Paź_n_1+40)=Rok,MONTH(Paź_n_1+40)=10),Paź_n_1+40, "")</f>
        <v/>
      </c>
      <c r="R30" s="8" t="str">
        <f>IF(AND(YEAR(Paź_n_1+41)=Rok,MONTH(Paź_n_1+41)=10),Paź_n_1+41, "")</f>
        <v/>
      </c>
      <c r="T30" s="8" t="str">
        <f>IF(AND(YEAR(Lis_n_1+35)=Rok,MONTH(Lis_n_1+35)=11),Lis_n_1+35, "")</f>
        <v/>
      </c>
      <c r="U30" s="8" t="str">
        <f>IF(AND(YEAR(Lis_n_1+36)=Rok,MONTH(Lis_n_1+36)=11),Lis_n_1+36, "")</f>
        <v/>
      </c>
      <c r="V30" s="8" t="str">
        <f>IF(AND(YEAR(Lis_n_1+37)=Rok,MONTH(Lis_n_1+37)=11),Lis_n_1+37, "")</f>
        <v/>
      </c>
      <c r="W30" s="8" t="str">
        <f>IF(AND(YEAR(Lis_n_1+38)=Rok,MONTH(Lis_n_1+38)=11),Lis_n_1+38, "")</f>
        <v/>
      </c>
      <c r="X30" s="8" t="str">
        <f>IF(AND(YEAR(Lis_n_1+39)=Rok,MONTH(Lis_n_1+39)=11),Lis_n_1+39, "")</f>
        <v/>
      </c>
      <c r="Y30" s="8" t="str">
        <f>IF(AND(YEAR(Lis_n_1+40)=Rok,MONTH(Lis_n_1+40)=11),Lis_n_1+40, "")</f>
        <v/>
      </c>
      <c r="Z30" s="8" t="str">
        <f>IF(AND(YEAR(Lis_n_1+41)=Rok,MONTH(Lis_n_1+41)=11),Lis_n_1+41, "")</f>
        <v/>
      </c>
      <c r="AB30" s="8" t="str">
        <f>IF(AND(YEAR(Gru_n_1+35)=Rok,MONTH(Gru_n_1+35)=12),Gru_n_1+35, "")</f>
        <v/>
      </c>
      <c r="AC30" s="8" t="str">
        <f>IF(AND(YEAR(Gru_n_1+36)=Rok,MONTH(Gru_n_1+36)=12),Gru_n_1+36, "")</f>
        <v/>
      </c>
      <c r="AD30" s="8" t="str">
        <f>IF(AND(YEAR(Gru_n_1+37)=Rok,MONTH(Gru_n_1+37)=12),Gru_n_1+37, "")</f>
        <v/>
      </c>
      <c r="AE30" s="8" t="str">
        <f>IF(AND(YEAR(Gru_n_1+38)=Rok,MONTH(Gru_n_1+38)=12),Gru_n_1+38, "")</f>
        <v/>
      </c>
      <c r="AF30" s="8" t="str">
        <f>IF(AND(YEAR(Gru_n_1+39)=Rok,MONTH(Gru_n_1+39)=12),Gru_n_1+39, "")</f>
        <v/>
      </c>
      <c r="AG30" s="8" t="str">
        <f>IF(AND(YEAR(Gru_n_1+40)=Rok,MONTH(Gru_n_1+40)=12),Gru_n_1+40, "")</f>
        <v/>
      </c>
      <c r="AH30" s="8" t="str">
        <f>IF(AND(YEAR(Gru_n_1+41)=Rok,MONTH(Gru_n_1+41)=12),Gru_n_1+41, "")</f>
        <v/>
      </c>
    </row>
    <row r="31" spans="2:80" ht="21" customHeight="1" x14ac:dyDescent="0.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2:80" ht="9.75" customHeight="1" x14ac:dyDescent="0.25">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2:36" ht="9.75" customHeight="1" x14ac:dyDescent="0.2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2:36" ht="33.75" customHeight="1" x14ac:dyDescent="0.2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row>
    <row r="35" spans="2:36" ht="21.75" customHeight="1" x14ac:dyDescent="0.25">
      <c r="Z35" s="7"/>
      <c r="AH35" s="7"/>
    </row>
    <row r="36" spans="2:36" x14ac:dyDescent="0.25">
      <c r="Z36" s="7"/>
      <c r="AH36" s="7"/>
    </row>
    <row r="37" spans="2:36" x14ac:dyDescent="0.25">
      <c r="Z37" s="7"/>
      <c r="AH37" s="7"/>
    </row>
    <row r="38" spans="2:36" x14ac:dyDescent="0.25">
      <c r="Z38" s="7"/>
      <c r="AH38" s="7"/>
    </row>
    <row r="39" spans="2:36" x14ac:dyDescent="0.25">
      <c r="Z39" s="7"/>
      <c r="AH39" s="7"/>
    </row>
    <row r="41" spans="2:36" x14ac:dyDescent="0.25">
      <c r="D41" s="3"/>
      <c r="E41" s="3"/>
      <c r="F41" s="3"/>
      <c r="G41" s="3"/>
      <c r="H41" s="3"/>
      <c r="I41" s="3"/>
      <c r="J41" s="3"/>
      <c r="L41" s="16"/>
      <c r="M41" s="16"/>
      <c r="N41" s="16"/>
      <c r="O41" s="16"/>
      <c r="P41" s="16"/>
      <c r="Q41" s="16"/>
      <c r="R41" s="16"/>
    </row>
    <row r="42" spans="2:36" x14ac:dyDescent="0.25">
      <c r="L42" s="16"/>
      <c r="M42" s="16"/>
      <c r="N42" s="16"/>
      <c r="O42" s="16"/>
      <c r="P42" s="16"/>
      <c r="Q42" s="16"/>
      <c r="R42" s="16"/>
    </row>
    <row r="43" spans="2:36" x14ac:dyDescent="0.25">
      <c r="L43" s="16"/>
      <c r="M43" s="16"/>
      <c r="N43" s="16"/>
      <c r="O43" s="16"/>
      <c r="P43" s="16"/>
      <c r="Q43" s="16"/>
      <c r="R43" s="16"/>
    </row>
    <row r="50" spans="4:34" ht="20.25" x14ac:dyDescent="0.35">
      <c r="D50" s="17"/>
      <c r="E50" s="16"/>
      <c r="F50" s="16"/>
      <c r="G50" s="16"/>
      <c r="H50" s="16"/>
      <c r="I50" s="16"/>
      <c r="J50" s="16"/>
      <c r="T50" s="16"/>
      <c r="U50" s="16"/>
      <c r="V50" s="16"/>
      <c r="W50" s="16"/>
      <c r="X50" s="16"/>
      <c r="Y50" s="16"/>
      <c r="Z50" s="16"/>
      <c r="AB50" s="10"/>
      <c r="AC50" s="10"/>
      <c r="AD50" s="10"/>
      <c r="AE50" s="10"/>
      <c r="AF50" s="10"/>
      <c r="AG50" s="10"/>
      <c r="AH50" s="10"/>
    </row>
    <row r="51" spans="4:34" x14ac:dyDescent="0.25">
      <c r="D51" s="16"/>
      <c r="E51" s="16"/>
      <c r="F51" s="16"/>
      <c r="G51" s="16"/>
      <c r="H51" s="16"/>
      <c r="I51" s="16"/>
      <c r="J51" s="16"/>
      <c r="T51" s="16"/>
      <c r="U51" s="16"/>
      <c r="V51" s="16"/>
      <c r="W51" s="16"/>
      <c r="X51" s="16"/>
      <c r="Y51" s="16"/>
      <c r="Z51" s="16"/>
      <c r="AB51" s="10"/>
      <c r="AC51" s="10"/>
      <c r="AD51" s="10"/>
      <c r="AE51" s="10"/>
      <c r="AF51" s="10"/>
      <c r="AG51" s="10"/>
      <c r="AH51" s="10"/>
    </row>
    <row r="52" spans="4:34" x14ac:dyDescent="0.25">
      <c r="D52" s="16"/>
      <c r="E52" s="16"/>
      <c r="F52" s="16"/>
      <c r="G52" s="16"/>
      <c r="H52" s="16"/>
      <c r="I52" s="16"/>
      <c r="J52" s="16"/>
      <c r="T52" s="16"/>
      <c r="U52" s="16"/>
      <c r="V52" s="16"/>
      <c r="W52" s="16"/>
      <c r="X52" s="16"/>
      <c r="Y52" s="16"/>
      <c r="Z52" s="16"/>
    </row>
  </sheetData>
  <mergeCells count="21">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 ref="D23:J23"/>
    <mergeCell ref="D5:J5"/>
    <mergeCell ref="L5:R5"/>
    <mergeCell ref="L23:R23"/>
    <mergeCell ref="T23:Z23"/>
  </mergeCells>
  <phoneticPr fontId="1" type="noConversion"/>
  <dataValidations count="2">
    <dataValidation type="whole" allowBlank="1" showInputMessage="1" showErrorMessage="1" sqref="AM5 AV26 AP3">
      <formula1>"1900"</formula1>
      <formula2>9999</formula2>
    </dataValidation>
    <dataValidation type="whole" allowBlank="1" showInputMessage="1" showErrorMessage="1" sqref="Z2:AI4">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5" r:id="rId4" name="Pokrętło 21">
              <controlPr defaultSize="0" print="0" autoPict="0">
                <anchor>
                  <from>
                    <xdr:col>37</xdr:col>
                    <xdr:colOff>523875</xdr:colOff>
                    <xdr:row>1</xdr:row>
                    <xdr:rowOff>219075</xdr:rowOff>
                  </from>
                  <to>
                    <xdr:col>38</xdr:col>
                    <xdr:colOff>95250</xdr:colOff>
                    <xdr:row>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Props1.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534818-5B37-46AF-A367-D9C1DFA12629}">
  <ds:schemaRefs>
    <ds:schemaRef ds:uri="http://schemas.microsoft.com/sharepoint/v3/contenttype/forms"/>
  </ds:schemaRefs>
</ds:datastoreItem>
</file>

<file path=customXml/itemProps3.xml><?xml version="1.0" encoding="utf-8"?>
<ds:datastoreItem xmlns:ds="http://schemas.openxmlformats.org/officeDocument/2006/customXml" ds:itemID="{24B20EC5-8F6F-4A72-AB46-5F973018757B}">
  <ds:schemaRefs>
    <ds:schemaRef ds:uri="http://schemas.microsoft.com/office/2006/metadata/properties"/>
    <ds:schemaRef ds:uri="http://schemas.microsoft.com/office/infopath/2007/PartnerControls"/>
    <ds:schemaRef ds:uri="4873beb7-5857-4685-be1f-d57550cc96c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Kalendarz</vt:lpstr>
      <vt:lpstr>Kalendarz!Print_Area</vt:lpstr>
      <vt:lpstr>Rok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2015-10-23T16:47:31Z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ies>
</file>