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360" yWindow="975" windowWidth="11340" windowHeight="6735"/>
  </bookViews>
  <sheets>
    <sheet name="Agenda" sheetId="1" r:id="rId1"/>
  </sheets>
  <definedNames>
    <definedName name="Afdrukgebied" localSheetId="0">Agenda!$B$2:$AJ$34</definedName>
    <definedName name="AprZo1">DATE(HetJaar,4,1)-WEEKDAY(DATE(HetJaar,4,1),2)+1</definedName>
    <definedName name="AugZo1">DATE(HetJaar,8,1)-WEEKDAY(DATE(HetJaar,8,1),2)+1</definedName>
    <definedName name="DecZo1">DATE(HetJaar,12,1)-WEEKDAY(DATE(HetJaar,12,1),2)+1</definedName>
    <definedName name="FebZo1">DATE(HetJaar,2,1)-WEEKDAY(DATE(HetJaar,2,1),2)+1</definedName>
    <definedName name="HetJaar">Agenda!$Z$2</definedName>
    <definedName name="JanZo1">DATE(HetJaar,1,1)-WEEKDAY(DATE(HetJaar,1,1),2)+1</definedName>
    <definedName name="JulZo1">DATE(HetJaar,7,1)-WEEKDAY(DATE(HetJaar,7,1),2)+1</definedName>
    <definedName name="JunZo1">DATE(HetJaar,6,1)-WEEKDAY(DATE(HetJaar,6,1),2)+1</definedName>
    <definedName name="MaaZo1">DATE(HetJaar,3,1)-WEEKDAY(DATE(HetJaar,3,1),2)+1</definedName>
    <definedName name="MeiZo1">DATE(HetJaar,5,1)-WEEKDAY(DATE(HetJaar,5,1),2)+1</definedName>
    <definedName name="NovZo1">DATE(HetJaar,11,1)-WEEKDAY(DATE(HetJaar,11,1),2)+1</definedName>
    <definedName name="OktZo1">DATE(HetJaar,10,1)-WEEKDAY(DATE(HetJaar,10,1),2)+1</definedName>
    <definedName name="SepZo1">DATE(HetJaar,9,1)-WEEKDAY(DATE(HetJaar,9,1),2)+1</definedName>
  </definedNames>
  <calcPr calcId="152511"/>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<sst xmlns="http://schemas.openxmlformats.org/spreadsheetml/2006/main" count="96" uniqueCount="19">
  <si>
    <t xml:space="preserve"> januari</t>
  </si>
  <si>
    <t>ma</t>
  </si>
  <si>
    <t xml:space="preserve"> mei</t>
  </si>
  <si>
    <t xml:space="preserve"> september</t>
  </si>
  <si>
    <t>di</t>
  </si>
  <si>
    <t>wo</t>
  </si>
  <si>
    <t>do</t>
  </si>
  <si>
    <t>vr</t>
  </si>
  <si>
    <t>za</t>
  </si>
  <si>
    <t>zo</t>
  </si>
  <si>
    <t xml:space="preserve"> februari</t>
  </si>
  <si>
    <t xml:space="preserve"> juni</t>
  </si>
  <si>
    <t xml:space="preserve"> oktober</t>
  </si>
  <si>
    <t xml:space="preserve"> maart</t>
  </si>
  <si>
    <t xml:space="preserve"> juli</t>
  </si>
  <si>
    <t xml:space="preserve"> november</t>
  </si>
  <si>
    <t xml:space="preserve"> april</t>
  </si>
  <si>
    <t xml:space="preserve"> augustus</t>
  </si>
  <si>
    <t xml:space="preserve"> 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</si>
</sst>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12"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30">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 fontId="8" fillId="4" borderId="0" xfId="4" applyFill="1" applyAlignment="1">
      <alignment vertical="top"/>
    </xf>
    <xf numFmtId="165" fontId="11" fillId="3" borderId="0" xfId="3" applyNumberFormat="1">
      <alignment horizontal="center" vertical="center"/>
    </xf>
    <xf numFmtId="165" fontId="2" fillId="3" borderId="0" xfId="0" applyNumberFormat="1" applyFont="1" applyFill="1"/>
    <xf numFmtId="165" fontId="11" fillId="3" borderId="0" xfId="3" applyNumberFormat="1" applyFill="1" applyBorder="1">
      <alignment horizontal="center" vertical="center"/>
    </xf>
    <xf numFmtId="0" fontId="2" fillId="3" borderId="0" xfId="0" applyNumberFormat="1" applyFont="1" applyFill="1" applyBorder="1" applyAlignment="1">
      <alignment vertical="top"/>
    </xf>
    <xf numFmtId="0" fontId="2" fillId="3" borderId="0" xfId="0" applyNumberFormat="1" applyFont="1" applyFill="1" applyBorder="1"/>
    <xf numFmtId="0" fontId="2" fillId="3" borderId="0" xfId="0" applyNumberFormat="1" applyFont="1" applyFill="1"/>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xf numFmtId="0" fontId="9" fillId="3" borderId="0" xfId="1">
      <alignment horizontal="left"/>
    </xf>
  </cellXfs>
  <cellStyles count="5">
    <cellStyle name="Dag van de week" xfId="2"/>
    <cellStyle name="Datum" xfId="3"/>
    <cellStyle name="Jaar" xfId="4"/>
    <cellStyle name="Maand" xfId="1"/>
    <cellStyle name="Standaard" xfId="0" builtinId="0"/>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6"/>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Groep 1"/>
        <xdr:cNvGrpSpPr/>
      </xdr:nvGrpSpPr>
      <xdr:grpSpPr>
        <a:xfrm>
          <a:off x="315540" y="277811"/>
          <a:ext cx="8349785" cy="6905628"/>
          <a:chOff x="315540" y="277811"/>
          <a:chExt cx="8349785" cy="6905628"/>
        </a:xfrm>
      </xdr:grpSpPr>
      <xdr:sp macro="" textlink="">
        <xdr:nvSpPr>
          <xdr:cNvPr id="31" name="Vrije vorm 30"/>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Vrije vorm 33"/>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Vrije vorm 15"/>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Vrije vorm 16"/>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Vrije vorm 22"/>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Vrije vorm 39"/>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Vrije vorm 40"/>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Vrije vorm 41"/>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Vrije vorm 42"/>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Vrije vorm 43"/>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Vrije vorm 10"/>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Vrije vorm 44"/>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Rechthoek 45"/>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402417</xdr:colOff>
      <xdr:row>1</xdr:row>
      <xdr:rowOff>85186</xdr:rowOff>
    </xdr:from>
    <xdr:to>
      <xdr:col>41</xdr:col>
      <xdr:colOff>211917</xdr:colOff>
      <xdr:row>3</xdr:row>
      <xdr:rowOff>372013</xdr:rowOff>
    </xdr:to>
    <xdr:sp macro="" textlink="">
      <xdr:nvSpPr>
        <xdr:cNvPr id="3" name="Tekstvak 2"/>
        <xdr:cNvSpPr txBox="1"/>
      </xdr:nvSpPr>
      <xdr:spPr>
        <a:xfrm>
          <a:off x="9213042" y="370936"/>
          <a:ext cx="2247900" cy="858327"/>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nl" sz="1100">
              <a:solidFill>
                <a:schemeClr val="accent6">
                  <a:lumMod val="75000"/>
                </a:schemeClr>
              </a:solidFill>
              <a:latin typeface="+mj-lt"/>
            </a:rPr>
            <a:t>Gebruik de pijlen om een jaar voor de agenda te selecteren.</a:t>
          </a:r>
          <a:r>
            <a:rPr lang="nl" sz="1100" baseline="0">
              <a:solidFill>
                <a:schemeClr val="accent6">
                  <a:lumMod val="75000"/>
                </a:schemeClr>
              </a:solidFill>
              <a:latin typeface="+mj-lt"/>
            </a:rPr>
            <a:t> </a:t>
          </a:r>
        </a:p>
        <a:p>
          <a:pPr algn="l" rtl="0">
            <a:lnSpc>
              <a:spcPct val="80000"/>
            </a:lnSpc>
            <a:spcBef>
              <a:spcPts val="300"/>
            </a:spcBef>
          </a:pPr>
          <a:r>
            <a:rPr lang="nl" sz="900" i="1" baseline="0">
              <a:solidFill>
                <a:schemeClr val="tx1">
                  <a:lumMod val="75000"/>
                  <a:lumOff val="25000"/>
                </a:schemeClr>
              </a:solidFill>
              <a:latin typeface="+mj-lt"/>
            </a:rPr>
            <a:t>Dit wordt niet weergegeven op de afgedrukte kalender.</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Kringveld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Tekstvak 34"/>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nl" sz="900" i="1">
              <a:solidFill>
                <a:schemeClr val="accent6">
                  <a:lumMod val="75000"/>
                </a:schemeClr>
              </a:solidFill>
              <a:latin typeface="+mn-lt"/>
            </a:rPr>
            <a:t>Plaats</a:t>
          </a:r>
          <a:r>
            <a:rPr lang="nl" sz="900" i="1" baseline="0">
              <a:solidFill>
                <a:schemeClr val="accent6">
                  <a:lumMod val="75000"/>
                </a:schemeClr>
              </a:solidFill>
              <a:latin typeface="+mn-lt"/>
            </a:rPr>
            <a:t> hier een bericht of bedrijfsslogan.</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Tekstvak 7"/>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nl" sz="1400">
              <a:solidFill>
                <a:schemeClr val="accent6">
                  <a:lumMod val="75000"/>
                </a:schemeClr>
              </a:solidFill>
              <a:latin typeface="+mj-lt"/>
            </a:rPr>
            <a:t>Uw bedrijfsnaam</a:t>
          </a:r>
        </a:p>
        <a:p>
          <a:pPr rtl="0">
            <a:lnSpc>
              <a:spcPct val="95000"/>
            </a:lnSpc>
          </a:pPr>
          <a:r>
            <a:rPr lang="nl" sz="800">
              <a:solidFill>
                <a:schemeClr val="tx1">
                  <a:lumMod val="75000"/>
                  <a:lumOff val="25000"/>
                </a:schemeClr>
              </a:solidFill>
            </a:rPr>
            <a:t>12345 Hoofdstraat 19, 1234 AB</a:t>
          </a:r>
          <a:r>
            <a:rPr lang="nl" sz="800" baseline="0">
              <a:solidFill>
                <a:schemeClr val="tx1">
                  <a:lumMod val="75000"/>
                  <a:lumOff val="25000"/>
                </a:schemeClr>
              </a:solidFill>
            </a:rPr>
            <a:t> </a:t>
          </a:r>
          <a:r>
            <a:rPr lang="nl" sz="800">
              <a:solidFill>
                <a:schemeClr val="tx1">
                  <a:lumMod val="75000"/>
                  <a:lumOff val="25000"/>
                </a:schemeClr>
              </a:solidFill>
            </a:rPr>
            <a:t>Amsterdam</a:t>
          </a:r>
        </a:p>
        <a:p>
          <a:pPr rtl="0">
            <a:lnSpc>
              <a:spcPct val="95000"/>
            </a:lnSpc>
          </a:pPr>
          <a:r>
            <a:rPr lang="nl" sz="800" i="1">
              <a:solidFill>
                <a:schemeClr val="accent6">
                  <a:lumMod val="75000"/>
                </a:schemeClr>
              </a:solidFill>
            </a:rPr>
            <a:t>telefoon </a:t>
          </a:r>
          <a:r>
            <a:rPr lang="nl" sz="800">
              <a:solidFill>
                <a:schemeClr val="tx1">
                  <a:lumMod val="75000"/>
                  <a:lumOff val="25000"/>
                </a:schemeClr>
              </a:solidFill>
            </a:rPr>
            <a:t>012 3456789  </a:t>
          </a:r>
          <a:r>
            <a:rPr lang="nl" sz="800" i="1">
              <a:solidFill>
                <a:schemeClr val="accent6">
                  <a:lumMod val="75000"/>
                </a:schemeClr>
              </a:solidFill>
            </a:rPr>
            <a:t>fax </a:t>
          </a:r>
          <a:r>
            <a:rPr lang="nl" sz="800" baseline="0">
              <a:solidFill>
                <a:schemeClr val="tx1">
                  <a:lumMod val="75000"/>
                  <a:lumOff val="25000"/>
                </a:schemeClr>
              </a:solidFill>
            </a:rPr>
            <a:t>098 7654321  </a:t>
          </a:r>
        </a:p>
        <a:p>
          <a:pPr rtl="0">
            <a:lnSpc>
              <a:spcPct val="95000"/>
            </a:lnSpc>
          </a:pPr>
          <a:r>
            <a:rPr lang="nl" sz="800" i="1" baseline="0">
              <a:solidFill>
                <a:schemeClr val="accent6">
                  <a:lumMod val="75000"/>
                </a:schemeClr>
              </a:solidFill>
            </a:rPr>
            <a:t>e-mail </a:t>
          </a:r>
          <a:r>
            <a:rPr lang="nl" sz="800" baseline="0">
              <a:solidFill>
                <a:schemeClr val="tx1">
                  <a:lumMod val="75000"/>
                  <a:lumOff val="25000"/>
                </a:schemeClr>
              </a:solidFill>
            </a:rPr>
            <a:t>bedrijfse-mail@voorbeeld.com</a:t>
          </a:r>
        </a:p>
      </xdr:txBody>
    </xdr:sp>
    <xdr:clientData/>
  </xdr:twoCellAnchor>
  <xdr:twoCellAnchor>
    <xdr:from>
      <xdr:col>37</xdr:col>
      <xdr:colOff>400050</xdr:colOff>
      <xdr:row>4</xdr:row>
      <xdr:rowOff>209550</xdr:rowOff>
    </xdr:from>
    <xdr:to>
      <xdr:col>41</xdr:col>
      <xdr:colOff>209550</xdr:colOff>
      <xdr:row>11</xdr:row>
      <xdr:rowOff>0</xdr:rowOff>
    </xdr:to>
    <xdr:sp macro="" textlink="">
      <xdr:nvSpPr>
        <xdr:cNvPr id="25" name="Tekstvak 24"/>
        <xdr:cNvSpPr txBox="1"/>
      </xdr:nvSpPr>
      <xdr:spPr>
        <a:xfrm>
          <a:off x="9210675" y="1457325"/>
          <a:ext cx="2247900" cy="1504950"/>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nl" sz="1100">
              <a:solidFill>
                <a:schemeClr val="accent6">
                  <a:lumMod val="75000"/>
                </a:schemeClr>
              </a:solidFill>
              <a:latin typeface="+mj-lt"/>
            </a:rPr>
            <a:t>Om deze agenda</a:t>
          </a:r>
          <a:r>
            <a:rPr lang="nl" sz="1100" baseline="0">
              <a:solidFill>
                <a:schemeClr val="accent6">
                  <a:lumMod val="75000"/>
                </a:schemeClr>
              </a:solidFill>
              <a:latin typeface="+mj-lt"/>
            </a:rPr>
            <a:t> juist te kunnen afdrukken op alle printers, moet u het selectievakje Hoge kwaliteit voor afbeeldingen inschakelen onder Bestand - Opties - Geavanceerd - Afdrukken</a:t>
          </a:r>
        </a:p>
        <a:p>
          <a:pPr lvl="0" algn="l" rtl="0">
            <a:lnSpc>
              <a:spcPct val="80000"/>
            </a:lnSpc>
            <a:spcBef>
              <a:spcPts val="300"/>
            </a:spcBef>
          </a:pPr>
          <a:r>
            <a:rPr lang="nl" sz="900" i="1" baseline="0">
              <a:solidFill>
                <a:schemeClr val="tx1">
                  <a:lumMod val="75000"/>
                  <a:lumOff val="25000"/>
                </a:schemeClr>
              </a:solidFill>
              <a:latin typeface="+mj-lt"/>
            </a:rPr>
            <a:t>Dit wordt niet weergegeven op de afgedrukte kalender.</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2"/>
  <sheetViews>
    <sheetView tabSelected="1" zoomScaleNormal="100" workbookViewId="0"/>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5"/>
      <c r="C2" s="25"/>
      <c r="D2" s="25"/>
      <c r="E2" s="25"/>
      <c r="F2" s="25"/>
      <c r="G2" s="28"/>
      <c r="H2" s="28"/>
      <c r="I2" s="28"/>
      <c r="J2" s="28"/>
      <c r="K2" s="28"/>
      <c r="L2" s="28"/>
      <c r="M2" s="28"/>
      <c r="N2" s="28"/>
      <c r="O2" s="28"/>
      <c r="P2" s="28"/>
      <c r="Q2" s="28"/>
      <c r="R2" s="28"/>
      <c r="S2" s="28"/>
      <c r="T2" s="28"/>
      <c r="U2" s="28"/>
      <c r="V2" s="28"/>
      <c r="W2" s="28"/>
      <c r="X2" s="28"/>
      <c r="Y2" s="28"/>
      <c r="Z2" s="27">
        <v>2016</v>
      </c>
      <c r="AA2" s="27"/>
      <c r="AB2" s="27"/>
      <c r="AC2" s="27"/>
      <c r="AD2" s="27"/>
      <c r="AE2" s="27"/>
      <c r="AF2" s="27"/>
      <c r="AG2" s="27"/>
      <c r="AH2" s="27"/>
      <c r="AI2" s="27"/>
      <c r="AJ2" s="25"/>
    </row>
    <row r="3" spans="2:74" ht="26.25" customHeight="1" x14ac:dyDescent="0.35">
      <c r="B3" s="25"/>
      <c r="C3" s="25"/>
      <c r="D3" s="25"/>
      <c r="E3" s="25"/>
      <c r="F3" s="25"/>
      <c r="G3" s="28"/>
      <c r="H3" s="28"/>
      <c r="I3" s="28"/>
      <c r="J3" s="28"/>
      <c r="K3" s="28"/>
      <c r="L3" s="28"/>
      <c r="M3" s="28"/>
      <c r="N3" s="28"/>
      <c r="O3" s="28"/>
      <c r="P3" s="28"/>
      <c r="Q3" s="28"/>
      <c r="R3" s="28"/>
      <c r="S3" s="28"/>
      <c r="T3" s="28"/>
      <c r="U3" s="28"/>
      <c r="V3" s="28"/>
      <c r="W3" s="28"/>
      <c r="X3" s="28"/>
      <c r="Y3" s="28"/>
      <c r="Z3" s="27"/>
      <c r="AA3" s="27"/>
      <c r="AB3" s="27"/>
      <c r="AC3" s="27"/>
      <c r="AD3" s="27"/>
      <c r="AE3" s="27"/>
      <c r="AF3" s="27"/>
      <c r="AG3" s="27"/>
      <c r="AH3" s="27"/>
      <c r="AI3" s="27"/>
      <c r="AJ3" s="25"/>
      <c r="AP3" s="16"/>
      <c r="AQ3" s="16"/>
      <c r="AR3" s="16"/>
      <c r="AS3" s="16"/>
      <c r="AT3" s="17"/>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row>
    <row r="4" spans="2:74" ht="30.75" customHeight="1" x14ac:dyDescent="0.25">
      <c r="B4" s="25"/>
      <c r="C4" s="25"/>
      <c r="D4" s="25"/>
      <c r="E4" s="25"/>
      <c r="F4" s="25"/>
      <c r="G4" s="28"/>
      <c r="H4" s="28"/>
      <c r="I4" s="28"/>
      <c r="J4" s="28"/>
      <c r="K4" s="28"/>
      <c r="L4" s="28"/>
      <c r="M4" s="28"/>
      <c r="N4" s="28"/>
      <c r="O4" s="28"/>
      <c r="P4" s="28"/>
      <c r="Q4" s="28"/>
      <c r="R4" s="28"/>
      <c r="S4" s="28"/>
      <c r="T4" s="28"/>
      <c r="U4" s="28"/>
      <c r="V4" s="28"/>
      <c r="W4" s="28"/>
      <c r="X4" s="28"/>
      <c r="Y4" s="28"/>
      <c r="Z4" s="27"/>
      <c r="AA4" s="27"/>
      <c r="AB4" s="27"/>
      <c r="AC4" s="27"/>
      <c r="AD4" s="27"/>
      <c r="AE4" s="27"/>
      <c r="AF4" s="27"/>
      <c r="AG4" s="27"/>
      <c r="AH4" s="27"/>
      <c r="AI4" s="27"/>
      <c r="AJ4" s="25"/>
      <c r="AL4" s="10"/>
      <c r="AM4" s="11"/>
      <c r="AN4" s="11"/>
      <c r="AO4" s="11"/>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row>
    <row r="5" spans="2:74" s="3" customFormat="1" ht="58.5" customHeight="1" x14ac:dyDescent="0.35">
      <c r="D5" s="29" t="s">
        <v>0</v>
      </c>
      <c r="E5" s="29"/>
      <c r="F5" s="29"/>
      <c r="G5" s="29"/>
      <c r="H5" s="29"/>
      <c r="I5" s="29"/>
      <c r="J5" s="29"/>
      <c r="K5" s="22"/>
      <c r="L5" s="29" t="s">
        <v>10</v>
      </c>
      <c r="M5" s="29"/>
      <c r="N5" s="29"/>
      <c r="O5" s="29"/>
      <c r="P5" s="29"/>
      <c r="Q5" s="29"/>
      <c r="R5" s="29"/>
      <c r="S5" s="22"/>
      <c r="T5" s="29" t="s">
        <v>13</v>
      </c>
      <c r="U5" s="29"/>
      <c r="V5" s="29"/>
      <c r="W5" s="29"/>
      <c r="X5" s="29"/>
      <c r="Y5" s="29"/>
      <c r="Z5" s="29"/>
      <c r="AA5" s="22"/>
      <c r="AB5" s="29" t="s">
        <v>16</v>
      </c>
      <c r="AC5" s="29"/>
      <c r="AD5" s="29"/>
      <c r="AE5" s="29"/>
      <c r="AF5" s="29"/>
      <c r="AG5" s="29"/>
      <c r="AH5" s="29"/>
      <c r="AM5" s="12"/>
      <c r="AN5" s="12"/>
      <c r="AO5" s="12"/>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2:74" ht="12.75" customHeight="1" x14ac:dyDescent="0.25">
      <c r="C6" s="4"/>
      <c r="D6" s="5" t="s">
        <v>1</v>
      </c>
      <c r="E6" s="5" t="s">
        <v>4</v>
      </c>
      <c r="F6" s="5" t="s">
        <v>5</v>
      </c>
      <c r="G6" s="5" t="s">
        <v>6</v>
      </c>
      <c r="H6" s="5" t="s">
        <v>7</v>
      </c>
      <c r="I6" s="5" t="s">
        <v>8</v>
      </c>
      <c r="J6" s="1" t="s">
        <v>9</v>
      </c>
      <c r="K6" s="23"/>
      <c r="L6" s="5" t="s">
        <v>1</v>
      </c>
      <c r="M6" s="5" t="s">
        <v>4</v>
      </c>
      <c r="N6" s="5" t="s">
        <v>5</v>
      </c>
      <c r="O6" s="5" t="s">
        <v>6</v>
      </c>
      <c r="P6" s="5" t="s">
        <v>7</v>
      </c>
      <c r="Q6" s="5" t="s">
        <v>8</v>
      </c>
      <c r="R6" s="1" t="s">
        <v>9</v>
      </c>
      <c r="S6" s="23"/>
      <c r="T6" s="5" t="s">
        <v>1</v>
      </c>
      <c r="U6" s="5" t="s">
        <v>4</v>
      </c>
      <c r="V6" s="5" t="s">
        <v>5</v>
      </c>
      <c r="W6" s="5" t="s">
        <v>6</v>
      </c>
      <c r="X6" s="5" t="s">
        <v>7</v>
      </c>
      <c r="Y6" s="5" t="s">
        <v>8</v>
      </c>
      <c r="Z6" s="1" t="s">
        <v>9</v>
      </c>
      <c r="AA6" s="23"/>
      <c r="AB6" s="5" t="s">
        <v>1</v>
      </c>
      <c r="AC6" s="5" t="s">
        <v>4</v>
      </c>
      <c r="AD6" s="5" t="s">
        <v>5</v>
      </c>
      <c r="AE6" s="5" t="s">
        <v>6</v>
      </c>
      <c r="AF6" s="5" t="s">
        <v>7</v>
      </c>
      <c r="AG6" s="5" t="s">
        <v>8</v>
      </c>
      <c r="AH6" s="1" t="s">
        <v>9</v>
      </c>
    </row>
    <row r="7" spans="2:74" ht="12.95" customHeight="1" x14ac:dyDescent="0.25">
      <c r="D7" s="19" t="str">
        <f>IF(AND(YEAR(JanZo1)=HetJaar,MONTH(JanZo1)=1),JanZo1, "")</f>
        <v/>
      </c>
      <c r="E7" s="19" t="str">
        <f>IF(AND(YEAR(JanZo1+1)=HetJaar,MONTH(JanZo1+1)=1),JanZo1+1, "")</f>
        <v/>
      </c>
      <c r="F7" s="19" t="str">
        <f>IF(AND(YEAR(JanZo1+2)=HetJaar,MONTH(JanZo1+2)=1),JanZo1+2, "")</f>
        <v/>
      </c>
      <c r="G7" s="19" t="str">
        <f>IF(AND(YEAR(JanZo1+3)=HetJaar,MONTH(JanZo1+3)=1),JanZo1+3, "")</f>
        <v/>
      </c>
      <c r="H7" s="19">
        <f>IF(AND(YEAR(JanZo1+4)=HetJaar,MONTH(JanZo1+4)=1),JanZo1+4, "")</f>
        <v>42370</v>
      </c>
      <c r="I7" s="19">
        <f>IF(AND(YEAR(JanZo1+5)=HetJaar,MONTH(JanZo1+5)=1),JanZo1+5, "")</f>
        <v>42371</v>
      </c>
      <c r="J7" s="19">
        <f>IF(AND(YEAR(JanZo1+6)=HetJaar,MONTH(JanZo1+6)=1),JanZo1+6, "")</f>
        <v>42372</v>
      </c>
      <c r="K7" s="23"/>
      <c r="L7" s="19">
        <f>IF(AND(YEAR(FebZo1)=HetJaar,MONTH(FebZo1)=2),FebZo1, "")</f>
        <v>42401</v>
      </c>
      <c r="M7" s="19">
        <f>IF(AND(YEAR(FebZo1+1)=HetJaar,MONTH(FebZo1+1)=2),FebZo1+1, "")</f>
        <v>42402</v>
      </c>
      <c r="N7" s="19">
        <f>IF(AND(YEAR(FebZo1+2)=HetJaar,MONTH(FebZo1+2)=2),FebZo1+2, "")</f>
        <v>42403</v>
      </c>
      <c r="O7" s="19">
        <f>IF(AND(YEAR(FebZo1+3)=HetJaar,MONTH(FebZo1+3)=2),FebZo1+3, "")</f>
        <v>42404</v>
      </c>
      <c r="P7" s="19">
        <f>IF(AND(YEAR(FebZo1+4)=HetJaar,MONTH(FebZo1+4)=2),FebZo1+4, "")</f>
        <v>42405</v>
      </c>
      <c r="Q7" s="19">
        <f>IF(AND(YEAR(FebZo1+5)=HetJaar,MONTH(FebZo1+5)=2),FebZo1+5, "")</f>
        <v>42406</v>
      </c>
      <c r="R7" s="19">
        <f>IF(AND(YEAR(FebZo1+6)=HetJaar,MONTH(FebZo1+6)=2),FebZo1+6, "")</f>
        <v>42407</v>
      </c>
      <c r="S7" s="23"/>
      <c r="T7" s="19" t="str">
        <f>IF(AND(YEAR(MaaZo1)=HetJaar,MONTH(MaaZo1)=3),MaaZo1, "")</f>
        <v/>
      </c>
      <c r="U7" s="19">
        <f>IF(AND(YEAR(MaaZo1+1)=HetJaar,MONTH(MaaZo1+1)=3),MaaZo1+1, "")</f>
        <v>42430</v>
      </c>
      <c r="V7" s="19">
        <f>IF(AND(YEAR(MaaZo1+2)=HetJaar,MONTH(MaaZo1+2)=3),MaaZo1+2, "")</f>
        <v>42431</v>
      </c>
      <c r="W7" s="19">
        <f>IF(AND(YEAR(MaaZo1+3)=HetJaar,MONTH(MaaZo1+3)=3),MaaZo1+3, "")</f>
        <v>42432</v>
      </c>
      <c r="X7" s="19">
        <f>IF(AND(YEAR(MaaZo1+4)=HetJaar,MONTH(MaaZo1+4)=3),MaaZo1+4, "")</f>
        <v>42433</v>
      </c>
      <c r="Y7" s="19">
        <f>IF(AND(YEAR(MaaZo1+5)=HetJaar,MONTH(MaaZo1+5)=3),MaaZo1+5, "")</f>
        <v>42434</v>
      </c>
      <c r="Z7" s="19">
        <f>IF(AND(YEAR(MaaZo1+6)=HetJaar,MONTH(MaaZo1+6)=3),MaaZo1+6, "")</f>
        <v>42435</v>
      </c>
      <c r="AA7" s="23"/>
      <c r="AB7" s="19" t="str">
        <f>IF(AND(YEAR(AprZo1)=HetJaar,MONTH(AprZo1)=4),AprZo1, "")</f>
        <v/>
      </c>
      <c r="AC7" s="19" t="str">
        <f>IF(AND(YEAR(AprZo1+1)=HetJaar,MONTH(AprZo1+1)=4),AprZo1+1, "")</f>
        <v/>
      </c>
      <c r="AD7" s="19" t="str">
        <f>IF(AND(YEAR(AprZo1+2)=HetJaar,MONTH(AprZo1+2)=4),AprZo1+2, "")</f>
        <v/>
      </c>
      <c r="AE7" s="19" t="str">
        <f>IF(AND(YEAR(AprZo1+3)=HetJaar,MONTH(AprZo1+3)=4),AprZo1+3, "")</f>
        <v/>
      </c>
      <c r="AF7" s="19">
        <f>IF(AND(YEAR(AprZo1+4)=HetJaar,MONTH(AprZo1+4)=4),AprZo1+4, "")</f>
        <v>42461</v>
      </c>
      <c r="AG7" s="19">
        <f>IF(AND(YEAR(AprZo1+5)=HetJaar,MONTH(AprZo1+5)=4),AprZo1+5, "")</f>
        <v>42462</v>
      </c>
      <c r="AH7" s="19">
        <f>IF(AND(YEAR(AprZo1+6)=HetJaar,MONTH(AprZo1+6)=4),AprZo1+6, "")</f>
        <v>42463</v>
      </c>
    </row>
    <row r="8" spans="2:74" ht="12.95" customHeight="1" x14ac:dyDescent="0.25">
      <c r="D8" s="19">
        <f>IF(AND(YEAR(JanZo1+7)=HetJaar,MONTH(JanZo1+7)=1),JanZo1+7, "")</f>
        <v>42373</v>
      </c>
      <c r="E8" s="19">
        <f>IF(AND(YEAR(JanZo1+8)=HetJaar,MONTH(JanZo1+8)=1),JanZo1+8, "")</f>
        <v>42374</v>
      </c>
      <c r="F8" s="19">
        <f>IF(AND(YEAR(JanZo1+9)=HetJaar,MONTH(JanZo1+9)=1),JanZo1+9, "")</f>
        <v>42375</v>
      </c>
      <c r="G8" s="19">
        <f>IF(AND(YEAR(JanZo1+10)=HetJaar,MONTH(JanZo1+10)=1),JanZo1+10, "")</f>
        <v>42376</v>
      </c>
      <c r="H8" s="19">
        <f>IF(AND(YEAR(JanZo1+11)=HetJaar,MONTH(JanZo1+11)=1),JanZo1+11, "")</f>
        <v>42377</v>
      </c>
      <c r="I8" s="19">
        <f>IF(AND(YEAR(JanZo1+12)=HetJaar,MONTH(JanZo1+12)=1),JanZo1+12, "")</f>
        <v>42378</v>
      </c>
      <c r="J8" s="19">
        <f>IF(AND(YEAR(JanZo1+13)=HetJaar,MONTH(JanZo1+13)=1),JanZo1+13, "")</f>
        <v>42379</v>
      </c>
      <c r="K8" s="23"/>
      <c r="L8" s="19">
        <f>IF(AND(YEAR(FebZo1+7)=HetJaar,MONTH(FebZo1+7)=2),FebZo1+7, "")</f>
        <v>42408</v>
      </c>
      <c r="M8" s="19">
        <f>IF(AND(YEAR(FebZo1+8)=HetJaar,MONTH(FebZo1+8)=2),FebZo1+8, "")</f>
        <v>42409</v>
      </c>
      <c r="N8" s="19">
        <f>IF(AND(YEAR(FebZo1+9)=HetJaar,MONTH(FebZo1+9)=2),FebZo1+9, "")</f>
        <v>42410</v>
      </c>
      <c r="O8" s="19">
        <f>IF(AND(YEAR(FebZo1+10)=HetJaar,MONTH(FebZo1+10)=2),FebZo1+10, "")</f>
        <v>42411</v>
      </c>
      <c r="P8" s="19">
        <f>IF(AND(YEAR(FebZo1+11)=HetJaar,MONTH(FebZo1+11)=2),FebZo1+11, "")</f>
        <v>42412</v>
      </c>
      <c r="Q8" s="19">
        <f>IF(AND(YEAR(FebZo1+12)=HetJaar,MONTH(FebZo1+12)=2),FebZo1+12, "")</f>
        <v>42413</v>
      </c>
      <c r="R8" s="19">
        <f>IF(AND(YEAR(FebZo1+13)=HetJaar,MONTH(FebZo1+13)=2),FebZo1+13, "")</f>
        <v>42414</v>
      </c>
      <c r="S8" s="23"/>
      <c r="T8" s="19">
        <f>IF(AND(YEAR(MaaZo1+7)=HetJaar,MONTH(MaaZo1+7)=3),MaaZo1+7, "")</f>
        <v>42436</v>
      </c>
      <c r="U8" s="19">
        <f>IF(AND(YEAR(MaaZo1+8)=HetJaar,MONTH(MaaZo1+8)=3),MaaZo1+8, "")</f>
        <v>42437</v>
      </c>
      <c r="V8" s="19">
        <f>IF(AND(YEAR(MaaZo1+9)=HetJaar,MONTH(MaaZo1+9)=3),MaaZo1+9, "")</f>
        <v>42438</v>
      </c>
      <c r="W8" s="19">
        <f>IF(AND(YEAR(MaaZo1+10)=HetJaar,MONTH(MaaZo1+10)=3),MaaZo1+10, "")</f>
        <v>42439</v>
      </c>
      <c r="X8" s="19">
        <f>IF(AND(YEAR(MaaZo1+11)=HetJaar,MONTH(MaaZo1+11)=3),MaaZo1+11, "")</f>
        <v>42440</v>
      </c>
      <c r="Y8" s="19">
        <f>IF(AND(YEAR(MaaZo1+12)=HetJaar,MONTH(MaaZo1+12)=3),MaaZo1+12, "")</f>
        <v>42441</v>
      </c>
      <c r="Z8" s="19">
        <f>IF(AND(YEAR(MaaZo1+13)=HetJaar,MONTH(MaaZo1+13)=3),MaaZo1+13, "")</f>
        <v>42442</v>
      </c>
      <c r="AA8" s="23"/>
      <c r="AB8" s="19">
        <f>IF(AND(YEAR(AprZo1+7)=HetJaar,MONTH(AprZo1+7)=4),AprZo1+7, "")</f>
        <v>42464</v>
      </c>
      <c r="AC8" s="19">
        <f>IF(AND(YEAR(AprZo1+8)=HetJaar,MONTH(AprZo1+8)=4),AprZo1+8, "")</f>
        <v>42465</v>
      </c>
      <c r="AD8" s="19">
        <f>IF(AND(YEAR(AprZo1+9)=HetJaar,MONTH(AprZo1+9)=4),AprZo1+9, "")</f>
        <v>42466</v>
      </c>
      <c r="AE8" s="19">
        <f>IF(AND(YEAR(AprZo1+10)=HetJaar,MONTH(AprZo1+10)=4),AprZo1+10, "")</f>
        <v>42467</v>
      </c>
      <c r="AF8" s="19">
        <f>IF(AND(YEAR(AprZo1+11)=HetJaar,MONTH(AprZo1+11)=4),AprZo1+11, "")</f>
        <v>42468</v>
      </c>
      <c r="AG8" s="19">
        <f>IF(AND(YEAR(AprZo1+12)=HetJaar,MONTH(AprZo1+12)=4),AprZo1+12, "")</f>
        <v>42469</v>
      </c>
      <c r="AH8" s="19">
        <f>IF(AND(YEAR(AprZo1+13)=HetJaar,MONTH(AprZo1+13)=4),AprZo1+13, "")</f>
        <v>42470</v>
      </c>
    </row>
    <row r="9" spans="2:74" ht="12.95" customHeight="1" x14ac:dyDescent="0.25">
      <c r="D9" s="19">
        <f>IF(AND(YEAR(JanZo1+14)=HetJaar,MONTH(JanZo1+14)=1),JanZo1+14, "")</f>
        <v>42380</v>
      </c>
      <c r="E9" s="19">
        <f>IF(AND(YEAR(JanZo1+15)=HetJaar,MONTH(JanZo1+15)=1),JanZo1+15, "")</f>
        <v>42381</v>
      </c>
      <c r="F9" s="19">
        <f>IF(AND(YEAR(JanZo1+16)=HetJaar,MONTH(JanZo1+16)=1),JanZo1+16, "")</f>
        <v>42382</v>
      </c>
      <c r="G9" s="19">
        <f>IF(AND(YEAR(JanZo1+17)=HetJaar,MONTH(JanZo1+17)=1),JanZo1+17, "")</f>
        <v>42383</v>
      </c>
      <c r="H9" s="19">
        <f>IF(AND(YEAR(JanZo1+18)=HetJaar,MONTH(JanZo1+18)=1),JanZo1+18, "")</f>
        <v>42384</v>
      </c>
      <c r="I9" s="19">
        <f>IF(AND(YEAR(JanZo1+19)=HetJaar,MONTH(JanZo1+19)=1),JanZo1+19, "")</f>
        <v>42385</v>
      </c>
      <c r="J9" s="19">
        <f>IF(AND(YEAR(JanZo1+20)=HetJaar,MONTH(JanZo1+20)=1),JanZo1+20, "")</f>
        <v>42386</v>
      </c>
      <c r="K9" s="23"/>
      <c r="L9" s="19">
        <f>IF(AND(YEAR(FebZo1+14)=HetJaar,MONTH(FebZo1+14)=2),FebZo1+14, "")</f>
        <v>42415</v>
      </c>
      <c r="M9" s="19">
        <f>IF(AND(YEAR(FebZo1+15)=HetJaar,MONTH(FebZo1+15)=2),FebZo1+15, "")</f>
        <v>42416</v>
      </c>
      <c r="N9" s="19">
        <f>IF(AND(YEAR(FebZo1+16)=HetJaar,MONTH(FebZo1+16)=2),FebZo1+16, "")</f>
        <v>42417</v>
      </c>
      <c r="O9" s="19">
        <f>IF(AND(YEAR(FebZo1+17)=HetJaar,MONTH(FebZo1+17)=2),FebZo1+17, "")</f>
        <v>42418</v>
      </c>
      <c r="P9" s="19">
        <f>IF(AND(YEAR(FebZo1+18)=HetJaar,MONTH(FebZo1+18)=2),FebZo1+18, "")</f>
        <v>42419</v>
      </c>
      <c r="Q9" s="19">
        <f>IF(AND(YEAR(FebZo1+19)=HetJaar,MONTH(FebZo1+19)=2),FebZo1+19, "")</f>
        <v>42420</v>
      </c>
      <c r="R9" s="19">
        <f>IF(AND(YEAR(FebZo1+20)=HetJaar,MONTH(FebZo1+20)=2),FebZo1+20, "")</f>
        <v>42421</v>
      </c>
      <c r="S9" s="23"/>
      <c r="T9" s="19">
        <f>IF(AND(YEAR(MaaZo1+14)=HetJaar,MONTH(MaaZo1+14)=3),MaaZo1+14, "")</f>
        <v>42443</v>
      </c>
      <c r="U9" s="19">
        <f>IF(AND(YEAR(MaaZo1+15)=HetJaar,MONTH(MaaZo1+15)=3),MaaZo1+15, "")</f>
        <v>42444</v>
      </c>
      <c r="V9" s="19">
        <f>IF(AND(YEAR(MaaZo1+16)=HetJaar,MONTH(MaaZo1+16)=3),MaaZo1+16, "")</f>
        <v>42445</v>
      </c>
      <c r="W9" s="19">
        <f>IF(AND(YEAR(MaaZo1+17)=HetJaar,MONTH(MaaZo1+17)=3),MaaZo1+17, "")</f>
        <v>42446</v>
      </c>
      <c r="X9" s="19">
        <f>IF(AND(YEAR(MaaZo1+18)=HetJaar,MONTH(MaaZo1+18)=3),MaaZo1+18, "")</f>
        <v>42447</v>
      </c>
      <c r="Y9" s="19">
        <f>IF(AND(YEAR(MaaZo1+19)=HetJaar,MONTH(MaaZo1+19)=3),MaaZo1+19, "")</f>
        <v>42448</v>
      </c>
      <c r="Z9" s="19">
        <f>IF(AND(YEAR(MaaZo1+20)=HetJaar,MONTH(MaaZo1+20)=3),MaaZo1+20, "")</f>
        <v>42449</v>
      </c>
      <c r="AA9" s="23"/>
      <c r="AB9" s="19">
        <f>IF(AND(YEAR(AprZo1+14)=HetJaar,MONTH(AprZo1+14)=4),AprZo1+14, "")</f>
        <v>42471</v>
      </c>
      <c r="AC9" s="19">
        <f>IF(AND(YEAR(AprZo1+15)=HetJaar,MONTH(AprZo1+15)=4),AprZo1+15, "")</f>
        <v>42472</v>
      </c>
      <c r="AD9" s="19">
        <f>IF(AND(YEAR(AprZo1+16)=HetJaar,MONTH(AprZo1+16)=4),AprZo1+16, "")</f>
        <v>42473</v>
      </c>
      <c r="AE9" s="19">
        <f>IF(AND(YEAR(AprZo1+17)=HetJaar,MONTH(AprZo1+17)=4),AprZo1+17, "")</f>
        <v>42474</v>
      </c>
      <c r="AF9" s="19">
        <f>IF(AND(YEAR(AprZo1+18)=HetJaar,MONTH(AprZo1+18)=4),AprZo1+18, "")</f>
        <v>42475</v>
      </c>
      <c r="AG9" s="19">
        <f>IF(AND(YEAR(AprZo1+19)=HetJaar,MONTH(AprZo1+19)=4),AprZo1+19, "")</f>
        <v>42476</v>
      </c>
      <c r="AH9" s="19">
        <f>IF(AND(YEAR(AprZo1+20)=HetJaar,MONTH(AprZo1+20)=4),AprZo1+20, "")</f>
        <v>42477</v>
      </c>
    </row>
    <row r="10" spans="2:74" ht="12.95" customHeight="1" x14ac:dyDescent="0.25">
      <c r="D10" s="19">
        <f>IF(AND(YEAR(JanZo1+21)=HetJaar,MONTH(JanZo1+21)=1),JanZo1+21, "")</f>
        <v>42387</v>
      </c>
      <c r="E10" s="19">
        <f>IF(AND(YEAR(JanZo1+22)=HetJaar,MONTH(JanZo1+22)=1),JanZo1+22, "")</f>
        <v>42388</v>
      </c>
      <c r="F10" s="19">
        <f>IF(AND(YEAR(JanZo1+23)=HetJaar,MONTH(JanZo1+23)=1),JanZo1+23, "")</f>
        <v>42389</v>
      </c>
      <c r="G10" s="19">
        <f>IF(AND(YEAR(JanZo1+24)=HetJaar,MONTH(JanZo1+24)=1),JanZo1+24, "")</f>
        <v>42390</v>
      </c>
      <c r="H10" s="19">
        <f>IF(AND(YEAR(JanZo1+25)=HetJaar,MONTH(JanZo1+25)=1),JanZo1+25, "")</f>
        <v>42391</v>
      </c>
      <c r="I10" s="19">
        <f>IF(AND(YEAR(JanZo1+26)=HetJaar,MONTH(JanZo1+26)=1),JanZo1+26, "")</f>
        <v>42392</v>
      </c>
      <c r="J10" s="19">
        <f>IF(AND(YEAR(JanZo1+27)=HetJaar,MONTH(JanZo1+27)=1),JanZo1+27, "")</f>
        <v>42393</v>
      </c>
      <c r="K10" s="23"/>
      <c r="L10" s="19">
        <f>IF(AND(YEAR(FebZo1+21)=HetJaar,MONTH(FebZo1+21)=2),FebZo1+21, "")</f>
        <v>42422</v>
      </c>
      <c r="M10" s="19">
        <f>IF(AND(YEAR(FebZo1+22)=HetJaar,MONTH(FebZo1+22)=2),FebZo1+22, "")</f>
        <v>42423</v>
      </c>
      <c r="N10" s="19">
        <f>IF(AND(YEAR(FebZo1+23)=HetJaar,MONTH(FebZo1+23)=2),FebZo1+23, "")</f>
        <v>42424</v>
      </c>
      <c r="O10" s="19">
        <f>IF(AND(YEAR(FebZo1+24)=HetJaar,MONTH(FebZo1+24)=2),FebZo1+24, "")</f>
        <v>42425</v>
      </c>
      <c r="P10" s="19">
        <f>IF(AND(YEAR(FebZo1+25)=HetJaar,MONTH(FebZo1+25)=2),FebZo1+25, "")</f>
        <v>42426</v>
      </c>
      <c r="Q10" s="19">
        <f>IF(AND(YEAR(FebZo1+26)=HetJaar,MONTH(FebZo1+26)=2),FebZo1+26, "")</f>
        <v>42427</v>
      </c>
      <c r="R10" s="19">
        <f>IF(AND(YEAR(FebZo1+27)=HetJaar,MONTH(FebZo1+27)=2),FebZo1+27, "")</f>
        <v>42428</v>
      </c>
      <c r="S10" s="23"/>
      <c r="T10" s="19">
        <f>IF(AND(YEAR(MaaZo1+21)=HetJaar,MONTH(MaaZo1+21)=3),MaaZo1+21, "")</f>
        <v>42450</v>
      </c>
      <c r="U10" s="19">
        <f>IF(AND(YEAR(MaaZo1+22)=HetJaar,MONTH(MaaZo1+22)=3),MaaZo1+22, "")</f>
        <v>42451</v>
      </c>
      <c r="V10" s="19">
        <f>IF(AND(YEAR(MaaZo1+23)=HetJaar,MONTH(MaaZo1+23)=3),MaaZo1+23, "")</f>
        <v>42452</v>
      </c>
      <c r="W10" s="19">
        <f>IF(AND(YEAR(MaaZo1+24)=HetJaar,MONTH(MaaZo1+24)=3),MaaZo1+24, "")</f>
        <v>42453</v>
      </c>
      <c r="X10" s="19">
        <f>IF(AND(YEAR(MaaZo1+25)=HetJaar,MONTH(MaaZo1+25)=3),MaaZo1+25, "")</f>
        <v>42454</v>
      </c>
      <c r="Y10" s="19">
        <f>IF(AND(YEAR(MaaZo1+26)=HetJaar,MONTH(MaaZo1+26)=3),MaaZo1+26, "")</f>
        <v>42455</v>
      </c>
      <c r="Z10" s="19">
        <f>IF(AND(YEAR(MaaZo1+27)=HetJaar,MONTH(MaaZo1+27)=3),MaaZo1+27, "")</f>
        <v>42456</v>
      </c>
      <c r="AA10" s="23"/>
      <c r="AB10" s="19">
        <f>IF(AND(YEAR(AprZo1+21)=HetJaar,MONTH(AprZo1+21)=4),AprZo1+21, "")</f>
        <v>42478</v>
      </c>
      <c r="AC10" s="19">
        <f>IF(AND(YEAR(AprZo1+22)=HetJaar,MONTH(AprZo1+22)=4),AprZo1+22, "")</f>
        <v>42479</v>
      </c>
      <c r="AD10" s="19">
        <f>IF(AND(YEAR(AprZo1+23)=HetJaar,MONTH(AprZo1+23)=4),AprZo1+23, "")</f>
        <v>42480</v>
      </c>
      <c r="AE10" s="19">
        <f>IF(AND(YEAR(AprZo1+24)=HetJaar,MONTH(AprZo1+24)=4),AprZo1+24, "")</f>
        <v>42481</v>
      </c>
      <c r="AF10" s="19">
        <f>IF(AND(YEAR(AprZo1+25)=HetJaar,MONTH(AprZo1+25)=4),AprZo1+25, "")</f>
        <v>42482</v>
      </c>
      <c r="AG10" s="19">
        <f>IF(AND(YEAR(AprZo1+26)=HetJaar,MONTH(AprZo1+26)=4),AprZo1+26, "")</f>
        <v>42483</v>
      </c>
      <c r="AH10" s="19">
        <f>IF(AND(YEAR(AprZo1+27)=HetJaar,MONTH(AprZo1+27)=4),AprZo1+27, "")</f>
        <v>42484</v>
      </c>
    </row>
    <row r="11" spans="2:74" ht="12.95" customHeight="1" x14ac:dyDescent="0.25">
      <c r="D11" s="19">
        <f>IF(AND(YEAR(JanZo1+28)=HetJaar,MONTH(JanZo1+28)=1),JanZo1+28, "")</f>
        <v>42394</v>
      </c>
      <c r="E11" s="19">
        <f>IF(AND(YEAR(JanZo1+29)=HetJaar,MONTH(JanZo1+29)=1),JanZo1+29, "")</f>
        <v>42395</v>
      </c>
      <c r="F11" s="19">
        <f>IF(AND(YEAR(JanZo1+30)=HetJaar,MONTH(JanZo1+30)=1),JanZo1+30, "")</f>
        <v>42396</v>
      </c>
      <c r="G11" s="19">
        <f>IF(AND(YEAR(JanZo1+31)=HetJaar,MONTH(JanZo1+31)=1),JanZo1+31, "")</f>
        <v>42397</v>
      </c>
      <c r="H11" s="19">
        <f>IF(AND(YEAR(JanZo1+32)=HetJaar,MONTH(JanZo1+32)=1),JanZo1+32, "")</f>
        <v>42398</v>
      </c>
      <c r="I11" s="19">
        <f>IF(AND(YEAR(JanZo1+33)=HetJaar,MONTH(JanZo1+33)=1),JanZo1+33, "")</f>
        <v>42399</v>
      </c>
      <c r="J11" s="19">
        <f>IF(AND(YEAR(JanZo1+34)=HetJaar,MONTH(JanZo1+34)=1),JanZo1+34, "")</f>
        <v>42400</v>
      </c>
      <c r="K11" s="23"/>
      <c r="L11" s="19">
        <f>IF(AND(YEAR(FebZo1+28)=HetJaar,MONTH(FebZo1+28)=2),FebZo1+28, "")</f>
        <v>42429</v>
      </c>
      <c r="M11" s="19" t="str">
        <f>IF(AND(YEAR(FebZo1+29)=HetJaar,MONTH(FebZo1+29)=2),FebZo1+29, "")</f>
        <v/>
      </c>
      <c r="N11" s="19" t="str">
        <f>IF(AND(YEAR(FebZo1+30)=HetJaar,MONTH(FebZo1+30)=2),FebZo1+30, "")</f>
        <v/>
      </c>
      <c r="O11" s="19" t="str">
        <f>IF(AND(YEAR(FebZo1+31)=HetJaar,MONTH(FebZo1+31)=2),FebZo1+31, "")</f>
        <v/>
      </c>
      <c r="P11" s="19" t="str">
        <f>IF(AND(YEAR(FebZo1+32)=HetJaar,MONTH(FebZo1+32)=2),FebZo1+32, "")</f>
        <v/>
      </c>
      <c r="Q11" s="19" t="str">
        <f>IF(AND(YEAR(FebZo1+33)=HetJaar,MONTH(FebZo1+33)=2),FebZo1+33, "")</f>
        <v/>
      </c>
      <c r="R11" s="19" t="str">
        <f>IF(AND(YEAR(FebZo1+34)=HetJaar,MONTH(FebZo1+34)=2),FebZo1+34, "")</f>
        <v/>
      </c>
      <c r="S11" s="23"/>
      <c r="T11" s="19">
        <f>IF(AND(YEAR(MaaZo1+28)=HetJaar,MONTH(MaaZo1+28)=3),MaaZo1+28, "")</f>
        <v>42457</v>
      </c>
      <c r="U11" s="19">
        <f>IF(AND(YEAR(MaaZo1+29)=HetJaar,MONTH(MaaZo1+29)=3),MaaZo1+29, "")</f>
        <v>42458</v>
      </c>
      <c r="V11" s="19">
        <f>IF(AND(YEAR(MaaZo1+30)=HetJaar,MONTH(MaaZo1+30)=3),MaaZo1+30, "")</f>
        <v>42459</v>
      </c>
      <c r="W11" s="19">
        <f>IF(AND(YEAR(MaaZo1+31)=HetJaar,MONTH(MaaZo1+31)=3),MaaZo1+31, "")</f>
        <v>42460</v>
      </c>
      <c r="X11" s="19" t="str">
        <f>IF(AND(YEAR(MaaZo1+32)=HetJaar,MONTH(MaaZo1+32)=3),MaaZo1+32, "")</f>
        <v/>
      </c>
      <c r="Y11" s="19" t="str">
        <f>IF(AND(YEAR(MaaZo1+33)=HetJaar,MONTH(MaaZo1+33)=3),MaaZo1+33, "")</f>
        <v/>
      </c>
      <c r="Z11" s="19" t="str">
        <f>IF(AND(YEAR(MaaZo1+34)=HetJaar,MONTH(MaaZo1+34)=3),MaaZo1+34, "")</f>
        <v/>
      </c>
      <c r="AA11" s="23"/>
      <c r="AB11" s="19">
        <f>IF(AND(YEAR(AprZo1+28)=HetJaar,MONTH(AprZo1+28)=4),AprZo1+28, "")</f>
        <v>42485</v>
      </c>
      <c r="AC11" s="19">
        <f>IF(AND(YEAR(AprZo1+29)=HetJaar,MONTH(AprZo1+29)=4),AprZo1+29, "")</f>
        <v>42486</v>
      </c>
      <c r="AD11" s="19">
        <f>IF(AND(YEAR(AprZo1+30)=HetJaar,MONTH(AprZo1+30)=4),AprZo1+30, "")</f>
        <v>42487</v>
      </c>
      <c r="AE11" s="19">
        <f>IF(AND(YEAR(AprZo1+31)=HetJaar,MONTH(AprZo1+31)=4),AprZo1+31, "")</f>
        <v>42488</v>
      </c>
      <c r="AF11" s="19">
        <f>IF(AND(YEAR(AprZo1+32)=HetJaar,MONTH(AprZo1+32)=4),AprZo1+32, "")</f>
        <v>42489</v>
      </c>
      <c r="AG11" s="19">
        <f>IF(AND(YEAR(AprZo1+33)=HetJaar,MONTH(AprZo1+33)=4),AprZo1+33, "")</f>
        <v>42490</v>
      </c>
      <c r="AH11" s="19" t="str">
        <f>IF(AND(YEAR(AprZo1+34)=HetJaar,MONTH(AprZo1+34)=4),AprZo1+34, "")</f>
        <v/>
      </c>
      <c r="AM11" s="13"/>
    </row>
    <row r="12" spans="2:74" ht="12.95" customHeight="1" x14ac:dyDescent="0.25">
      <c r="D12" s="19" t="str">
        <f>IF(AND(YEAR(JanZo1+35)=HetJaar,MONTH(JanZo1+35)=1),JanZo1+35, "")</f>
        <v/>
      </c>
      <c r="E12" s="19" t="str">
        <f>IF(AND(YEAR(JanZo1+36)=HetJaar,MONTH(JanZo1+36)=1),JanZo1+36, "")</f>
        <v/>
      </c>
      <c r="F12" s="19" t="str">
        <f>IF(AND(YEAR(JanZo1+37)=HetJaar,MONTH(JanZo1+37)=1),JanZo1+37, "")</f>
        <v/>
      </c>
      <c r="G12" s="19" t="str">
        <f>IF(AND(YEAR(JanZo1+38)=HetJaar,MONTH(JanZo1+38)=1),JanZo1+38, "")</f>
        <v/>
      </c>
      <c r="H12" s="19" t="str">
        <f>IF(AND(YEAR(JanZo1+39)=HetJaar,MONTH(JanZo1+39)=1),JanZo1+39, "")</f>
        <v/>
      </c>
      <c r="I12" s="19" t="str">
        <f>IF(AND(YEAR(JanZo1+40)=HetJaar,MONTH(JanZo1+40)=1),JanZo1+40, "")</f>
        <v/>
      </c>
      <c r="J12" s="19" t="str">
        <f>IF(AND(YEAR(JanZo1+41)=HetJaar,MONTH(JanZo1+41)=1),JanZo1+41, "")</f>
        <v/>
      </c>
      <c r="K12" s="23"/>
      <c r="L12" s="19" t="str">
        <f>IF(AND(YEAR(FebZo1+35)=HetJaar,MONTH(FebZo1+35)=2),FebZo1+35, "")</f>
        <v/>
      </c>
      <c r="M12" s="19" t="str">
        <f>IF(AND(YEAR(FebZo1+36)=HetJaar,MONTH(FebZo1+36)=2),FebZo1+36, "")</f>
        <v/>
      </c>
      <c r="N12" s="19" t="str">
        <f>IF(AND(YEAR(FebZo1+37)=HetJaar,MONTH(FebZo1+37)=2),FebZo1+37, "")</f>
        <v/>
      </c>
      <c r="O12" s="19" t="str">
        <f>IF(AND(YEAR(FebZo1+38)=HetJaar,MONTH(FebZo1+38)=2),FebZo1+38, "")</f>
        <v/>
      </c>
      <c r="P12" s="19" t="str">
        <f>IF(AND(YEAR(FebZo1+39)=HetJaar,MONTH(FebZo1+39)=2),FebZo1+39, "")</f>
        <v/>
      </c>
      <c r="Q12" s="19" t="str">
        <f>IF(AND(YEAR(FebZo1+40)=HetJaar,MONTH(FebZo1+40)=2),FebZo1+40, "")</f>
        <v/>
      </c>
      <c r="R12" s="19" t="str">
        <f>IF(AND(YEAR(FebZo1+41)=HetJaar,MONTH(FebZo1+41)=2),FebZo1+41, "")</f>
        <v/>
      </c>
      <c r="S12" s="23"/>
      <c r="T12" s="19" t="str">
        <f>IF(AND(YEAR(MaaZo1+35)=HetJaar,MONTH(MaaZo1+35)=3),MaaZo1+35, "")</f>
        <v/>
      </c>
      <c r="U12" s="19" t="str">
        <f>IF(AND(YEAR(MaaZo1+36)=HetJaar,MONTH(MaaZo1+36)=3),MaaZo1+36, "")</f>
        <v/>
      </c>
      <c r="V12" s="19" t="str">
        <f>IF(AND(YEAR(MaaZo1+37)=HetJaar,MONTH(MaaZo1+37)=3),MaaZo1+37, "")</f>
        <v/>
      </c>
      <c r="W12" s="19" t="str">
        <f>IF(AND(YEAR(MaaZo1+38)=HetJaar,MONTH(MaaZo1+38)=3),MaaZo1+38, "")</f>
        <v/>
      </c>
      <c r="X12" s="19" t="str">
        <f>IF(AND(YEAR(MaaZo1+39)=HetJaar,MONTH(MaaZo1+39)=3),MaaZo1+39, "")</f>
        <v/>
      </c>
      <c r="Y12" s="19" t="str">
        <f>IF(AND(YEAR(MaaZo1+40)=HetJaar,MONTH(MaaZo1+40)=3),MaaZo1+40, "")</f>
        <v/>
      </c>
      <c r="Z12" s="19" t="str">
        <f>IF(AND(YEAR(MaaZo1+41)=HetJaar,MONTH(MaaZo1+41)=3),MaaZo1+41, "")</f>
        <v/>
      </c>
      <c r="AA12" s="23"/>
      <c r="AB12" s="19" t="str">
        <f>IF(AND(YEAR(AprZo1+35)=HetJaar,MONTH(AprZo1+35)=4),AprZo1+35, "")</f>
        <v/>
      </c>
      <c r="AC12" s="19" t="str">
        <f>IF(AND(YEAR(AprZo1+36)=HetJaar,MONTH(AprZo1+36)=4),AprZo1+36, "")</f>
        <v/>
      </c>
      <c r="AD12" s="19" t="str">
        <f>IF(AND(YEAR(AprZo1+37)=HetJaar,MONTH(AprZo1+37)=4),AprZo1+37, "")</f>
        <v/>
      </c>
      <c r="AE12" s="19" t="str">
        <f>IF(AND(YEAR(AprZo1+38)=HetJaar,MONTH(AprZo1+38)=4),AprZo1+38, "")</f>
        <v/>
      </c>
      <c r="AF12" s="19" t="str">
        <f>IF(AND(YEAR(AprZo1+39)=HetJaar,MONTH(AprZo1+39)=4),AprZo1+39, "")</f>
        <v/>
      </c>
      <c r="AG12" s="19" t="str">
        <f>IF(AND(YEAR(AprZo1+40)=HetJaar,MONTH(AprZo1+40)=4),AprZo1+40, "")</f>
        <v/>
      </c>
      <c r="AH12" s="19" t="str">
        <f>IF(AND(YEAR(AprZo1+41)=HetJaar,MONTH(AprZo1+41)=4),AprZo1+41, "")</f>
        <v/>
      </c>
    </row>
    <row r="13" spans="2:74" ht="9.9499999999999993" customHeight="1" x14ac:dyDescent="0.25">
      <c r="C13" s="6"/>
      <c r="D13" s="7"/>
      <c r="E13" s="7"/>
      <c r="F13" s="7"/>
      <c r="G13" s="7"/>
      <c r="H13" s="7"/>
      <c r="I13" s="7"/>
      <c r="J13" s="7"/>
      <c r="K13" s="23"/>
      <c r="L13" s="7"/>
      <c r="M13" s="7"/>
      <c r="N13" s="7"/>
      <c r="O13" s="7"/>
      <c r="P13" s="7"/>
      <c r="Q13" s="7"/>
      <c r="R13" s="7"/>
      <c r="S13" s="23"/>
      <c r="T13" s="20"/>
      <c r="U13" s="20"/>
      <c r="V13" s="20"/>
      <c r="W13" s="20"/>
      <c r="X13" s="20"/>
      <c r="Y13" s="20"/>
      <c r="Z13" s="20"/>
      <c r="AA13" s="23"/>
      <c r="AB13" s="7"/>
      <c r="AC13" s="7"/>
      <c r="AD13" s="7"/>
      <c r="AE13" s="7"/>
      <c r="AF13" s="7"/>
      <c r="AG13" s="7"/>
      <c r="AH13" s="7"/>
      <c r="AI13" s="6"/>
    </row>
    <row r="14" spans="2:74" s="3" customFormat="1" ht="24" customHeight="1" x14ac:dyDescent="0.35">
      <c r="D14" s="29" t="s">
        <v>2</v>
      </c>
      <c r="E14" s="29"/>
      <c r="F14" s="29"/>
      <c r="G14" s="29"/>
      <c r="H14" s="29"/>
      <c r="I14" s="29"/>
      <c r="J14" s="29"/>
      <c r="K14" s="22"/>
      <c r="L14" s="29" t="s">
        <v>11</v>
      </c>
      <c r="M14" s="29"/>
      <c r="N14" s="29"/>
      <c r="O14" s="29"/>
      <c r="P14" s="29"/>
      <c r="Q14" s="29"/>
      <c r="R14" s="29"/>
      <c r="S14" s="22"/>
      <c r="T14" s="29" t="s">
        <v>14</v>
      </c>
      <c r="U14" s="29"/>
      <c r="V14" s="29"/>
      <c r="W14" s="29"/>
      <c r="X14" s="29"/>
      <c r="Y14" s="29"/>
      <c r="Z14" s="29"/>
      <c r="AA14" s="22"/>
      <c r="AB14" s="29" t="s">
        <v>17</v>
      </c>
      <c r="AC14" s="29"/>
      <c r="AD14" s="29"/>
      <c r="AE14" s="29"/>
      <c r="AF14" s="29"/>
      <c r="AG14" s="29"/>
      <c r="AH14" s="2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2:74" ht="12.95" customHeight="1" x14ac:dyDescent="0.25">
      <c r="C15" s="4"/>
      <c r="D15" s="5" t="s">
        <v>1</v>
      </c>
      <c r="E15" s="5" t="s">
        <v>4</v>
      </c>
      <c r="F15" s="5" t="s">
        <v>5</v>
      </c>
      <c r="G15" s="5" t="s">
        <v>6</v>
      </c>
      <c r="H15" s="5" t="s">
        <v>7</v>
      </c>
      <c r="I15" s="5" t="s">
        <v>8</v>
      </c>
      <c r="J15" s="1" t="s">
        <v>9</v>
      </c>
      <c r="K15" s="23"/>
      <c r="L15" s="5" t="s">
        <v>1</v>
      </c>
      <c r="M15" s="5" t="s">
        <v>4</v>
      </c>
      <c r="N15" s="5" t="s">
        <v>5</v>
      </c>
      <c r="O15" s="5" t="s">
        <v>6</v>
      </c>
      <c r="P15" s="5" t="s">
        <v>7</v>
      </c>
      <c r="Q15" s="5" t="s">
        <v>8</v>
      </c>
      <c r="R15" s="1" t="s">
        <v>9</v>
      </c>
      <c r="S15" s="23"/>
      <c r="T15" s="5" t="s">
        <v>1</v>
      </c>
      <c r="U15" s="5" t="s">
        <v>4</v>
      </c>
      <c r="V15" s="5" t="s">
        <v>5</v>
      </c>
      <c r="W15" s="5" t="s">
        <v>6</v>
      </c>
      <c r="X15" s="5" t="s">
        <v>7</v>
      </c>
      <c r="Y15" s="5" t="s">
        <v>8</v>
      </c>
      <c r="Z15" s="1" t="s">
        <v>9</v>
      </c>
      <c r="AA15" s="23"/>
      <c r="AB15" s="5" t="s">
        <v>1</v>
      </c>
      <c r="AC15" s="5" t="s">
        <v>4</v>
      </c>
      <c r="AD15" s="5" t="s">
        <v>5</v>
      </c>
      <c r="AE15" s="5" t="s">
        <v>6</v>
      </c>
      <c r="AF15" s="5" t="s">
        <v>7</v>
      </c>
      <c r="AG15" s="5" t="s">
        <v>8</v>
      </c>
      <c r="AH15" s="1" t="s">
        <v>9</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4" ht="12.95" customHeight="1" x14ac:dyDescent="0.25">
      <c r="D16" s="19" t="str">
        <f>IF(AND(YEAR(MeiZo1)=HetJaar,MONTH(MeiZo1)=5),MeiZo1, "")</f>
        <v/>
      </c>
      <c r="E16" s="19" t="str">
        <f>IF(AND(YEAR(MeiZo1+1)=HetJaar,MONTH(MeiZo1+1)=5),MeiZo1+1, "")</f>
        <v/>
      </c>
      <c r="F16" s="19" t="str">
        <f>IF(AND(YEAR(MeiZo1+2)=HetJaar,MONTH(MeiZo1+2)=5),MeiZo1+2, "")</f>
        <v/>
      </c>
      <c r="G16" s="19" t="str">
        <f>IF(AND(YEAR(MeiZo1+3)=HetJaar,MONTH(MeiZo1+3)=5),MeiZo1+3, "")</f>
        <v/>
      </c>
      <c r="H16" s="19" t="str">
        <f>IF(AND(YEAR(MeiZo1+4)=HetJaar,MONTH(MeiZo1+4)=5),MeiZo1+4, "")</f>
        <v/>
      </c>
      <c r="I16" s="19" t="str">
        <f>IF(AND(YEAR(MeiZo1+5)=HetJaar,MONTH(MeiZo1+5)=5),MeiZo1+5, "")</f>
        <v/>
      </c>
      <c r="J16" s="19">
        <f>IF(AND(YEAR(MeiZo1+6)=HetJaar,MONTH(MeiZo1+6)=5),MeiZo1+6, "")</f>
        <v>42491</v>
      </c>
      <c r="K16" s="23"/>
      <c r="L16" s="19" t="str">
        <f>IF(AND(YEAR(JunZo1)=HetJaar,MONTH(JunZo1)=6),JunZo1, "")</f>
        <v/>
      </c>
      <c r="M16" s="19" t="str">
        <f>IF(AND(YEAR(JunZo1+1)=HetJaar,MONTH(JunZo1+1)=6),JunZo1+1, "")</f>
        <v/>
      </c>
      <c r="N16" s="19">
        <f>IF(AND(YEAR(JunZo1+2)=HetJaar,MONTH(JunZo1+2)=6),JunZo1+2, "")</f>
        <v>42522</v>
      </c>
      <c r="O16" s="19">
        <f>IF(AND(YEAR(JunZo1+3)=HetJaar,MONTH(JunZo1+3)=6),JunZo1+3, "")</f>
        <v>42523</v>
      </c>
      <c r="P16" s="19">
        <f>IF(AND(YEAR(JunZo1+4)=HetJaar,MONTH(JunZo1+4)=6),JunZo1+4, "")</f>
        <v>42524</v>
      </c>
      <c r="Q16" s="19">
        <f>IF(AND(YEAR(JunZo1+5)=HetJaar,MONTH(JunZo1+5)=6),JunZo1+5, "")</f>
        <v>42525</v>
      </c>
      <c r="R16" s="19">
        <f>IF(AND(YEAR(JunZo1+6)=HetJaar,MONTH(JunZo1+6)=6),JunZo1+6, "")</f>
        <v>42526</v>
      </c>
      <c r="S16" s="23"/>
      <c r="T16" s="21" t="str">
        <f>IF(AND(YEAR(JulZo1)=HetJaar,MONTH(JulZo1)=7),JulZo1, "")</f>
        <v/>
      </c>
      <c r="U16" s="21" t="str">
        <f>IF(AND(YEAR(JulZo1+1)=HetJaar,MONTH(JulZo1+1)=7),JulZo1+1, "")</f>
        <v/>
      </c>
      <c r="V16" s="21" t="str">
        <f>IF(AND(YEAR(JulZo1+2)=HetJaar,MONTH(JulZo1+2)=7),JulZo1+2, "")</f>
        <v/>
      </c>
      <c r="W16" s="21" t="str">
        <f>IF(AND(YEAR(JulZo1+3)=HetJaar,MONTH(JulZo1+3)=7),JulZo1+3, "")</f>
        <v/>
      </c>
      <c r="X16" s="21">
        <f>IF(AND(YEAR(JulZo1+4)=HetJaar,MONTH(JulZo1+4)=7),JulZo1+4, "")</f>
        <v>42552</v>
      </c>
      <c r="Y16" s="21">
        <f>IF(AND(YEAR(JulZo1+5)=HetJaar,MONTH(JulZo1+5)=7),JulZo1+5, "")</f>
        <v>42553</v>
      </c>
      <c r="Z16" s="21">
        <f>IF(AND(YEAR(JulZo1+6)=HetJaar,MONTH(JulZo1+6)=7),JulZo1+6, "")</f>
        <v>42554</v>
      </c>
      <c r="AA16" s="23"/>
      <c r="AB16" s="21">
        <f>IF(AND(YEAR(AugZo1)=HetJaar,MONTH(AugZo1)=8),AugZo1, "")</f>
        <v>42583</v>
      </c>
      <c r="AC16" s="21">
        <f>IF(AND(YEAR(AugZo1+1)=HetJaar,MONTH(AugZo1+1)=8),AugZo1+1, "")</f>
        <v>42584</v>
      </c>
      <c r="AD16" s="21">
        <f>IF(AND(YEAR(AugZo1+2)=HetJaar,MONTH(AugZo1+2)=8),AugZo1+2, "")</f>
        <v>42585</v>
      </c>
      <c r="AE16" s="21">
        <f>IF(AND(YEAR(AugZo1+3)=HetJaar,MONTH(AugZo1+3)=8),AugZo1+3, "")</f>
        <v>42586</v>
      </c>
      <c r="AF16" s="21">
        <f>IF(AND(YEAR(AugZo1+4)=HetJaar,MONTH(AugZo1+4)=8),AugZo1+4, "")</f>
        <v>42587</v>
      </c>
      <c r="AG16" s="21">
        <f>IF(AND(YEAR(AugZo1+5)=HetJaar,MONTH(AugZo1+5)=8),AugZo1+5, "")</f>
        <v>42588</v>
      </c>
      <c r="AH16" s="21">
        <f>IF(AND(YEAR(AugZo1+6)=HetJaar,MONTH(AugZo1+6)=8),AugZo1+6, "")</f>
        <v>42589</v>
      </c>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80" ht="12.95" customHeight="1" x14ac:dyDescent="0.25">
      <c r="D17" s="19">
        <f>IF(AND(YEAR(MeiZo1+7)=HetJaar,MONTH(MeiZo1+7)=5),MeiZo1+7, "")</f>
        <v>42492</v>
      </c>
      <c r="E17" s="19">
        <f>IF(AND(YEAR(MeiZo1+8)=HetJaar,MONTH(MeiZo1+8)=5),MeiZo1+8, "")</f>
        <v>42493</v>
      </c>
      <c r="F17" s="19">
        <f>IF(AND(YEAR(MeiZo1+9)=HetJaar,MONTH(MeiZo1+9)=5),MeiZo1+9, "")</f>
        <v>42494</v>
      </c>
      <c r="G17" s="19">
        <f>IF(AND(YEAR(MeiZo1+10)=HetJaar,MONTH(MeiZo1+10)=5),MeiZo1+10, "")</f>
        <v>42495</v>
      </c>
      <c r="H17" s="19">
        <f>IF(AND(YEAR(MeiZo1+11)=HetJaar,MONTH(MeiZo1+11)=5),MeiZo1+11, "")</f>
        <v>42496</v>
      </c>
      <c r="I17" s="19">
        <f>IF(AND(YEAR(MeiZo1+12)=HetJaar,MONTH(MeiZo1+12)=5),MeiZo1+12, "")</f>
        <v>42497</v>
      </c>
      <c r="J17" s="19">
        <f>IF(AND(YEAR(MeiZo1+13)=HetJaar,MONTH(MeiZo1+13)=5),MeiZo1+13, "")</f>
        <v>42498</v>
      </c>
      <c r="K17" s="23"/>
      <c r="L17" s="19">
        <f>IF(AND(YEAR(JunZo1+7)=HetJaar,MONTH(JunZo1+7)=6),JunZo1+7, "")</f>
        <v>42527</v>
      </c>
      <c r="M17" s="19">
        <f>IF(AND(YEAR(JunZo1+8)=HetJaar,MONTH(JunZo1+8)=6),JunZo1+8, "")</f>
        <v>42528</v>
      </c>
      <c r="N17" s="19">
        <f>IF(AND(YEAR(JunZo1+9)=HetJaar,MONTH(JunZo1+9)=6),JunZo1+9, "")</f>
        <v>42529</v>
      </c>
      <c r="O17" s="19">
        <f>IF(AND(YEAR(JunZo1+10)=HetJaar,MONTH(JunZo1+10)=6),JunZo1+10, "")</f>
        <v>42530</v>
      </c>
      <c r="P17" s="19">
        <f>IF(AND(YEAR(JunZo1+11)=HetJaar,MONTH(JunZo1+11)=6),JunZo1+11, "")</f>
        <v>42531</v>
      </c>
      <c r="Q17" s="19">
        <f>IF(AND(YEAR(JunZo1+12)=HetJaar,MONTH(JunZo1+12)=6),JunZo1+12, "")</f>
        <v>42532</v>
      </c>
      <c r="R17" s="19">
        <f>IF(AND(YEAR(JunZo1+13)=HetJaar,MONTH(JunZo1+13)=6),JunZo1+13, "")</f>
        <v>42533</v>
      </c>
      <c r="S17" s="23"/>
      <c r="T17" s="21">
        <f>IF(AND(YEAR(JulZo1+7)=HetJaar,MONTH(JulZo1+7)=7),JulZo1+7, "")</f>
        <v>42555</v>
      </c>
      <c r="U17" s="21">
        <f>IF(AND(YEAR(JulZo1+8)=HetJaar,MONTH(JulZo1+8)=7),JulZo1+8, "")</f>
        <v>42556</v>
      </c>
      <c r="V17" s="21">
        <f>IF(AND(YEAR(JulZo1+9)=HetJaar,MONTH(JulZo1+9)=7),JulZo1+9, "")</f>
        <v>42557</v>
      </c>
      <c r="W17" s="21">
        <f>IF(AND(YEAR(JulZo1+10)=HetJaar,MONTH(JulZo1+10)=7),JulZo1+10, "")</f>
        <v>42558</v>
      </c>
      <c r="X17" s="21">
        <f>IF(AND(YEAR(JulZo1+11)=HetJaar,MONTH(JulZo1+11)=7),JulZo1+11, "")</f>
        <v>42559</v>
      </c>
      <c r="Y17" s="21">
        <f>IF(AND(YEAR(JulZo1+12)=HetJaar,MONTH(JulZo1+12)=7),JulZo1+12, "")</f>
        <v>42560</v>
      </c>
      <c r="Z17" s="21">
        <f>IF(AND(YEAR(JulZo1+13)=HetJaar,MONTH(JulZo1+13)=7),JulZo1+13, "")</f>
        <v>42561</v>
      </c>
      <c r="AA17" s="23"/>
      <c r="AB17" s="21">
        <f>IF(AND(YEAR(AugZo1+7)=HetJaar,MONTH(AugZo1+7)=8),AugZo1+7, "")</f>
        <v>42590</v>
      </c>
      <c r="AC17" s="21">
        <f>IF(AND(YEAR(AugZo1+8)=HetJaar,MONTH(AugZo1+8)=8),AugZo1+8, "")</f>
        <v>42591</v>
      </c>
      <c r="AD17" s="21">
        <f>IF(AND(YEAR(AugZo1+9)=HetJaar,MONTH(AugZo1+9)=8),AugZo1+9, "")</f>
        <v>42592</v>
      </c>
      <c r="AE17" s="21">
        <f>IF(AND(YEAR(AugZo1+10)=HetJaar,MONTH(AugZo1+10)=8),AugZo1+10, "")</f>
        <v>42593</v>
      </c>
      <c r="AF17" s="21">
        <f>IF(AND(YEAR(AugZo1+11)=HetJaar,MONTH(AugZo1+11)=8),AugZo1+11, "")</f>
        <v>42594</v>
      </c>
      <c r="AG17" s="21">
        <f>IF(AND(YEAR(AugZo1+12)=HetJaar,MONTH(AugZo1+12)=8),AugZo1+12, "")</f>
        <v>42595</v>
      </c>
      <c r="AH17" s="21">
        <f>IF(AND(YEAR(AugZo1+13)=HetJaar,MONTH(AugZo1+13)=8),AugZo1+13, "")</f>
        <v>42596</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80" ht="12.95" customHeight="1" x14ac:dyDescent="0.25">
      <c r="D18" s="19">
        <f>IF(AND(YEAR(MeiZo1+14)=HetJaar,MONTH(MeiZo1+14)=5),MeiZo1+14, "")</f>
        <v>42499</v>
      </c>
      <c r="E18" s="19">
        <f>IF(AND(YEAR(MeiZo1+15)=HetJaar,MONTH(MeiZo1+15)=5),MeiZo1+15, "")</f>
        <v>42500</v>
      </c>
      <c r="F18" s="19">
        <f>IF(AND(YEAR(MeiZo1+16)=HetJaar,MONTH(MeiZo1+16)=5),MeiZo1+16, "")</f>
        <v>42501</v>
      </c>
      <c r="G18" s="19">
        <f>IF(AND(YEAR(MeiZo1+17)=HetJaar,MONTH(MeiZo1+17)=5),MeiZo1+17, "")</f>
        <v>42502</v>
      </c>
      <c r="H18" s="19">
        <f>IF(AND(YEAR(MeiZo1+18)=HetJaar,MONTH(MeiZo1+18)=5),MeiZo1+18, "")</f>
        <v>42503</v>
      </c>
      <c r="I18" s="19">
        <f>IF(AND(YEAR(MeiZo1+19)=HetJaar,MONTH(MeiZo1+19)=5),MeiZo1+19, "")</f>
        <v>42504</v>
      </c>
      <c r="J18" s="19">
        <f>IF(AND(YEAR(MeiZo1+20)=HetJaar,MONTH(MeiZo1+20)=5),MeiZo1+20, "")</f>
        <v>42505</v>
      </c>
      <c r="K18" s="23"/>
      <c r="L18" s="19">
        <f>IF(AND(YEAR(JunZo1+14)=HetJaar,MONTH(JunZo1+14)=6),JunZo1+14, "")</f>
        <v>42534</v>
      </c>
      <c r="M18" s="19">
        <f>IF(AND(YEAR(JunZo1+15)=HetJaar,MONTH(JunZo1+15)=6),JunZo1+15, "")</f>
        <v>42535</v>
      </c>
      <c r="N18" s="19">
        <f>IF(AND(YEAR(JunZo1+16)=HetJaar,MONTH(JunZo1+16)=6),JunZo1+16, "")</f>
        <v>42536</v>
      </c>
      <c r="O18" s="19">
        <f>IF(AND(YEAR(JunZo1+17)=HetJaar,MONTH(JunZo1+17)=6),JunZo1+17, "")</f>
        <v>42537</v>
      </c>
      <c r="P18" s="19">
        <f>IF(AND(YEAR(JunZo1+18)=HetJaar,MONTH(JunZo1+18)=6),JunZo1+18, "")</f>
        <v>42538</v>
      </c>
      <c r="Q18" s="19">
        <f>IF(AND(YEAR(JunZo1+19)=HetJaar,MONTH(JunZo1+19)=6),JunZo1+19, "")</f>
        <v>42539</v>
      </c>
      <c r="R18" s="19">
        <f>IF(AND(YEAR(JunZo1+20)=HetJaar,MONTH(JunZo1+20)=6),JunZo1+20, "")</f>
        <v>42540</v>
      </c>
      <c r="S18" s="23"/>
      <c r="T18" s="21">
        <f>IF(AND(YEAR(JulZo1+14)=HetJaar,MONTH(JulZo1+14)=7),JulZo1+14, "")</f>
        <v>42562</v>
      </c>
      <c r="U18" s="21">
        <f>IF(AND(YEAR(JulZo1+15)=HetJaar,MONTH(JulZo1+15)=7),JulZo1+15, "")</f>
        <v>42563</v>
      </c>
      <c r="V18" s="21">
        <f>IF(AND(YEAR(JulZo1+16)=HetJaar,MONTH(JulZo1+16)=7),JulZo1+16, "")</f>
        <v>42564</v>
      </c>
      <c r="W18" s="21">
        <f>IF(AND(YEAR(JulZo1+17)=HetJaar,MONTH(JulZo1+17)=7),JulZo1+17, "")</f>
        <v>42565</v>
      </c>
      <c r="X18" s="21">
        <f>IF(AND(YEAR(JulZo1+18)=HetJaar,MONTH(JulZo1+18)=7),JulZo1+18, "")</f>
        <v>42566</v>
      </c>
      <c r="Y18" s="21">
        <f>IF(AND(YEAR(JulZo1+19)=HetJaar,MONTH(JulZo1+19)=7),JulZo1+19, "")</f>
        <v>42567</v>
      </c>
      <c r="Z18" s="21">
        <f>IF(AND(YEAR(JulZo1+20)=HetJaar,MONTH(JulZo1+20)=7),JulZo1+20, "")</f>
        <v>42568</v>
      </c>
      <c r="AA18" s="23"/>
      <c r="AB18" s="21">
        <f>IF(AND(YEAR(AugZo1+14)=HetJaar,MONTH(AugZo1+14)=8),AugZo1+14, "")</f>
        <v>42597</v>
      </c>
      <c r="AC18" s="21">
        <f>IF(AND(YEAR(AugZo1+15)=HetJaar,MONTH(AugZo1+15)=8),AugZo1+15, "")</f>
        <v>42598</v>
      </c>
      <c r="AD18" s="21">
        <f>IF(AND(YEAR(AugZo1+16)=HetJaar,MONTH(AugZo1+16)=8),AugZo1+16, "")</f>
        <v>42599</v>
      </c>
      <c r="AE18" s="21">
        <f>IF(AND(YEAR(AugZo1+17)=HetJaar,MONTH(AugZo1+17)=8),AugZo1+17, "")</f>
        <v>42600</v>
      </c>
      <c r="AF18" s="21">
        <f>IF(AND(YEAR(AugZo1+18)=HetJaar,MONTH(AugZo1+18)=8),AugZo1+18, "")</f>
        <v>42601</v>
      </c>
      <c r="AG18" s="21">
        <f>IF(AND(YEAR(AugZo1+19)=HetJaar,MONTH(AugZo1+19)=8),AugZo1+19, "")</f>
        <v>42602</v>
      </c>
      <c r="AH18" s="21">
        <f>IF(AND(YEAR(AugZo1+20)=HetJaar,MONTH(AugZo1+20)=8),AugZo1+20, "")</f>
        <v>42603</v>
      </c>
    </row>
    <row r="19" spans="2:80" ht="12.95" customHeight="1" x14ac:dyDescent="0.25">
      <c r="D19" s="19">
        <f>IF(AND(YEAR(MeiZo1+21)=HetJaar,MONTH(MeiZo1+21)=5),MeiZo1+21, "")</f>
        <v>42506</v>
      </c>
      <c r="E19" s="19">
        <f>IF(AND(YEAR(MeiZo1+22)=HetJaar,MONTH(MeiZo1+22)=5),MeiZo1+22, "")</f>
        <v>42507</v>
      </c>
      <c r="F19" s="19">
        <f>IF(AND(YEAR(MeiZo1+23)=HetJaar,MONTH(MeiZo1+23)=5),MeiZo1+23, "")</f>
        <v>42508</v>
      </c>
      <c r="G19" s="19">
        <f>IF(AND(YEAR(MeiZo1+24)=HetJaar,MONTH(MeiZo1+24)=5),MeiZo1+24, "")</f>
        <v>42509</v>
      </c>
      <c r="H19" s="19">
        <f>IF(AND(YEAR(MeiZo1+25)=HetJaar,MONTH(MeiZo1+25)=5),MeiZo1+25, "")</f>
        <v>42510</v>
      </c>
      <c r="I19" s="19">
        <f>IF(AND(YEAR(MeiZo1+26)=HetJaar,MONTH(MeiZo1+26)=5),MeiZo1+26, "")</f>
        <v>42511</v>
      </c>
      <c r="J19" s="19">
        <f>IF(AND(YEAR(MeiZo1+27)=HetJaar,MONTH(MeiZo1+27)=5),MeiZo1+27, "")</f>
        <v>42512</v>
      </c>
      <c r="K19" s="23"/>
      <c r="L19" s="19">
        <f>IF(AND(YEAR(JunZo1+21)=HetJaar,MONTH(JunZo1+21)=6),JunZo1+21, "")</f>
        <v>42541</v>
      </c>
      <c r="M19" s="19">
        <f>IF(AND(YEAR(JunZo1+22)=HetJaar,MONTH(JunZo1+22)=6),JunZo1+22, "")</f>
        <v>42542</v>
      </c>
      <c r="N19" s="19">
        <f>IF(AND(YEAR(JunZo1+23)=HetJaar,MONTH(JunZo1+23)=6),JunZo1+23, "")</f>
        <v>42543</v>
      </c>
      <c r="O19" s="19">
        <f>IF(AND(YEAR(JunZo1+24)=HetJaar,MONTH(JunZo1+24)=6),JunZo1+24, "")</f>
        <v>42544</v>
      </c>
      <c r="P19" s="19">
        <f>IF(AND(YEAR(JunZo1+25)=HetJaar,MONTH(JunZo1+25)=6),JunZo1+25, "")</f>
        <v>42545</v>
      </c>
      <c r="Q19" s="19">
        <f>IF(AND(YEAR(JunZo1+26)=HetJaar,MONTH(JunZo1+26)=6),JunZo1+26, "")</f>
        <v>42546</v>
      </c>
      <c r="R19" s="19">
        <f>IF(AND(YEAR(JunZo1+27)=HetJaar,MONTH(JunZo1+27)=6),JunZo1+27, "")</f>
        <v>42547</v>
      </c>
      <c r="S19" s="23"/>
      <c r="T19" s="21">
        <f>IF(AND(YEAR(JulZo1+21)=HetJaar,MONTH(JulZo1+21)=7),JulZo1+21, "")</f>
        <v>42569</v>
      </c>
      <c r="U19" s="21">
        <f>IF(AND(YEAR(JulZo1+22)=HetJaar,MONTH(JulZo1+22)=7),JulZo1+22, "")</f>
        <v>42570</v>
      </c>
      <c r="V19" s="21">
        <f>IF(AND(YEAR(JulZo1+23)=HetJaar,MONTH(JulZo1+23)=7),JulZo1+23, "")</f>
        <v>42571</v>
      </c>
      <c r="W19" s="21">
        <f>IF(AND(YEAR(JulZo1+24)=HetJaar,MONTH(JulZo1+24)=7),JulZo1+24, "")</f>
        <v>42572</v>
      </c>
      <c r="X19" s="21">
        <f>IF(AND(YEAR(JulZo1+25)=HetJaar,MONTH(JulZo1+25)=7),JulZo1+25, "")</f>
        <v>42573</v>
      </c>
      <c r="Y19" s="21">
        <f>IF(AND(YEAR(JulZo1+26)=HetJaar,MONTH(JulZo1+26)=7),JulZo1+26, "")</f>
        <v>42574</v>
      </c>
      <c r="Z19" s="21">
        <f>IF(AND(YEAR(JulZo1+27)=HetJaar,MONTH(JulZo1+27)=7),JulZo1+27, "")</f>
        <v>42575</v>
      </c>
      <c r="AA19" s="23"/>
      <c r="AB19" s="21">
        <f>IF(AND(YEAR(AugZo1+21)=HetJaar,MONTH(AugZo1+21)=8),AugZo1+21, "")</f>
        <v>42604</v>
      </c>
      <c r="AC19" s="21">
        <f>IF(AND(YEAR(AugZo1+22)=HetJaar,MONTH(AugZo1+22)=8),AugZo1+22, "")</f>
        <v>42605</v>
      </c>
      <c r="AD19" s="21">
        <f>IF(AND(YEAR(AugZo1+23)=HetJaar,MONTH(AugZo1+23)=8),AugZo1+23, "")</f>
        <v>42606</v>
      </c>
      <c r="AE19" s="21">
        <f>IF(AND(YEAR(AugZo1+24)=HetJaar,MONTH(AugZo1+24)=8),AugZo1+24, "")</f>
        <v>42607</v>
      </c>
      <c r="AF19" s="21">
        <f>IF(AND(YEAR(AugZo1+25)=HetJaar,MONTH(AugZo1+25)=8),AugZo1+25, "")</f>
        <v>42608</v>
      </c>
      <c r="AG19" s="21">
        <f>IF(AND(YEAR(AugZo1+26)=HetJaar,MONTH(AugZo1+26)=8),AugZo1+26, "")</f>
        <v>42609</v>
      </c>
      <c r="AH19" s="21">
        <f>IF(AND(YEAR(AugZo1+27)=HetJaar,MONTH(AugZo1+27)=8),AugZo1+27, "")</f>
        <v>42610</v>
      </c>
    </row>
    <row r="20" spans="2:80" ht="12.95" customHeight="1" x14ac:dyDescent="0.25">
      <c r="D20" s="19">
        <f>IF(AND(YEAR(MeiZo1+28)=HetJaar,MONTH(MeiZo1+28)=5),MeiZo1+28, "")</f>
        <v>42513</v>
      </c>
      <c r="E20" s="19">
        <f>IF(AND(YEAR(MeiZo1+29)=HetJaar,MONTH(MeiZo1+29)=5),MeiZo1+29, "")</f>
        <v>42514</v>
      </c>
      <c r="F20" s="19">
        <f>IF(AND(YEAR(MeiZo1+30)=HetJaar,MONTH(MeiZo1+30)=5),MeiZo1+30, "")</f>
        <v>42515</v>
      </c>
      <c r="G20" s="19">
        <f>IF(AND(YEAR(MeiZo1+31)=HetJaar,MONTH(MeiZo1+31)=5),MeiZo1+31, "")</f>
        <v>42516</v>
      </c>
      <c r="H20" s="19">
        <f>IF(AND(YEAR(MeiZo1+32)=HetJaar,MONTH(MeiZo1+32)=5),MeiZo1+32, "")</f>
        <v>42517</v>
      </c>
      <c r="I20" s="19">
        <f>IF(AND(YEAR(MeiZo1+33)=HetJaar,MONTH(MeiZo1+33)=5),MeiZo1+33, "")</f>
        <v>42518</v>
      </c>
      <c r="J20" s="19">
        <f>IF(AND(YEAR(MeiZo1+34)=HetJaar,MONTH(MeiZo1+34)=5),MeiZo1+34, "")</f>
        <v>42519</v>
      </c>
      <c r="K20" s="23"/>
      <c r="L20" s="19">
        <f>IF(AND(YEAR(JunZo1+28)=HetJaar,MONTH(JunZo1+28)=6),JunZo1+28, "")</f>
        <v>42548</v>
      </c>
      <c r="M20" s="19">
        <f>IF(AND(YEAR(JunZo1+29)=HetJaar,MONTH(JunZo1+29)=6),JunZo1+29, "")</f>
        <v>42549</v>
      </c>
      <c r="N20" s="19">
        <f>IF(AND(YEAR(JunZo1+30)=HetJaar,MONTH(JunZo1+30)=6),JunZo1+30, "")</f>
        <v>42550</v>
      </c>
      <c r="O20" s="19">
        <f>IF(AND(YEAR(JunZo1+31)=HetJaar,MONTH(JunZo1+31)=6),JunZo1+31, "")</f>
        <v>42551</v>
      </c>
      <c r="P20" s="19" t="str">
        <f>IF(AND(YEAR(JunZo1+32)=HetJaar,MONTH(JunZo1+32)=6),JunZo1+32, "")</f>
        <v/>
      </c>
      <c r="Q20" s="19" t="str">
        <f>IF(AND(YEAR(JunZo1+33)=HetJaar,MONTH(JunZo1+33)=6),JunZo1+33, "")</f>
        <v/>
      </c>
      <c r="R20" s="19" t="str">
        <f>IF(AND(YEAR(JunZo1+34)=HetJaar,MONTH(JunZo1+34)=6),JunZo1+34, "")</f>
        <v/>
      </c>
      <c r="S20" s="23"/>
      <c r="T20" s="21">
        <f>IF(AND(YEAR(JulZo1+28)=HetJaar,MONTH(JulZo1+28)=7),JulZo1+28, "")</f>
        <v>42576</v>
      </c>
      <c r="U20" s="21">
        <f>IF(AND(YEAR(JulZo1+29)=HetJaar,MONTH(JulZo1+29)=7),JulZo1+29, "")</f>
        <v>42577</v>
      </c>
      <c r="V20" s="21">
        <f>IF(AND(YEAR(JulZo1+30)=HetJaar,MONTH(JulZo1+30)=7),JulZo1+30, "")</f>
        <v>42578</v>
      </c>
      <c r="W20" s="21">
        <f>IF(AND(YEAR(JulZo1+31)=HetJaar,MONTH(JulZo1+31)=7),JulZo1+31, "")</f>
        <v>42579</v>
      </c>
      <c r="X20" s="21">
        <f>IF(AND(YEAR(JulZo1+32)=HetJaar,MONTH(JulZo1+32)=7),JulZo1+32, "")</f>
        <v>42580</v>
      </c>
      <c r="Y20" s="21">
        <f>IF(AND(YEAR(JulZo1+33)=HetJaar,MONTH(JulZo1+33)=7),JulZo1+33, "")</f>
        <v>42581</v>
      </c>
      <c r="Z20" s="21">
        <f>IF(AND(YEAR(JulZo1+34)=HetJaar,MONTH(JulZo1+34)=7),JulZo1+34, "")</f>
        <v>42582</v>
      </c>
      <c r="AA20" s="23"/>
      <c r="AB20" s="21">
        <f>IF(AND(YEAR(AugZo1+28)=HetJaar,MONTH(AugZo1+28)=8),AugZo1+28, "")</f>
        <v>42611</v>
      </c>
      <c r="AC20" s="21">
        <f>IF(AND(YEAR(AugZo1+29)=HetJaar,MONTH(AugZo1+29)=8),AugZo1+29, "")</f>
        <v>42612</v>
      </c>
      <c r="AD20" s="21">
        <f>IF(AND(YEAR(AugZo1+30)=HetJaar,MONTH(AugZo1+30)=8),AugZo1+30, "")</f>
        <v>42613</v>
      </c>
      <c r="AE20" s="21" t="str">
        <f>IF(AND(YEAR(AugZo1+31)=HetJaar,MONTH(AugZo1+31)=8),AugZo1+31, "")</f>
        <v/>
      </c>
      <c r="AF20" s="21" t="str">
        <f>IF(AND(YEAR(AugZo1+32)=HetJaar,MONTH(AugZo1+32)=8),AugZo1+32, "")</f>
        <v/>
      </c>
      <c r="AG20" s="21" t="str">
        <f>IF(AND(YEAR(AugZo1+33)=HetJaar,MONTH(AugZo1+33)=8),AugZo1+33, "")</f>
        <v/>
      </c>
      <c r="AH20" s="21" t="str">
        <f>IF(AND(YEAR(AugZo1+34)=HetJaar,MONTH(AugZo1+34)=8),AugZo1+34, "")</f>
        <v/>
      </c>
    </row>
    <row r="21" spans="2:80" ht="12.95" customHeight="1" x14ac:dyDescent="0.25">
      <c r="D21" s="19">
        <f>IF(AND(YEAR(MeiZo1+35)=HetJaar,MONTH(MeiZo1+35)=5),MeiZo1+35, "")</f>
        <v>42520</v>
      </c>
      <c r="E21" s="19">
        <f>IF(AND(YEAR(MeiZo1+36)=HetJaar,MONTH(MeiZo1+36)=5),MeiZo1+36, "")</f>
        <v>42521</v>
      </c>
      <c r="F21" s="19" t="str">
        <f>IF(AND(YEAR(MeiZo1+37)=HetJaar,MONTH(MeiZo1+37)=5),MeiZo1+37, "")</f>
        <v/>
      </c>
      <c r="G21" s="19" t="str">
        <f>IF(AND(YEAR(MeiZo1+38)=HetJaar,MONTH(MeiZo1+38)=5),MeiZo1+38, "")</f>
        <v/>
      </c>
      <c r="H21" s="19" t="str">
        <f>IF(AND(YEAR(MeiZo1+39)=HetJaar,MONTH(MeiZo1+39)=5),MeiZo1+39, "")</f>
        <v/>
      </c>
      <c r="I21" s="19" t="str">
        <f>IF(AND(YEAR(MeiZo1+40)=HetJaar,MONTH(MeiZo1+40)=5),MeiZo1+40, "")</f>
        <v/>
      </c>
      <c r="J21" s="19" t="str">
        <f>IF(AND(YEAR(MeiZo1+41)=HetJaar,MONTH(MeiZo1+41)=5),MeiZo1+41, "")</f>
        <v/>
      </c>
      <c r="K21" s="23"/>
      <c r="L21" s="19" t="str">
        <f>IF(AND(YEAR(JunZo1+35)=HetJaar,MONTH(JunZo1+35)=6),JunZo1+35, "")</f>
        <v/>
      </c>
      <c r="M21" s="19" t="str">
        <f>IF(AND(YEAR(JunZo1+36)=HetJaar,MONTH(JunZo1+36)=6),JunZo1+36, "")</f>
        <v/>
      </c>
      <c r="N21" s="19" t="str">
        <f>IF(AND(YEAR(JunZo1+37)=HetJaar,MONTH(JunZo1+37)=6),JunZo1+37, "")</f>
        <v/>
      </c>
      <c r="O21" s="19" t="str">
        <f>IF(AND(YEAR(JunZo1+38)=HetJaar,MONTH(JunZo1+38)=6),JunZo1+38, "")</f>
        <v/>
      </c>
      <c r="P21" s="19" t="str">
        <f>IF(AND(YEAR(JunZo1+39)=HetJaar,MONTH(JunZo1+39)=6),JunZo1+39, "")</f>
        <v/>
      </c>
      <c r="Q21" s="19" t="str">
        <f>IF(AND(YEAR(JunZo1+40)=HetJaar,MONTH(JunZo1+40)=6),JunZo1+40, "")</f>
        <v/>
      </c>
      <c r="R21" s="19" t="str">
        <f>IF(AND(YEAR(JunZo1+41)=HetJaar,MONTH(JunZo1+41)=6),JunZo1+41, "")</f>
        <v/>
      </c>
      <c r="S21" s="23"/>
      <c r="T21" s="21" t="str">
        <f>IF(AND(YEAR(JulZo1+35)=HetJaar,MONTH(JulZo1+35)=7),JulZo1+35, "")</f>
        <v/>
      </c>
      <c r="U21" s="21" t="str">
        <f>IF(AND(YEAR(JulZo1+36)=HetJaar,MONTH(JulZo1+36)=7),JulZo1+36, "")</f>
        <v/>
      </c>
      <c r="V21" s="21" t="str">
        <f>IF(AND(YEAR(JulZo1+37)=HetJaar,MONTH(JulZo1+37)=7),JulZo1+37, "")</f>
        <v/>
      </c>
      <c r="W21" s="21" t="str">
        <f>IF(AND(YEAR(JulZo1+38)=HetJaar,MONTH(JulZo1+38)=7),JulZo1+38, "")</f>
        <v/>
      </c>
      <c r="X21" s="21" t="str">
        <f>IF(AND(YEAR(JulZo1+39)=HetJaar,MONTH(JulZo1+39)=7),JulZo1+39, "")</f>
        <v/>
      </c>
      <c r="Y21" s="21" t="str">
        <f>IF(AND(YEAR(JulZo1+40)=HetJaar,MONTH(JulZo1+40)=7),JulZo1+40, "")</f>
        <v/>
      </c>
      <c r="Z21" s="21" t="str">
        <f>IF(AND(YEAR(JulZo1+41)=HetJaar,MONTH(JulZo1+41)=7),JulZo1+41, "")</f>
        <v/>
      </c>
      <c r="AA21" s="23"/>
      <c r="AB21" s="21" t="str">
        <f>IF(AND(YEAR(AugZo1+35)=HetJaar,MONTH(AugZo1+35)=8),AugZo1+35, "")</f>
        <v/>
      </c>
      <c r="AC21" s="21" t="str">
        <f>IF(AND(YEAR(AugZo1+36)=HetJaar,MONTH(AugZo1+36)=8),AugZo1+36, "")</f>
        <v/>
      </c>
      <c r="AD21" s="21" t="str">
        <f>IF(AND(YEAR(AugZo1+37)=HetJaar,MONTH(AugZo1+37)=8),AugZo1+37, "")</f>
        <v/>
      </c>
      <c r="AE21" s="21" t="str">
        <f>IF(AND(YEAR(AugZo1+38)=HetJaar,MONTH(AugZo1+38)=8),AugZo1+38, "")</f>
        <v/>
      </c>
      <c r="AF21" s="21" t="str">
        <f>IF(AND(YEAR(AugZo1+39)=HetJaar,MONTH(AugZo1+39)=8),AugZo1+39, "")</f>
        <v/>
      </c>
      <c r="AG21" s="21" t="str">
        <f>IF(AND(YEAR(AugZo1+40)=HetJaar,MONTH(AugZo1+40)=8),AugZo1+40, "")</f>
        <v/>
      </c>
      <c r="AH21" s="21" t="str">
        <f>IF(AND(YEAR(AugZo1+41)=HetJaar,MONTH(AugZo1+41)=8),AugZo1+41, "")</f>
        <v/>
      </c>
    </row>
    <row r="22" spans="2:80" ht="9.9499999999999993" customHeight="1" x14ac:dyDescent="0.25">
      <c r="C22" s="6"/>
      <c r="D22" s="7"/>
      <c r="E22" s="7"/>
      <c r="F22" s="7"/>
      <c r="G22" s="7"/>
      <c r="H22" s="7"/>
      <c r="I22" s="7"/>
      <c r="J22" s="7"/>
      <c r="K22" s="23"/>
      <c r="L22" s="20"/>
      <c r="M22" s="20"/>
      <c r="N22" s="20"/>
      <c r="O22" s="20"/>
      <c r="P22" s="20"/>
      <c r="Q22" s="20"/>
      <c r="R22" s="20"/>
      <c r="S22" s="23"/>
      <c r="T22" s="7"/>
      <c r="U22" s="7"/>
      <c r="V22" s="7"/>
      <c r="W22" s="7"/>
      <c r="X22" s="7"/>
      <c r="Y22" s="7"/>
      <c r="Z22" s="7"/>
      <c r="AA22" s="23"/>
      <c r="AB22" s="7"/>
      <c r="AC22" s="7"/>
      <c r="AD22" s="7"/>
      <c r="AE22" s="7"/>
      <c r="AF22" s="7"/>
      <c r="AG22" s="7"/>
      <c r="AH22" s="7"/>
      <c r="AI22" s="6"/>
    </row>
    <row r="23" spans="2:80" s="3" customFormat="1" ht="24" customHeight="1" x14ac:dyDescent="0.35">
      <c r="D23" s="29" t="s">
        <v>3</v>
      </c>
      <c r="E23" s="29"/>
      <c r="F23" s="29"/>
      <c r="G23" s="29"/>
      <c r="H23" s="29"/>
      <c r="I23" s="29"/>
      <c r="J23" s="29"/>
      <c r="K23" s="22"/>
      <c r="L23" s="29" t="s">
        <v>12</v>
      </c>
      <c r="M23" s="29"/>
      <c r="N23" s="29"/>
      <c r="O23" s="29"/>
      <c r="P23" s="29"/>
      <c r="Q23" s="29"/>
      <c r="R23" s="29"/>
      <c r="S23" s="22"/>
      <c r="T23" s="29" t="s">
        <v>15</v>
      </c>
      <c r="U23" s="29"/>
      <c r="V23" s="29"/>
      <c r="W23" s="29"/>
      <c r="X23" s="29"/>
      <c r="Y23" s="29"/>
      <c r="Z23" s="29"/>
      <c r="AA23" s="22"/>
      <c r="AB23" s="29" t="s">
        <v>18</v>
      </c>
      <c r="AC23" s="29"/>
      <c r="AD23" s="29"/>
      <c r="AE23" s="29"/>
      <c r="AF23" s="29"/>
      <c r="AG23" s="29"/>
      <c r="AH23" s="29"/>
    </row>
    <row r="24" spans="2:80" ht="12.95" customHeight="1" x14ac:dyDescent="0.25">
      <c r="C24" s="4"/>
      <c r="D24" s="5" t="s">
        <v>1</v>
      </c>
      <c r="E24" s="5" t="s">
        <v>4</v>
      </c>
      <c r="F24" s="5" t="s">
        <v>5</v>
      </c>
      <c r="G24" s="5" t="s">
        <v>6</v>
      </c>
      <c r="H24" s="5" t="s">
        <v>7</v>
      </c>
      <c r="I24" s="5" t="s">
        <v>8</v>
      </c>
      <c r="J24" s="1" t="s">
        <v>9</v>
      </c>
      <c r="K24" s="23"/>
      <c r="L24" s="5" t="s">
        <v>1</v>
      </c>
      <c r="M24" s="5" t="s">
        <v>4</v>
      </c>
      <c r="N24" s="5" t="s">
        <v>5</v>
      </c>
      <c r="O24" s="5" t="s">
        <v>6</v>
      </c>
      <c r="P24" s="5" t="s">
        <v>7</v>
      </c>
      <c r="Q24" s="5" t="s">
        <v>8</v>
      </c>
      <c r="R24" s="1" t="s">
        <v>9</v>
      </c>
      <c r="S24" s="24"/>
      <c r="T24" s="5" t="s">
        <v>1</v>
      </c>
      <c r="U24" s="5" t="s">
        <v>4</v>
      </c>
      <c r="V24" s="5" t="s">
        <v>5</v>
      </c>
      <c r="W24" s="5" t="s">
        <v>6</v>
      </c>
      <c r="X24" s="5" t="s">
        <v>7</v>
      </c>
      <c r="Y24" s="5" t="s">
        <v>8</v>
      </c>
      <c r="Z24" s="1" t="s">
        <v>9</v>
      </c>
      <c r="AA24" s="24"/>
      <c r="AB24" s="5" t="s">
        <v>1</v>
      </c>
      <c r="AC24" s="5" t="s">
        <v>4</v>
      </c>
      <c r="AD24" s="5" t="s">
        <v>5</v>
      </c>
      <c r="AE24" s="5" t="s">
        <v>6</v>
      </c>
      <c r="AF24" s="5" t="s">
        <v>7</v>
      </c>
      <c r="AG24" s="5" t="s">
        <v>8</v>
      </c>
      <c r="AH24" s="1" t="s">
        <v>9</v>
      </c>
    </row>
    <row r="25" spans="2:80" ht="12.95" customHeight="1" x14ac:dyDescent="0.25">
      <c r="D25" s="21" t="str">
        <f>IF(AND(YEAR(SepZo1)=HetJaar,MONTH(SepZo1)=9),SepZo1, "")</f>
        <v/>
      </c>
      <c r="E25" s="21" t="str">
        <f>IF(AND(YEAR(SepZo1+1)=HetJaar,MONTH(SepZo1+1)=9),SepZo1+1, "")</f>
        <v/>
      </c>
      <c r="F25" s="21" t="str">
        <f>IF(AND(YEAR(SepZo1+2)=HetJaar,MONTH(SepZo1+2)=9),SepZo1+2, "")</f>
        <v/>
      </c>
      <c r="G25" s="21">
        <f>IF(AND(YEAR(SepZo1+3)=HetJaar,MONTH(SepZo1+3)=9),SepZo1+3, "")</f>
        <v>42614</v>
      </c>
      <c r="H25" s="21">
        <f>IF(AND(YEAR(SepZo1+4)=HetJaar,MONTH(SepZo1+4)=9),SepZo1+4, "")</f>
        <v>42615</v>
      </c>
      <c r="I25" s="21">
        <f>IF(AND(YEAR(SepZo1+5)=HetJaar,MONTH(SepZo1+5)=9),SepZo1+5, "")</f>
        <v>42616</v>
      </c>
      <c r="J25" s="21">
        <f>IF(AND(YEAR(SepZo1+6)=HetJaar,MONTH(SepZo1+6)=9),SepZo1+6, "")</f>
        <v>42617</v>
      </c>
      <c r="K25" s="23"/>
      <c r="L25" s="21" t="str">
        <f>IF(AND(YEAR(OktZo1)=HetJaar,MONTH(OktZo1)=10),OktZo1, "")</f>
        <v/>
      </c>
      <c r="M25" s="21" t="str">
        <f>IF(AND(YEAR(OktZo1+1)=HetJaar,MONTH(OktZo1+1)=10),OktZo1+1, "")</f>
        <v/>
      </c>
      <c r="N25" s="21" t="str">
        <f>IF(AND(YEAR(OktZo1+2)=HetJaar,MONTH(OktZo1+2)=10),OktZo1+2, "")</f>
        <v/>
      </c>
      <c r="O25" s="21" t="str">
        <f>IF(AND(YEAR(OktZo1+3)=HetJaar,MONTH(OktZo1+3)=10),OktZo1+3, "")</f>
        <v/>
      </c>
      <c r="P25" s="21" t="str">
        <f>IF(AND(YEAR(OktZo1+4)=HetJaar,MONTH(OktZo1+4)=10),OktZo1+4, "")</f>
        <v/>
      </c>
      <c r="Q25" s="21">
        <f>IF(AND(YEAR(OktZo1+5)=HetJaar,MONTH(OktZo1+5)=10),OktZo1+5, "")</f>
        <v>42644</v>
      </c>
      <c r="R25" s="21">
        <f>IF(AND(YEAR(OktZo1+6)=HetJaar,MONTH(OktZo1+6)=10),OktZo1+6, "")</f>
        <v>42645</v>
      </c>
      <c r="S25" s="24"/>
      <c r="T25" s="21" t="str">
        <f>IF(AND(YEAR(NovZo1)=HetJaar,MONTH(NovZo1)=11),NovZo1, "")</f>
        <v/>
      </c>
      <c r="U25" s="21">
        <f>IF(AND(YEAR(NovZo1+1)=HetJaar,MONTH(NovZo1+1)=11),NovZo1+1, "")</f>
        <v>42675</v>
      </c>
      <c r="V25" s="21">
        <f>IF(AND(YEAR(NovZo1+2)=HetJaar,MONTH(NovZo1+2)=11),NovZo1+2, "")</f>
        <v>42676</v>
      </c>
      <c r="W25" s="21">
        <f>IF(AND(YEAR(NovZo1+3)=HetJaar,MONTH(NovZo1+3)=11),NovZo1+3, "")</f>
        <v>42677</v>
      </c>
      <c r="X25" s="21">
        <f>IF(AND(YEAR(NovZo1+4)=HetJaar,MONTH(NovZo1+4)=11),NovZo1+4, "")</f>
        <v>42678</v>
      </c>
      <c r="Y25" s="21">
        <f>IF(AND(YEAR(NovZo1+5)=HetJaar,MONTH(NovZo1+5)=11),NovZo1+5, "")</f>
        <v>42679</v>
      </c>
      <c r="Z25" s="21">
        <f>IF(AND(YEAR(NovZo1+6)=HetJaar,MONTH(NovZo1+6)=11),NovZo1+6, "")</f>
        <v>42680</v>
      </c>
      <c r="AA25" s="24"/>
      <c r="AB25" s="21" t="str">
        <f>IF(AND(YEAR(DecZo1)=HetJaar,MONTH(DecZo1)=12),DecZo1, "")</f>
        <v/>
      </c>
      <c r="AC25" s="21" t="str">
        <f>IF(AND(YEAR(DecZo1+1)=HetJaar,MONTH(DecZo1+1)=12),DecZo1+1, "")</f>
        <v/>
      </c>
      <c r="AD25" s="21" t="str">
        <f>IF(AND(YEAR(DecZo1+2)=HetJaar,MONTH(DecZo1+2)=12),DecZo1+2, "")</f>
        <v/>
      </c>
      <c r="AE25" s="21">
        <f>IF(AND(YEAR(DecZo1+3)=HetJaar,MONTH(DecZo1+3)=12),DecZo1+3, "")</f>
        <v>42705</v>
      </c>
      <c r="AF25" s="21">
        <f>IF(AND(YEAR(DecZo1+4)=HetJaar,MONTH(DecZo1+4)=12),DecZo1+4, "")</f>
        <v>42706</v>
      </c>
      <c r="AG25" s="21">
        <f>IF(AND(YEAR(DecZo1+5)=HetJaar,MONTH(DecZo1+5)=12),DecZo1+5, "")</f>
        <v>42707</v>
      </c>
      <c r="AH25" s="21">
        <f>IF(AND(YEAR(DecZo1+6)=HetJaar,MONTH(DecZo1+6)=12),DecZo1+6, "")</f>
        <v>42708</v>
      </c>
    </row>
    <row r="26" spans="2:80" ht="12.95" customHeight="1" x14ac:dyDescent="0.25">
      <c r="D26" s="21">
        <f>IF(AND(YEAR(SepZo1+7)=HetJaar,MONTH(SepZo1+7)=9),SepZo1+7, "")</f>
        <v>42618</v>
      </c>
      <c r="E26" s="21">
        <f>IF(AND(YEAR(SepZo1+8)=HetJaar,MONTH(SepZo1+8)=9),SepZo1+8, "")</f>
        <v>42619</v>
      </c>
      <c r="F26" s="21">
        <f>IF(AND(YEAR(SepZo1+9)=HetJaar,MONTH(SepZo1+9)=9),SepZo1+9, "")</f>
        <v>42620</v>
      </c>
      <c r="G26" s="21">
        <f>IF(AND(YEAR(SepZo1+10)=HetJaar,MONTH(SepZo1+10)=9),SepZo1+10, "")</f>
        <v>42621</v>
      </c>
      <c r="H26" s="21">
        <f>IF(AND(YEAR(SepZo1+11)=HetJaar,MONTH(SepZo1+11)=9),SepZo1+11, "")</f>
        <v>42622</v>
      </c>
      <c r="I26" s="21">
        <f>IF(AND(YEAR(SepZo1+12)=HetJaar,MONTH(SepZo1+12)=9),SepZo1+12, "")</f>
        <v>42623</v>
      </c>
      <c r="J26" s="21">
        <f>IF(AND(YEAR(SepZo1+13)=HetJaar,MONTH(SepZo1+13)=9),SepZo1+13, "")</f>
        <v>42624</v>
      </c>
      <c r="K26" s="23"/>
      <c r="L26" s="21">
        <f>IF(AND(YEAR(OktZo1+7)=HetJaar,MONTH(OktZo1+7)=10),OktZo1+7, "")</f>
        <v>42646</v>
      </c>
      <c r="M26" s="21">
        <f>IF(AND(YEAR(OktZo1+8)=HetJaar,MONTH(OktZo1+8)=10),OktZo1+8, "")</f>
        <v>42647</v>
      </c>
      <c r="N26" s="21">
        <f>IF(AND(YEAR(OktZo1+9)=HetJaar,MONTH(OktZo1+9)=10),OktZo1+9, "")</f>
        <v>42648</v>
      </c>
      <c r="O26" s="21">
        <f>IF(AND(YEAR(OktZo1+10)=HetJaar,MONTH(OktZo1+10)=10),OktZo1+10, "")</f>
        <v>42649</v>
      </c>
      <c r="P26" s="21">
        <f>IF(AND(YEAR(OktZo1+11)=HetJaar,MONTH(OktZo1+11)=10),OktZo1+11, "")</f>
        <v>42650</v>
      </c>
      <c r="Q26" s="21">
        <f>IF(AND(YEAR(OktZo1+12)=HetJaar,MONTH(OktZo1+12)=10),OktZo1+12, "")</f>
        <v>42651</v>
      </c>
      <c r="R26" s="21">
        <f>IF(AND(YEAR(OktZo1+13)=HetJaar,MONTH(OktZo1+13)=10),OktZo1+13, "")</f>
        <v>42652</v>
      </c>
      <c r="S26" s="24"/>
      <c r="T26" s="21">
        <f>IF(AND(YEAR(NovZo1+7)=HetJaar,MONTH(NovZo1+7)=11),NovZo1+7, "")</f>
        <v>42681</v>
      </c>
      <c r="U26" s="21">
        <f>IF(AND(YEAR(NovZo1+8)=HetJaar,MONTH(NovZo1+8)=11),NovZo1+8, "")</f>
        <v>42682</v>
      </c>
      <c r="V26" s="21">
        <f>IF(AND(YEAR(NovZo1+9)=HetJaar,MONTH(NovZo1+9)=11),NovZo1+9, "")</f>
        <v>42683</v>
      </c>
      <c r="W26" s="21">
        <f>IF(AND(YEAR(NovZo1+10)=HetJaar,MONTH(NovZo1+10)=11),NovZo1+10, "")</f>
        <v>42684</v>
      </c>
      <c r="X26" s="21">
        <f>IF(AND(YEAR(NovZo1+11)=HetJaar,MONTH(NovZo1+11)=11),NovZo1+11, "")</f>
        <v>42685</v>
      </c>
      <c r="Y26" s="21">
        <f>IF(AND(YEAR(NovZo1+12)=HetJaar,MONTH(NovZo1+12)=11),NovZo1+12, "")</f>
        <v>42686</v>
      </c>
      <c r="Z26" s="21">
        <f>IF(AND(YEAR(NovZo1+13)=HetJaar,MONTH(NovZo1+13)=11),NovZo1+13, "")</f>
        <v>42687</v>
      </c>
      <c r="AA26" s="24"/>
      <c r="AB26" s="21">
        <f>IF(AND(YEAR(DecZo1+7)=HetJaar,MONTH(DecZo1+7)=12),DecZo1+7, "")</f>
        <v>42709</v>
      </c>
      <c r="AC26" s="21">
        <f>IF(AND(YEAR(DecZo1+8)=HetJaar,MONTH(DecZo1+8)=12),DecZo1+8, "")</f>
        <v>42710</v>
      </c>
      <c r="AD26" s="21">
        <f>IF(AND(YEAR(DecZo1+9)=HetJaar,MONTH(DecZo1+9)=12),DecZo1+9, "")</f>
        <v>42711</v>
      </c>
      <c r="AE26" s="21">
        <f>IF(AND(YEAR(DecZo1+10)=HetJaar,MONTH(DecZo1+10)=12),DecZo1+10, "")</f>
        <v>42712</v>
      </c>
      <c r="AF26" s="21">
        <f>IF(AND(YEAR(DecZo1+11)=HetJaar,MONTH(DecZo1+11)=12),DecZo1+11, "")</f>
        <v>42713</v>
      </c>
      <c r="AG26" s="21">
        <f>IF(AND(YEAR(DecZo1+12)=HetJaar,MONTH(DecZo1+12)=12),DecZo1+12, "")</f>
        <v>42714</v>
      </c>
      <c r="AH26" s="21">
        <f>IF(AND(YEAR(DecZo1+13)=HetJaar,MONTH(DecZo1+13)=12),DecZo1+13, "")</f>
        <v>42715</v>
      </c>
      <c r="AV26" s="18">
        <v>2010</v>
      </c>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row>
    <row r="27" spans="2:80" ht="12.95" customHeight="1" x14ac:dyDescent="0.25">
      <c r="D27" s="21">
        <f>IF(AND(YEAR(SepZo1+14)=HetJaar,MONTH(SepZo1+14)=9),SepZo1+14, "")</f>
        <v>42625</v>
      </c>
      <c r="E27" s="21">
        <f>IF(AND(YEAR(SepZo1+15)=HetJaar,MONTH(SepZo1+15)=9),SepZo1+15, "")</f>
        <v>42626</v>
      </c>
      <c r="F27" s="21">
        <f>IF(AND(YEAR(SepZo1+16)=HetJaar,MONTH(SepZo1+16)=9),SepZo1+16, "")</f>
        <v>42627</v>
      </c>
      <c r="G27" s="21">
        <f>IF(AND(YEAR(SepZo1+17)=HetJaar,MONTH(SepZo1+17)=9),SepZo1+17, "")</f>
        <v>42628</v>
      </c>
      <c r="H27" s="21">
        <f>IF(AND(YEAR(SepZo1+18)=HetJaar,MONTH(SepZo1+18)=9),SepZo1+18, "")</f>
        <v>42629</v>
      </c>
      <c r="I27" s="21">
        <f>IF(AND(YEAR(SepZo1+19)=HetJaar,MONTH(SepZo1+19)=9),SepZo1+19, "")</f>
        <v>42630</v>
      </c>
      <c r="J27" s="21">
        <f>IF(AND(YEAR(SepZo1+20)=HetJaar,MONTH(SepZo1+20)=9),SepZo1+20, "")</f>
        <v>42631</v>
      </c>
      <c r="K27" s="23"/>
      <c r="L27" s="21">
        <f>IF(AND(YEAR(OktZo1+14)=HetJaar,MONTH(OktZo1+14)=10),OktZo1+14, "")</f>
        <v>42653</v>
      </c>
      <c r="M27" s="21">
        <f>IF(AND(YEAR(OktZo1+15)=HetJaar,MONTH(OktZo1+15)=10),OktZo1+15, "")</f>
        <v>42654</v>
      </c>
      <c r="N27" s="21">
        <f>IF(AND(YEAR(OktZo1+16)=HetJaar,MONTH(OktZo1+16)=10),OktZo1+16, "")</f>
        <v>42655</v>
      </c>
      <c r="O27" s="21">
        <f>IF(AND(YEAR(OktZo1+17)=HetJaar,MONTH(OktZo1+17)=10),OktZo1+17, "")</f>
        <v>42656</v>
      </c>
      <c r="P27" s="21">
        <f>IF(AND(YEAR(OktZo1+18)=HetJaar,MONTH(OktZo1+18)=10),OktZo1+18, "")</f>
        <v>42657</v>
      </c>
      <c r="Q27" s="21">
        <f>IF(AND(YEAR(OktZo1+19)=HetJaar,MONTH(OktZo1+19)=10),OktZo1+19, "")</f>
        <v>42658</v>
      </c>
      <c r="R27" s="21">
        <f>IF(AND(YEAR(OktZo1+20)=HetJaar,MONTH(OktZo1+20)=10),OktZo1+20, "")</f>
        <v>42659</v>
      </c>
      <c r="S27" s="24"/>
      <c r="T27" s="21">
        <f>IF(AND(YEAR(NovZo1+14)=HetJaar,MONTH(NovZo1+14)=11),NovZo1+14, "")</f>
        <v>42688</v>
      </c>
      <c r="U27" s="21">
        <f>IF(AND(YEAR(NovZo1+15)=HetJaar,MONTH(NovZo1+15)=11),NovZo1+15, "")</f>
        <v>42689</v>
      </c>
      <c r="V27" s="21">
        <f>IF(AND(YEAR(NovZo1+16)=HetJaar,MONTH(NovZo1+16)=11),NovZo1+16, "")</f>
        <v>42690</v>
      </c>
      <c r="W27" s="21">
        <f>IF(AND(YEAR(NovZo1+17)=HetJaar,MONTH(NovZo1+17)=11),NovZo1+17, "")</f>
        <v>42691</v>
      </c>
      <c r="X27" s="21">
        <f>IF(AND(YEAR(NovZo1+18)=HetJaar,MONTH(NovZo1+18)=11),NovZo1+18, "")</f>
        <v>42692</v>
      </c>
      <c r="Y27" s="21">
        <f>IF(AND(YEAR(NovZo1+19)=HetJaar,MONTH(NovZo1+19)=11),NovZo1+19, "")</f>
        <v>42693</v>
      </c>
      <c r="Z27" s="21">
        <f>IF(AND(YEAR(NovZo1+20)=HetJaar,MONTH(NovZo1+20)=11),NovZo1+20, "")</f>
        <v>42694</v>
      </c>
      <c r="AA27" s="24"/>
      <c r="AB27" s="21">
        <f>IF(AND(YEAR(DecZo1+14)=HetJaar,MONTH(DecZo1+14)=12),DecZo1+14, "")</f>
        <v>42716</v>
      </c>
      <c r="AC27" s="21">
        <f>IF(AND(YEAR(DecZo1+15)=HetJaar,MONTH(DecZo1+15)=12),DecZo1+15, "")</f>
        <v>42717</v>
      </c>
      <c r="AD27" s="21">
        <f>IF(AND(YEAR(DecZo1+16)=HetJaar,MONTH(DecZo1+16)=12),DecZo1+16, "")</f>
        <v>42718</v>
      </c>
      <c r="AE27" s="21">
        <f>IF(AND(YEAR(DecZo1+17)=HetJaar,MONTH(DecZo1+17)=12),DecZo1+17, "")</f>
        <v>42719</v>
      </c>
      <c r="AF27" s="21">
        <f>IF(AND(YEAR(DecZo1+18)=HetJaar,MONTH(DecZo1+18)=12),DecZo1+18, "")</f>
        <v>42720</v>
      </c>
      <c r="AG27" s="21">
        <f>IF(AND(YEAR(DecZo1+19)=HetJaar,MONTH(DecZo1+19)=12),DecZo1+19, "")</f>
        <v>42721</v>
      </c>
      <c r="AH27" s="21">
        <f>IF(AND(YEAR(DecZo1+20)=HetJaar,MONTH(DecZo1+20)=12),DecZo1+20, "")</f>
        <v>42722</v>
      </c>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row>
    <row r="28" spans="2:80" ht="12.95" customHeight="1" x14ac:dyDescent="0.25">
      <c r="D28" s="21">
        <f>IF(AND(YEAR(SepZo1+21)=HetJaar,MONTH(SepZo1+21)=9),SepZo1+21, "")</f>
        <v>42632</v>
      </c>
      <c r="E28" s="21">
        <f>IF(AND(YEAR(SepZo1+22)=HetJaar,MONTH(SepZo1+22)=9),SepZo1+22, "")</f>
        <v>42633</v>
      </c>
      <c r="F28" s="21">
        <f>IF(AND(YEAR(SepZo1+23)=HetJaar,MONTH(SepZo1+23)=9),SepZo1+23, "")</f>
        <v>42634</v>
      </c>
      <c r="G28" s="21">
        <f>IF(AND(YEAR(SepZo1+24)=HetJaar,MONTH(SepZo1+24)=9),SepZo1+24, "")</f>
        <v>42635</v>
      </c>
      <c r="H28" s="21">
        <f>IF(AND(YEAR(SepZo1+25)=HetJaar,MONTH(SepZo1+25)=9),SepZo1+25, "")</f>
        <v>42636</v>
      </c>
      <c r="I28" s="21">
        <f>IF(AND(YEAR(SepZo1+26)=HetJaar,MONTH(SepZo1+26)=9),SepZo1+26, "")</f>
        <v>42637</v>
      </c>
      <c r="J28" s="21">
        <f>IF(AND(YEAR(SepZo1+27)=HetJaar,MONTH(SepZo1+27)=9),SepZo1+27, "")</f>
        <v>42638</v>
      </c>
      <c r="K28" s="23"/>
      <c r="L28" s="21">
        <f>IF(AND(YEAR(OktZo1+21)=HetJaar,MONTH(OktZo1+21)=10),OktZo1+21, "")</f>
        <v>42660</v>
      </c>
      <c r="M28" s="21">
        <f>IF(AND(YEAR(OktZo1+22)=HetJaar,MONTH(OktZo1+22)=10),OktZo1+22, "")</f>
        <v>42661</v>
      </c>
      <c r="N28" s="21">
        <f>IF(AND(YEAR(OktZo1+23)=HetJaar,MONTH(OktZo1+23)=10),OktZo1+23, "")</f>
        <v>42662</v>
      </c>
      <c r="O28" s="21">
        <f>IF(AND(YEAR(OktZo1+24)=HetJaar,MONTH(OktZo1+24)=10),OktZo1+24, "")</f>
        <v>42663</v>
      </c>
      <c r="P28" s="21">
        <f>IF(AND(YEAR(OktZo1+25)=HetJaar,MONTH(OktZo1+25)=10),OktZo1+25, "")</f>
        <v>42664</v>
      </c>
      <c r="Q28" s="21">
        <f>IF(AND(YEAR(OktZo1+26)=HetJaar,MONTH(OktZo1+26)=10),OktZo1+26, "")</f>
        <v>42665</v>
      </c>
      <c r="R28" s="21">
        <f>IF(AND(YEAR(OktZo1+27)=HetJaar,MONTH(OktZo1+27)=10),OktZo1+27, "")</f>
        <v>42666</v>
      </c>
      <c r="S28" s="24"/>
      <c r="T28" s="21">
        <f>IF(AND(YEAR(NovZo1+21)=HetJaar,MONTH(NovZo1+21)=11),NovZo1+21, "")</f>
        <v>42695</v>
      </c>
      <c r="U28" s="21">
        <f>IF(AND(YEAR(NovZo1+22)=HetJaar,MONTH(NovZo1+22)=11),NovZo1+22, "")</f>
        <v>42696</v>
      </c>
      <c r="V28" s="21">
        <f>IF(AND(YEAR(NovZo1+23)=HetJaar,MONTH(NovZo1+23)=11),NovZo1+23, "")</f>
        <v>42697</v>
      </c>
      <c r="W28" s="21">
        <f>IF(AND(YEAR(NovZo1+24)=HetJaar,MONTH(NovZo1+24)=11),NovZo1+24, "")</f>
        <v>42698</v>
      </c>
      <c r="X28" s="21">
        <f>IF(AND(YEAR(NovZo1+25)=HetJaar,MONTH(NovZo1+25)=11),NovZo1+25, "")</f>
        <v>42699</v>
      </c>
      <c r="Y28" s="21">
        <f>IF(AND(YEAR(NovZo1+26)=HetJaar,MONTH(NovZo1+26)=11),NovZo1+26, "")</f>
        <v>42700</v>
      </c>
      <c r="Z28" s="21">
        <f>IF(AND(YEAR(NovZo1+27)=HetJaar,MONTH(NovZo1+27)=11),NovZo1+27, "")</f>
        <v>42701</v>
      </c>
      <c r="AA28" s="24"/>
      <c r="AB28" s="21">
        <f>IF(AND(YEAR(DecZo1+21)=HetJaar,MONTH(DecZo1+21)=12),DecZo1+21, "")</f>
        <v>42723</v>
      </c>
      <c r="AC28" s="21">
        <f>IF(AND(YEAR(DecZo1+22)=HetJaar,MONTH(DecZo1+22)=12),DecZo1+22, "")</f>
        <v>42724</v>
      </c>
      <c r="AD28" s="21">
        <f>IF(AND(YEAR(DecZo1+23)=HetJaar,MONTH(DecZo1+23)=12),DecZo1+23, "")</f>
        <v>42725</v>
      </c>
      <c r="AE28" s="21">
        <f>IF(AND(YEAR(DecZo1+24)=HetJaar,MONTH(DecZo1+24)=12),DecZo1+24, "")</f>
        <v>42726</v>
      </c>
      <c r="AF28" s="21">
        <f>IF(AND(YEAR(DecZo1+25)=HetJaar,MONTH(DecZo1+25)=12),DecZo1+25, "")</f>
        <v>42727</v>
      </c>
      <c r="AG28" s="21">
        <f>IF(AND(YEAR(DecZo1+26)=HetJaar,MONTH(DecZo1+26)=12),DecZo1+26, "")</f>
        <v>42728</v>
      </c>
      <c r="AH28" s="21">
        <f>IF(AND(YEAR(DecZo1+27)=HetJaar,MONTH(DecZo1+27)=12),DecZo1+27, "")</f>
        <v>42729</v>
      </c>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row>
    <row r="29" spans="2:80" ht="12.95" customHeight="1" x14ac:dyDescent="0.25">
      <c r="D29" s="21">
        <f>IF(AND(YEAR(SepZo1+28)=HetJaar,MONTH(SepZo1+28)=9),SepZo1+28, "")</f>
        <v>42639</v>
      </c>
      <c r="E29" s="21">
        <f>IF(AND(YEAR(SepZo1+29)=HetJaar,MONTH(SepZo1+29)=9),SepZo1+29, "")</f>
        <v>42640</v>
      </c>
      <c r="F29" s="21">
        <f>IF(AND(YEAR(SepZo1+30)=HetJaar,MONTH(SepZo1+30)=9),SepZo1+30, "")</f>
        <v>42641</v>
      </c>
      <c r="G29" s="21">
        <f>IF(AND(YEAR(SepZo1+31)=HetJaar,MONTH(SepZo1+31)=9),SepZo1+31, "")</f>
        <v>42642</v>
      </c>
      <c r="H29" s="21">
        <f>IF(AND(YEAR(SepZo1+32)=HetJaar,MONTH(SepZo1+32)=9),SepZo1+32, "")</f>
        <v>42643</v>
      </c>
      <c r="I29" s="21" t="str">
        <f>IF(AND(YEAR(SepZo1+33)=HetJaar,MONTH(SepZo1+33)=9),SepZo1+33, "")</f>
        <v/>
      </c>
      <c r="J29" s="21" t="str">
        <f>IF(AND(YEAR(SepZo1+34)=HetJaar,MONTH(SepZo1+34)=9),SepZo1+34, "")</f>
        <v/>
      </c>
      <c r="K29" s="23"/>
      <c r="L29" s="21">
        <f>IF(AND(YEAR(OktZo1+28)=HetJaar,MONTH(OktZo1+28)=10),OktZo1+28, "")</f>
        <v>42667</v>
      </c>
      <c r="M29" s="21">
        <f>IF(AND(YEAR(OktZo1+29)=HetJaar,MONTH(OktZo1+29)=10),OktZo1+29, "")</f>
        <v>42668</v>
      </c>
      <c r="N29" s="21">
        <f>IF(AND(YEAR(OktZo1+30)=HetJaar,MONTH(OktZo1+30)=10),OktZo1+30, "")</f>
        <v>42669</v>
      </c>
      <c r="O29" s="21">
        <f>IF(AND(YEAR(OktZo1+31)=HetJaar,MONTH(OktZo1+31)=10),OktZo1+31, "")</f>
        <v>42670</v>
      </c>
      <c r="P29" s="21">
        <f>IF(AND(YEAR(OktZo1+32)=HetJaar,MONTH(OktZo1+32)=10),OktZo1+32, "")</f>
        <v>42671</v>
      </c>
      <c r="Q29" s="21">
        <f>IF(AND(YEAR(OktZo1+33)=HetJaar,MONTH(OktZo1+33)=10),OktZo1+33, "")</f>
        <v>42672</v>
      </c>
      <c r="R29" s="21">
        <f>IF(AND(YEAR(OktZo1+34)=HetJaar,MONTH(OktZo1+34)=10),OktZo1+34, "")</f>
        <v>42673</v>
      </c>
      <c r="S29" s="24"/>
      <c r="T29" s="21">
        <f>IF(AND(YEAR(NovZo1+28)=HetJaar,MONTH(NovZo1+28)=11),NovZo1+28, "")</f>
        <v>42702</v>
      </c>
      <c r="U29" s="21">
        <f>IF(AND(YEAR(NovZo1+29)=HetJaar,MONTH(NovZo1+29)=11),NovZo1+29, "")</f>
        <v>42703</v>
      </c>
      <c r="V29" s="21">
        <f>IF(AND(YEAR(NovZo1+30)=HetJaar,MONTH(NovZo1+30)=11),NovZo1+30, "")</f>
        <v>42704</v>
      </c>
      <c r="W29" s="21" t="str">
        <f>IF(AND(YEAR(NovZo1+31)=HetJaar,MONTH(NovZo1+31)=11),NovZo1+31, "")</f>
        <v/>
      </c>
      <c r="X29" s="21" t="str">
        <f>IF(AND(YEAR(NovZo1+32)=HetJaar,MONTH(NovZo1+32)=11),NovZo1+32, "")</f>
        <v/>
      </c>
      <c r="Y29" s="21" t="str">
        <f>IF(AND(YEAR(NovZo1+33)=HetJaar,MONTH(NovZo1+33)=11),NovZo1+33, "")</f>
        <v/>
      </c>
      <c r="Z29" s="21" t="str">
        <f>IF(AND(YEAR(NovZo1+34)=HetJaar,MONTH(NovZo1+34)=11),NovZo1+34, "")</f>
        <v/>
      </c>
      <c r="AA29" s="24"/>
      <c r="AB29" s="21">
        <f>IF(AND(YEAR(DecZo1+28)=HetJaar,MONTH(DecZo1+28)=12),DecZo1+28, "")</f>
        <v>42730</v>
      </c>
      <c r="AC29" s="21">
        <f>IF(AND(YEAR(DecZo1+29)=HetJaar,MONTH(DecZo1+29)=12),DecZo1+29, "")</f>
        <v>42731</v>
      </c>
      <c r="AD29" s="21">
        <f>IF(AND(YEAR(DecZo1+30)=HetJaar,MONTH(DecZo1+30)=12),DecZo1+30, "")</f>
        <v>42732</v>
      </c>
      <c r="AE29" s="21">
        <f>IF(AND(YEAR(DecZo1+31)=HetJaar,MONTH(DecZo1+31)=12),DecZo1+31, "")</f>
        <v>42733</v>
      </c>
      <c r="AF29" s="21">
        <f>IF(AND(YEAR(DecZo1+32)=HetJaar,MONTH(DecZo1+32)=12),DecZo1+32, "")</f>
        <v>42734</v>
      </c>
      <c r="AG29" s="21">
        <f>IF(AND(YEAR(DecZo1+33)=HetJaar,MONTH(DecZo1+33)=12),DecZo1+33, "")</f>
        <v>42735</v>
      </c>
      <c r="AH29" s="21" t="str">
        <f>IF(AND(YEAR(DecZo1+34)=HetJaar,MONTH(DecZo1+34)=12),DecZo1+34, "")</f>
        <v/>
      </c>
      <c r="AT29" s="13"/>
    </row>
    <row r="30" spans="2:80" ht="12.95" customHeight="1" x14ac:dyDescent="0.25">
      <c r="D30" s="21" t="str">
        <f>IF(AND(YEAR(SepZo1+35)=HetJaar,MONTH(SepZo1+35)=9),SepZo1+35, "")</f>
        <v/>
      </c>
      <c r="E30" s="21" t="str">
        <f>IF(AND(YEAR(SepZo1+36)=HetJaar,MONTH(SepZo1+36)=9),SepZo1+36, "")</f>
        <v/>
      </c>
      <c r="F30" s="21" t="str">
        <f>IF(AND(YEAR(SepZo1+37)=HetJaar,MONTH(SepZo1+37)=9),SepZo1+37, "")</f>
        <v/>
      </c>
      <c r="G30" s="21" t="str">
        <f>IF(AND(YEAR(SepZo1+38)=HetJaar,MONTH(SepZo1+38)=9),SepZo1+38, "")</f>
        <v/>
      </c>
      <c r="H30" s="21" t="str">
        <f>IF(AND(YEAR(SepZo1+39)=HetJaar,MONTH(SepZo1+39)=9),SepZo1+39, "")</f>
        <v/>
      </c>
      <c r="I30" s="21" t="str">
        <f>IF(AND(YEAR(SepZo1+40)=HetJaar,MONTH(SepZo1+40)=9),SepZo1+40, "")</f>
        <v/>
      </c>
      <c r="J30" s="21" t="str">
        <f>IF(AND(YEAR(SepZo1+41)=HetJaar,MONTH(SepZo1+41)=9),SepZo1+41, "")</f>
        <v/>
      </c>
      <c r="K30" s="7"/>
      <c r="L30" s="21">
        <f>IF(AND(YEAR(OktZo1+35)=HetJaar,MONTH(OktZo1+35)=10),OktZo1+35, "")</f>
        <v>42674</v>
      </c>
      <c r="M30" s="21" t="str">
        <f>IF(AND(YEAR(OktZo1+36)=HetJaar,MONTH(OktZo1+36)=10),OktZo1+36, "")</f>
        <v/>
      </c>
      <c r="N30" s="21" t="str">
        <f>IF(AND(YEAR(OktZo1+37)=HetJaar,MONTH(OktZo1+37)=10),OktZo1+37, "")</f>
        <v/>
      </c>
      <c r="O30" s="21" t="str">
        <f>IF(AND(YEAR(OktZo1+38)=HetJaar,MONTH(OktZo1+38)=10),OktZo1+38, "")</f>
        <v/>
      </c>
      <c r="P30" s="21" t="str">
        <f>IF(AND(YEAR(OktZo1+39)=HetJaar,MONTH(OktZo1+39)=10),OktZo1+39, "")</f>
        <v/>
      </c>
      <c r="Q30" s="21" t="str">
        <f>IF(AND(YEAR(OktZo1+40)=HetJaar,MONTH(OktZo1+40)=10),OktZo1+40, "")</f>
        <v/>
      </c>
      <c r="R30" s="21" t="str">
        <f>IF(AND(YEAR(OktZo1+41)=HetJaar,MONTH(OktZo1+41)=10),OktZo1+41, "")</f>
        <v/>
      </c>
      <c r="S30" s="20"/>
      <c r="T30" s="21" t="str">
        <f>IF(AND(YEAR(NovZo1+35)=HetJaar,MONTH(NovZo1+35)=11),NovZo1+35, "")</f>
        <v/>
      </c>
      <c r="U30" s="21" t="str">
        <f>IF(AND(YEAR(NovZo1+36)=HetJaar,MONTH(NovZo1+36)=11),NovZo1+36, "")</f>
        <v/>
      </c>
      <c r="V30" s="21" t="str">
        <f>IF(AND(YEAR(NovZo1+37)=HetJaar,MONTH(NovZo1+37)=11),NovZo1+37, "")</f>
        <v/>
      </c>
      <c r="W30" s="21" t="str">
        <f>IF(AND(YEAR(NovZo1+38)=HetJaar,MONTH(NovZo1+38)=11),NovZo1+38, "")</f>
        <v/>
      </c>
      <c r="X30" s="21" t="str">
        <f>IF(AND(YEAR(NovZo1+39)=HetJaar,MONTH(NovZo1+39)=11),NovZo1+39, "")</f>
        <v/>
      </c>
      <c r="Y30" s="21" t="str">
        <f>IF(AND(YEAR(NovZo1+40)=HetJaar,MONTH(NovZo1+40)=11),NovZo1+40, "")</f>
        <v/>
      </c>
      <c r="Z30" s="21" t="str">
        <f>IF(AND(YEAR(NovZo1+41)=HetJaar,MONTH(NovZo1+41)=11),NovZo1+41, "")</f>
        <v/>
      </c>
      <c r="AA30" s="24"/>
      <c r="AB30" s="21" t="str">
        <f>IF(AND(YEAR(DecZo1+35)=HetJaar,MONTH(DecZo1+35)=12),DecZo1+35, "")</f>
        <v/>
      </c>
      <c r="AC30" s="21" t="str">
        <f>IF(AND(YEAR(DecZo1+36)=HetJaar,MONTH(DecZo1+36)=12),DecZo1+36, "")</f>
        <v/>
      </c>
      <c r="AD30" s="21" t="str">
        <f>IF(AND(YEAR(DecZo1+37)=HetJaar,MONTH(DecZo1+37)=12),DecZo1+37, "")</f>
        <v/>
      </c>
      <c r="AE30" s="21" t="str">
        <f>IF(AND(YEAR(DecZo1+38)=HetJaar,MONTH(DecZo1+38)=12),DecZo1+38, "")</f>
        <v/>
      </c>
      <c r="AF30" s="21" t="str">
        <f>IF(AND(YEAR(DecZo1+39)=HetJaar,MONTH(DecZo1+39)=12),DecZo1+39, "")</f>
        <v/>
      </c>
      <c r="AG30" s="21" t="str">
        <f>IF(AND(YEAR(DecZo1+40)=HetJaar,MONTH(DecZo1+40)=12),DecZo1+40, "")</f>
        <v/>
      </c>
      <c r="AH30" s="21" t="str">
        <f>IF(AND(YEAR(DecZo1+41)=HetJaar,MONTH(DecZo1+41)=12),DecZo1+41, "")</f>
        <v/>
      </c>
    </row>
    <row r="31" spans="2:80" ht="21" customHeight="1" x14ac:dyDescent="0.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2:80" ht="9.75" customHeight="1" x14ac:dyDescent="0.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2:36" ht="9.75" customHeight="1" x14ac:dyDescent="0.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2:36" ht="33.75" customHeight="1" x14ac:dyDescent="0.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2:36" ht="21.75" customHeight="1" x14ac:dyDescent="0.25">
      <c r="Z35" s="6"/>
      <c r="AH35" s="6"/>
    </row>
    <row r="36" spans="2:36" x14ac:dyDescent="0.25">
      <c r="Z36" s="6"/>
      <c r="AH36" s="6"/>
    </row>
    <row r="37" spans="2:36" x14ac:dyDescent="0.25">
      <c r="Z37" s="6"/>
      <c r="AH37" s="6"/>
    </row>
    <row r="38" spans="2:36" x14ac:dyDescent="0.25">
      <c r="Z38" s="6"/>
      <c r="AH38" s="6"/>
    </row>
    <row r="39" spans="2:36" x14ac:dyDescent="0.25">
      <c r="Z39" s="6"/>
      <c r="AH39" s="6"/>
    </row>
    <row r="41" spans="2:36" x14ac:dyDescent="0.25">
      <c r="D41" s="3"/>
      <c r="E41" s="3"/>
      <c r="F41" s="3"/>
      <c r="G41" s="3"/>
      <c r="H41" s="3"/>
      <c r="I41" s="3"/>
      <c r="J41" s="3"/>
      <c r="L41" s="14"/>
      <c r="M41" s="14"/>
      <c r="N41" s="14"/>
      <c r="O41" s="14"/>
      <c r="P41" s="14"/>
      <c r="Q41" s="14"/>
      <c r="R41" s="14"/>
    </row>
    <row r="42" spans="2:36" x14ac:dyDescent="0.25">
      <c r="L42" s="14"/>
      <c r="M42" s="14"/>
      <c r="N42" s="14"/>
      <c r="O42" s="14"/>
      <c r="P42" s="14"/>
      <c r="Q42" s="14"/>
      <c r="R42" s="14"/>
    </row>
    <row r="43" spans="2:36" x14ac:dyDescent="0.25">
      <c r="L43" s="14"/>
      <c r="M43" s="14"/>
      <c r="N43" s="14"/>
      <c r="O43" s="14"/>
      <c r="P43" s="14"/>
      <c r="Q43" s="14"/>
      <c r="R43" s="14"/>
    </row>
    <row r="50" spans="4:34" ht="20.25" x14ac:dyDescent="0.35">
      <c r="D50" s="15"/>
      <c r="E50" s="14"/>
      <c r="F50" s="14"/>
      <c r="G50" s="14"/>
      <c r="H50" s="14"/>
      <c r="I50" s="14"/>
      <c r="J50" s="14"/>
      <c r="T50" s="14"/>
      <c r="U50" s="14"/>
      <c r="V50" s="14"/>
      <c r="W50" s="14"/>
      <c r="X50" s="14"/>
      <c r="Y50" s="14"/>
      <c r="Z50" s="14"/>
      <c r="AB50" s="8"/>
      <c r="AC50" s="8"/>
      <c r="AD50" s="8"/>
      <c r="AE50" s="8"/>
      <c r="AF50" s="8"/>
      <c r="AG50" s="8"/>
      <c r="AH50" s="8"/>
    </row>
    <row r="51" spans="4:34" x14ac:dyDescent="0.25">
      <c r="D51" s="14"/>
      <c r="E51" s="14"/>
      <c r="F51" s="14"/>
      <c r="G51" s="14"/>
      <c r="H51" s="14"/>
      <c r="I51" s="14"/>
      <c r="J51" s="14"/>
      <c r="T51" s="14"/>
      <c r="U51" s="14"/>
      <c r="V51" s="14"/>
      <c r="W51" s="14"/>
      <c r="X51" s="14"/>
      <c r="Y51" s="14"/>
      <c r="Z51" s="14"/>
      <c r="AB51" s="8"/>
      <c r="AC51" s="8"/>
      <c r="AD51" s="8"/>
      <c r="AE51" s="8"/>
      <c r="AF51" s="8"/>
      <c r="AG51" s="8"/>
      <c r="AH51" s="8"/>
    </row>
    <row r="52" spans="4:34" x14ac:dyDescent="0.25">
      <c r="D52" s="14"/>
      <c r="E52" s="14"/>
      <c r="F52" s="14"/>
      <c r="G52" s="14"/>
      <c r="H52" s="14"/>
      <c r="I52" s="14"/>
      <c r="J52" s="14"/>
      <c r="T52" s="14"/>
      <c r="U52" s="14"/>
      <c r="V52" s="14"/>
      <c r="W52" s="14"/>
      <c r="X52" s="14"/>
      <c r="Y52" s="14"/>
      <c r="Z52" s="14"/>
    </row>
  </sheetData>
  <mergeCells count="21">
    <mergeCell ref="D23:J23"/>
    <mergeCell ref="D5:J5"/>
    <mergeCell ref="L5:R5"/>
    <mergeCell ref="L23:R23"/>
    <mergeCell ref="T23:Z23"/>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s>
  <phoneticPr fontId="1" type="noConversion"/>
  <dataValidations count="2">
    <dataValidation type="whole" allowBlank="1" showInputMessage="1" showErrorMessage="1" sqref="AM5 AV26 AP3">
      <formula1>"1900"</formula1>
      <formula2>9999</formula2>
    </dataValidation>
    <dataValidation type="whole" allowBlank="1" showInputMessage="1" showErrorMessage="1" sqref="Z2:AI4">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Kringveld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customXml/itemProps2.xml><?xml version="1.0" encoding="utf-8"?>
<ds:datastoreItem xmlns:ds="http://schemas.openxmlformats.org/officeDocument/2006/customXml" ds:itemID="{B6534818-5B37-46AF-A367-D9C1DFA12629}">
  <ds:schemaRefs>
    <ds:schemaRef ds:uri="http://schemas.microsoft.com/sharepoint/v3/contenttype/forms"/>
  </ds:schemaRefs>
</ds:datastoreItem>
</file>

<file path=customXml/itemProps3.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Agenda</vt:lpstr>
      <vt:lpstr>Agenda!Afdrukgebied</vt:lpstr>
      <vt:lpstr>HetJaar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2013-01-22T09:21:48Z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