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 filterPrivacy="1" autoCompressPictures="0"/>
  <xr:revisionPtr revIDLastSave="0" documentId="13_ncr:1_{F2D2C50E-62DD-40F5-BF3E-8261D035DF54}" xr6:coauthVersionLast="45" xr6:coauthVersionMax="45" xr10:uidLastSave="{00000000-0000-0000-0000-000000000000}"/>
  <bookViews>
    <workbookView xWindow="-120" yWindow="-120" windowWidth="28980" windowHeight="16215" xr2:uid="{00000000-000D-0000-FFFF-FFFF00000000}"/>
  </bookViews>
  <sheets>
    <sheet name="Start" sheetId="2" r:id="rId1"/>
    <sheet name="Årlig kalender" sheetId="1" r:id="rId2"/>
  </sheets>
  <definedNames>
    <definedName name="AprSøn1">DATE(Kalenderår,4,1)-WEEKDAY(DATE(Kalenderår,4,1))+1</definedName>
    <definedName name="AugSøn1">DATE(Kalenderår,8,1)-WEEKDAY(DATE(Kalenderår,8,1))+1</definedName>
    <definedName name="DesSøn1">DATE(Kalenderår,12,1)-WEEKDAY(DATE(Kalenderår,12,1))+1</definedName>
    <definedName name="FebSøn1">DATE(Kalenderår,2,1)-WEEKDAY(DATE(Kalenderår,2,1))+1</definedName>
    <definedName name="JanSøn1">DATE(Kalenderår,1,1)-WEEKDAY(DATE(Kalenderår,1,1))+1</definedName>
    <definedName name="JulSøn1">DATE(Kalenderår,7,1)-WEEKDAY(DATE(Kalenderår,7,1))+1</definedName>
    <definedName name="JunSøn1">DATE(Kalenderår,6,1)-WEEKDAY(DATE(Kalenderår,6,1))+1</definedName>
    <definedName name="Kalenderår">'Årlig kalender'!$C$1</definedName>
    <definedName name="MaiSøn1">DATE(Kalenderår,5,1)-WEEKDAY(DATE(Kalenderår,5,1))+1</definedName>
    <definedName name="MarSøn1">DATE(Kalenderår,3,1)-WEEKDAY(DATE(Kalenderår,3,1))+1</definedName>
    <definedName name="NovSøn1">DATE(Kalenderår,11,1)-WEEKDAY(DATE(Kalenderår,11,1))+1</definedName>
    <definedName name="OktSøn1">DATE(Kalenderår,10,1)-WEEKDAY(DATE(Kalenderår,10,1))+1</definedName>
    <definedName name="SepSøn1">DATE(Kalenderår,9,1)-WEEKDAY(DATE(Kalenderår,9,1))+1</definedName>
    <definedName name="_xlnm.Print_Area" localSheetId="1">'Årlig kalender'!$B$1:$W$55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<sst xmlns="http://schemas.openxmlformats.org/spreadsheetml/2006/main" count="135" uniqueCount="58">
  <si>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OM DENNE MALEN</t>
  </si>
  <si>
    <t>Bruk denne malen til å opprette en personlig kalender for småbedriften for et hvilket som helst år.</t>
  </si>
  <si>
    <t>Fyll ut firmanavn og kontaktinformasjon og legg til firmalogoen.</t>
  </si>
  <si>
    <t>Velg året og skriv inn viktige datoer og anledninger.</t>
  </si>
  <si>
    <t>Obs! </t>
  </si>
  <si>
    <t xml:space="preserve">Du finner flere instruksjoner i kolonne A i ÅRSKALENDER-regnearket. Denne teksten er skjult med hensikt. Hvis du vil fjerne teksten, velger du kolonne A og deretter SLETT. </t>
  </si>
  <si>
    <t>Hvis du vil finne ut mer om tabeller, trykker du på SKIFT og deretter på F10 i en tabell. Velg alternativet TABELL, og velg deretter ALTERNATIV TEKST.</t>
  </si>
  <si>
    <t>Opprett en kalender for småbedriften for et hvilket som helst år i dette regnearket. Du finner nyttige instruksjoner for hvordan du bruker regnearket, i cellene i denne kolonnen. Velg spinneren i cellen til høyre for å endre året i celle C1. Du finner viktige datoer-etiketten i celle U1</t>
  </si>
  <si>
    <t>Du finner tips i cellen til høyre</t>
  </si>
  <si>
    <t>Du finner den valgte årskalenderen i celle C3 til Q55, januarkalenderen i celle C4 til I10 og februarkalenderen i celle K4 til Q10. Du finner etiketten for januar i celle C3 og februar i celle K3. Skriv in viktige datoer og anledninger i celle U3 til U42</t>
  </si>
  <si>
    <t>Du finner tabellen for januarkalenderen i celle C4 til I10 og februarkalenderen i celle K4 til Q10. Du finner neste instruksjon i celle A12</t>
  </si>
  <si>
    <t>Du finner etiketten for mars i celle C12 og april i celle K12</t>
  </si>
  <si>
    <t>Du finner tabellen for marskalenderen i celle C13 til I19 og aprilkalenderen i celle K13 til Q19. Du finner neste instruksjon i celle A21</t>
  </si>
  <si>
    <t>Du finner etiketten for mai i celle C21 og juni i celle K21</t>
  </si>
  <si>
    <t>Du finner tabellen for maikalenderen i celle C22 til I28 og junikalenderen i celle K22 til Q28. Du finner neste instruksjon i celle A30</t>
  </si>
  <si>
    <t>Du finner etiketten for juli i celle C30 og august i celle K30</t>
  </si>
  <si>
    <t>Du finner tabellen for julikalenderen i celle C31 til I37 og augustkalenderen i celle K31 til Q37. Du finner neste instruksjon i celle A39</t>
  </si>
  <si>
    <t>Du finner etiketten for september i celle C39 og oktober i celle K39</t>
  </si>
  <si>
    <t>Du finner tabellen for septemberkalenderen i celle C40 til I46 og oktoberkalenderen i celle K40 til Q46. Du finner neste instruksjon i celle A44</t>
  </si>
  <si>
    <t>Skriv inn gateadresse i celle U44</t>
  </si>
  <si>
    <t>Skriv inn by, poststed og postnummer i celle U45. Du finner neste instruksjon i celle A47</t>
  </si>
  <si>
    <t>Skriv inn firmaets telefonnummer i celle U47</t>
  </si>
  <si>
    <t>Du finner etiketten for november i celle C48 og desember i celle K48. Skriv inn e-postadressen i celle U48</t>
  </si>
  <si>
    <t>Du finner tabellen for novemberkalenderen i celle C49 til I55 og desemberkalenderen i celle K49 til Q55. Du finner neste instruksjon i celle A51</t>
  </si>
  <si>
    <t>Legg til firmalogoen i celle U51</t>
  </si>
  <si>
    <t>Bruk spinneren til å endre kalenderåret</t>
  </si>
  <si>
    <t>JANUAR</t>
  </si>
  <si>
    <t>MA.</t>
  </si>
  <si>
    <t>MARS</t>
  </si>
  <si>
    <t>MAI</t>
  </si>
  <si>
    <t>JULI</t>
  </si>
  <si>
    <t>SEPTEMBER</t>
  </si>
  <si>
    <t>NOVEMBER</t>
  </si>
  <si>
    <t>TI.</t>
  </si>
  <si>
    <t>ON.</t>
  </si>
  <si>
    <t>TO.</t>
  </si>
  <si>
    <t>FR.</t>
  </si>
  <si>
    <t>LØ.</t>
  </si>
  <si>
    <t>SØ.</t>
  </si>
  <si>
    <t>FEBRUAR</t>
  </si>
  <si>
    <t>APRIL</t>
  </si>
  <si>
    <t>JUNI</t>
  </si>
  <si>
    <t>AUGUST</t>
  </si>
  <si>
    <t>OKTOBER</t>
  </si>
  <si>
    <t>DESEMBER</t>
  </si>
  <si>
    <t>VIKTIGE DATOER</t>
  </si>
  <si>
    <t>1. JANUAR</t>
  </si>
  <si>
    <t>FØRSTE NYTTÅRSDAG</t>
  </si>
  <si>
    <t>14. FEBRUAR</t>
  </si>
  <si>
    <t>VALENTINSDAG</t>
  </si>
  <si>
    <t>22. FEBRUAR</t>
  </si>
  <si>
    <t>ÅPENT HUS</t>
  </si>
  <si>
    <t>Gateadresse</t>
  </si>
  <si>
    <t>Postnummer, poststed</t>
  </si>
  <si>
    <t>Telefon</t>
  </si>
  <si>
    <t>E-post</t>
  </si>
  <si>
    <t>Nettsted</t>
  </si>
  <si>
    <t>Du finner plassholder for logo i denne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</si>
</sst>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2" applyNumberFormat="0" applyFill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6" fillId="0" borderId="1" xfId="0" applyNumberFormat="1" applyFont="1" applyBorder="1"/>
    <xf numFmtId="49" fontId="16" fillId="0" borderId="0" xfId="0" applyNumberFormat="1" applyFont="1"/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2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8" builtinId="16" customBuiltin="1"/>
    <cellStyle name="Overskrift 2" xfId="1" builtinId="17" customBuiltin="1"/>
    <cellStyle name="Overskrift 3" xfId="9" builtinId="18" customBuiltin="1"/>
    <cellStyle name="Overskrift 4" xfId="10" builtinId="19" customBuiltin="1"/>
    <cellStyle name="Prosent" xfId="6" builtinId="5" customBuiltin="1"/>
    <cellStyle name="Tittel" xfId="7" builtinId="15" customBuiltin="1"/>
    <cellStyle name="Totalt" xfId="22" builtinId="25" customBuiltin="1"/>
    <cellStyle name="Tusenskille [0]" xfId="3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4" builtinId="4" customBuiltin="1"/>
    <cellStyle name="Valuta [0]" xfId="5" builtinId="7" customBuiltin="1"/>
    <cellStyle name="Varseltekst" xfId="19" builtinId="11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Løvblad" descr="Seks løv plassert parvis og enkeltvis på ulike avsta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Logoplassholder for å legge til selskapets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September" displayName="September" ref="C40:I46" totalsRowShown="0" headerRowDxfId="107" dataDxfId="88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MA." dataDxfId="95"/>
    <tableColumn id="2" xr3:uid="{00000000-0010-0000-0000-000002000000}" name="TI." dataDxfId="94"/>
    <tableColumn id="3" xr3:uid="{00000000-0010-0000-0000-000003000000}" name="ON." dataDxfId="93"/>
    <tableColumn id="4" xr3:uid="{00000000-0010-0000-0000-000004000000}" name="TO." dataDxfId="92"/>
    <tableColumn id="5" xr3:uid="{00000000-0010-0000-0000-000005000000}" name="FR." dataDxfId="91"/>
    <tableColumn id="6" xr3:uid="{00000000-0010-0000-0000-000006000000}" name="LØ." dataDxfId="90"/>
    <tableColumn id="7" xr3:uid="{00000000-0010-0000-0000-000007000000}" name="SØ." dataDxfId="8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eptemberkalenderen i denne tabellen er automatisk oppdatert med navn på ukedager og datoer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April" displayName="April" ref="K13:Q19" totalsRowShown="0" headerRowDxfId="98" dataDxfId="16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MA." dataDxfId="23"/>
    <tableColumn id="2" xr3:uid="{00000000-0010-0000-0900-000002000000}" name="TI." dataDxfId="22"/>
    <tableColumn id="3" xr3:uid="{00000000-0010-0000-0900-000003000000}" name="ON." dataDxfId="21"/>
    <tableColumn id="4" xr3:uid="{00000000-0010-0000-0900-000004000000}" name="TO." dataDxfId="20"/>
    <tableColumn id="5" xr3:uid="{00000000-0010-0000-0900-000005000000}" name="FR." dataDxfId="19"/>
    <tableColumn id="6" xr3:uid="{00000000-0010-0000-0900-000006000000}" name="LØ." dataDxfId="18"/>
    <tableColumn id="7" xr3:uid="{00000000-0010-0000-0900-000007000000}" name="SØ." data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kalenderen i denne tabellen er automatisk oppdatert med navn på ukedager og datoe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Februar" displayName="Februar" ref="K4:Q10" totalsRowShown="0" headerRowDxfId="97" dataDxfId="8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MA." dataDxfId="15"/>
    <tableColumn id="2" xr3:uid="{00000000-0010-0000-0A00-000002000000}" name="TI." dataDxfId="14"/>
    <tableColumn id="3" xr3:uid="{00000000-0010-0000-0A00-000003000000}" name="ON." dataDxfId="13"/>
    <tableColumn id="4" xr3:uid="{00000000-0010-0000-0A00-000004000000}" name="TO." dataDxfId="12"/>
    <tableColumn id="5" xr3:uid="{00000000-0010-0000-0A00-000005000000}" name="FR." dataDxfId="11"/>
    <tableColumn id="6" xr3:uid="{00000000-0010-0000-0A00-000006000000}" name="LØ." dataDxfId="10"/>
    <tableColumn id="7" xr3:uid="{00000000-0010-0000-0A00-000007000000}" name="SØ.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kalenderen i denne tabellen er automatisk oppdatert med navn på ukedager og datoer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Januar" displayName="Januar" ref="C4:I10" totalsRowShown="0" headerRowDxfId="96" dataDxfId="0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MA." dataDxfId="7"/>
    <tableColumn id="2" xr3:uid="{00000000-0010-0000-0B00-000002000000}" name="TI." dataDxfId="6"/>
    <tableColumn id="3" xr3:uid="{00000000-0010-0000-0B00-000003000000}" name="ON." dataDxfId="5"/>
    <tableColumn id="4" xr3:uid="{00000000-0010-0000-0B00-000004000000}" name="TO." dataDxfId="4"/>
    <tableColumn id="5" xr3:uid="{00000000-0010-0000-0B00-000005000000}" name="FR." dataDxfId="3"/>
    <tableColumn id="6" xr3:uid="{00000000-0010-0000-0B00-000006000000}" name="LØ." dataDxfId="2"/>
    <tableColumn id="7" xr3:uid="{00000000-0010-0000-0B00-000007000000}" name="SØ.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kalenderen i denne tabellen er automatisk oppdatert med navn på ukedager og dato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Oktober" displayName="Oktober" ref="K40:Q46" totalsRowShown="0" headerRowDxfId="106" dataDxfId="80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MA." dataDxfId="87"/>
    <tableColumn id="2" xr3:uid="{00000000-0010-0000-0100-000002000000}" name="TI." dataDxfId="86"/>
    <tableColumn id="3" xr3:uid="{00000000-0010-0000-0100-000003000000}" name="ON." dataDxfId="85"/>
    <tableColumn id="4" xr3:uid="{00000000-0010-0000-0100-000004000000}" name="TO." dataDxfId="84"/>
    <tableColumn id="5" xr3:uid="{00000000-0010-0000-0100-000005000000}" name="FR." dataDxfId="83"/>
    <tableColumn id="6" xr3:uid="{00000000-0010-0000-0100-000006000000}" name="LØ." dataDxfId="82"/>
    <tableColumn id="7" xr3:uid="{00000000-0010-0000-0100-000007000000}" name="SØ.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ktoberkalenderen i denne tabellen er automatisk oppdatert med navn på ukedager og dato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Desember" displayName="Desember" ref="K49:Q55" totalsRowShown="0" headerRowDxfId="105" dataDxfId="72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MA." dataDxfId="79"/>
    <tableColumn id="2" xr3:uid="{00000000-0010-0000-0200-000002000000}" name="TI." dataDxfId="78"/>
    <tableColumn id="3" xr3:uid="{00000000-0010-0000-0200-000003000000}" name="ON." dataDxfId="77"/>
    <tableColumn id="4" xr3:uid="{00000000-0010-0000-0200-000004000000}" name="TO." dataDxfId="76"/>
    <tableColumn id="5" xr3:uid="{00000000-0010-0000-0200-000005000000}" name="FR." dataDxfId="75"/>
    <tableColumn id="6" xr3:uid="{00000000-0010-0000-0200-000006000000}" name="LØ." dataDxfId="74"/>
    <tableColumn id="7" xr3:uid="{00000000-0010-0000-0200-000007000000}" name="SØ." dataDxfId="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semberkalenderen i denne tabellen er automatisk oppdatert med navn på ukedager og datoe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November" displayName="November" ref="C49:I55" totalsRowShown="0" headerRowDxfId="104" dataDxfId="64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MA." dataDxfId="71"/>
    <tableColumn id="2" xr3:uid="{00000000-0010-0000-0300-000002000000}" name="TI." dataDxfId="70"/>
    <tableColumn id="3" xr3:uid="{00000000-0010-0000-0300-000003000000}" name="ON." dataDxfId="69"/>
    <tableColumn id="4" xr3:uid="{00000000-0010-0000-0300-000004000000}" name="TO." dataDxfId="68"/>
    <tableColumn id="5" xr3:uid="{00000000-0010-0000-0300-000005000000}" name="FR." dataDxfId="67"/>
    <tableColumn id="6" xr3:uid="{00000000-0010-0000-0300-000006000000}" name="LØ." dataDxfId="66"/>
    <tableColumn id="7" xr3:uid="{00000000-0010-0000-0300-000007000000}" name="SØ.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kalenderen i denne tabellen er automatisk oppdatert med navn på ukedager og datoe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August" displayName="August" ref="K31:Q37" totalsRowShown="0" headerRowDxfId="103" dataDxfId="56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MA." dataDxfId="63"/>
    <tableColumn id="2" xr3:uid="{00000000-0010-0000-0400-000002000000}" name="TI." dataDxfId="62"/>
    <tableColumn id="3" xr3:uid="{00000000-0010-0000-0400-000003000000}" name="ON." dataDxfId="61"/>
    <tableColumn id="4" xr3:uid="{00000000-0010-0000-0400-000004000000}" name="TO." dataDxfId="60"/>
    <tableColumn id="5" xr3:uid="{00000000-0010-0000-0400-000005000000}" name="FR." dataDxfId="59"/>
    <tableColumn id="6" xr3:uid="{00000000-0010-0000-0400-000006000000}" name="LØ." dataDxfId="58"/>
    <tableColumn id="7" xr3:uid="{00000000-0010-0000-0400-000007000000}" name="SØ.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tkalenderen i denne tabellen er automatisk oppdatert med navn på ukedager og datoe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Juli" displayName="Juli" ref="C31:I37" totalsRowShown="0" headerRowDxfId="102" dataDxfId="48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MA." dataDxfId="55"/>
    <tableColumn id="2" xr3:uid="{00000000-0010-0000-0500-000002000000}" name="TI." dataDxfId="54"/>
    <tableColumn id="3" xr3:uid="{00000000-0010-0000-0500-000003000000}" name="ON." dataDxfId="53"/>
    <tableColumn id="4" xr3:uid="{00000000-0010-0000-0500-000004000000}" name="TO." dataDxfId="52"/>
    <tableColumn id="5" xr3:uid="{00000000-0010-0000-0500-000005000000}" name="FR." dataDxfId="51"/>
    <tableColumn id="6" xr3:uid="{00000000-0010-0000-0500-000006000000}" name="LØ." dataDxfId="50"/>
    <tableColumn id="7" xr3:uid="{00000000-0010-0000-0500-000007000000}" name="SØ." dataDxfId="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likalenderen i denne tabellen er automatisk oppdatert med navn på ukedager og dato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Juni" displayName="Juni" ref="K22:Q28" totalsRowShown="0" headerRowDxfId="101" dataDxfId="40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MA." dataDxfId="47"/>
    <tableColumn id="2" xr3:uid="{00000000-0010-0000-0600-000002000000}" name="TI." dataDxfId="46"/>
    <tableColumn id="3" xr3:uid="{00000000-0010-0000-0600-000003000000}" name="ON." dataDxfId="45"/>
    <tableColumn id="4" xr3:uid="{00000000-0010-0000-0600-000004000000}" name="TO." dataDxfId="44"/>
    <tableColumn id="5" xr3:uid="{00000000-0010-0000-0600-000005000000}" name="FR." dataDxfId="43"/>
    <tableColumn id="6" xr3:uid="{00000000-0010-0000-0600-000006000000}" name="LØ." dataDxfId="42"/>
    <tableColumn id="7" xr3:uid="{00000000-0010-0000-0600-000007000000}" name="SØ." dataDxfId="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ikalenderen i denne tabellen er automatisk oppdatert med navn på ukedager og datoer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Mai" displayName="Mai" ref="C22:I28" totalsRowShown="0" headerRowDxfId="100" dataDxfId="32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MA." dataDxfId="39"/>
    <tableColumn id="2" xr3:uid="{00000000-0010-0000-0700-000002000000}" name="TI." dataDxfId="38"/>
    <tableColumn id="3" xr3:uid="{00000000-0010-0000-0700-000003000000}" name="ON." dataDxfId="37"/>
    <tableColumn id="4" xr3:uid="{00000000-0010-0000-0700-000004000000}" name="TO." dataDxfId="36"/>
    <tableColumn id="5" xr3:uid="{00000000-0010-0000-0700-000005000000}" name="FR." dataDxfId="35"/>
    <tableColumn id="6" xr3:uid="{00000000-0010-0000-0700-000006000000}" name="LØ." dataDxfId="34"/>
    <tableColumn id="7" xr3:uid="{00000000-0010-0000-0700-000007000000}" name="SØ." dataDxfId="3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ikalenderen i denne tabellen er automatisk oppdatert med navn på ukedager og datoer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Mars" displayName="Mars" ref="C13:I19" totalsRowShown="0" headerRowDxfId="99" dataDxfId="2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MA." dataDxfId="31"/>
    <tableColumn id="2" xr3:uid="{00000000-0010-0000-0800-000002000000}" name="TI." dataDxfId="30"/>
    <tableColumn id="3" xr3:uid="{00000000-0010-0000-0800-000003000000}" name="ON." dataDxfId="29"/>
    <tableColumn id="4" xr3:uid="{00000000-0010-0000-0800-000004000000}" name="TO." dataDxfId="28"/>
    <tableColumn id="5" xr3:uid="{00000000-0010-0000-0800-000005000000}" name="FR." dataDxfId="27"/>
    <tableColumn id="6" xr3:uid="{00000000-0010-0000-0800-000006000000}" name="LØ." dataDxfId="26"/>
    <tableColumn id="7" xr3:uid="{00000000-0010-0000-0800-000007000000}" name="SØ." dataDxfId="2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skalenderen i denne tabellen er automatisk oppdatert med navn på ukedager og datoer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baseColWidth="10" defaultColWidth="9.33203125"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30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0" t="s">
        <v>5</v>
      </c>
    </row>
    <row r="7" spans="2:2" ht="30" x14ac:dyDescent="0.2">
      <c r="B7" s="14" t="s">
        <v>6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baseColWidth="10"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7</v>
      </c>
      <c r="B1" s="4"/>
      <c r="C1" s="27">
        <v>2020</v>
      </c>
      <c r="D1" s="27"/>
      <c r="E1" s="27"/>
      <c r="F1" s="27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45</v>
      </c>
      <c r="V1" s="4"/>
      <c r="W1" s="4"/>
    </row>
    <row r="2" spans="1:23" ht="15" customHeight="1" x14ac:dyDescent="0.2">
      <c r="A2" s="18" t="s">
        <v>8</v>
      </c>
      <c r="B2" s="28" t="s">
        <v>25</v>
      </c>
      <c r="C2" s="28"/>
      <c r="D2" s="28"/>
      <c r="E2" s="28"/>
      <c r="F2" s="28"/>
      <c r="G2" s="28"/>
      <c r="H2" s="28"/>
      <c r="I2" s="28"/>
      <c r="J2" s="28"/>
      <c r="S2" s="24"/>
    </row>
    <row r="3" spans="1:23" ht="15" customHeight="1" x14ac:dyDescent="0.25">
      <c r="A3" s="19" t="s">
        <v>9</v>
      </c>
      <c r="C3" s="26" t="s">
        <v>26</v>
      </c>
      <c r="D3" s="26"/>
      <c r="E3" s="26"/>
      <c r="F3" s="26"/>
      <c r="G3" s="26"/>
      <c r="H3" s="26"/>
      <c r="I3" s="26"/>
      <c r="J3" s="21"/>
      <c r="K3" s="26" t="s">
        <v>39</v>
      </c>
      <c r="L3" s="26"/>
      <c r="M3" s="26"/>
      <c r="N3" s="26"/>
      <c r="O3" s="26"/>
      <c r="P3" s="26"/>
      <c r="Q3" s="26"/>
      <c r="S3" s="24"/>
      <c r="U3" s="10" t="s">
        <v>46</v>
      </c>
      <c r="V3" s="25"/>
      <c r="W3" s="25"/>
    </row>
    <row r="4" spans="1:23" ht="15" customHeight="1" x14ac:dyDescent="0.2">
      <c r="A4" s="18" t="s">
        <v>10</v>
      </c>
      <c r="C4" s="11" t="s">
        <v>27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22"/>
      <c r="K4" s="11" t="s">
        <v>27</v>
      </c>
      <c r="L4" s="11" t="s">
        <v>33</v>
      </c>
      <c r="M4" s="11" t="s">
        <v>34</v>
      </c>
      <c r="N4" s="11" t="s">
        <v>35</v>
      </c>
      <c r="O4" s="11" t="s">
        <v>36</v>
      </c>
      <c r="P4" s="11" t="s">
        <v>37</v>
      </c>
      <c r="Q4" s="11" t="s">
        <v>38</v>
      </c>
      <c r="S4" s="24"/>
      <c r="U4" s="3" t="s">
        <v>47</v>
      </c>
      <c r="V4" s="25"/>
      <c r="W4" s="25"/>
    </row>
    <row r="5" spans="1:23" ht="15" customHeight="1" x14ac:dyDescent="0.2">
      <c r="A5" s="18"/>
      <c r="C5" s="30" t="str">
        <f>IF(DAY(JanSøn1)=1,"",IF(AND(YEAR(JanSøn1+1)=Kalenderår,MONTH(JanSøn1+1)=1),JanSøn1+1,""))</f>
        <v/>
      </c>
      <c r="D5" s="30" t="str">
        <f>IF(DAY(JanSøn1)=1,"",IF(AND(YEAR(JanSøn1+2)=Kalenderår,MONTH(JanSøn1+2)=1),JanSøn1+2,""))</f>
        <v/>
      </c>
      <c r="E5" s="30">
        <f>IF(DAY(JanSøn1)=1,"",IF(AND(YEAR(JanSøn1+3)=Kalenderår,MONTH(JanSøn1+3)=1),JanSøn1+3,""))</f>
        <v>43831</v>
      </c>
      <c r="F5" s="30">
        <f>IF(DAY(JanSøn1)=1,"",IF(AND(YEAR(JanSøn1+4)=Kalenderår,MONTH(JanSøn1+4)=1),JanSøn1+4,""))</f>
        <v>43832</v>
      </c>
      <c r="G5" s="30">
        <f>IF(DAY(JanSøn1)=1,"",IF(AND(YEAR(JanSøn1+5)=Kalenderår,MONTH(JanSøn1+5)=1),JanSøn1+5,""))</f>
        <v>43833</v>
      </c>
      <c r="H5" s="30">
        <f>IF(DAY(JanSøn1)=1,"",IF(AND(YEAR(JanSøn1+6)=Kalenderår,MONTH(JanSøn1+6)=1),JanSøn1+6,""))</f>
        <v>43834</v>
      </c>
      <c r="I5" s="30">
        <f>IF(DAY(JanSøn1)=1,IF(AND(YEAR(JanSøn1)=Kalenderår,MONTH(JanSøn1)=1),JanSøn1,""),IF(AND(YEAR(JanSøn1+7)=Kalenderår,MONTH(JanSøn1+7)=1),JanSøn1+7,""))</f>
        <v>43835</v>
      </c>
      <c r="J5" s="22"/>
      <c r="K5" s="30" t="str">
        <f>IF(DAY(FebSøn1)=1,"",IF(AND(YEAR(FebSøn1+1)=Kalenderår,MONTH(FebSøn1+1)=2),FebSøn1+1,""))</f>
        <v/>
      </c>
      <c r="L5" s="30" t="str">
        <f>IF(DAY(FebSøn1)=1,"",IF(AND(YEAR(FebSøn1+2)=Kalenderår,MONTH(FebSøn1+2)=2),FebSøn1+2,""))</f>
        <v/>
      </c>
      <c r="M5" s="30" t="str">
        <f>IF(DAY(FebSøn1)=1,"",IF(AND(YEAR(FebSøn1+3)=Kalenderår,MONTH(FebSøn1+3)=2),FebSøn1+3,""))</f>
        <v/>
      </c>
      <c r="N5" s="30" t="str">
        <f>IF(DAY(FebSøn1)=1,"",IF(AND(YEAR(FebSøn1+4)=Kalenderår,MONTH(FebSøn1+4)=2),FebSøn1+4,""))</f>
        <v/>
      </c>
      <c r="O5" s="30" t="str">
        <f>IF(DAY(FebSøn1)=1,"",IF(AND(YEAR(FebSøn1+5)=Kalenderår,MONTH(FebSøn1+5)=2),FebSøn1+5,""))</f>
        <v/>
      </c>
      <c r="P5" s="30">
        <f>IF(DAY(FebSøn1)=1,"",IF(AND(YEAR(FebSøn1+6)=Kalenderår,MONTH(FebSøn1+6)=2),FebSøn1+6,""))</f>
        <v>43862</v>
      </c>
      <c r="Q5" s="30">
        <f>IF(DAY(FebSøn1)=1,IF(AND(YEAR(FebSøn1)=Kalenderår,MONTH(FebSøn1)=2),FebSøn1,""),IF(AND(YEAR(FebSøn1+7)=Kalenderår,MONTH(FebSøn1+7)=2),FebSøn1+7,""))</f>
        <v>43863</v>
      </c>
      <c r="S5" s="24"/>
      <c r="U5" s="2"/>
      <c r="V5" s="25"/>
      <c r="W5" s="25"/>
    </row>
    <row r="6" spans="1:23" ht="15" customHeight="1" x14ac:dyDescent="0.2">
      <c r="A6" s="18"/>
      <c r="C6" s="30">
        <f>IF(DAY(JanSøn1)=1,IF(AND(YEAR(JanSøn1+1)=Kalenderår,MONTH(JanSøn1+1)=1),JanSøn1+1,""),IF(AND(YEAR(JanSøn1+8)=Kalenderår,MONTH(JanSøn1+8)=1),JanSøn1+8,""))</f>
        <v>43836</v>
      </c>
      <c r="D6" s="30">
        <f>IF(DAY(JanSøn1)=1,IF(AND(YEAR(JanSøn1+2)=Kalenderår,MONTH(JanSøn1+2)=1),JanSøn1+2,""),IF(AND(YEAR(JanSøn1+9)=Kalenderår,MONTH(JanSøn1+9)=1),JanSøn1+9,""))</f>
        <v>43837</v>
      </c>
      <c r="E6" s="30">
        <f>IF(DAY(JanSøn1)=1,IF(AND(YEAR(JanSøn1+3)=Kalenderår,MONTH(JanSøn1+3)=1),JanSøn1+3,""),IF(AND(YEAR(JanSøn1+10)=Kalenderår,MONTH(JanSøn1+10)=1),JanSøn1+10,""))</f>
        <v>43838</v>
      </c>
      <c r="F6" s="30">
        <f>IF(DAY(JanSøn1)=1,IF(AND(YEAR(JanSøn1+4)=Kalenderår,MONTH(JanSøn1+4)=1),JanSøn1+4,""),IF(AND(YEAR(JanSøn1+11)=Kalenderår,MONTH(JanSøn1+11)=1),JanSøn1+11,""))</f>
        <v>43839</v>
      </c>
      <c r="G6" s="30">
        <f>IF(DAY(JanSøn1)=1,IF(AND(YEAR(JanSøn1+5)=Kalenderår,MONTH(JanSøn1+5)=1),JanSøn1+5,""),IF(AND(YEAR(JanSøn1+12)=Kalenderår,MONTH(JanSøn1+12)=1),JanSøn1+12,""))</f>
        <v>43840</v>
      </c>
      <c r="H6" s="30">
        <f>IF(DAY(JanSøn1)=1,IF(AND(YEAR(JanSøn1+6)=Kalenderår,MONTH(JanSøn1+6)=1),JanSøn1+6,""),IF(AND(YEAR(JanSøn1+13)=Kalenderår,MONTH(JanSøn1+13)=1),JanSøn1+13,""))</f>
        <v>43841</v>
      </c>
      <c r="I6" s="30">
        <f>IF(DAY(JanSøn1)=1,IF(AND(YEAR(JanSøn1+7)=Kalenderår,MONTH(JanSøn1+7)=1),JanSøn1+7,""),IF(AND(YEAR(JanSøn1+14)=Kalenderår,MONTH(JanSøn1+14)=1),JanSøn1+14,""))</f>
        <v>43842</v>
      </c>
      <c r="J6" s="22"/>
      <c r="K6" s="30">
        <f>IF(DAY(FebSøn1)=1,IF(AND(YEAR(FebSøn1+1)=Kalenderår,MONTH(FebSøn1+1)=2),FebSøn1+1,""),IF(AND(YEAR(FebSøn1+8)=Kalenderår,MONTH(FebSøn1+8)=2),FebSøn1+8,""))</f>
        <v>43864</v>
      </c>
      <c r="L6" s="30">
        <f>IF(DAY(FebSøn1)=1,IF(AND(YEAR(FebSøn1+2)=Kalenderår,MONTH(FebSøn1+2)=2),FebSøn1+2,""),IF(AND(YEAR(FebSøn1+9)=Kalenderår,MONTH(FebSøn1+9)=2),FebSøn1+9,""))</f>
        <v>43865</v>
      </c>
      <c r="M6" s="30">
        <f>IF(DAY(FebSøn1)=1,IF(AND(YEAR(FebSøn1+3)=Kalenderår,MONTH(FebSøn1+3)=2),FebSøn1+3,""),IF(AND(YEAR(FebSøn1+10)=Kalenderår,MONTH(FebSøn1+10)=2),FebSøn1+10,""))</f>
        <v>43866</v>
      </c>
      <c r="N6" s="30">
        <f>IF(DAY(FebSøn1)=1,IF(AND(YEAR(FebSøn1+4)=Kalenderår,MONTH(FebSøn1+4)=2),FebSøn1+4,""),IF(AND(YEAR(FebSøn1+11)=Kalenderår,MONTH(FebSøn1+11)=2),FebSøn1+11,""))</f>
        <v>43867</v>
      </c>
      <c r="O6" s="30">
        <f>IF(DAY(FebSøn1)=1,IF(AND(YEAR(FebSøn1+5)=Kalenderår,MONTH(FebSøn1+5)=2),FebSøn1+5,""),IF(AND(YEAR(FebSøn1+12)=Kalenderår,MONTH(FebSøn1+12)=2),FebSøn1+12,""))</f>
        <v>43868</v>
      </c>
      <c r="P6" s="30">
        <f>IF(DAY(FebSøn1)=1,IF(AND(YEAR(FebSøn1+6)=Kalenderår,MONTH(FebSøn1+6)=2),FebSøn1+6,""),IF(AND(YEAR(FebSøn1+13)=Kalenderår,MONTH(FebSøn1+13)=2),FebSøn1+13,""))</f>
        <v>43869</v>
      </c>
      <c r="Q6" s="30">
        <f>IF(DAY(FebSøn1)=1,IF(AND(YEAR(FebSøn1+7)=Kalenderår,MONTH(FebSøn1+7)=2),FebSøn1+7,""),IF(AND(YEAR(FebSøn1+14)=Kalenderår,MONTH(FebSøn1+14)=2),FebSøn1+14,""))</f>
        <v>43870</v>
      </c>
      <c r="S6" s="24"/>
      <c r="U6" s="10" t="s">
        <v>48</v>
      </c>
      <c r="V6" s="25"/>
      <c r="W6" s="25"/>
    </row>
    <row r="7" spans="1:23" ht="15" customHeight="1" x14ac:dyDescent="0.2">
      <c r="C7" s="30">
        <f>IF(DAY(JanSøn1)=1,IF(AND(YEAR(JanSøn1+8)=Kalenderår,MONTH(JanSøn1+8)=1),JanSøn1+8,""),IF(AND(YEAR(JanSøn1+15)=Kalenderår,MONTH(JanSøn1+15)=1),JanSøn1+15,""))</f>
        <v>43843</v>
      </c>
      <c r="D7" s="30">
        <f>IF(DAY(JanSøn1)=1,IF(AND(YEAR(JanSøn1+9)=Kalenderår,MONTH(JanSøn1+9)=1),JanSøn1+9,""),IF(AND(YEAR(JanSøn1+16)=Kalenderår,MONTH(JanSøn1+16)=1),JanSøn1+16,""))</f>
        <v>43844</v>
      </c>
      <c r="E7" s="30">
        <f>IF(DAY(JanSøn1)=1,IF(AND(YEAR(JanSøn1+10)=Kalenderår,MONTH(JanSøn1+10)=1),JanSøn1+10,""),IF(AND(YEAR(JanSøn1+17)=Kalenderår,MONTH(JanSøn1+17)=1),JanSøn1+17,""))</f>
        <v>43845</v>
      </c>
      <c r="F7" s="30">
        <f>IF(DAY(JanSøn1)=1,IF(AND(YEAR(JanSøn1+11)=Kalenderår,MONTH(JanSøn1+11)=1),JanSøn1+11,""),IF(AND(YEAR(JanSøn1+18)=Kalenderår,MONTH(JanSøn1+18)=1),JanSøn1+18,""))</f>
        <v>43846</v>
      </c>
      <c r="G7" s="30">
        <f>IF(DAY(JanSøn1)=1,IF(AND(YEAR(JanSøn1+12)=Kalenderår,MONTH(JanSøn1+12)=1),JanSøn1+12,""),IF(AND(YEAR(JanSøn1+19)=Kalenderår,MONTH(JanSøn1+19)=1),JanSøn1+19,""))</f>
        <v>43847</v>
      </c>
      <c r="H7" s="30">
        <f>IF(DAY(JanSøn1)=1,IF(AND(YEAR(JanSøn1+13)=Kalenderår,MONTH(JanSøn1+13)=1),JanSøn1+13,""),IF(AND(YEAR(JanSøn1+20)=Kalenderår,MONTH(JanSøn1+20)=1),JanSøn1+20,""))</f>
        <v>43848</v>
      </c>
      <c r="I7" s="30">
        <f>IF(DAY(JanSøn1)=1,IF(AND(YEAR(JanSøn1+14)=Kalenderår,MONTH(JanSøn1+14)=1),JanSøn1+14,""),IF(AND(YEAR(JanSøn1+21)=Kalenderår,MONTH(JanSøn1+21)=1),JanSøn1+21,""))</f>
        <v>43849</v>
      </c>
      <c r="J7" s="22"/>
      <c r="K7" s="30">
        <f>IF(DAY(FebSøn1)=1,IF(AND(YEAR(FebSøn1+8)=Kalenderår,MONTH(FebSøn1+8)=2),FebSøn1+8,""),IF(AND(YEAR(FebSøn1+15)=Kalenderår,MONTH(FebSøn1+15)=2),FebSøn1+15,""))</f>
        <v>43871</v>
      </c>
      <c r="L7" s="30">
        <f>IF(DAY(FebSøn1)=1,IF(AND(YEAR(FebSøn1+9)=Kalenderår,MONTH(FebSøn1+9)=2),FebSøn1+9,""),IF(AND(YEAR(FebSøn1+16)=Kalenderår,MONTH(FebSøn1+16)=2),FebSøn1+16,""))</f>
        <v>43872</v>
      </c>
      <c r="M7" s="30">
        <f>IF(DAY(FebSøn1)=1,IF(AND(YEAR(FebSøn1+10)=Kalenderår,MONTH(FebSøn1+10)=2),FebSøn1+10,""),IF(AND(YEAR(FebSøn1+17)=Kalenderår,MONTH(FebSøn1+17)=2),FebSøn1+17,""))</f>
        <v>43873</v>
      </c>
      <c r="N7" s="30">
        <f>IF(DAY(FebSøn1)=1,IF(AND(YEAR(FebSøn1+11)=Kalenderår,MONTH(FebSøn1+11)=2),FebSøn1+11,""),IF(AND(YEAR(FebSøn1+18)=Kalenderår,MONTH(FebSøn1+18)=2),FebSøn1+18,""))</f>
        <v>43874</v>
      </c>
      <c r="O7" s="30">
        <f>IF(DAY(FebSøn1)=1,IF(AND(YEAR(FebSøn1+12)=Kalenderår,MONTH(FebSøn1+12)=2),FebSøn1+12,""),IF(AND(YEAR(FebSøn1+19)=Kalenderår,MONTH(FebSøn1+19)=2),FebSøn1+19,""))</f>
        <v>43875</v>
      </c>
      <c r="P7" s="30">
        <f>IF(DAY(FebSøn1)=1,IF(AND(YEAR(FebSøn1+13)=Kalenderår,MONTH(FebSøn1+13)=2),FebSøn1+13,""),IF(AND(YEAR(FebSøn1+20)=Kalenderår,MONTH(FebSøn1+20)=2),FebSøn1+20,""))</f>
        <v>43876</v>
      </c>
      <c r="Q7" s="30">
        <f>IF(DAY(FebSøn1)=1,IF(AND(YEAR(FebSøn1+14)=Kalenderår,MONTH(FebSøn1+14)=2),FebSøn1+14,""),IF(AND(YEAR(FebSøn1+21)=Kalenderår,MONTH(FebSøn1+21)=2),FebSøn1+21,""))</f>
        <v>43877</v>
      </c>
      <c r="S7" s="24"/>
      <c r="U7" s="3" t="s">
        <v>49</v>
      </c>
      <c r="V7" s="25"/>
      <c r="W7" s="25"/>
    </row>
    <row r="8" spans="1:23" ht="15" customHeight="1" x14ac:dyDescent="0.2">
      <c r="C8" s="30">
        <f>IF(DAY(JanSøn1)=1,IF(AND(YEAR(JanSøn1+15)=Kalenderår,MONTH(JanSøn1+15)=1),JanSøn1+15,""),IF(AND(YEAR(JanSøn1+22)=Kalenderår,MONTH(JanSøn1+22)=1),JanSøn1+22,""))</f>
        <v>43850</v>
      </c>
      <c r="D8" s="30">
        <f>IF(DAY(JanSøn1)=1,IF(AND(YEAR(JanSøn1+16)=Kalenderår,MONTH(JanSøn1+16)=1),JanSøn1+16,""),IF(AND(YEAR(JanSøn1+23)=Kalenderår,MONTH(JanSøn1+23)=1),JanSøn1+23,""))</f>
        <v>43851</v>
      </c>
      <c r="E8" s="30">
        <f>IF(DAY(JanSøn1)=1,IF(AND(YEAR(JanSøn1+17)=Kalenderår,MONTH(JanSøn1+17)=1),JanSøn1+17,""),IF(AND(YEAR(JanSøn1+24)=Kalenderår,MONTH(JanSøn1+24)=1),JanSøn1+24,""))</f>
        <v>43852</v>
      </c>
      <c r="F8" s="30">
        <f>IF(DAY(JanSøn1)=1,IF(AND(YEAR(JanSøn1+18)=Kalenderår,MONTH(JanSøn1+18)=1),JanSøn1+18,""),IF(AND(YEAR(JanSøn1+25)=Kalenderår,MONTH(JanSøn1+25)=1),JanSøn1+25,""))</f>
        <v>43853</v>
      </c>
      <c r="G8" s="30">
        <f>IF(DAY(JanSøn1)=1,IF(AND(YEAR(JanSøn1+19)=Kalenderår,MONTH(JanSøn1+19)=1),JanSøn1+19,""),IF(AND(YEAR(JanSøn1+26)=Kalenderår,MONTH(JanSøn1+26)=1),JanSøn1+26,""))</f>
        <v>43854</v>
      </c>
      <c r="H8" s="30">
        <f>IF(DAY(JanSøn1)=1,IF(AND(YEAR(JanSøn1+20)=Kalenderår,MONTH(JanSøn1+20)=1),JanSøn1+20,""),IF(AND(YEAR(JanSøn1+27)=Kalenderår,MONTH(JanSøn1+27)=1),JanSøn1+27,""))</f>
        <v>43855</v>
      </c>
      <c r="I8" s="30">
        <f>IF(DAY(JanSøn1)=1,IF(AND(YEAR(JanSøn1+21)=Kalenderår,MONTH(JanSøn1+21)=1),JanSøn1+21,""),IF(AND(YEAR(JanSøn1+28)=Kalenderår,MONTH(JanSøn1+28)=1),JanSøn1+28,""))</f>
        <v>43856</v>
      </c>
      <c r="J8" s="22"/>
      <c r="K8" s="30">
        <f>IF(DAY(FebSøn1)=1,IF(AND(YEAR(FebSøn1+15)=Kalenderår,MONTH(FebSøn1+15)=2),FebSøn1+15,""),IF(AND(YEAR(FebSøn1+22)=Kalenderår,MONTH(FebSøn1+22)=2),FebSøn1+22,""))</f>
        <v>43878</v>
      </c>
      <c r="L8" s="30">
        <f>IF(DAY(FebSøn1)=1,IF(AND(YEAR(FebSøn1+16)=Kalenderår,MONTH(FebSøn1+16)=2),FebSøn1+16,""),IF(AND(YEAR(FebSøn1+23)=Kalenderår,MONTH(FebSøn1+23)=2),FebSøn1+23,""))</f>
        <v>43879</v>
      </c>
      <c r="M8" s="30">
        <f>IF(DAY(FebSøn1)=1,IF(AND(YEAR(FebSøn1+17)=Kalenderår,MONTH(FebSøn1+17)=2),FebSøn1+17,""),IF(AND(YEAR(FebSøn1+24)=Kalenderår,MONTH(FebSøn1+24)=2),FebSøn1+24,""))</f>
        <v>43880</v>
      </c>
      <c r="N8" s="30">
        <f>IF(DAY(FebSøn1)=1,IF(AND(YEAR(FebSøn1+18)=Kalenderår,MONTH(FebSøn1+18)=2),FebSøn1+18,""),IF(AND(YEAR(FebSøn1+25)=Kalenderår,MONTH(FebSøn1+25)=2),FebSøn1+25,""))</f>
        <v>43881</v>
      </c>
      <c r="O8" s="30">
        <f>IF(DAY(FebSøn1)=1,IF(AND(YEAR(FebSøn1+19)=Kalenderår,MONTH(FebSøn1+19)=2),FebSøn1+19,""),IF(AND(YEAR(FebSøn1+26)=Kalenderår,MONTH(FebSøn1+26)=2),FebSøn1+26,""))</f>
        <v>43882</v>
      </c>
      <c r="P8" s="30">
        <f>IF(DAY(FebSøn1)=1,IF(AND(YEAR(FebSøn1+20)=Kalenderår,MONTH(FebSøn1+20)=2),FebSøn1+20,""),IF(AND(YEAR(FebSøn1+27)=Kalenderår,MONTH(FebSøn1+27)=2),FebSøn1+27,""))</f>
        <v>43883</v>
      </c>
      <c r="Q8" s="30">
        <f>IF(DAY(FebSøn1)=1,IF(AND(YEAR(FebSøn1+21)=Kalenderår,MONTH(FebSøn1+21)=2),FebSøn1+21,""),IF(AND(YEAR(FebSøn1+28)=Kalenderår,MONTH(FebSøn1+28)=2),FebSøn1+28,""))</f>
        <v>43884</v>
      </c>
      <c r="S8" s="24"/>
      <c r="U8" s="2"/>
      <c r="V8" s="25"/>
      <c r="W8" s="25"/>
    </row>
    <row r="9" spans="1:23" ht="15" customHeight="1" x14ac:dyDescent="0.2">
      <c r="C9" s="30">
        <f>IF(DAY(JanSøn1)=1,IF(AND(YEAR(JanSøn1+22)=Kalenderår,MONTH(JanSøn1+22)=1),JanSøn1+22,""),IF(AND(YEAR(JanSøn1+29)=Kalenderår,MONTH(JanSøn1+29)=1),JanSøn1+29,""))</f>
        <v>43857</v>
      </c>
      <c r="D9" s="30">
        <f>IF(DAY(JanSøn1)=1,IF(AND(YEAR(JanSøn1+23)=Kalenderår,MONTH(JanSøn1+23)=1),JanSøn1+23,""),IF(AND(YEAR(JanSøn1+30)=Kalenderår,MONTH(JanSøn1+30)=1),JanSøn1+30,""))</f>
        <v>43858</v>
      </c>
      <c r="E9" s="30">
        <f>IF(DAY(JanSøn1)=1,IF(AND(YEAR(JanSøn1+24)=Kalenderår,MONTH(JanSøn1+24)=1),JanSøn1+24,""),IF(AND(YEAR(JanSøn1+31)=Kalenderår,MONTH(JanSøn1+31)=1),JanSøn1+31,""))</f>
        <v>43859</v>
      </c>
      <c r="F9" s="30">
        <f>IF(DAY(JanSøn1)=1,IF(AND(YEAR(JanSøn1+25)=Kalenderår,MONTH(JanSøn1+25)=1),JanSøn1+25,""),IF(AND(YEAR(JanSøn1+32)=Kalenderår,MONTH(JanSøn1+32)=1),JanSøn1+32,""))</f>
        <v>43860</v>
      </c>
      <c r="G9" s="30">
        <f>IF(DAY(JanSøn1)=1,IF(AND(YEAR(JanSøn1+26)=Kalenderår,MONTH(JanSøn1+26)=1),JanSøn1+26,""),IF(AND(YEAR(JanSøn1+33)=Kalenderår,MONTH(JanSøn1+33)=1),JanSøn1+33,""))</f>
        <v>43861</v>
      </c>
      <c r="H9" s="30" t="str">
        <f>IF(DAY(JanSøn1)=1,IF(AND(YEAR(JanSøn1+27)=Kalenderår,MONTH(JanSøn1+27)=1),JanSøn1+27,""),IF(AND(YEAR(JanSøn1+34)=Kalenderår,MONTH(JanSøn1+34)=1),JanSøn1+34,""))</f>
        <v/>
      </c>
      <c r="I9" s="30" t="str">
        <f>IF(DAY(JanSøn1)=1,IF(AND(YEAR(JanSøn1+28)=Kalenderår,MONTH(JanSøn1+28)=1),JanSøn1+28,""),IF(AND(YEAR(JanSøn1+35)=Kalenderår,MONTH(JanSøn1+35)=1),JanSøn1+35,""))</f>
        <v/>
      </c>
      <c r="J9" s="22"/>
      <c r="K9" s="30">
        <f>IF(DAY(FebSøn1)=1,IF(AND(YEAR(FebSøn1+22)=Kalenderår,MONTH(FebSøn1+22)=2),FebSøn1+22,""),IF(AND(YEAR(FebSøn1+29)=Kalenderår,MONTH(FebSøn1+29)=2),FebSøn1+29,""))</f>
        <v>43885</v>
      </c>
      <c r="L9" s="30">
        <f>IF(DAY(FebSøn1)=1,IF(AND(YEAR(FebSøn1+23)=Kalenderår,MONTH(FebSøn1+23)=2),FebSøn1+23,""),IF(AND(YEAR(FebSøn1+30)=Kalenderår,MONTH(FebSøn1+30)=2),FebSøn1+30,""))</f>
        <v>43886</v>
      </c>
      <c r="M9" s="30">
        <f>IF(DAY(FebSøn1)=1,IF(AND(YEAR(FebSøn1+24)=Kalenderår,MONTH(FebSøn1+24)=2),FebSøn1+24,""),IF(AND(YEAR(FebSøn1+31)=Kalenderår,MONTH(FebSøn1+31)=2),FebSøn1+31,""))</f>
        <v>43887</v>
      </c>
      <c r="N9" s="30">
        <f>IF(DAY(FebSøn1)=1,IF(AND(YEAR(FebSøn1+25)=Kalenderår,MONTH(FebSøn1+25)=2),FebSøn1+25,""),IF(AND(YEAR(FebSøn1+32)=Kalenderår,MONTH(FebSøn1+32)=2),FebSøn1+32,""))</f>
        <v>43888</v>
      </c>
      <c r="O9" s="30">
        <f>IF(DAY(FebSøn1)=1,IF(AND(YEAR(FebSøn1+26)=Kalenderår,MONTH(FebSøn1+26)=2),FebSøn1+26,""),IF(AND(YEAR(FebSøn1+33)=Kalenderår,MONTH(FebSøn1+33)=2),FebSøn1+33,""))</f>
        <v>43889</v>
      </c>
      <c r="P9" s="30">
        <f>IF(DAY(FebSøn1)=1,IF(AND(YEAR(FebSøn1+27)=Kalenderår,MONTH(FebSøn1+27)=2),FebSøn1+27,""),IF(AND(YEAR(FebSøn1+34)=Kalenderår,MONTH(FebSøn1+34)=2),FebSøn1+34,""))</f>
        <v>43890</v>
      </c>
      <c r="Q9" s="30" t="str">
        <f>IF(DAY(FebSøn1)=1,IF(AND(YEAR(FebSøn1+28)=Kalenderår,MONTH(FebSøn1+28)=2),FebSøn1+28,""),IF(AND(YEAR(FebSøn1+35)=Kalenderår,MONTH(FebSøn1+35)=2),FebSøn1+35,""))</f>
        <v/>
      </c>
      <c r="S9" s="24"/>
      <c r="U9" s="10" t="s">
        <v>50</v>
      </c>
      <c r="V9" s="25"/>
      <c r="W9" s="25"/>
    </row>
    <row r="10" spans="1:23" ht="15" customHeight="1" x14ac:dyDescent="0.2">
      <c r="C10" s="30" t="str">
        <f>IF(DAY(JanSøn1)=1,IF(AND(YEAR(JanSøn1+29)=Kalenderår,MONTH(JanSøn1+29)=1),JanSøn1+29,""),IF(AND(YEAR(JanSøn1+36)=Kalenderår,MONTH(JanSøn1+36)=1),JanSøn1+36,""))</f>
        <v/>
      </c>
      <c r="D10" s="30" t="str">
        <f>IF(DAY(JanSøn1)=1,IF(AND(YEAR(JanSøn1+30)=Kalenderår,MONTH(JanSøn1+30)=1),JanSøn1+30,""),IF(AND(YEAR(JanSøn1+37)=Kalenderår,MONTH(JanSøn1+37)=1),JanSøn1+37,""))</f>
        <v/>
      </c>
      <c r="E10" s="30" t="str">
        <f>IF(DAY(JanSøn1)=1,IF(AND(YEAR(JanSøn1+31)=Kalenderår,MONTH(JanSøn1+31)=1),JanSøn1+31,""),IF(AND(YEAR(JanSøn1+38)=Kalenderår,MONTH(JanSøn1+38)=1),JanSøn1+38,""))</f>
        <v/>
      </c>
      <c r="F10" s="30" t="str">
        <f>IF(DAY(JanSøn1)=1,IF(AND(YEAR(JanSøn1+32)=Kalenderår,MONTH(JanSøn1+32)=1),JanSøn1+32,""),IF(AND(YEAR(JanSøn1+39)=Kalenderår,MONTH(JanSøn1+39)=1),JanSøn1+39,""))</f>
        <v/>
      </c>
      <c r="G10" s="30" t="str">
        <f>IF(DAY(JanSøn1)=1,IF(AND(YEAR(JanSøn1+33)=Kalenderår,MONTH(JanSøn1+33)=1),JanSøn1+33,""),IF(AND(YEAR(JanSøn1+40)=Kalenderår,MONTH(JanSøn1+40)=1),JanSøn1+40,""))</f>
        <v/>
      </c>
      <c r="H10" s="30" t="str">
        <f>IF(DAY(JanSøn1)=1,IF(AND(YEAR(JanSøn1+34)=Kalenderår,MONTH(JanSøn1+34)=1),JanSøn1+34,""),IF(AND(YEAR(JanSøn1+41)=Kalenderår,MONTH(JanSøn1+41)=1),JanSøn1+41,""))</f>
        <v/>
      </c>
      <c r="I10" s="30" t="str">
        <f>IF(DAY(JanSøn1)=1,IF(AND(YEAR(JanSøn1+35)=Kalenderår,MONTH(JanSøn1+35)=1),JanSøn1+35,""),IF(AND(YEAR(JanSøn1+42)=Kalenderår,MONTH(JanSøn1+42)=1),JanSøn1+42,""))</f>
        <v/>
      </c>
      <c r="J10" s="22"/>
      <c r="K10" s="30" t="str">
        <f>IF(DAY(FebSøn1)=1,IF(AND(YEAR(FebSøn1+29)=Kalenderår,MONTH(FebSøn1+29)=2),FebSøn1+29,""),IF(AND(YEAR(FebSøn1+36)=Kalenderår,MONTH(FebSøn1+36)=2),FebSøn1+36,""))</f>
        <v/>
      </c>
      <c r="L10" s="30" t="str">
        <f>IF(DAY(FebSøn1)=1,IF(AND(YEAR(FebSøn1+30)=Kalenderår,MONTH(FebSøn1+30)=2),FebSøn1+30,""),IF(AND(YEAR(FebSøn1+37)=Kalenderår,MONTH(FebSøn1+37)=2),FebSøn1+37,""))</f>
        <v/>
      </c>
      <c r="M10" s="30" t="str">
        <f>IF(DAY(FebSøn1)=1,IF(AND(YEAR(FebSøn1+31)=Kalenderår,MONTH(FebSøn1+31)=2),FebSøn1+31,""),IF(AND(YEAR(FebSøn1+38)=Kalenderår,MONTH(FebSøn1+38)=2),FebSøn1+38,""))</f>
        <v/>
      </c>
      <c r="N10" s="30" t="str">
        <f>IF(DAY(FebSøn1)=1,IF(AND(YEAR(FebSøn1+32)=Kalenderår,MONTH(FebSøn1+32)=2),FebSøn1+32,""),IF(AND(YEAR(FebSøn1+39)=Kalenderår,MONTH(FebSøn1+39)=2),FebSøn1+39,""))</f>
        <v/>
      </c>
      <c r="O10" s="30" t="str">
        <f>IF(DAY(FebSøn1)=1,IF(AND(YEAR(FebSøn1+33)=Kalenderår,MONTH(FebSøn1+33)=2),FebSøn1+33,""),IF(AND(YEAR(FebSøn1+40)=Kalenderår,MONTH(FebSøn1+40)=2),FebSøn1+40,""))</f>
        <v/>
      </c>
      <c r="P10" s="30" t="str">
        <f>IF(DAY(FebSøn1)=1,IF(AND(YEAR(FebSøn1+34)=Kalenderår,MONTH(FebSøn1+34)=2),FebSøn1+34,""),IF(AND(YEAR(FebSøn1+41)=Kalenderår,MONTH(FebSøn1+41)=2),FebSøn1+41,""))</f>
        <v/>
      </c>
      <c r="Q10" s="30" t="str">
        <f>IF(DAY(FebSøn1)=1,IF(AND(YEAR(FebSøn1+35)=Kalenderår,MONTH(FebSøn1+35)=2),FebSøn1+35,""),IF(AND(YEAR(FebSøn1+42)=Kalenderår,MONTH(FebSøn1+42)=2),FebSøn1+42,""))</f>
        <v/>
      </c>
      <c r="S10" s="24"/>
      <c r="U10" s="3" t="s">
        <v>51</v>
      </c>
      <c r="V10" s="25"/>
      <c r="W10" s="25"/>
    </row>
    <row r="11" spans="1:23" ht="15" customHeight="1" x14ac:dyDescent="0.2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S11" s="24"/>
      <c r="U11" s="2"/>
      <c r="V11" s="25"/>
      <c r="W11" s="25"/>
    </row>
    <row r="12" spans="1:23" ht="15" customHeight="1" x14ac:dyDescent="0.2">
      <c r="A12" s="18" t="s">
        <v>11</v>
      </c>
      <c r="C12" s="26" t="s">
        <v>28</v>
      </c>
      <c r="D12" s="26"/>
      <c r="E12" s="26"/>
      <c r="F12" s="26"/>
      <c r="G12" s="26"/>
      <c r="H12" s="26"/>
      <c r="I12" s="26"/>
      <c r="K12" s="26" t="s">
        <v>40</v>
      </c>
      <c r="L12" s="26"/>
      <c r="M12" s="26"/>
      <c r="N12" s="26"/>
      <c r="O12" s="26"/>
      <c r="P12" s="26"/>
      <c r="Q12" s="26"/>
      <c r="S12" s="24"/>
      <c r="U12" s="10"/>
      <c r="V12" s="25"/>
      <c r="W12" s="25"/>
    </row>
    <row r="13" spans="1:23" ht="15" customHeight="1" x14ac:dyDescent="0.25">
      <c r="A13" s="18" t="s">
        <v>12</v>
      </c>
      <c r="C13" s="11" t="s">
        <v>27</v>
      </c>
      <c r="D13" s="11" t="s">
        <v>33</v>
      </c>
      <c r="E13" s="11" t="s">
        <v>34</v>
      </c>
      <c r="F13" s="11" t="s">
        <v>35</v>
      </c>
      <c r="G13" s="11" t="s">
        <v>36</v>
      </c>
      <c r="H13" s="11" t="s">
        <v>37</v>
      </c>
      <c r="I13" s="11" t="s">
        <v>38</v>
      </c>
      <c r="J13" s="21"/>
      <c r="K13" s="11" t="s">
        <v>27</v>
      </c>
      <c r="L13" s="11" t="s">
        <v>33</v>
      </c>
      <c r="M13" s="11" t="s">
        <v>34</v>
      </c>
      <c r="N13" s="11" t="s">
        <v>35</v>
      </c>
      <c r="O13" s="11" t="s">
        <v>36</v>
      </c>
      <c r="P13" s="11" t="s">
        <v>37</v>
      </c>
      <c r="Q13" s="11" t="s">
        <v>38</v>
      </c>
      <c r="S13" s="24"/>
      <c r="U13" s="3"/>
      <c r="V13" s="25"/>
      <c r="W13" s="25"/>
    </row>
    <row r="14" spans="1:23" ht="15" customHeight="1" x14ac:dyDescent="0.2">
      <c r="C14" s="30" t="str">
        <f>IF(DAY(MarSøn1)=1,"",IF(AND(YEAR(MarSøn1+1)=Kalenderår,MONTH(MarSøn1+1)=3),MarSøn1+1,""))</f>
        <v/>
      </c>
      <c r="D14" s="30" t="str">
        <f>IF(DAY(MarSøn1)=1,"",IF(AND(YEAR(MarSøn1+2)=Kalenderår,MONTH(MarSøn1+2)=3),MarSøn1+2,""))</f>
        <v/>
      </c>
      <c r="E14" s="30" t="str">
        <f>IF(DAY(MarSøn1)=1,"",IF(AND(YEAR(MarSøn1+3)=Kalenderår,MONTH(MarSøn1+3)=3),MarSøn1+3,""))</f>
        <v/>
      </c>
      <c r="F14" s="30" t="str">
        <f>IF(DAY(MarSøn1)=1,"",IF(AND(YEAR(MarSøn1+4)=Kalenderår,MONTH(MarSøn1+4)=3),MarSøn1+4,""))</f>
        <v/>
      </c>
      <c r="G14" s="30" t="str">
        <f>IF(DAY(MarSøn1)=1,"",IF(AND(YEAR(MarSøn1+5)=Kalenderår,MONTH(MarSøn1+5)=3),MarSøn1+5,""))</f>
        <v/>
      </c>
      <c r="H14" s="30" t="str">
        <f>IF(DAY(MarSøn1)=1,"",IF(AND(YEAR(MarSøn1+6)=Kalenderår,MONTH(MarSøn1+6)=3),MarSøn1+6,""))</f>
        <v/>
      </c>
      <c r="I14" s="30">
        <f>IF(DAY(MarSøn1)=1,IF(AND(YEAR(MarSøn1)=Kalenderår,MONTH(MarSøn1)=3),MarSøn1,""),IF(AND(YEAR(MarSøn1+7)=Kalenderår,MONTH(MarSøn1+7)=3),MarSøn1+7,""))</f>
        <v>43891</v>
      </c>
      <c r="J14" s="22"/>
      <c r="K14" s="30" t="str">
        <f>IF(DAY(AprSøn1)=1,"",IF(AND(YEAR(AprSøn1+1)=Kalenderår,MONTH(AprSøn1+1)=4),AprSøn1+1,""))</f>
        <v/>
      </c>
      <c r="L14" s="30" t="str">
        <f>IF(DAY(AprSøn1)=1,"",IF(AND(YEAR(AprSøn1+2)=Kalenderår,MONTH(AprSøn1+2)=4),AprSøn1+2,""))</f>
        <v/>
      </c>
      <c r="M14" s="30">
        <f>IF(DAY(AprSøn1)=1,"",IF(AND(YEAR(AprSøn1+3)=Kalenderår,MONTH(AprSøn1+3)=4),AprSøn1+3,""))</f>
        <v>43922</v>
      </c>
      <c r="N14" s="30">
        <f>IF(DAY(AprSøn1)=1,"",IF(AND(YEAR(AprSøn1+4)=Kalenderår,MONTH(AprSøn1+4)=4),AprSøn1+4,""))</f>
        <v>43923</v>
      </c>
      <c r="O14" s="30">
        <f>IF(DAY(AprSøn1)=1,"",IF(AND(YEAR(AprSøn1+5)=Kalenderår,MONTH(AprSøn1+5)=4),AprSøn1+5,""))</f>
        <v>43924</v>
      </c>
      <c r="P14" s="30">
        <f>IF(DAY(AprSøn1)=1,"",IF(AND(YEAR(AprSøn1+6)=Kalenderår,MONTH(AprSøn1+6)=4),AprSøn1+6,""))</f>
        <v>43925</v>
      </c>
      <c r="Q14" s="30">
        <f>IF(DAY(AprSøn1)=1,IF(AND(YEAR(AprSøn1)=Kalenderår,MONTH(AprSøn1)=4),AprSøn1,""),IF(AND(YEAR(AprSøn1+7)=Kalenderår,MONTH(AprSøn1+7)=4),AprSøn1+7,""))</f>
        <v>43926</v>
      </c>
      <c r="S14" s="24"/>
      <c r="U14" s="2"/>
      <c r="V14" s="25"/>
      <c r="W14" s="25"/>
    </row>
    <row r="15" spans="1:23" ht="15" customHeight="1" x14ac:dyDescent="0.2">
      <c r="A15" s="18"/>
      <c r="C15" s="30">
        <f>IF(DAY(MarSøn1)=1,IF(AND(YEAR(MarSøn1+1)=Kalenderår,MONTH(MarSøn1+1)=3),MarSøn1+1,""),IF(AND(YEAR(MarSøn1+8)=Kalenderår,MONTH(MarSøn1+8)=3),MarSøn1+8,""))</f>
        <v>43892</v>
      </c>
      <c r="D15" s="30">
        <f>IF(DAY(MarSøn1)=1,IF(AND(YEAR(MarSøn1+2)=Kalenderår,MONTH(MarSøn1+2)=3),MarSøn1+2,""),IF(AND(YEAR(MarSøn1+9)=Kalenderår,MONTH(MarSøn1+9)=3),MarSøn1+9,""))</f>
        <v>43893</v>
      </c>
      <c r="E15" s="30">
        <f>IF(DAY(MarSøn1)=1,IF(AND(YEAR(MarSøn1+3)=Kalenderår,MONTH(MarSøn1+3)=3),MarSøn1+3,""),IF(AND(YEAR(MarSøn1+10)=Kalenderår,MONTH(MarSøn1+10)=3),MarSøn1+10,""))</f>
        <v>43894</v>
      </c>
      <c r="F15" s="30">
        <f>IF(DAY(MarSøn1)=1,IF(AND(YEAR(MarSøn1+4)=Kalenderår,MONTH(MarSøn1+4)=3),MarSøn1+4,""),IF(AND(YEAR(MarSøn1+11)=Kalenderår,MONTH(MarSøn1+11)=3),MarSøn1+11,""))</f>
        <v>43895</v>
      </c>
      <c r="G15" s="30">
        <f>IF(DAY(MarSøn1)=1,IF(AND(YEAR(MarSøn1+5)=Kalenderår,MONTH(MarSøn1+5)=3),MarSøn1+5,""),IF(AND(YEAR(MarSøn1+12)=Kalenderår,MONTH(MarSøn1+12)=3),MarSøn1+12,""))</f>
        <v>43896</v>
      </c>
      <c r="H15" s="30">
        <f>IF(DAY(MarSøn1)=1,IF(AND(YEAR(MarSøn1+6)=Kalenderår,MONTH(MarSøn1+6)=3),MarSøn1+6,""),IF(AND(YEAR(MarSøn1+13)=Kalenderår,MONTH(MarSøn1+13)=3),MarSøn1+13,""))</f>
        <v>43897</v>
      </c>
      <c r="I15" s="30">
        <f>IF(DAY(MarSøn1)=1,IF(AND(YEAR(MarSøn1+7)=Kalenderår,MONTH(MarSøn1+7)=3),MarSøn1+7,""),IF(AND(YEAR(MarSøn1+14)=Kalenderår,MONTH(MarSøn1+14)=3),MarSøn1+14,""))</f>
        <v>43898</v>
      </c>
      <c r="J15" s="22"/>
      <c r="K15" s="30">
        <f>IF(DAY(AprSøn1)=1,IF(AND(YEAR(AprSøn1+1)=Kalenderår,MONTH(AprSøn1+1)=4),AprSøn1+1,""),IF(AND(YEAR(AprSøn1+8)=Kalenderår,MONTH(AprSøn1+8)=4),AprSøn1+8,""))</f>
        <v>43927</v>
      </c>
      <c r="L15" s="30">
        <f>IF(DAY(AprSøn1)=1,IF(AND(YEAR(AprSøn1+2)=Kalenderår,MONTH(AprSøn1+2)=4),AprSøn1+2,""),IF(AND(YEAR(AprSøn1+9)=Kalenderår,MONTH(AprSøn1+9)=4),AprSøn1+9,""))</f>
        <v>43928</v>
      </c>
      <c r="M15" s="30">
        <f>IF(DAY(AprSøn1)=1,IF(AND(YEAR(AprSøn1+3)=Kalenderår,MONTH(AprSøn1+3)=4),AprSøn1+3,""),IF(AND(YEAR(AprSøn1+10)=Kalenderår,MONTH(AprSøn1+10)=4),AprSøn1+10,""))</f>
        <v>43929</v>
      </c>
      <c r="N15" s="30">
        <f>IF(DAY(AprSøn1)=1,IF(AND(YEAR(AprSøn1+4)=Kalenderår,MONTH(AprSøn1+4)=4),AprSøn1+4,""),IF(AND(YEAR(AprSøn1+11)=Kalenderår,MONTH(AprSøn1+11)=4),AprSøn1+11,""))</f>
        <v>43930</v>
      </c>
      <c r="O15" s="30">
        <f>IF(DAY(AprSøn1)=1,IF(AND(YEAR(AprSøn1+5)=Kalenderår,MONTH(AprSøn1+5)=4),AprSøn1+5,""),IF(AND(YEAR(AprSøn1+12)=Kalenderår,MONTH(AprSøn1+12)=4),AprSøn1+12,""))</f>
        <v>43931</v>
      </c>
      <c r="P15" s="30">
        <f>IF(DAY(AprSøn1)=1,IF(AND(YEAR(AprSøn1+6)=Kalenderår,MONTH(AprSøn1+6)=4),AprSøn1+6,""),IF(AND(YEAR(AprSøn1+13)=Kalenderår,MONTH(AprSøn1+13)=4),AprSøn1+13,""))</f>
        <v>43932</v>
      </c>
      <c r="Q15" s="30">
        <f>IF(DAY(AprSøn1)=1,IF(AND(YEAR(AprSøn1+7)=Kalenderår,MONTH(AprSøn1+7)=4),AprSøn1+7,""),IF(AND(YEAR(AprSøn1+14)=Kalenderår,MONTH(AprSøn1+14)=4),AprSøn1+14,""))</f>
        <v>43933</v>
      </c>
      <c r="S15" s="24"/>
      <c r="U15" s="10"/>
      <c r="V15" s="25"/>
      <c r="W15" s="25"/>
    </row>
    <row r="16" spans="1:23" ht="15" customHeight="1" x14ac:dyDescent="0.2">
      <c r="C16" s="30">
        <f>IF(DAY(MarSøn1)=1,IF(AND(YEAR(MarSøn1+8)=Kalenderår,MONTH(MarSøn1+8)=3),MarSøn1+8,""),IF(AND(YEAR(MarSøn1+15)=Kalenderår,MONTH(MarSøn1+15)=3),MarSøn1+15,""))</f>
        <v>43899</v>
      </c>
      <c r="D16" s="30">
        <f>IF(DAY(MarSøn1)=1,IF(AND(YEAR(MarSøn1+9)=Kalenderår,MONTH(MarSøn1+9)=3),MarSøn1+9,""),IF(AND(YEAR(MarSøn1+16)=Kalenderår,MONTH(MarSøn1+16)=3),MarSøn1+16,""))</f>
        <v>43900</v>
      </c>
      <c r="E16" s="30">
        <f>IF(DAY(MarSøn1)=1,IF(AND(YEAR(MarSøn1+10)=Kalenderår,MONTH(MarSøn1+10)=3),MarSøn1+10,""),IF(AND(YEAR(MarSøn1+17)=Kalenderår,MONTH(MarSøn1+17)=3),MarSøn1+17,""))</f>
        <v>43901</v>
      </c>
      <c r="F16" s="30">
        <f>IF(DAY(MarSøn1)=1,IF(AND(YEAR(MarSøn1+11)=Kalenderår,MONTH(MarSøn1+11)=3),MarSøn1+11,""),IF(AND(YEAR(MarSøn1+18)=Kalenderår,MONTH(MarSøn1+18)=3),MarSøn1+18,""))</f>
        <v>43902</v>
      </c>
      <c r="G16" s="30">
        <f>IF(DAY(MarSøn1)=1,IF(AND(YEAR(MarSøn1+12)=Kalenderår,MONTH(MarSøn1+12)=3),MarSøn1+12,""),IF(AND(YEAR(MarSøn1+19)=Kalenderår,MONTH(MarSøn1+19)=3),MarSøn1+19,""))</f>
        <v>43903</v>
      </c>
      <c r="H16" s="30">
        <f>IF(DAY(MarSøn1)=1,IF(AND(YEAR(MarSøn1+13)=Kalenderår,MONTH(MarSøn1+13)=3),MarSøn1+13,""),IF(AND(YEAR(MarSøn1+20)=Kalenderår,MONTH(MarSøn1+20)=3),MarSøn1+20,""))</f>
        <v>43904</v>
      </c>
      <c r="I16" s="30">
        <f>IF(DAY(MarSøn1)=1,IF(AND(YEAR(MarSøn1+14)=Kalenderår,MONTH(MarSøn1+14)=3),MarSøn1+14,""),IF(AND(YEAR(MarSøn1+21)=Kalenderår,MONTH(MarSøn1+21)=3),MarSøn1+21,""))</f>
        <v>43905</v>
      </c>
      <c r="J16" s="22"/>
      <c r="K16" s="30">
        <f>IF(DAY(AprSøn1)=1,IF(AND(YEAR(AprSøn1+8)=Kalenderår,MONTH(AprSøn1+8)=4),AprSøn1+8,""),IF(AND(YEAR(AprSøn1+15)=Kalenderår,MONTH(AprSøn1+15)=4),AprSøn1+15,""))</f>
        <v>43934</v>
      </c>
      <c r="L16" s="30">
        <f>IF(DAY(AprSøn1)=1,IF(AND(YEAR(AprSøn1+9)=Kalenderår,MONTH(AprSøn1+9)=4),AprSøn1+9,""),IF(AND(YEAR(AprSøn1+16)=Kalenderår,MONTH(AprSøn1+16)=4),AprSøn1+16,""))</f>
        <v>43935</v>
      </c>
      <c r="M16" s="30">
        <f>IF(DAY(AprSøn1)=1,IF(AND(YEAR(AprSøn1+10)=Kalenderår,MONTH(AprSøn1+10)=4),AprSøn1+10,""),IF(AND(YEAR(AprSøn1+17)=Kalenderår,MONTH(AprSøn1+17)=4),AprSøn1+17,""))</f>
        <v>43936</v>
      </c>
      <c r="N16" s="30">
        <f>IF(DAY(AprSøn1)=1,IF(AND(YEAR(AprSøn1+11)=Kalenderår,MONTH(AprSøn1+11)=4),AprSøn1+11,""),IF(AND(YEAR(AprSøn1+18)=Kalenderår,MONTH(AprSøn1+18)=4),AprSøn1+18,""))</f>
        <v>43937</v>
      </c>
      <c r="O16" s="30">
        <f>IF(DAY(AprSøn1)=1,IF(AND(YEAR(AprSøn1+12)=Kalenderår,MONTH(AprSøn1+12)=4),AprSøn1+12,""),IF(AND(YEAR(AprSøn1+19)=Kalenderår,MONTH(AprSøn1+19)=4),AprSøn1+19,""))</f>
        <v>43938</v>
      </c>
      <c r="P16" s="30">
        <f>IF(DAY(AprSøn1)=1,IF(AND(YEAR(AprSøn1+13)=Kalenderår,MONTH(AprSøn1+13)=4),AprSøn1+13,""),IF(AND(YEAR(AprSøn1+20)=Kalenderår,MONTH(AprSøn1+20)=4),AprSøn1+20,""))</f>
        <v>43939</v>
      </c>
      <c r="Q16" s="30">
        <f>IF(DAY(AprSøn1)=1,IF(AND(YEAR(AprSøn1+14)=Kalenderår,MONTH(AprSøn1+14)=4),AprSøn1+14,""),IF(AND(YEAR(AprSøn1+21)=Kalenderår,MONTH(AprSøn1+21)=4),AprSøn1+21,""))</f>
        <v>43940</v>
      </c>
      <c r="S16" s="24"/>
      <c r="U16" s="3"/>
      <c r="V16" s="25"/>
      <c r="W16" s="25"/>
    </row>
    <row r="17" spans="1:23" ht="15" customHeight="1" x14ac:dyDescent="0.2">
      <c r="C17" s="30">
        <f>IF(DAY(MarSøn1)=1,IF(AND(YEAR(MarSøn1+15)=Kalenderår,MONTH(MarSøn1+15)=3),MarSøn1+15,""),IF(AND(YEAR(MarSøn1+22)=Kalenderår,MONTH(MarSøn1+22)=3),MarSøn1+22,""))</f>
        <v>43906</v>
      </c>
      <c r="D17" s="30">
        <f>IF(DAY(MarSøn1)=1,IF(AND(YEAR(MarSøn1+16)=Kalenderår,MONTH(MarSøn1+16)=3),MarSøn1+16,""),IF(AND(YEAR(MarSøn1+23)=Kalenderår,MONTH(MarSøn1+23)=3),MarSøn1+23,""))</f>
        <v>43907</v>
      </c>
      <c r="E17" s="30">
        <f>IF(DAY(MarSøn1)=1,IF(AND(YEAR(MarSøn1+17)=Kalenderår,MONTH(MarSøn1+17)=3),MarSøn1+17,""),IF(AND(YEAR(MarSøn1+24)=Kalenderår,MONTH(MarSøn1+24)=3),MarSøn1+24,""))</f>
        <v>43908</v>
      </c>
      <c r="F17" s="30">
        <f>IF(DAY(MarSøn1)=1,IF(AND(YEAR(MarSøn1+18)=Kalenderår,MONTH(MarSøn1+18)=3),MarSøn1+18,""),IF(AND(YEAR(MarSøn1+25)=Kalenderår,MONTH(MarSøn1+25)=3),MarSøn1+25,""))</f>
        <v>43909</v>
      </c>
      <c r="G17" s="30">
        <f>IF(DAY(MarSøn1)=1,IF(AND(YEAR(MarSøn1+19)=Kalenderår,MONTH(MarSøn1+19)=3),MarSøn1+19,""),IF(AND(YEAR(MarSøn1+26)=Kalenderår,MONTH(MarSøn1+26)=3),MarSøn1+26,""))</f>
        <v>43910</v>
      </c>
      <c r="H17" s="30">
        <f>IF(DAY(MarSøn1)=1,IF(AND(YEAR(MarSøn1+20)=Kalenderår,MONTH(MarSøn1+20)=3),MarSøn1+20,""),IF(AND(YEAR(MarSøn1+27)=Kalenderår,MONTH(MarSøn1+27)=3),MarSøn1+27,""))</f>
        <v>43911</v>
      </c>
      <c r="I17" s="30">
        <f>IF(DAY(MarSøn1)=1,IF(AND(YEAR(MarSøn1+21)=Kalenderår,MONTH(MarSøn1+21)=3),MarSøn1+21,""),IF(AND(YEAR(MarSøn1+28)=Kalenderår,MONTH(MarSøn1+28)=3),MarSøn1+28,""))</f>
        <v>43912</v>
      </c>
      <c r="J17" s="22"/>
      <c r="K17" s="30">
        <f>IF(DAY(AprSøn1)=1,IF(AND(YEAR(AprSøn1+15)=Kalenderår,MONTH(AprSøn1+15)=4),AprSøn1+15,""),IF(AND(YEAR(AprSøn1+22)=Kalenderår,MONTH(AprSøn1+22)=4),AprSøn1+22,""))</f>
        <v>43941</v>
      </c>
      <c r="L17" s="30">
        <f>IF(DAY(AprSøn1)=1,IF(AND(YEAR(AprSøn1+16)=Kalenderår,MONTH(AprSøn1+16)=4),AprSøn1+16,""),IF(AND(YEAR(AprSøn1+23)=Kalenderår,MONTH(AprSøn1+23)=4),AprSøn1+23,""))</f>
        <v>43942</v>
      </c>
      <c r="M17" s="30">
        <f>IF(DAY(AprSøn1)=1,IF(AND(YEAR(AprSøn1+17)=Kalenderår,MONTH(AprSøn1+17)=4),AprSøn1+17,""),IF(AND(YEAR(AprSøn1+24)=Kalenderår,MONTH(AprSøn1+24)=4),AprSøn1+24,""))</f>
        <v>43943</v>
      </c>
      <c r="N17" s="30">
        <f>IF(DAY(AprSøn1)=1,IF(AND(YEAR(AprSøn1+18)=Kalenderår,MONTH(AprSøn1+18)=4),AprSøn1+18,""),IF(AND(YEAR(AprSøn1+25)=Kalenderår,MONTH(AprSøn1+25)=4),AprSøn1+25,""))</f>
        <v>43944</v>
      </c>
      <c r="O17" s="30">
        <f>IF(DAY(AprSøn1)=1,IF(AND(YEAR(AprSøn1+19)=Kalenderår,MONTH(AprSøn1+19)=4),AprSøn1+19,""),IF(AND(YEAR(AprSøn1+26)=Kalenderår,MONTH(AprSøn1+26)=4),AprSøn1+26,""))</f>
        <v>43945</v>
      </c>
      <c r="P17" s="30">
        <f>IF(DAY(AprSøn1)=1,IF(AND(YEAR(AprSøn1+20)=Kalenderår,MONTH(AprSøn1+20)=4),AprSøn1+20,""),IF(AND(YEAR(AprSøn1+27)=Kalenderår,MONTH(AprSøn1+27)=4),AprSøn1+27,""))</f>
        <v>43946</v>
      </c>
      <c r="Q17" s="30">
        <f>IF(DAY(AprSøn1)=1,IF(AND(YEAR(AprSøn1+21)=Kalenderår,MONTH(AprSøn1+21)=4),AprSøn1+21,""),IF(AND(YEAR(AprSøn1+28)=Kalenderår,MONTH(AprSøn1+28)=4),AprSøn1+28,""))</f>
        <v>43947</v>
      </c>
      <c r="S17" s="24"/>
      <c r="U17" s="2"/>
      <c r="V17" s="25"/>
      <c r="W17" s="25"/>
    </row>
    <row r="18" spans="1:23" ht="15" customHeight="1" x14ac:dyDescent="0.2">
      <c r="C18" s="30">
        <f>IF(DAY(MarSøn1)=1,IF(AND(YEAR(MarSøn1+22)=Kalenderår,MONTH(MarSøn1+22)=3),MarSøn1+22,""),IF(AND(YEAR(MarSøn1+29)=Kalenderår,MONTH(MarSøn1+29)=3),MarSøn1+29,""))</f>
        <v>43913</v>
      </c>
      <c r="D18" s="30">
        <f>IF(DAY(MarSøn1)=1,IF(AND(YEAR(MarSøn1+23)=Kalenderår,MONTH(MarSøn1+23)=3),MarSøn1+23,""),IF(AND(YEAR(MarSøn1+30)=Kalenderår,MONTH(MarSøn1+30)=3),MarSøn1+30,""))</f>
        <v>43914</v>
      </c>
      <c r="E18" s="30">
        <f>IF(DAY(MarSøn1)=1,IF(AND(YEAR(MarSøn1+24)=Kalenderår,MONTH(MarSøn1+24)=3),MarSøn1+24,""),IF(AND(YEAR(MarSøn1+31)=Kalenderår,MONTH(MarSøn1+31)=3),MarSøn1+31,""))</f>
        <v>43915</v>
      </c>
      <c r="F18" s="30">
        <f>IF(DAY(MarSøn1)=1,IF(AND(YEAR(MarSøn1+25)=Kalenderår,MONTH(MarSøn1+25)=3),MarSøn1+25,""),IF(AND(YEAR(MarSøn1+32)=Kalenderår,MONTH(MarSøn1+32)=3),MarSøn1+32,""))</f>
        <v>43916</v>
      </c>
      <c r="G18" s="30">
        <f>IF(DAY(MarSøn1)=1,IF(AND(YEAR(MarSøn1+26)=Kalenderår,MONTH(MarSøn1+26)=3),MarSøn1+26,""),IF(AND(YEAR(MarSøn1+33)=Kalenderår,MONTH(MarSøn1+33)=3),MarSøn1+33,""))</f>
        <v>43917</v>
      </c>
      <c r="H18" s="30">
        <f>IF(DAY(MarSøn1)=1,IF(AND(YEAR(MarSøn1+27)=Kalenderår,MONTH(MarSøn1+27)=3),MarSøn1+27,""),IF(AND(YEAR(MarSøn1+34)=Kalenderår,MONTH(MarSøn1+34)=3),MarSøn1+34,""))</f>
        <v>43918</v>
      </c>
      <c r="I18" s="30">
        <f>IF(DAY(MarSøn1)=1,IF(AND(YEAR(MarSøn1+28)=Kalenderår,MONTH(MarSøn1+28)=3),MarSøn1+28,""),IF(AND(YEAR(MarSøn1+35)=Kalenderår,MONTH(MarSøn1+35)=3),MarSøn1+35,""))</f>
        <v>43919</v>
      </c>
      <c r="J18" s="22"/>
      <c r="K18" s="30">
        <f>IF(DAY(AprSøn1)=1,IF(AND(YEAR(AprSøn1+22)=Kalenderår,MONTH(AprSøn1+22)=4),AprSøn1+22,""),IF(AND(YEAR(AprSøn1+29)=Kalenderår,MONTH(AprSøn1+29)=4),AprSøn1+29,""))</f>
        <v>43948</v>
      </c>
      <c r="L18" s="30">
        <f>IF(DAY(AprSøn1)=1,IF(AND(YEAR(AprSøn1+23)=Kalenderår,MONTH(AprSøn1+23)=4),AprSøn1+23,""),IF(AND(YEAR(AprSøn1+30)=Kalenderår,MONTH(AprSøn1+30)=4),AprSøn1+30,""))</f>
        <v>43949</v>
      </c>
      <c r="M18" s="30">
        <f>IF(DAY(AprSøn1)=1,IF(AND(YEAR(AprSøn1+24)=Kalenderår,MONTH(AprSøn1+24)=4),AprSøn1+24,""),IF(AND(YEAR(AprSøn1+31)=Kalenderår,MONTH(AprSøn1+31)=4),AprSøn1+31,""))</f>
        <v>43950</v>
      </c>
      <c r="N18" s="30">
        <f>IF(DAY(AprSøn1)=1,IF(AND(YEAR(AprSøn1+25)=Kalenderår,MONTH(AprSøn1+25)=4),AprSøn1+25,""),IF(AND(YEAR(AprSøn1+32)=Kalenderår,MONTH(AprSøn1+32)=4),AprSøn1+32,""))</f>
        <v>43951</v>
      </c>
      <c r="O18" s="30" t="str">
        <f>IF(DAY(AprSøn1)=1,IF(AND(YEAR(AprSøn1+26)=Kalenderår,MONTH(AprSøn1+26)=4),AprSøn1+26,""),IF(AND(YEAR(AprSøn1+33)=Kalenderår,MONTH(AprSøn1+33)=4),AprSøn1+33,""))</f>
        <v/>
      </c>
      <c r="P18" s="30" t="str">
        <f>IF(DAY(AprSøn1)=1,IF(AND(YEAR(AprSøn1+27)=Kalenderår,MONTH(AprSøn1+27)=4),AprSøn1+27,""),IF(AND(YEAR(AprSøn1+34)=Kalenderår,MONTH(AprSøn1+34)=4),AprSøn1+34,""))</f>
        <v/>
      </c>
      <c r="Q18" s="30" t="str">
        <f>IF(DAY(AprSøn1)=1,IF(AND(YEAR(AprSøn1+28)=Kalenderår,MONTH(AprSøn1+28)=4),AprSøn1+28,""),IF(AND(YEAR(AprSøn1+35)=Kalenderår,MONTH(AprSøn1+35)=4),AprSøn1+35,""))</f>
        <v/>
      </c>
      <c r="S18" s="24"/>
      <c r="U18" s="10"/>
      <c r="V18" s="25"/>
      <c r="W18" s="25"/>
    </row>
    <row r="19" spans="1:23" ht="15" customHeight="1" x14ac:dyDescent="0.2">
      <c r="C19" s="30">
        <f>IF(DAY(MarSøn1)=1,IF(AND(YEAR(MarSøn1+29)=Kalenderår,MONTH(MarSøn1+29)=3),MarSøn1+29,""),IF(AND(YEAR(MarSøn1+36)=Kalenderår,MONTH(MarSøn1+36)=3),MarSøn1+36,""))</f>
        <v>43920</v>
      </c>
      <c r="D19" s="30">
        <f>IF(DAY(MarSøn1)=1,IF(AND(YEAR(MarSøn1+30)=Kalenderår,MONTH(MarSøn1+30)=3),MarSøn1+30,""),IF(AND(YEAR(MarSøn1+37)=Kalenderår,MONTH(MarSøn1+37)=3),MarSøn1+37,""))</f>
        <v>43921</v>
      </c>
      <c r="E19" s="30" t="str">
        <f>IF(DAY(MarSøn1)=1,IF(AND(YEAR(MarSøn1+31)=Kalenderår,MONTH(MarSøn1+31)=3),MarSøn1+31,""),IF(AND(YEAR(MarSøn1+38)=Kalenderår,MONTH(MarSøn1+38)=3),MarSøn1+38,""))</f>
        <v/>
      </c>
      <c r="F19" s="30" t="str">
        <f>IF(DAY(MarSøn1)=1,IF(AND(YEAR(MarSøn1+32)=Kalenderår,MONTH(MarSøn1+32)=3),MarSøn1+32,""),IF(AND(YEAR(MarSøn1+39)=Kalenderår,MONTH(MarSøn1+39)=3),MarSøn1+39,""))</f>
        <v/>
      </c>
      <c r="G19" s="30" t="str">
        <f>IF(DAY(MarSøn1)=1,IF(AND(YEAR(MarSøn1+33)=Kalenderår,MONTH(MarSøn1+33)=3),MarSøn1+33,""),IF(AND(YEAR(MarSøn1+40)=Kalenderår,MONTH(MarSøn1+40)=3),MarSøn1+40,""))</f>
        <v/>
      </c>
      <c r="H19" s="30" t="str">
        <f>IF(DAY(MarSøn1)=1,IF(AND(YEAR(MarSøn1+34)=Kalenderår,MONTH(MarSøn1+34)=3),MarSøn1+34,""),IF(AND(YEAR(MarSøn1+41)=Kalenderår,MONTH(MarSøn1+41)=3),MarSøn1+41,""))</f>
        <v/>
      </c>
      <c r="I19" s="30" t="str">
        <f>IF(DAY(MarSøn1)=1,IF(AND(YEAR(MarSøn1+35)=Kalenderår,MONTH(MarSøn1+35)=3),MarSøn1+35,""),IF(AND(YEAR(MarSøn1+42)=Kalenderår,MONTH(MarSøn1+42)=3),MarSøn1+42,""))</f>
        <v/>
      </c>
      <c r="J19" s="22"/>
      <c r="K19" s="30" t="str">
        <f>IF(DAY(AprSøn1)=1,IF(AND(YEAR(AprSøn1+29)=Kalenderår,MONTH(AprSøn1+29)=4),AprSøn1+29,""),IF(AND(YEAR(AprSøn1+36)=Kalenderår,MONTH(AprSøn1+36)=4),AprSøn1+36,""))</f>
        <v/>
      </c>
      <c r="L19" s="30" t="str">
        <f>IF(DAY(AprSøn1)=1,IF(AND(YEAR(AprSøn1+30)=Kalenderår,MONTH(AprSøn1+30)=4),AprSøn1+30,""),IF(AND(YEAR(AprSøn1+37)=Kalenderår,MONTH(AprSøn1+37)=4),AprSøn1+37,""))</f>
        <v/>
      </c>
      <c r="M19" s="30" t="str">
        <f>IF(DAY(AprSøn1)=1,IF(AND(YEAR(AprSøn1+31)=Kalenderår,MONTH(AprSøn1+31)=4),AprSøn1+31,""),IF(AND(YEAR(AprSøn1+38)=Kalenderår,MONTH(AprSøn1+38)=4),AprSøn1+38,""))</f>
        <v/>
      </c>
      <c r="N19" s="30" t="str">
        <f>IF(DAY(AprSøn1)=1,IF(AND(YEAR(AprSøn1+32)=Kalenderår,MONTH(AprSøn1+32)=4),AprSøn1+32,""),IF(AND(YEAR(AprSøn1+39)=Kalenderår,MONTH(AprSøn1+39)=4),AprSøn1+39,""))</f>
        <v/>
      </c>
      <c r="O19" s="30" t="str">
        <f>IF(DAY(AprSøn1)=1,IF(AND(YEAR(AprSøn1+33)=Kalenderår,MONTH(AprSøn1+33)=4),AprSøn1+33,""),IF(AND(YEAR(AprSøn1+40)=Kalenderår,MONTH(AprSøn1+40)=4),AprSøn1+40,""))</f>
        <v/>
      </c>
      <c r="P19" s="30" t="str">
        <f>IF(DAY(AprSøn1)=1,IF(AND(YEAR(AprSøn1+34)=Kalenderår,MONTH(AprSøn1+34)=4),AprSøn1+34,""),IF(AND(YEAR(AprSøn1+41)=Kalenderår,MONTH(AprSøn1+41)=4),AprSøn1+41,""))</f>
        <v/>
      </c>
      <c r="Q19" s="30" t="str">
        <f>IF(DAY(AprSøn1)=1,IF(AND(YEAR(AprSøn1+35)=Kalenderår,MONTH(AprSøn1+35)=4),AprSøn1+35,""),IF(AND(YEAR(AprSøn1+42)=Kalenderår,MONTH(AprSøn1+42)=4),AprSøn1+42,""))</f>
        <v/>
      </c>
      <c r="S19" s="24"/>
      <c r="U19" s="3"/>
      <c r="V19" s="25"/>
      <c r="W19" s="25"/>
    </row>
    <row r="20" spans="1:23" ht="15" customHeight="1" x14ac:dyDescent="0.2">
      <c r="J20" s="22"/>
      <c r="S20" s="24"/>
      <c r="U20" s="2"/>
      <c r="V20" s="25"/>
      <c r="W20" s="25"/>
    </row>
    <row r="21" spans="1:23" ht="15" customHeight="1" x14ac:dyDescent="0.2">
      <c r="A21" s="18" t="s">
        <v>13</v>
      </c>
      <c r="C21" s="26" t="s">
        <v>29</v>
      </c>
      <c r="D21" s="26"/>
      <c r="E21" s="26"/>
      <c r="F21" s="26"/>
      <c r="G21" s="26"/>
      <c r="H21" s="26"/>
      <c r="I21" s="26"/>
      <c r="J21" s="22"/>
      <c r="K21" s="26" t="s">
        <v>41</v>
      </c>
      <c r="L21" s="26"/>
      <c r="M21" s="26"/>
      <c r="N21" s="26"/>
      <c r="O21" s="26"/>
      <c r="P21" s="26"/>
      <c r="Q21" s="26"/>
      <c r="S21" s="24"/>
      <c r="U21" s="10"/>
      <c r="V21" s="25"/>
      <c r="W21" s="25"/>
    </row>
    <row r="22" spans="1:23" ht="15" customHeight="1" x14ac:dyDescent="0.2">
      <c r="A22" s="18" t="s">
        <v>14</v>
      </c>
      <c r="C22" s="11" t="s">
        <v>27</v>
      </c>
      <c r="D22" s="11" t="s">
        <v>33</v>
      </c>
      <c r="E22" s="11" t="s">
        <v>34</v>
      </c>
      <c r="F22" s="11" t="s">
        <v>35</v>
      </c>
      <c r="G22" s="11" t="s">
        <v>36</v>
      </c>
      <c r="H22" s="11" t="s">
        <v>37</v>
      </c>
      <c r="I22" s="11" t="s">
        <v>38</v>
      </c>
      <c r="K22" s="11" t="s">
        <v>27</v>
      </c>
      <c r="L22" s="11" t="s">
        <v>33</v>
      </c>
      <c r="M22" s="11" t="s">
        <v>34</v>
      </c>
      <c r="N22" s="11" t="s">
        <v>35</v>
      </c>
      <c r="O22" s="11" t="s">
        <v>36</v>
      </c>
      <c r="P22" s="11" t="s">
        <v>37</v>
      </c>
      <c r="Q22" s="11" t="s">
        <v>38</v>
      </c>
      <c r="S22" s="24"/>
      <c r="U22" s="3"/>
      <c r="V22" s="25"/>
      <c r="W22" s="25"/>
    </row>
    <row r="23" spans="1:23" ht="15" customHeight="1" x14ac:dyDescent="0.25">
      <c r="A23" s="18"/>
      <c r="C23" s="30" t="str">
        <f>IF(DAY(MaiSøn1)=1,"",IF(AND(YEAR(MaiSøn1+1)=Kalenderår,MONTH(MaiSøn1+1)=5),MaiSøn1+1,""))</f>
        <v/>
      </c>
      <c r="D23" s="30" t="str">
        <f>IF(DAY(MaiSøn1)=1,"",IF(AND(YEAR(MaiSøn1+2)=Kalenderår,MONTH(MaiSøn1+2)=5),MaiSøn1+2,""))</f>
        <v/>
      </c>
      <c r="E23" s="30" t="str">
        <f>IF(DAY(MaiSøn1)=1,"",IF(AND(YEAR(MaiSøn1+3)=Kalenderår,MONTH(MaiSøn1+3)=5),MaiSøn1+3,""))</f>
        <v/>
      </c>
      <c r="F23" s="30" t="str">
        <f>IF(DAY(MaiSøn1)=1,"",IF(AND(YEAR(MaiSøn1+4)=Kalenderår,MONTH(MaiSøn1+4)=5),MaiSøn1+4,""))</f>
        <v/>
      </c>
      <c r="G23" s="30">
        <f>IF(DAY(MaiSøn1)=1,"",IF(AND(YEAR(MaiSøn1+5)=Kalenderår,MONTH(MaiSøn1+5)=5),MaiSøn1+5,""))</f>
        <v>43952</v>
      </c>
      <c r="H23" s="30">
        <f>IF(DAY(MaiSøn1)=1,"",IF(AND(YEAR(MaiSøn1+6)=Kalenderår,MONTH(MaiSøn1+6)=5),MaiSøn1+6,""))</f>
        <v>43953</v>
      </c>
      <c r="I23" s="30">
        <f>IF(DAY(MaiSøn1)=1,IF(AND(YEAR(MaiSøn1)=Kalenderår,MONTH(MaiSøn1)=5),MaiSøn1,""),IF(AND(YEAR(MaiSøn1+7)=Kalenderår,MONTH(MaiSøn1+7)=5),MaiSøn1+7,""))</f>
        <v>43954</v>
      </c>
      <c r="J23" s="21"/>
      <c r="K23" s="30">
        <f>IF(DAY(JunSøn1)=1,"",IF(AND(YEAR(JunSøn1+1)=Kalenderår,MONTH(JunSøn1+1)=6),JunSøn1+1,""))</f>
        <v>43983</v>
      </c>
      <c r="L23" s="30">
        <f>IF(DAY(JunSøn1)=1,"",IF(AND(YEAR(JunSøn1+2)=Kalenderår,MONTH(JunSøn1+2)=6),JunSøn1+2,""))</f>
        <v>43984</v>
      </c>
      <c r="M23" s="30">
        <f>IF(DAY(JunSøn1)=1,"",IF(AND(YEAR(JunSøn1+3)=Kalenderår,MONTH(JunSøn1+3)=6),JunSøn1+3,""))</f>
        <v>43985</v>
      </c>
      <c r="N23" s="30">
        <f>IF(DAY(JunSøn1)=1,"",IF(AND(YEAR(JunSøn1+4)=Kalenderår,MONTH(JunSøn1+4)=6),JunSøn1+4,""))</f>
        <v>43986</v>
      </c>
      <c r="O23" s="30">
        <f>IF(DAY(JunSøn1)=1,"",IF(AND(YEAR(JunSøn1+5)=Kalenderår,MONTH(JunSøn1+5)=6),JunSøn1+5,""))</f>
        <v>43987</v>
      </c>
      <c r="P23" s="30">
        <f>IF(DAY(JunSøn1)=1,"",IF(AND(YEAR(JunSøn1+6)=Kalenderår,MONTH(JunSøn1+6)=6),JunSøn1+6,""))</f>
        <v>43988</v>
      </c>
      <c r="Q23" s="30">
        <f>IF(DAY(JunSøn1)=1,IF(AND(YEAR(JunSøn1)=Kalenderår,MONTH(JunSøn1)=6),JunSøn1,""),IF(AND(YEAR(JunSøn1+7)=Kalenderår,MONTH(JunSøn1+7)=6),JunSøn1+7,""))</f>
        <v>43989</v>
      </c>
      <c r="S23" s="24"/>
      <c r="U23" s="2"/>
      <c r="V23" s="25"/>
      <c r="W23" s="25"/>
    </row>
    <row r="24" spans="1:23" ht="15" customHeight="1" x14ac:dyDescent="0.2">
      <c r="C24" s="30">
        <f>IF(DAY(MaiSøn1)=1,IF(AND(YEAR(MaiSøn1+1)=Kalenderår,MONTH(MaiSøn1+1)=5),MaiSøn1+1,""),IF(AND(YEAR(MaiSøn1+8)=Kalenderår,MONTH(MaiSøn1+8)=5),MaiSøn1+8,""))</f>
        <v>43955</v>
      </c>
      <c r="D24" s="30">
        <f>IF(DAY(MaiSøn1)=1,IF(AND(YEAR(MaiSøn1+2)=Kalenderår,MONTH(MaiSøn1+2)=5),MaiSøn1+2,""),IF(AND(YEAR(MaiSøn1+9)=Kalenderår,MONTH(MaiSøn1+9)=5),MaiSøn1+9,""))</f>
        <v>43956</v>
      </c>
      <c r="E24" s="30">
        <f>IF(DAY(MaiSøn1)=1,IF(AND(YEAR(MaiSøn1+3)=Kalenderår,MONTH(MaiSøn1+3)=5),MaiSøn1+3,""),IF(AND(YEAR(MaiSøn1+10)=Kalenderår,MONTH(MaiSøn1+10)=5),MaiSøn1+10,""))</f>
        <v>43957</v>
      </c>
      <c r="F24" s="30">
        <f>IF(DAY(MaiSøn1)=1,IF(AND(YEAR(MaiSøn1+4)=Kalenderår,MONTH(MaiSøn1+4)=5),MaiSøn1+4,""),IF(AND(YEAR(MaiSøn1+11)=Kalenderår,MONTH(MaiSøn1+11)=5),MaiSøn1+11,""))</f>
        <v>43958</v>
      </c>
      <c r="G24" s="30">
        <f>IF(DAY(MaiSøn1)=1,IF(AND(YEAR(MaiSøn1+5)=Kalenderår,MONTH(MaiSøn1+5)=5),MaiSøn1+5,""),IF(AND(YEAR(MaiSøn1+12)=Kalenderår,MONTH(MaiSøn1+12)=5),MaiSøn1+12,""))</f>
        <v>43959</v>
      </c>
      <c r="H24" s="30">
        <f>IF(DAY(MaiSøn1)=1,IF(AND(YEAR(MaiSøn1+6)=Kalenderår,MONTH(MaiSøn1+6)=5),MaiSøn1+6,""),IF(AND(YEAR(MaiSøn1+13)=Kalenderår,MONTH(MaiSøn1+13)=5),MaiSøn1+13,""))</f>
        <v>43960</v>
      </c>
      <c r="I24" s="30">
        <f>IF(DAY(MaiSøn1)=1,IF(AND(YEAR(MaiSøn1+7)=Kalenderår,MONTH(MaiSøn1+7)=5),MaiSøn1+7,""),IF(AND(YEAR(MaiSøn1+14)=Kalenderår,MONTH(MaiSøn1+14)=5),MaiSøn1+14,""))</f>
        <v>43961</v>
      </c>
      <c r="J24" s="22"/>
      <c r="K24" s="30">
        <f>IF(DAY(JunSøn1)=1,IF(AND(YEAR(JunSøn1+1)=Kalenderår,MONTH(JunSøn1+1)=6),JunSøn1+1,""),IF(AND(YEAR(JunSøn1+8)=Kalenderår,MONTH(JunSøn1+8)=6),JunSøn1+8,""))</f>
        <v>43990</v>
      </c>
      <c r="L24" s="30">
        <f>IF(DAY(JunSøn1)=1,IF(AND(YEAR(JunSøn1+2)=Kalenderår,MONTH(JunSøn1+2)=6),JunSøn1+2,""),IF(AND(YEAR(JunSøn1+9)=Kalenderår,MONTH(JunSøn1+9)=6),JunSøn1+9,""))</f>
        <v>43991</v>
      </c>
      <c r="M24" s="30">
        <f>IF(DAY(JunSøn1)=1,IF(AND(YEAR(JunSøn1+3)=Kalenderår,MONTH(JunSøn1+3)=6),JunSøn1+3,""),IF(AND(YEAR(JunSøn1+10)=Kalenderår,MONTH(JunSøn1+10)=6),JunSøn1+10,""))</f>
        <v>43992</v>
      </c>
      <c r="N24" s="30">
        <f>IF(DAY(JunSøn1)=1,IF(AND(YEAR(JunSøn1+4)=Kalenderår,MONTH(JunSøn1+4)=6),JunSøn1+4,""),IF(AND(YEAR(JunSøn1+11)=Kalenderår,MONTH(JunSøn1+11)=6),JunSøn1+11,""))</f>
        <v>43993</v>
      </c>
      <c r="O24" s="30">
        <f>IF(DAY(JunSøn1)=1,IF(AND(YEAR(JunSøn1+5)=Kalenderår,MONTH(JunSøn1+5)=6),JunSøn1+5,""),IF(AND(YEAR(JunSøn1+12)=Kalenderår,MONTH(JunSøn1+12)=6),JunSøn1+12,""))</f>
        <v>43994</v>
      </c>
      <c r="P24" s="30">
        <f>IF(DAY(JunSøn1)=1,IF(AND(YEAR(JunSøn1+6)=Kalenderår,MONTH(JunSøn1+6)=6),JunSøn1+6,""),IF(AND(YEAR(JunSøn1+13)=Kalenderår,MONTH(JunSøn1+13)=6),JunSøn1+13,""))</f>
        <v>43995</v>
      </c>
      <c r="Q24" s="30">
        <f>IF(DAY(JunSøn1)=1,IF(AND(YEAR(JunSøn1+7)=Kalenderår,MONTH(JunSøn1+7)=6),JunSøn1+7,""),IF(AND(YEAR(JunSøn1+14)=Kalenderår,MONTH(JunSøn1+14)=6),JunSøn1+14,""))</f>
        <v>43996</v>
      </c>
      <c r="S24" s="24"/>
      <c r="U24" s="10"/>
      <c r="V24" s="25"/>
      <c r="W24" s="25"/>
    </row>
    <row r="25" spans="1:23" ht="15" customHeight="1" x14ac:dyDescent="0.2">
      <c r="C25" s="30">
        <f>IF(DAY(MaiSøn1)=1,IF(AND(YEAR(MaiSøn1+8)=Kalenderår,MONTH(MaiSøn1+8)=5),MaiSøn1+8,""),IF(AND(YEAR(MaiSøn1+15)=Kalenderår,MONTH(MaiSøn1+15)=5),MaiSøn1+15,""))</f>
        <v>43962</v>
      </c>
      <c r="D25" s="30">
        <f>IF(DAY(MaiSøn1)=1,IF(AND(YEAR(MaiSøn1+9)=Kalenderår,MONTH(MaiSøn1+9)=5),MaiSøn1+9,""),IF(AND(YEAR(MaiSøn1+16)=Kalenderår,MONTH(MaiSøn1+16)=5),MaiSøn1+16,""))</f>
        <v>43963</v>
      </c>
      <c r="E25" s="30">
        <f>IF(DAY(MaiSøn1)=1,IF(AND(YEAR(MaiSøn1+10)=Kalenderår,MONTH(MaiSøn1+10)=5),MaiSøn1+10,""),IF(AND(YEAR(MaiSøn1+17)=Kalenderår,MONTH(MaiSøn1+17)=5),MaiSøn1+17,""))</f>
        <v>43964</v>
      </c>
      <c r="F25" s="30">
        <f>IF(DAY(MaiSøn1)=1,IF(AND(YEAR(MaiSøn1+11)=Kalenderår,MONTH(MaiSøn1+11)=5),MaiSøn1+11,""),IF(AND(YEAR(MaiSøn1+18)=Kalenderår,MONTH(MaiSøn1+18)=5),MaiSøn1+18,""))</f>
        <v>43965</v>
      </c>
      <c r="G25" s="30">
        <f>IF(DAY(MaiSøn1)=1,IF(AND(YEAR(MaiSøn1+12)=Kalenderår,MONTH(MaiSøn1+12)=5),MaiSøn1+12,""),IF(AND(YEAR(MaiSøn1+19)=Kalenderår,MONTH(MaiSøn1+19)=5),MaiSøn1+19,""))</f>
        <v>43966</v>
      </c>
      <c r="H25" s="30">
        <f>IF(DAY(MaiSøn1)=1,IF(AND(YEAR(MaiSøn1+13)=Kalenderår,MONTH(MaiSøn1+13)=5),MaiSøn1+13,""),IF(AND(YEAR(MaiSøn1+20)=Kalenderår,MONTH(MaiSøn1+20)=5),MaiSøn1+20,""))</f>
        <v>43967</v>
      </c>
      <c r="I25" s="30">
        <f>IF(DAY(MaiSøn1)=1,IF(AND(YEAR(MaiSøn1+14)=Kalenderår,MONTH(MaiSøn1+14)=5),MaiSøn1+14,""),IF(AND(YEAR(MaiSøn1+21)=Kalenderår,MONTH(MaiSøn1+21)=5),MaiSøn1+21,""))</f>
        <v>43968</v>
      </c>
      <c r="J25" s="22"/>
      <c r="K25" s="30">
        <f>IF(DAY(JunSøn1)=1,IF(AND(YEAR(JunSøn1+8)=Kalenderår,MONTH(JunSøn1+8)=6),JunSøn1+8,""),IF(AND(YEAR(JunSøn1+15)=Kalenderår,MONTH(JunSøn1+15)=6),JunSøn1+15,""))</f>
        <v>43997</v>
      </c>
      <c r="L25" s="30">
        <f>IF(DAY(JunSøn1)=1,IF(AND(YEAR(JunSøn1+9)=Kalenderår,MONTH(JunSøn1+9)=6),JunSøn1+9,""),IF(AND(YEAR(JunSøn1+16)=Kalenderår,MONTH(JunSøn1+16)=6),JunSøn1+16,""))</f>
        <v>43998</v>
      </c>
      <c r="M25" s="30">
        <f>IF(DAY(JunSøn1)=1,IF(AND(YEAR(JunSøn1+10)=Kalenderår,MONTH(JunSøn1+10)=6),JunSøn1+10,""),IF(AND(YEAR(JunSøn1+17)=Kalenderår,MONTH(JunSøn1+17)=6),JunSøn1+17,""))</f>
        <v>43999</v>
      </c>
      <c r="N25" s="30">
        <f>IF(DAY(JunSøn1)=1,IF(AND(YEAR(JunSøn1+11)=Kalenderår,MONTH(JunSøn1+11)=6),JunSøn1+11,""),IF(AND(YEAR(JunSøn1+18)=Kalenderår,MONTH(JunSøn1+18)=6),JunSøn1+18,""))</f>
        <v>44000</v>
      </c>
      <c r="O25" s="30">
        <f>IF(DAY(JunSøn1)=1,IF(AND(YEAR(JunSøn1+12)=Kalenderår,MONTH(JunSøn1+12)=6),JunSøn1+12,""),IF(AND(YEAR(JunSøn1+19)=Kalenderår,MONTH(JunSøn1+19)=6),JunSøn1+19,""))</f>
        <v>44001</v>
      </c>
      <c r="P25" s="30">
        <f>IF(DAY(JunSøn1)=1,IF(AND(YEAR(JunSøn1+13)=Kalenderår,MONTH(JunSøn1+13)=6),JunSøn1+13,""),IF(AND(YEAR(JunSøn1+20)=Kalenderår,MONTH(JunSøn1+20)=6),JunSøn1+20,""))</f>
        <v>44002</v>
      </c>
      <c r="Q25" s="30">
        <f>IF(DAY(JunSøn1)=1,IF(AND(YEAR(JunSøn1+14)=Kalenderår,MONTH(JunSøn1+14)=6),JunSøn1+14,""),IF(AND(YEAR(JunSøn1+21)=Kalenderår,MONTH(JunSøn1+21)=6),JunSøn1+21,""))</f>
        <v>44003</v>
      </c>
      <c r="S25" s="24"/>
      <c r="U25" s="3"/>
      <c r="V25" s="25"/>
      <c r="W25" s="25"/>
    </row>
    <row r="26" spans="1:23" ht="15" customHeight="1" x14ac:dyDescent="0.2">
      <c r="C26" s="30">
        <f>IF(DAY(MaiSøn1)=1,IF(AND(YEAR(MaiSøn1+15)=Kalenderår,MONTH(MaiSøn1+15)=5),MaiSøn1+15,""),IF(AND(YEAR(MaiSøn1+22)=Kalenderår,MONTH(MaiSøn1+22)=5),MaiSøn1+22,""))</f>
        <v>43969</v>
      </c>
      <c r="D26" s="30">
        <f>IF(DAY(MaiSøn1)=1,IF(AND(YEAR(MaiSøn1+16)=Kalenderår,MONTH(MaiSøn1+16)=5),MaiSøn1+16,""),IF(AND(YEAR(MaiSøn1+23)=Kalenderår,MONTH(MaiSøn1+23)=5),MaiSøn1+23,""))</f>
        <v>43970</v>
      </c>
      <c r="E26" s="30">
        <f>IF(DAY(MaiSøn1)=1,IF(AND(YEAR(MaiSøn1+17)=Kalenderår,MONTH(MaiSøn1+17)=5),MaiSøn1+17,""),IF(AND(YEAR(MaiSøn1+24)=Kalenderår,MONTH(MaiSøn1+24)=5),MaiSøn1+24,""))</f>
        <v>43971</v>
      </c>
      <c r="F26" s="30">
        <f>IF(DAY(MaiSøn1)=1,IF(AND(YEAR(MaiSøn1+18)=Kalenderår,MONTH(MaiSøn1+18)=5),MaiSøn1+18,""),IF(AND(YEAR(MaiSøn1+25)=Kalenderår,MONTH(MaiSøn1+25)=5),MaiSøn1+25,""))</f>
        <v>43972</v>
      </c>
      <c r="G26" s="30">
        <f>IF(DAY(MaiSøn1)=1,IF(AND(YEAR(MaiSøn1+19)=Kalenderår,MONTH(MaiSøn1+19)=5),MaiSøn1+19,""),IF(AND(YEAR(MaiSøn1+26)=Kalenderår,MONTH(MaiSøn1+26)=5),MaiSøn1+26,""))</f>
        <v>43973</v>
      </c>
      <c r="H26" s="30">
        <f>IF(DAY(MaiSøn1)=1,IF(AND(YEAR(MaiSøn1+20)=Kalenderår,MONTH(MaiSøn1+20)=5),MaiSøn1+20,""),IF(AND(YEAR(MaiSøn1+27)=Kalenderår,MONTH(MaiSøn1+27)=5),MaiSøn1+27,""))</f>
        <v>43974</v>
      </c>
      <c r="I26" s="30">
        <f>IF(DAY(MaiSøn1)=1,IF(AND(YEAR(MaiSøn1+21)=Kalenderår,MONTH(MaiSøn1+21)=5),MaiSøn1+21,""),IF(AND(YEAR(MaiSøn1+28)=Kalenderår,MONTH(MaiSøn1+28)=5),MaiSøn1+28,""))</f>
        <v>43975</v>
      </c>
      <c r="J26" s="22"/>
      <c r="K26" s="30">
        <f>IF(DAY(JunSøn1)=1,IF(AND(YEAR(JunSøn1+15)=Kalenderår,MONTH(JunSøn1+15)=6),JunSøn1+15,""),IF(AND(YEAR(JunSøn1+22)=Kalenderår,MONTH(JunSøn1+22)=6),JunSøn1+22,""))</f>
        <v>44004</v>
      </c>
      <c r="L26" s="30">
        <f>IF(DAY(JunSøn1)=1,IF(AND(YEAR(JunSøn1+16)=Kalenderår,MONTH(JunSøn1+16)=6),JunSøn1+16,""),IF(AND(YEAR(JunSøn1+23)=Kalenderår,MONTH(JunSøn1+23)=6),JunSøn1+23,""))</f>
        <v>44005</v>
      </c>
      <c r="M26" s="30">
        <f>IF(DAY(JunSøn1)=1,IF(AND(YEAR(JunSøn1+17)=Kalenderår,MONTH(JunSøn1+17)=6),JunSøn1+17,""),IF(AND(YEAR(JunSøn1+24)=Kalenderår,MONTH(JunSøn1+24)=6),JunSøn1+24,""))</f>
        <v>44006</v>
      </c>
      <c r="N26" s="30">
        <f>IF(DAY(JunSøn1)=1,IF(AND(YEAR(JunSøn1+18)=Kalenderår,MONTH(JunSøn1+18)=6),JunSøn1+18,""),IF(AND(YEAR(JunSøn1+25)=Kalenderår,MONTH(JunSøn1+25)=6),JunSøn1+25,""))</f>
        <v>44007</v>
      </c>
      <c r="O26" s="30">
        <f>IF(DAY(JunSøn1)=1,IF(AND(YEAR(JunSøn1+19)=Kalenderår,MONTH(JunSøn1+19)=6),JunSøn1+19,""),IF(AND(YEAR(JunSøn1+26)=Kalenderår,MONTH(JunSøn1+26)=6),JunSøn1+26,""))</f>
        <v>44008</v>
      </c>
      <c r="P26" s="30">
        <f>IF(DAY(JunSøn1)=1,IF(AND(YEAR(JunSøn1+20)=Kalenderår,MONTH(JunSøn1+20)=6),JunSøn1+20,""),IF(AND(YEAR(JunSøn1+27)=Kalenderår,MONTH(JunSøn1+27)=6),JunSøn1+27,""))</f>
        <v>44009</v>
      </c>
      <c r="Q26" s="30">
        <f>IF(DAY(JunSøn1)=1,IF(AND(YEAR(JunSøn1+21)=Kalenderår,MONTH(JunSøn1+21)=6),JunSøn1+21,""),IF(AND(YEAR(JunSøn1+28)=Kalenderår,MONTH(JunSøn1+28)=6),JunSøn1+28,""))</f>
        <v>44010</v>
      </c>
      <c r="S26" s="24"/>
      <c r="U26" s="2"/>
      <c r="V26" s="25"/>
      <c r="W26" s="25"/>
    </row>
    <row r="27" spans="1:23" ht="15" customHeight="1" x14ac:dyDescent="0.2">
      <c r="C27" s="30">
        <f>IF(DAY(MaiSøn1)=1,IF(AND(YEAR(MaiSøn1+22)=Kalenderår,MONTH(MaiSøn1+22)=5),MaiSøn1+22,""),IF(AND(YEAR(MaiSøn1+29)=Kalenderår,MONTH(MaiSøn1+29)=5),MaiSøn1+29,""))</f>
        <v>43976</v>
      </c>
      <c r="D27" s="30">
        <f>IF(DAY(MaiSøn1)=1,IF(AND(YEAR(MaiSøn1+23)=Kalenderår,MONTH(MaiSøn1+23)=5),MaiSøn1+23,""),IF(AND(YEAR(MaiSøn1+30)=Kalenderår,MONTH(MaiSøn1+30)=5),MaiSøn1+30,""))</f>
        <v>43977</v>
      </c>
      <c r="E27" s="30">
        <f>IF(DAY(MaiSøn1)=1,IF(AND(YEAR(MaiSøn1+24)=Kalenderår,MONTH(MaiSøn1+24)=5),MaiSøn1+24,""),IF(AND(YEAR(MaiSøn1+31)=Kalenderår,MONTH(MaiSøn1+31)=5),MaiSøn1+31,""))</f>
        <v>43978</v>
      </c>
      <c r="F27" s="30">
        <f>IF(DAY(MaiSøn1)=1,IF(AND(YEAR(MaiSøn1+25)=Kalenderår,MONTH(MaiSøn1+25)=5),MaiSøn1+25,""),IF(AND(YEAR(MaiSøn1+32)=Kalenderår,MONTH(MaiSøn1+32)=5),MaiSøn1+32,""))</f>
        <v>43979</v>
      </c>
      <c r="G27" s="30">
        <f>IF(DAY(MaiSøn1)=1,IF(AND(YEAR(MaiSøn1+26)=Kalenderår,MONTH(MaiSøn1+26)=5),MaiSøn1+26,""),IF(AND(YEAR(MaiSøn1+33)=Kalenderår,MONTH(MaiSøn1+33)=5),MaiSøn1+33,""))</f>
        <v>43980</v>
      </c>
      <c r="H27" s="30">
        <f>IF(DAY(MaiSøn1)=1,IF(AND(YEAR(MaiSøn1+27)=Kalenderår,MONTH(MaiSøn1+27)=5),MaiSøn1+27,""),IF(AND(YEAR(MaiSøn1+34)=Kalenderår,MONTH(MaiSøn1+34)=5),MaiSøn1+34,""))</f>
        <v>43981</v>
      </c>
      <c r="I27" s="30">
        <f>IF(DAY(MaiSøn1)=1,IF(AND(YEAR(MaiSøn1+28)=Kalenderår,MONTH(MaiSøn1+28)=5),MaiSøn1+28,""),IF(AND(YEAR(MaiSøn1+35)=Kalenderår,MONTH(MaiSøn1+35)=5),MaiSøn1+35,""))</f>
        <v>43982</v>
      </c>
      <c r="J27" s="22"/>
      <c r="K27" s="30">
        <f>IF(DAY(JunSøn1)=1,IF(AND(YEAR(JunSøn1+22)=Kalenderår,MONTH(JunSøn1+22)=6),JunSøn1+22,""),IF(AND(YEAR(JunSøn1+29)=Kalenderår,MONTH(JunSøn1+29)=6),JunSøn1+29,""))</f>
        <v>44011</v>
      </c>
      <c r="L27" s="30">
        <f>IF(DAY(JunSøn1)=1,IF(AND(YEAR(JunSøn1+23)=Kalenderår,MONTH(JunSøn1+23)=6),JunSøn1+23,""),IF(AND(YEAR(JunSøn1+30)=Kalenderår,MONTH(JunSøn1+30)=6),JunSøn1+30,""))</f>
        <v>44012</v>
      </c>
      <c r="M27" s="30" t="str">
        <f>IF(DAY(JunSøn1)=1,IF(AND(YEAR(JunSøn1+24)=Kalenderår,MONTH(JunSøn1+24)=6),JunSøn1+24,""),IF(AND(YEAR(JunSøn1+31)=Kalenderår,MONTH(JunSøn1+31)=6),JunSøn1+31,""))</f>
        <v/>
      </c>
      <c r="N27" s="30" t="str">
        <f>IF(DAY(JunSøn1)=1,IF(AND(YEAR(JunSøn1+25)=Kalenderår,MONTH(JunSøn1+25)=6),JunSøn1+25,""),IF(AND(YEAR(JunSøn1+32)=Kalenderår,MONTH(JunSøn1+32)=6),JunSøn1+32,""))</f>
        <v/>
      </c>
      <c r="O27" s="30" t="str">
        <f>IF(DAY(JunSøn1)=1,IF(AND(YEAR(JunSøn1+26)=Kalenderår,MONTH(JunSøn1+26)=6),JunSøn1+26,""),IF(AND(YEAR(JunSøn1+33)=Kalenderår,MONTH(JunSøn1+33)=6),JunSøn1+33,""))</f>
        <v/>
      </c>
      <c r="P27" s="30" t="str">
        <f>IF(DAY(JunSøn1)=1,IF(AND(YEAR(JunSøn1+27)=Kalenderår,MONTH(JunSøn1+27)=6),JunSøn1+27,""),IF(AND(YEAR(JunSøn1+34)=Kalenderår,MONTH(JunSøn1+34)=6),JunSøn1+34,""))</f>
        <v/>
      </c>
      <c r="Q27" s="30" t="str">
        <f>IF(DAY(JunSøn1)=1,IF(AND(YEAR(JunSøn1+28)=Kalenderår,MONTH(JunSøn1+28)=6),JunSøn1+28,""),IF(AND(YEAR(JunSøn1+35)=Kalenderår,MONTH(JunSøn1+35)=6),JunSøn1+35,""))</f>
        <v/>
      </c>
      <c r="S27" s="24"/>
      <c r="U27" s="10"/>
      <c r="V27" s="25"/>
      <c r="W27" s="25"/>
    </row>
    <row r="28" spans="1:23" ht="15" customHeight="1" x14ac:dyDescent="0.2">
      <c r="C28" s="30" t="str">
        <f>IF(DAY(MaiSøn1)=1,IF(AND(YEAR(MaiSøn1+29)=Kalenderår,MONTH(MaiSøn1+29)=5),MaiSøn1+29,""),IF(AND(YEAR(MaiSøn1+36)=Kalenderår,MONTH(MaiSøn1+36)=5),MaiSøn1+36,""))</f>
        <v/>
      </c>
      <c r="D28" s="30" t="str">
        <f>IF(DAY(MaiSøn1)=1,IF(AND(YEAR(MaiSøn1+30)=Kalenderår,MONTH(MaiSøn1+30)=5),MaiSøn1+30,""),IF(AND(YEAR(MaiSøn1+37)=Kalenderår,MONTH(MaiSøn1+37)=5),MaiSøn1+37,""))</f>
        <v/>
      </c>
      <c r="E28" s="30" t="str">
        <f>IF(DAY(MaiSøn1)=1,IF(AND(YEAR(MaiSøn1+31)=Kalenderår,MONTH(MaiSøn1+31)=5),MaiSøn1+31,""),IF(AND(YEAR(MaiSøn1+38)=Kalenderår,MONTH(MaiSøn1+38)=5),MaiSøn1+38,""))</f>
        <v/>
      </c>
      <c r="F28" s="30" t="str">
        <f>IF(DAY(MaiSøn1)=1,IF(AND(YEAR(MaiSøn1+32)=Kalenderår,MONTH(MaiSøn1+32)=5),MaiSøn1+32,""),IF(AND(YEAR(MaiSøn1+39)=Kalenderår,MONTH(MaiSøn1+39)=5),MaiSøn1+39,""))</f>
        <v/>
      </c>
      <c r="G28" s="30" t="str">
        <f>IF(DAY(MaiSøn1)=1,IF(AND(YEAR(MaiSøn1+33)=Kalenderår,MONTH(MaiSøn1+33)=5),MaiSøn1+33,""),IF(AND(YEAR(MaiSøn1+40)=Kalenderår,MONTH(MaiSøn1+40)=5),MaiSøn1+40,""))</f>
        <v/>
      </c>
      <c r="H28" s="30" t="str">
        <f>IF(DAY(MaiSøn1)=1,IF(AND(YEAR(MaiSøn1+34)=Kalenderår,MONTH(MaiSøn1+34)=5),MaiSøn1+34,""),IF(AND(YEAR(MaiSøn1+41)=Kalenderår,MONTH(MaiSøn1+41)=5),MaiSøn1+41,""))</f>
        <v/>
      </c>
      <c r="I28" s="30" t="str">
        <f>IF(DAY(MaiSøn1)=1,IF(AND(YEAR(MaiSøn1+35)=Kalenderår,MONTH(MaiSøn1+35)=5),MaiSøn1+35,""),IF(AND(YEAR(MaiSøn1+42)=Kalenderår,MONTH(MaiSøn1+42)=5),MaiSøn1+42,""))</f>
        <v/>
      </c>
      <c r="J28" s="22"/>
      <c r="K28" s="30" t="str">
        <f>IF(DAY(JunSøn1)=1,IF(AND(YEAR(JunSøn1+29)=Kalenderår,MONTH(JunSøn1+29)=6),JunSøn1+29,""),IF(AND(YEAR(JunSøn1+36)=Kalenderår,MONTH(JunSøn1+36)=6),JunSøn1+36,""))</f>
        <v/>
      </c>
      <c r="L28" s="30" t="str">
        <f>IF(DAY(JunSøn1)=1,IF(AND(YEAR(JunSøn1+30)=Kalenderår,MONTH(JunSøn1+30)=6),JunSøn1+30,""),IF(AND(YEAR(JunSøn1+37)=Kalenderår,MONTH(JunSøn1+37)=6),JunSøn1+37,""))</f>
        <v/>
      </c>
      <c r="M28" s="30" t="str">
        <f>IF(DAY(JunSøn1)=1,IF(AND(YEAR(JunSøn1+31)=Kalenderår,MONTH(JunSøn1+31)=6),JunSøn1+31,""),IF(AND(YEAR(JunSøn1+38)=Kalenderår,MONTH(JunSøn1+38)=6),JunSøn1+38,""))</f>
        <v/>
      </c>
      <c r="N28" s="30" t="str">
        <f>IF(DAY(JunSøn1)=1,IF(AND(YEAR(JunSøn1+32)=Kalenderår,MONTH(JunSøn1+32)=6),JunSøn1+32,""),IF(AND(YEAR(JunSøn1+39)=Kalenderår,MONTH(JunSøn1+39)=6),JunSøn1+39,""))</f>
        <v/>
      </c>
      <c r="O28" s="30" t="str">
        <f>IF(DAY(JunSøn1)=1,IF(AND(YEAR(JunSøn1+33)=Kalenderår,MONTH(JunSøn1+33)=6),JunSøn1+33,""),IF(AND(YEAR(JunSøn1+40)=Kalenderår,MONTH(JunSøn1+40)=6),JunSøn1+40,""))</f>
        <v/>
      </c>
      <c r="P28" s="30" t="str">
        <f>IF(DAY(JunSøn1)=1,IF(AND(YEAR(JunSøn1+34)=Kalenderår,MONTH(JunSøn1+34)=6),JunSøn1+34,""),IF(AND(YEAR(JunSøn1+41)=Kalenderår,MONTH(JunSøn1+41)=6),JunSøn1+41,""))</f>
        <v/>
      </c>
      <c r="Q28" s="30" t="str">
        <f>IF(DAY(JunSøn1)=1,IF(AND(YEAR(JunSøn1+35)=Kalenderår,MONTH(JunSøn1+35)=6),JunSøn1+35,""),IF(AND(YEAR(JunSøn1+42)=Kalenderår,MONTH(JunSøn1+42)=6),JunSøn1+42,""))</f>
        <v/>
      </c>
      <c r="S28" s="24"/>
      <c r="U28" s="3"/>
      <c r="V28" s="25"/>
      <c r="W28" s="25"/>
    </row>
    <row r="29" spans="1:23" ht="15" customHeight="1" x14ac:dyDescent="0.2">
      <c r="J29" s="22"/>
      <c r="S29" s="24"/>
      <c r="U29" s="2"/>
      <c r="V29" s="25"/>
      <c r="W29" s="25"/>
    </row>
    <row r="30" spans="1:23" ht="15" customHeight="1" x14ac:dyDescent="0.2">
      <c r="A30" s="18" t="s">
        <v>15</v>
      </c>
      <c r="C30" s="26" t="s">
        <v>30</v>
      </c>
      <c r="D30" s="26"/>
      <c r="E30" s="26"/>
      <c r="F30" s="26"/>
      <c r="G30" s="26"/>
      <c r="H30" s="26"/>
      <c r="I30" s="26"/>
      <c r="J30" s="22"/>
      <c r="K30" s="26" t="s">
        <v>42</v>
      </c>
      <c r="L30" s="26"/>
      <c r="M30" s="26"/>
      <c r="N30" s="26"/>
      <c r="O30" s="26"/>
      <c r="P30" s="26"/>
      <c r="Q30" s="26"/>
      <c r="S30" s="24"/>
      <c r="U30" s="10"/>
      <c r="V30" s="25"/>
      <c r="W30" s="25"/>
    </row>
    <row r="31" spans="1:23" ht="15" customHeight="1" x14ac:dyDescent="0.2">
      <c r="A31" s="18" t="s">
        <v>16</v>
      </c>
      <c r="C31" s="11" t="s">
        <v>27</v>
      </c>
      <c r="D31" s="11" t="s">
        <v>33</v>
      </c>
      <c r="E31" s="11" t="s">
        <v>34</v>
      </c>
      <c r="F31" s="11" t="s">
        <v>35</v>
      </c>
      <c r="G31" s="11" t="s">
        <v>36</v>
      </c>
      <c r="H31" s="11" t="s">
        <v>37</v>
      </c>
      <c r="I31" s="11" t="s">
        <v>38</v>
      </c>
      <c r="J31" s="22"/>
      <c r="K31" s="11" t="s">
        <v>27</v>
      </c>
      <c r="L31" s="11" t="s">
        <v>33</v>
      </c>
      <c r="M31" s="11" t="s">
        <v>34</v>
      </c>
      <c r="N31" s="11" t="s">
        <v>35</v>
      </c>
      <c r="O31" s="11" t="s">
        <v>36</v>
      </c>
      <c r="P31" s="11" t="s">
        <v>37</v>
      </c>
      <c r="Q31" s="11" t="s">
        <v>38</v>
      </c>
      <c r="S31" s="24"/>
      <c r="U31" s="3"/>
      <c r="V31" s="25"/>
      <c r="W31" s="25"/>
    </row>
    <row r="32" spans="1:23" ht="15" customHeight="1" x14ac:dyDescent="0.2">
      <c r="A32" s="18"/>
      <c r="C32" s="30" t="str">
        <f>IF(DAY(JulSøn1)=1,"",IF(AND(YEAR(JulSøn1+1)=Kalenderår,MONTH(JulSøn1+1)=7),JulSøn1+1,""))</f>
        <v/>
      </c>
      <c r="D32" s="30" t="str">
        <f>IF(DAY(JulSøn1)=1,"",IF(AND(YEAR(JulSøn1+2)=Kalenderår,MONTH(JulSøn1+2)=7),JulSøn1+2,""))</f>
        <v/>
      </c>
      <c r="E32" s="30">
        <f>IF(DAY(JulSøn1)=1,"",IF(AND(YEAR(JulSøn1+3)=Kalenderår,MONTH(JulSøn1+3)=7),JulSøn1+3,""))</f>
        <v>44013</v>
      </c>
      <c r="F32" s="30">
        <f>IF(DAY(JulSøn1)=1,"",IF(AND(YEAR(JulSøn1+4)=Kalenderår,MONTH(JulSøn1+4)=7),JulSøn1+4,""))</f>
        <v>44014</v>
      </c>
      <c r="G32" s="30">
        <f>IF(DAY(JulSøn1)=1,"",IF(AND(YEAR(JulSøn1+5)=Kalenderår,MONTH(JulSøn1+5)=7),JulSøn1+5,""))</f>
        <v>44015</v>
      </c>
      <c r="H32" s="30">
        <f>IF(DAY(JulSøn1)=1,"",IF(AND(YEAR(JulSøn1+6)=Kalenderår,MONTH(JulSøn1+6)=7),JulSøn1+6,""))</f>
        <v>44016</v>
      </c>
      <c r="I32" s="30">
        <f>IF(DAY(JulSøn1)=1,IF(AND(YEAR(JulSøn1)=Kalenderår,MONTH(JulSøn1)=7),JulSøn1,""),IF(AND(YEAR(JulSøn1+7)=Kalenderår,MONTH(JulSøn1+7)=7),JulSøn1+7,""))</f>
        <v>44017</v>
      </c>
      <c r="K32" s="30" t="str">
        <f>IF(DAY(AugSøn1)=1,"",IF(AND(YEAR(AugSøn1+1)=Kalenderår,MONTH(AugSøn1+1)=8),AugSøn1+1,""))</f>
        <v/>
      </c>
      <c r="L32" s="30" t="str">
        <f>IF(DAY(AugSøn1)=1,"",IF(AND(YEAR(AugSøn1+2)=Kalenderår,MONTH(AugSøn1+2)=8),AugSøn1+2,""))</f>
        <v/>
      </c>
      <c r="M32" s="30" t="str">
        <f>IF(DAY(AugSøn1)=1,"",IF(AND(YEAR(AugSøn1+3)=Kalenderår,MONTH(AugSøn1+3)=8),AugSøn1+3,""))</f>
        <v/>
      </c>
      <c r="N32" s="30" t="str">
        <f>IF(DAY(AugSøn1)=1,"",IF(AND(YEAR(AugSøn1+4)=Kalenderår,MONTH(AugSøn1+4)=8),AugSøn1+4,""))</f>
        <v/>
      </c>
      <c r="O32" s="30" t="str">
        <f>IF(DAY(AugSøn1)=1,"",IF(AND(YEAR(AugSøn1+5)=Kalenderår,MONTH(AugSøn1+5)=8),AugSøn1+5,""))</f>
        <v/>
      </c>
      <c r="P32" s="30">
        <f>IF(DAY(AugSøn1)=1,"",IF(AND(YEAR(AugSøn1+6)=Kalenderår,MONTH(AugSøn1+6)=8),AugSøn1+6,""))</f>
        <v>44044</v>
      </c>
      <c r="Q32" s="30">
        <f>IF(DAY(AugSøn1)=1,IF(AND(YEAR(AugSøn1)=Kalenderår,MONTH(AugSøn1)=8),AugSøn1,""),IF(AND(YEAR(AugSøn1+7)=Kalenderår,MONTH(AugSøn1+7)=8),AugSøn1+7,""))</f>
        <v>44045</v>
      </c>
      <c r="S32" s="24"/>
      <c r="U32" s="2"/>
      <c r="V32" s="25"/>
      <c r="W32" s="25"/>
    </row>
    <row r="33" spans="1:23" ht="15" customHeight="1" x14ac:dyDescent="0.2">
      <c r="A33" s="18"/>
      <c r="C33" s="30">
        <f>IF(DAY(JulSøn1)=1,IF(AND(YEAR(JulSøn1+1)=Kalenderår,MONTH(JulSøn1+1)=7),JulSøn1+1,""),IF(AND(YEAR(JulSøn1+8)=Kalenderår,MONTH(JulSøn1+8)=7),JulSøn1+8,""))</f>
        <v>44018</v>
      </c>
      <c r="D33" s="30">
        <f>IF(DAY(JulSøn1)=1,IF(AND(YEAR(JulSøn1+2)=Kalenderår,MONTH(JulSøn1+2)=7),JulSøn1+2,""),IF(AND(YEAR(JulSøn1+9)=Kalenderår,MONTH(JulSøn1+9)=7),JulSøn1+9,""))</f>
        <v>44019</v>
      </c>
      <c r="E33" s="30">
        <f>IF(DAY(JulSøn1)=1,IF(AND(YEAR(JulSøn1+3)=Kalenderår,MONTH(JulSøn1+3)=7),JulSøn1+3,""),IF(AND(YEAR(JulSøn1+10)=Kalenderår,MONTH(JulSøn1+10)=7),JulSøn1+10,""))</f>
        <v>44020</v>
      </c>
      <c r="F33" s="30">
        <f>IF(DAY(JulSøn1)=1,IF(AND(YEAR(JulSøn1+4)=Kalenderår,MONTH(JulSøn1+4)=7),JulSøn1+4,""),IF(AND(YEAR(JulSøn1+11)=Kalenderår,MONTH(JulSøn1+11)=7),JulSøn1+11,""))</f>
        <v>44021</v>
      </c>
      <c r="G33" s="30">
        <f>IF(DAY(JulSøn1)=1,IF(AND(YEAR(JulSøn1+5)=Kalenderår,MONTH(JulSøn1+5)=7),JulSøn1+5,""),IF(AND(YEAR(JulSøn1+12)=Kalenderår,MONTH(JulSøn1+12)=7),JulSøn1+12,""))</f>
        <v>44022</v>
      </c>
      <c r="H33" s="30">
        <f>IF(DAY(JulSøn1)=1,IF(AND(YEAR(JulSøn1+6)=Kalenderår,MONTH(JulSøn1+6)=7),JulSøn1+6,""),IF(AND(YEAR(JulSøn1+13)=Kalenderår,MONTH(JulSøn1+13)=7),JulSøn1+13,""))</f>
        <v>44023</v>
      </c>
      <c r="I33" s="30">
        <f>IF(DAY(JulSøn1)=1,IF(AND(YEAR(JulSøn1+7)=Kalenderår,MONTH(JulSøn1+7)=7),JulSøn1+7,""),IF(AND(YEAR(JulSøn1+14)=Kalenderår,MONTH(JulSøn1+14)=7),JulSøn1+14,""))</f>
        <v>44024</v>
      </c>
      <c r="K33" s="30">
        <f>IF(DAY(AugSøn1)=1,IF(AND(YEAR(AugSøn1+1)=Kalenderår,MONTH(AugSøn1+1)=8),AugSøn1+1,""),IF(AND(YEAR(AugSøn1+8)=Kalenderår,MONTH(AugSøn1+8)=8),AugSøn1+8,""))</f>
        <v>44046</v>
      </c>
      <c r="L33" s="30">
        <f>IF(DAY(AugSøn1)=1,IF(AND(YEAR(AugSøn1+2)=Kalenderår,MONTH(AugSøn1+2)=8),AugSøn1+2,""),IF(AND(YEAR(AugSøn1+9)=Kalenderår,MONTH(AugSøn1+9)=8),AugSøn1+9,""))</f>
        <v>44047</v>
      </c>
      <c r="M33" s="30">
        <f>IF(DAY(AugSøn1)=1,IF(AND(YEAR(AugSøn1+3)=Kalenderår,MONTH(AugSøn1+3)=8),AugSøn1+3,""),IF(AND(YEAR(AugSøn1+10)=Kalenderår,MONTH(AugSøn1+10)=8),AugSøn1+10,""))</f>
        <v>44048</v>
      </c>
      <c r="N33" s="30">
        <f>IF(DAY(AugSøn1)=1,IF(AND(YEAR(AugSøn1+4)=Kalenderår,MONTH(AugSøn1+4)=8),AugSøn1+4,""),IF(AND(YEAR(AugSøn1+11)=Kalenderår,MONTH(AugSøn1+11)=8),AugSøn1+11,""))</f>
        <v>44049</v>
      </c>
      <c r="O33" s="30">
        <f>IF(DAY(AugSøn1)=1,IF(AND(YEAR(AugSøn1+5)=Kalenderår,MONTH(AugSøn1+5)=8),AugSøn1+5,""),IF(AND(YEAR(AugSøn1+12)=Kalenderår,MONTH(AugSøn1+12)=8),AugSøn1+12,""))</f>
        <v>44050</v>
      </c>
      <c r="P33" s="30">
        <f>IF(DAY(AugSøn1)=1,IF(AND(YEAR(AugSøn1+6)=Kalenderår,MONTH(AugSøn1+6)=8),AugSøn1+6,""),IF(AND(YEAR(AugSøn1+13)=Kalenderår,MONTH(AugSøn1+13)=8),AugSøn1+13,""))</f>
        <v>44051</v>
      </c>
      <c r="Q33" s="30">
        <f>IF(DAY(AugSøn1)=1,IF(AND(YEAR(AugSøn1+7)=Kalenderår,MONTH(AugSøn1+7)=8),AugSøn1+7,""),IF(AND(YEAR(AugSøn1+14)=Kalenderår,MONTH(AugSøn1+14)=8),AugSøn1+14,""))</f>
        <v>44052</v>
      </c>
      <c r="S33" s="24"/>
      <c r="U33" s="10"/>
      <c r="V33" s="25"/>
      <c r="W33" s="25"/>
    </row>
    <row r="34" spans="1:23" ht="15" customHeight="1" x14ac:dyDescent="0.2">
      <c r="C34" s="30">
        <f>IF(DAY(JulSøn1)=1,IF(AND(YEAR(JulSøn1+8)=Kalenderår,MONTH(JulSøn1+8)=7),JulSøn1+8,""),IF(AND(YEAR(JulSøn1+15)=Kalenderår,MONTH(JulSøn1+15)=7),JulSøn1+15,""))</f>
        <v>44025</v>
      </c>
      <c r="D34" s="30">
        <f>IF(DAY(JulSøn1)=1,IF(AND(YEAR(JulSøn1+9)=Kalenderår,MONTH(JulSøn1+9)=7),JulSøn1+9,""),IF(AND(YEAR(JulSøn1+16)=Kalenderår,MONTH(JulSøn1+16)=7),JulSøn1+16,""))</f>
        <v>44026</v>
      </c>
      <c r="E34" s="30">
        <f>IF(DAY(JulSøn1)=1,IF(AND(YEAR(JulSøn1+10)=Kalenderår,MONTH(JulSøn1+10)=7),JulSøn1+10,""),IF(AND(YEAR(JulSøn1+17)=Kalenderår,MONTH(JulSøn1+17)=7),JulSøn1+17,""))</f>
        <v>44027</v>
      </c>
      <c r="F34" s="30">
        <f>IF(DAY(JulSøn1)=1,IF(AND(YEAR(JulSøn1+11)=Kalenderår,MONTH(JulSøn1+11)=7),JulSøn1+11,""),IF(AND(YEAR(JulSøn1+18)=Kalenderår,MONTH(JulSøn1+18)=7),JulSøn1+18,""))</f>
        <v>44028</v>
      </c>
      <c r="G34" s="30">
        <f>IF(DAY(JulSøn1)=1,IF(AND(YEAR(JulSøn1+12)=Kalenderår,MONTH(JulSøn1+12)=7),JulSøn1+12,""),IF(AND(YEAR(JulSøn1+19)=Kalenderår,MONTH(JulSøn1+19)=7),JulSøn1+19,""))</f>
        <v>44029</v>
      </c>
      <c r="H34" s="30">
        <f>IF(DAY(JulSøn1)=1,IF(AND(YEAR(JulSøn1+13)=Kalenderår,MONTH(JulSøn1+13)=7),JulSøn1+13,""),IF(AND(YEAR(JulSøn1+20)=Kalenderår,MONTH(JulSøn1+20)=7),JulSøn1+20,""))</f>
        <v>44030</v>
      </c>
      <c r="I34" s="30">
        <f>IF(DAY(JulSøn1)=1,IF(AND(YEAR(JulSøn1+14)=Kalenderår,MONTH(JulSøn1+14)=7),JulSøn1+14,""),IF(AND(YEAR(JulSøn1+21)=Kalenderår,MONTH(JulSøn1+21)=7),JulSøn1+21,""))</f>
        <v>44031</v>
      </c>
      <c r="K34" s="30">
        <f>IF(DAY(AugSøn1)=1,IF(AND(YEAR(AugSøn1+8)=Kalenderår,MONTH(AugSøn1+8)=8),AugSøn1+8,""),IF(AND(YEAR(AugSøn1+15)=Kalenderår,MONTH(AugSøn1+15)=8),AugSøn1+15,""))</f>
        <v>44053</v>
      </c>
      <c r="L34" s="30">
        <f>IF(DAY(AugSøn1)=1,IF(AND(YEAR(AugSøn1+9)=Kalenderår,MONTH(AugSøn1+9)=8),AugSøn1+9,""),IF(AND(YEAR(AugSøn1+16)=Kalenderår,MONTH(AugSøn1+16)=8),AugSøn1+16,""))</f>
        <v>44054</v>
      </c>
      <c r="M34" s="30">
        <f>IF(DAY(AugSøn1)=1,IF(AND(YEAR(AugSøn1+10)=Kalenderår,MONTH(AugSøn1+10)=8),AugSøn1+10,""),IF(AND(YEAR(AugSøn1+17)=Kalenderår,MONTH(AugSøn1+17)=8),AugSøn1+17,""))</f>
        <v>44055</v>
      </c>
      <c r="N34" s="30">
        <f>IF(DAY(AugSøn1)=1,IF(AND(YEAR(AugSøn1+11)=Kalenderår,MONTH(AugSøn1+11)=8),AugSøn1+11,""),IF(AND(YEAR(AugSøn1+18)=Kalenderår,MONTH(AugSøn1+18)=8),AugSøn1+18,""))</f>
        <v>44056</v>
      </c>
      <c r="O34" s="30">
        <f>IF(DAY(AugSøn1)=1,IF(AND(YEAR(AugSøn1+12)=Kalenderår,MONTH(AugSøn1+12)=8),AugSøn1+12,""),IF(AND(YEAR(AugSøn1+19)=Kalenderår,MONTH(AugSøn1+19)=8),AugSøn1+19,""))</f>
        <v>44057</v>
      </c>
      <c r="P34" s="30">
        <f>IF(DAY(AugSøn1)=1,IF(AND(YEAR(AugSøn1+13)=Kalenderår,MONTH(AugSøn1+13)=8),AugSøn1+13,""),IF(AND(YEAR(AugSøn1+20)=Kalenderår,MONTH(AugSøn1+20)=8),AugSøn1+20,""))</f>
        <v>44058</v>
      </c>
      <c r="Q34" s="30">
        <f>IF(DAY(AugSøn1)=1,IF(AND(YEAR(AugSøn1+14)=Kalenderår,MONTH(AugSøn1+14)=8),AugSøn1+14,""),IF(AND(YEAR(AugSøn1+21)=Kalenderår,MONTH(AugSøn1+21)=8),AugSøn1+21,""))</f>
        <v>44059</v>
      </c>
      <c r="S34" s="24"/>
      <c r="U34" s="3"/>
      <c r="V34" s="25"/>
      <c r="W34" s="25"/>
    </row>
    <row r="35" spans="1:23" ht="15" customHeight="1" x14ac:dyDescent="0.2">
      <c r="C35" s="30">
        <f>IF(DAY(JulSøn1)=1,IF(AND(YEAR(JulSøn1+15)=Kalenderår,MONTH(JulSøn1+15)=7),JulSøn1+15,""),IF(AND(YEAR(JulSøn1+22)=Kalenderår,MONTH(JulSøn1+22)=7),JulSøn1+22,""))</f>
        <v>44032</v>
      </c>
      <c r="D35" s="30">
        <f>IF(DAY(JulSøn1)=1,IF(AND(YEAR(JulSøn1+16)=Kalenderår,MONTH(JulSøn1+16)=7),JulSøn1+16,""),IF(AND(YEAR(JulSøn1+23)=Kalenderår,MONTH(JulSøn1+23)=7),JulSøn1+23,""))</f>
        <v>44033</v>
      </c>
      <c r="E35" s="30">
        <f>IF(DAY(JulSøn1)=1,IF(AND(YEAR(JulSøn1+17)=Kalenderår,MONTH(JulSøn1+17)=7),JulSøn1+17,""),IF(AND(YEAR(JulSøn1+24)=Kalenderår,MONTH(JulSøn1+24)=7),JulSøn1+24,""))</f>
        <v>44034</v>
      </c>
      <c r="F35" s="30">
        <f>IF(DAY(JulSøn1)=1,IF(AND(YEAR(JulSøn1+18)=Kalenderår,MONTH(JulSøn1+18)=7),JulSøn1+18,""),IF(AND(YEAR(JulSøn1+25)=Kalenderår,MONTH(JulSøn1+25)=7),JulSøn1+25,""))</f>
        <v>44035</v>
      </c>
      <c r="G35" s="30">
        <f>IF(DAY(JulSøn1)=1,IF(AND(YEAR(JulSøn1+19)=Kalenderår,MONTH(JulSøn1+19)=7),JulSøn1+19,""),IF(AND(YEAR(JulSøn1+26)=Kalenderår,MONTH(JulSøn1+26)=7),JulSøn1+26,""))</f>
        <v>44036</v>
      </c>
      <c r="H35" s="30">
        <f>IF(DAY(JulSøn1)=1,IF(AND(YEAR(JulSøn1+20)=Kalenderår,MONTH(JulSøn1+20)=7),JulSøn1+20,""),IF(AND(YEAR(JulSøn1+27)=Kalenderår,MONTH(JulSøn1+27)=7),JulSøn1+27,""))</f>
        <v>44037</v>
      </c>
      <c r="I35" s="30">
        <f>IF(DAY(JulSøn1)=1,IF(AND(YEAR(JulSøn1+21)=Kalenderår,MONTH(JulSøn1+21)=7),JulSøn1+21,""),IF(AND(YEAR(JulSøn1+28)=Kalenderår,MONTH(JulSøn1+28)=7),JulSøn1+28,""))</f>
        <v>44038</v>
      </c>
      <c r="K35" s="30">
        <f>IF(DAY(AugSøn1)=1,IF(AND(YEAR(AugSøn1+15)=Kalenderår,MONTH(AugSøn1+15)=8),AugSøn1+15,""),IF(AND(YEAR(AugSøn1+22)=Kalenderår,MONTH(AugSøn1+22)=8),AugSøn1+22,""))</f>
        <v>44060</v>
      </c>
      <c r="L35" s="30">
        <f>IF(DAY(AugSøn1)=1,IF(AND(YEAR(AugSøn1+16)=Kalenderår,MONTH(AugSøn1+16)=8),AugSøn1+16,""),IF(AND(YEAR(AugSøn1+23)=Kalenderår,MONTH(AugSøn1+23)=8),AugSøn1+23,""))</f>
        <v>44061</v>
      </c>
      <c r="M35" s="30">
        <f>IF(DAY(AugSøn1)=1,IF(AND(YEAR(AugSøn1+17)=Kalenderår,MONTH(AugSøn1+17)=8),AugSøn1+17,""),IF(AND(YEAR(AugSøn1+24)=Kalenderår,MONTH(AugSøn1+24)=8),AugSøn1+24,""))</f>
        <v>44062</v>
      </c>
      <c r="N35" s="30">
        <f>IF(DAY(AugSøn1)=1,IF(AND(YEAR(AugSøn1+18)=Kalenderår,MONTH(AugSøn1+18)=8),AugSøn1+18,""),IF(AND(YEAR(AugSøn1+25)=Kalenderår,MONTH(AugSøn1+25)=8),AugSøn1+25,""))</f>
        <v>44063</v>
      </c>
      <c r="O35" s="30">
        <f>IF(DAY(AugSøn1)=1,IF(AND(YEAR(AugSøn1+19)=Kalenderår,MONTH(AugSøn1+19)=8),AugSøn1+19,""),IF(AND(YEAR(AugSøn1+26)=Kalenderår,MONTH(AugSøn1+26)=8),AugSøn1+26,""))</f>
        <v>44064</v>
      </c>
      <c r="P35" s="30">
        <f>IF(DAY(AugSøn1)=1,IF(AND(YEAR(AugSøn1+20)=Kalenderår,MONTH(AugSøn1+20)=8),AugSøn1+20,""),IF(AND(YEAR(AugSøn1+27)=Kalenderår,MONTH(AugSøn1+27)=8),AugSøn1+27,""))</f>
        <v>44065</v>
      </c>
      <c r="Q35" s="30">
        <f>IF(DAY(AugSøn1)=1,IF(AND(YEAR(AugSøn1+21)=Kalenderår,MONTH(AugSøn1+21)=8),AugSøn1+21,""),IF(AND(YEAR(AugSøn1+28)=Kalenderår,MONTH(AugSøn1+28)=8),AugSøn1+28,""))</f>
        <v>44066</v>
      </c>
      <c r="S35" s="24"/>
      <c r="U35" s="2"/>
      <c r="V35" s="25"/>
      <c r="W35" s="25"/>
    </row>
    <row r="36" spans="1:23" ht="15" customHeight="1" x14ac:dyDescent="0.2">
      <c r="C36" s="30">
        <f>IF(DAY(JulSøn1)=1,IF(AND(YEAR(JulSøn1+22)=Kalenderår,MONTH(JulSøn1+22)=7),JulSøn1+22,""),IF(AND(YEAR(JulSøn1+29)=Kalenderår,MONTH(JulSøn1+29)=7),JulSøn1+29,""))</f>
        <v>44039</v>
      </c>
      <c r="D36" s="30">
        <f>IF(DAY(JulSøn1)=1,IF(AND(YEAR(JulSøn1+23)=Kalenderår,MONTH(JulSøn1+23)=7),JulSøn1+23,""),IF(AND(YEAR(JulSøn1+30)=Kalenderår,MONTH(JulSøn1+30)=7),JulSøn1+30,""))</f>
        <v>44040</v>
      </c>
      <c r="E36" s="30">
        <f>IF(DAY(JulSøn1)=1,IF(AND(YEAR(JulSøn1+24)=Kalenderår,MONTH(JulSøn1+24)=7),JulSøn1+24,""),IF(AND(YEAR(JulSøn1+31)=Kalenderår,MONTH(JulSøn1+31)=7),JulSøn1+31,""))</f>
        <v>44041</v>
      </c>
      <c r="F36" s="30">
        <f>IF(DAY(JulSøn1)=1,IF(AND(YEAR(JulSøn1+25)=Kalenderår,MONTH(JulSøn1+25)=7),JulSøn1+25,""),IF(AND(YEAR(JulSøn1+32)=Kalenderår,MONTH(JulSøn1+32)=7),JulSøn1+32,""))</f>
        <v>44042</v>
      </c>
      <c r="G36" s="30">
        <f>IF(DAY(JulSøn1)=1,IF(AND(YEAR(JulSøn1+26)=Kalenderår,MONTH(JulSøn1+26)=7),JulSøn1+26,""),IF(AND(YEAR(JulSøn1+33)=Kalenderår,MONTH(JulSøn1+33)=7),JulSøn1+33,""))</f>
        <v>44043</v>
      </c>
      <c r="H36" s="30" t="str">
        <f>IF(DAY(JulSøn1)=1,IF(AND(YEAR(JulSøn1+27)=Kalenderår,MONTH(JulSøn1+27)=7),JulSøn1+27,""),IF(AND(YEAR(JulSøn1+34)=Kalenderår,MONTH(JulSøn1+34)=7),JulSøn1+34,""))</f>
        <v/>
      </c>
      <c r="I36" s="30" t="str">
        <f>IF(DAY(JulSøn1)=1,IF(AND(YEAR(JulSøn1+28)=Kalenderår,MONTH(JulSøn1+28)=7),JulSøn1+28,""),IF(AND(YEAR(JulSøn1+35)=Kalenderår,MONTH(JulSøn1+35)=7),JulSøn1+35,""))</f>
        <v/>
      </c>
      <c r="K36" s="30">
        <f>IF(DAY(AugSøn1)=1,IF(AND(YEAR(AugSøn1+22)=Kalenderår,MONTH(AugSøn1+22)=8),AugSøn1+22,""),IF(AND(YEAR(AugSøn1+29)=Kalenderår,MONTH(AugSøn1+29)=8),AugSøn1+29,""))</f>
        <v>44067</v>
      </c>
      <c r="L36" s="30">
        <f>IF(DAY(AugSøn1)=1,IF(AND(YEAR(AugSøn1+23)=Kalenderår,MONTH(AugSøn1+23)=8),AugSøn1+23,""),IF(AND(YEAR(AugSøn1+30)=Kalenderår,MONTH(AugSøn1+30)=8),AugSøn1+30,""))</f>
        <v>44068</v>
      </c>
      <c r="M36" s="30">
        <f>IF(DAY(AugSøn1)=1,IF(AND(YEAR(AugSøn1+24)=Kalenderår,MONTH(AugSøn1+24)=8),AugSøn1+24,""),IF(AND(YEAR(AugSøn1+31)=Kalenderår,MONTH(AugSøn1+31)=8),AugSøn1+31,""))</f>
        <v>44069</v>
      </c>
      <c r="N36" s="30">
        <f>IF(DAY(AugSøn1)=1,IF(AND(YEAR(AugSøn1+25)=Kalenderår,MONTH(AugSøn1+25)=8),AugSøn1+25,""),IF(AND(YEAR(AugSøn1+32)=Kalenderår,MONTH(AugSøn1+32)=8),AugSøn1+32,""))</f>
        <v>44070</v>
      </c>
      <c r="O36" s="30">
        <f>IF(DAY(AugSøn1)=1,IF(AND(YEAR(AugSøn1+26)=Kalenderår,MONTH(AugSøn1+26)=8),AugSøn1+26,""),IF(AND(YEAR(AugSøn1+33)=Kalenderår,MONTH(AugSøn1+33)=8),AugSøn1+33,""))</f>
        <v>44071</v>
      </c>
      <c r="P36" s="30">
        <f>IF(DAY(AugSøn1)=1,IF(AND(YEAR(AugSøn1+27)=Kalenderår,MONTH(AugSøn1+27)=8),AugSøn1+27,""),IF(AND(YEAR(AugSøn1+34)=Kalenderår,MONTH(AugSøn1+34)=8),AugSøn1+34,""))</f>
        <v>44072</v>
      </c>
      <c r="Q36" s="30">
        <f>IF(DAY(AugSøn1)=1,IF(AND(YEAR(AugSøn1+28)=Kalenderår,MONTH(AugSøn1+28)=8),AugSøn1+28,""),IF(AND(YEAR(AugSøn1+35)=Kalenderår,MONTH(AugSøn1+35)=8),AugSøn1+35,""))</f>
        <v>44073</v>
      </c>
      <c r="S36" s="24"/>
      <c r="U36" s="10"/>
      <c r="V36" s="25"/>
      <c r="W36" s="25"/>
    </row>
    <row r="37" spans="1:23" ht="15" customHeight="1" x14ac:dyDescent="0.2">
      <c r="C37" s="30" t="str">
        <f>IF(DAY(JulSøn1)=1,IF(AND(YEAR(JulSøn1+29)=Kalenderår,MONTH(JulSøn1+29)=7),JulSøn1+29,""),IF(AND(YEAR(JulSøn1+36)=Kalenderår,MONTH(JulSøn1+36)=7),JulSøn1+36,""))</f>
        <v/>
      </c>
      <c r="D37" s="30" t="str">
        <f>IF(DAY(JulSøn1)=1,IF(AND(YEAR(JulSøn1+30)=Kalenderår,MONTH(JulSøn1+30)=7),JulSøn1+30,""),IF(AND(YEAR(JulSøn1+37)=Kalenderår,MONTH(JulSøn1+37)=7),JulSøn1+37,""))</f>
        <v/>
      </c>
      <c r="E37" s="30" t="str">
        <f>IF(DAY(JulSøn1)=1,IF(AND(YEAR(JulSøn1+31)=Kalenderår,MONTH(JulSøn1+31)=7),JulSøn1+31,""),IF(AND(YEAR(JulSøn1+38)=Kalenderår,MONTH(JulSøn1+38)=7),JulSøn1+38,""))</f>
        <v/>
      </c>
      <c r="F37" s="30" t="str">
        <f>IF(DAY(JulSøn1)=1,IF(AND(YEAR(JulSøn1+32)=Kalenderår,MONTH(JulSøn1+32)=7),JulSøn1+32,""),IF(AND(YEAR(JulSøn1+39)=Kalenderår,MONTH(JulSøn1+39)=7),JulSøn1+39,""))</f>
        <v/>
      </c>
      <c r="G37" s="30" t="str">
        <f>IF(DAY(JulSøn1)=1,IF(AND(YEAR(JulSøn1+33)=Kalenderår,MONTH(JulSøn1+33)=7),JulSøn1+33,""),IF(AND(YEAR(JulSøn1+40)=Kalenderår,MONTH(JulSøn1+40)=7),JulSøn1+40,""))</f>
        <v/>
      </c>
      <c r="H37" s="30" t="str">
        <f>IF(DAY(JulSøn1)=1,IF(AND(YEAR(JulSøn1+34)=Kalenderår,MONTH(JulSøn1+34)=7),JulSøn1+34,""),IF(AND(YEAR(JulSøn1+41)=Kalenderår,MONTH(JulSøn1+41)=7),JulSøn1+41,""))</f>
        <v/>
      </c>
      <c r="I37" s="30" t="str">
        <f>IF(DAY(JulSøn1)=1,IF(AND(YEAR(JulSøn1+35)=Kalenderår,MONTH(JulSøn1+35)=7),JulSøn1+35,""),IF(AND(YEAR(JulSøn1+42)=Kalenderår,MONTH(JulSøn1+42)=7),JulSøn1+42,""))</f>
        <v/>
      </c>
      <c r="K37" s="30">
        <f>IF(DAY(AugSøn1)=1,IF(AND(YEAR(AugSøn1+29)=Kalenderår,MONTH(AugSøn1+29)=8),AugSøn1+29,""),IF(AND(YEAR(AugSøn1+36)=Kalenderår,MONTH(AugSøn1+36)=8),AugSøn1+36,""))</f>
        <v>44074</v>
      </c>
      <c r="L37" s="30" t="str">
        <f>IF(DAY(AugSøn1)=1,IF(AND(YEAR(AugSøn1+30)=Kalenderår,MONTH(AugSøn1+30)=8),AugSøn1+30,""),IF(AND(YEAR(AugSøn1+37)=Kalenderår,MONTH(AugSøn1+37)=8),AugSøn1+37,""))</f>
        <v/>
      </c>
      <c r="M37" s="30" t="str">
        <f>IF(DAY(AugSøn1)=1,IF(AND(YEAR(AugSøn1+31)=Kalenderår,MONTH(AugSøn1+31)=8),AugSøn1+31,""),IF(AND(YEAR(AugSøn1+38)=Kalenderår,MONTH(AugSøn1+38)=8),AugSøn1+38,""))</f>
        <v/>
      </c>
      <c r="N37" s="30" t="str">
        <f>IF(DAY(AugSøn1)=1,IF(AND(YEAR(AugSøn1+32)=Kalenderår,MONTH(AugSøn1+32)=8),AugSøn1+32,""),IF(AND(YEAR(AugSøn1+39)=Kalenderår,MONTH(AugSøn1+39)=8),AugSøn1+39,""))</f>
        <v/>
      </c>
      <c r="O37" s="30" t="str">
        <f>IF(DAY(AugSøn1)=1,IF(AND(YEAR(AugSøn1+33)=Kalenderår,MONTH(AugSøn1+33)=8),AugSøn1+33,""),IF(AND(YEAR(AugSøn1+40)=Kalenderår,MONTH(AugSøn1+40)=8),AugSøn1+40,""))</f>
        <v/>
      </c>
      <c r="P37" s="30" t="str">
        <f>IF(DAY(AugSøn1)=1,IF(AND(YEAR(AugSøn1+34)=Kalenderår,MONTH(AugSøn1+34)=8),AugSøn1+34,""),IF(AND(YEAR(AugSøn1+41)=Kalenderår,MONTH(AugSøn1+41)=8),AugSøn1+41,""))</f>
        <v/>
      </c>
      <c r="Q37" s="30" t="str">
        <f>IF(DAY(AugSøn1)=1,IF(AND(YEAR(AugSøn1+35)=Kalenderår,MONTH(AugSøn1+35)=8),AugSøn1+35,""),IF(AND(YEAR(AugSøn1+42)=Kalenderår,MONTH(AugSøn1+42)=8),AugSøn1+42,""))</f>
        <v/>
      </c>
      <c r="S37" s="24"/>
      <c r="U37" s="3"/>
      <c r="V37" s="25"/>
      <c r="W37" s="25"/>
    </row>
    <row r="38" spans="1:23" ht="15" customHeight="1" x14ac:dyDescent="0.2"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S38" s="24"/>
      <c r="U38" s="2"/>
      <c r="V38" s="25"/>
      <c r="W38" s="25"/>
    </row>
    <row r="39" spans="1:23" ht="15" customHeight="1" x14ac:dyDescent="0.2">
      <c r="A39" s="18" t="s">
        <v>17</v>
      </c>
      <c r="C39" s="26" t="s">
        <v>31</v>
      </c>
      <c r="D39" s="26"/>
      <c r="E39" s="26"/>
      <c r="F39" s="26"/>
      <c r="G39" s="26"/>
      <c r="H39" s="26"/>
      <c r="I39" s="26"/>
      <c r="K39" s="26" t="s">
        <v>43</v>
      </c>
      <c r="L39" s="26"/>
      <c r="M39" s="26"/>
      <c r="N39" s="26"/>
      <c r="O39" s="26"/>
      <c r="P39" s="26"/>
      <c r="Q39" s="26"/>
      <c r="S39" s="24"/>
      <c r="U39" s="10"/>
      <c r="V39" s="25"/>
      <c r="W39" s="25"/>
    </row>
    <row r="40" spans="1:23" ht="15" customHeight="1" x14ac:dyDescent="0.2">
      <c r="A40" s="18" t="s">
        <v>18</v>
      </c>
      <c r="C40" s="11" t="s">
        <v>27</v>
      </c>
      <c r="D40" s="11" t="s">
        <v>33</v>
      </c>
      <c r="E40" s="11" t="s">
        <v>34</v>
      </c>
      <c r="F40" s="11" t="s">
        <v>35</v>
      </c>
      <c r="G40" s="11" t="s">
        <v>36</v>
      </c>
      <c r="H40" s="11" t="s">
        <v>37</v>
      </c>
      <c r="I40" s="11" t="s">
        <v>38</v>
      </c>
      <c r="K40" s="11" t="s">
        <v>27</v>
      </c>
      <c r="L40" s="11" t="s">
        <v>33</v>
      </c>
      <c r="M40" s="11" t="s">
        <v>34</v>
      </c>
      <c r="N40" s="11" t="s">
        <v>35</v>
      </c>
      <c r="O40" s="11" t="s">
        <v>36</v>
      </c>
      <c r="P40" s="11" t="s">
        <v>37</v>
      </c>
      <c r="Q40" s="11" t="s">
        <v>38</v>
      </c>
      <c r="S40" s="24"/>
      <c r="U40" s="3"/>
      <c r="V40" s="25"/>
      <c r="W40" s="25"/>
    </row>
    <row r="41" spans="1:23" ht="15" customHeight="1" x14ac:dyDescent="0.2">
      <c r="C41" s="30" t="str">
        <f>IF(DAY(SepSøn1)=1,"",IF(AND(YEAR(SepSøn1+1)=Kalenderår,MONTH(SepSøn1+1)=9),SepSøn1+1,""))</f>
        <v/>
      </c>
      <c r="D41" s="30">
        <f>IF(DAY(SepSøn1)=1,"",IF(AND(YEAR(SepSøn1+2)=Kalenderår,MONTH(SepSøn1+2)=9),SepSøn1+2,""))</f>
        <v>44075</v>
      </c>
      <c r="E41" s="30">
        <f>IF(DAY(SepSøn1)=1,"",IF(AND(YEAR(SepSøn1+3)=Kalenderår,MONTH(SepSøn1+3)=9),SepSøn1+3,""))</f>
        <v>44076</v>
      </c>
      <c r="F41" s="30">
        <f>IF(DAY(SepSøn1)=1,"",IF(AND(YEAR(SepSøn1+4)=Kalenderår,MONTH(SepSøn1+4)=9),SepSøn1+4,""))</f>
        <v>44077</v>
      </c>
      <c r="G41" s="30">
        <f>IF(DAY(SepSøn1)=1,"",IF(AND(YEAR(SepSøn1+5)=Kalenderår,MONTH(SepSøn1+5)=9),SepSøn1+5,""))</f>
        <v>44078</v>
      </c>
      <c r="H41" s="30">
        <f>IF(DAY(SepSøn1)=1,"",IF(AND(YEAR(SepSøn1+6)=Kalenderår,MONTH(SepSøn1+6)=9),SepSøn1+6,""))</f>
        <v>44079</v>
      </c>
      <c r="I41" s="30">
        <f>IF(DAY(SepSøn1)=1,IF(AND(YEAR(SepSøn1)=Kalenderår,MONTH(SepSøn1)=9),SepSøn1,""),IF(AND(YEAR(SepSøn1+7)=Kalenderår,MONTH(SepSøn1+7)=9),SepSøn1+7,""))</f>
        <v>44080</v>
      </c>
      <c r="K41" s="30" t="str">
        <f>IF(DAY(OktSøn1)=1,"",IF(AND(YEAR(OktSøn1+1)=Kalenderår,MONTH(OktSøn1+1)=10),OktSøn1+1,""))</f>
        <v/>
      </c>
      <c r="L41" s="30" t="str">
        <f>IF(DAY(OktSøn1)=1,"",IF(AND(YEAR(OktSøn1+2)=Kalenderår,MONTH(OktSøn1+2)=10),OktSøn1+2,""))</f>
        <v/>
      </c>
      <c r="M41" s="30" t="str">
        <f>IF(DAY(OktSøn1)=1,"",IF(AND(YEAR(OktSøn1+3)=Kalenderår,MONTH(OktSøn1+3)=10),OktSøn1+3,""))</f>
        <v/>
      </c>
      <c r="N41" s="30">
        <f>IF(DAY(OktSøn1)=1,"",IF(AND(YEAR(OktSøn1+4)=Kalenderår,MONTH(OktSøn1+4)=10),OktSøn1+4,""))</f>
        <v>44105</v>
      </c>
      <c r="O41" s="30">
        <f>IF(DAY(OktSøn1)=1,"",IF(AND(YEAR(OktSøn1+5)=Kalenderår,MONTH(OktSøn1+5)=10),OktSøn1+5,""))</f>
        <v>44106</v>
      </c>
      <c r="P41" s="30">
        <f>IF(DAY(OktSøn1)=1,"",IF(AND(YEAR(OktSøn1+6)=Kalenderår,MONTH(OktSøn1+6)=10),OktSøn1+6,""))</f>
        <v>44107</v>
      </c>
      <c r="Q41" s="30">
        <f>IF(DAY(OktSøn1)=1,IF(AND(YEAR(OktSøn1)=Kalenderår,MONTH(OktSøn1)=10),OktSøn1,""),IF(AND(YEAR(OktSøn1+7)=Kalenderår,MONTH(OktSøn1+7)=10),OktSøn1+7,""))</f>
        <v>44108</v>
      </c>
      <c r="S41" s="24"/>
      <c r="U41" s="2"/>
      <c r="V41" s="25"/>
      <c r="W41" s="25"/>
    </row>
    <row r="42" spans="1:23" ht="15" customHeight="1" x14ac:dyDescent="0.2">
      <c r="C42" s="30">
        <f>IF(DAY(SepSøn1)=1,IF(AND(YEAR(SepSøn1+1)=Kalenderår,MONTH(SepSøn1+1)=9),SepSøn1+1,""),IF(AND(YEAR(SepSøn1+8)=Kalenderår,MONTH(SepSøn1+8)=9),SepSøn1+8,""))</f>
        <v>44081</v>
      </c>
      <c r="D42" s="30">
        <f>IF(DAY(SepSøn1)=1,IF(AND(YEAR(SepSøn1+2)=Kalenderår,MONTH(SepSøn1+2)=9),SepSøn1+2,""),IF(AND(YEAR(SepSøn1+9)=Kalenderår,MONTH(SepSøn1+9)=9),SepSøn1+9,""))</f>
        <v>44082</v>
      </c>
      <c r="E42" s="30">
        <f>IF(DAY(SepSøn1)=1,IF(AND(YEAR(SepSøn1+3)=Kalenderår,MONTH(SepSøn1+3)=9),SepSøn1+3,""),IF(AND(YEAR(SepSøn1+10)=Kalenderår,MONTH(SepSøn1+10)=9),SepSøn1+10,""))</f>
        <v>44083</v>
      </c>
      <c r="F42" s="30">
        <f>IF(DAY(SepSøn1)=1,IF(AND(YEAR(SepSøn1+4)=Kalenderår,MONTH(SepSøn1+4)=9),SepSøn1+4,""),IF(AND(YEAR(SepSøn1+11)=Kalenderår,MONTH(SepSøn1+11)=9),SepSøn1+11,""))</f>
        <v>44084</v>
      </c>
      <c r="G42" s="30">
        <f>IF(DAY(SepSøn1)=1,IF(AND(YEAR(SepSøn1+5)=Kalenderår,MONTH(SepSøn1+5)=9),SepSøn1+5,""),IF(AND(YEAR(SepSøn1+12)=Kalenderår,MONTH(SepSøn1+12)=9),SepSøn1+12,""))</f>
        <v>44085</v>
      </c>
      <c r="H42" s="30">
        <f>IF(DAY(SepSøn1)=1,IF(AND(YEAR(SepSøn1+6)=Kalenderår,MONTH(SepSøn1+6)=9),SepSøn1+6,""),IF(AND(YEAR(SepSøn1+13)=Kalenderår,MONTH(SepSøn1+13)=9),SepSøn1+13,""))</f>
        <v>44086</v>
      </c>
      <c r="I42" s="30">
        <f>IF(DAY(SepSøn1)=1,IF(AND(YEAR(SepSøn1+7)=Kalenderår,MONTH(SepSøn1+7)=9),SepSøn1+7,""),IF(AND(YEAR(SepSøn1+14)=Kalenderår,MONTH(SepSøn1+14)=9),SepSøn1+14,""))</f>
        <v>44087</v>
      </c>
      <c r="K42" s="30">
        <f>IF(DAY(OktSøn1)=1,IF(AND(YEAR(OktSøn1+1)=Kalenderår,MONTH(OktSøn1+1)=10),OktSøn1+1,""),IF(AND(YEAR(OktSøn1+8)=Kalenderår,MONTH(OktSøn1+8)=10),OktSøn1+8,""))</f>
        <v>44109</v>
      </c>
      <c r="L42" s="30">
        <f>IF(DAY(OktSøn1)=1,IF(AND(YEAR(OktSøn1+2)=Kalenderår,MONTH(OktSøn1+2)=10),OktSøn1+2,""),IF(AND(YEAR(OktSøn1+9)=Kalenderår,MONTH(OktSøn1+9)=10),OktSøn1+9,""))</f>
        <v>44110</v>
      </c>
      <c r="M42" s="30">
        <f>IF(DAY(OktSøn1)=1,IF(AND(YEAR(OktSøn1+3)=Kalenderår,MONTH(OktSøn1+3)=10),OktSøn1+3,""),IF(AND(YEAR(OktSøn1+10)=Kalenderår,MONTH(OktSøn1+10)=10),OktSøn1+10,""))</f>
        <v>44111</v>
      </c>
      <c r="N42" s="30">
        <f>IF(DAY(OktSøn1)=1,IF(AND(YEAR(OktSøn1+4)=Kalenderår,MONTH(OktSøn1+4)=10),OktSøn1+4,""),IF(AND(YEAR(OktSøn1+11)=Kalenderår,MONTH(OktSøn1+11)=10),OktSøn1+11,""))</f>
        <v>44112</v>
      </c>
      <c r="O42" s="30">
        <f>IF(DAY(OktSøn1)=1,IF(AND(YEAR(OktSøn1+5)=Kalenderår,MONTH(OktSøn1+5)=10),OktSøn1+5,""),IF(AND(YEAR(OktSøn1+12)=Kalenderår,MONTH(OktSøn1+12)=10),OktSøn1+12,""))</f>
        <v>44113</v>
      </c>
      <c r="P42" s="30">
        <f>IF(DAY(OktSøn1)=1,IF(AND(YEAR(OktSøn1+6)=Kalenderår,MONTH(OktSøn1+6)=10),OktSøn1+6,""),IF(AND(YEAR(OktSøn1+13)=Kalenderår,MONTH(OktSøn1+13)=10),OktSøn1+13,""))</f>
        <v>44114</v>
      </c>
      <c r="Q42" s="30">
        <f>IF(DAY(OktSøn1)=1,IF(AND(YEAR(OktSøn1+7)=Kalenderår,MONTH(OktSøn1+7)=10),OktSøn1+7,""),IF(AND(YEAR(OktSøn1+14)=Kalenderår,MONTH(OktSøn1+14)=10),OktSøn1+14,""))</f>
        <v>44115</v>
      </c>
      <c r="S42" s="24"/>
      <c r="U42" s="10"/>
      <c r="V42" s="25"/>
      <c r="W42" s="25"/>
    </row>
    <row r="43" spans="1:23" ht="15" customHeight="1" x14ac:dyDescent="0.2">
      <c r="C43" s="30">
        <f>IF(DAY(SepSøn1)=1,IF(AND(YEAR(SepSøn1+8)=Kalenderår,MONTH(SepSøn1+8)=9),SepSøn1+8,""),IF(AND(YEAR(SepSøn1+15)=Kalenderår,MONTH(SepSøn1+15)=9),SepSøn1+15,""))</f>
        <v>44088</v>
      </c>
      <c r="D43" s="30">
        <f>IF(DAY(SepSøn1)=1,IF(AND(YEAR(SepSøn1+9)=Kalenderår,MONTH(SepSøn1+9)=9),SepSøn1+9,""),IF(AND(YEAR(SepSøn1+16)=Kalenderår,MONTH(SepSøn1+16)=9),SepSøn1+16,""))</f>
        <v>44089</v>
      </c>
      <c r="E43" s="30">
        <f>IF(DAY(SepSøn1)=1,IF(AND(YEAR(SepSøn1+10)=Kalenderår,MONTH(SepSøn1+10)=9),SepSøn1+10,""),IF(AND(YEAR(SepSøn1+17)=Kalenderår,MONTH(SepSøn1+17)=9),SepSøn1+17,""))</f>
        <v>44090</v>
      </c>
      <c r="F43" s="30">
        <f>IF(DAY(SepSøn1)=1,IF(AND(YEAR(SepSøn1+11)=Kalenderår,MONTH(SepSøn1+11)=9),SepSøn1+11,""),IF(AND(YEAR(SepSøn1+18)=Kalenderår,MONTH(SepSøn1+18)=9),SepSøn1+18,""))</f>
        <v>44091</v>
      </c>
      <c r="G43" s="30">
        <f>IF(DAY(SepSøn1)=1,IF(AND(YEAR(SepSøn1+12)=Kalenderår,MONTH(SepSøn1+12)=9),SepSøn1+12,""),IF(AND(YEAR(SepSøn1+19)=Kalenderår,MONTH(SepSøn1+19)=9),SepSøn1+19,""))</f>
        <v>44092</v>
      </c>
      <c r="H43" s="30">
        <f>IF(DAY(SepSøn1)=1,IF(AND(YEAR(SepSøn1+13)=Kalenderår,MONTH(SepSøn1+13)=9),SepSøn1+13,""),IF(AND(YEAR(SepSøn1+20)=Kalenderår,MONTH(SepSøn1+20)=9),SepSøn1+20,""))</f>
        <v>44093</v>
      </c>
      <c r="I43" s="30">
        <f>IF(DAY(SepSøn1)=1,IF(AND(YEAR(SepSøn1+14)=Kalenderår,MONTH(SepSøn1+14)=9),SepSøn1+14,""),IF(AND(YEAR(SepSøn1+21)=Kalenderår,MONTH(SepSøn1+21)=9),SepSøn1+21,""))</f>
        <v>44094</v>
      </c>
      <c r="K43" s="30">
        <f>IF(DAY(OktSøn1)=1,IF(AND(YEAR(OktSøn1+8)=Kalenderår,MONTH(OktSøn1+8)=10),OktSøn1+8,""),IF(AND(YEAR(OktSøn1+15)=Kalenderår,MONTH(OktSøn1+15)=10),OktSøn1+15,""))</f>
        <v>44116</v>
      </c>
      <c r="L43" s="30">
        <f>IF(DAY(OktSøn1)=1,IF(AND(YEAR(OktSøn1+9)=Kalenderår,MONTH(OktSøn1+9)=10),OktSøn1+9,""),IF(AND(YEAR(OktSøn1+16)=Kalenderår,MONTH(OktSøn1+16)=10),OktSøn1+16,""))</f>
        <v>44117</v>
      </c>
      <c r="M43" s="30">
        <f>IF(DAY(OktSøn1)=1,IF(AND(YEAR(OktSøn1+10)=Kalenderår,MONTH(OktSøn1+10)=10),OktSøn1+10,""),IF(AND(YEAR(OktSøn1+17)=Kalenderår,MONTH(OktSøn1+17)=10),OktSøn1+17,""))</f>
        <v>44118</v>
      </c>
      <c r="N43" s="30">
        <f>IF(DAY(OktSøn1)=1,IF(AND(YEAR(OktSøn1+11)=Kalenderår,MONTH(OktSøn1+11)=10),OktSøn1+11,""),IF(AND(YEAR(OktSøn1+18)=Kalenderår,MONTH(OktSøn1+18)=10),OktSøn1+18,""))</f>
        <v>44119</v>
      </c>
      <c r="O43" s="30">
        <f>IF(DAY(OktSøn1)=1,IF(AND(YEAR(OktSøn1+12)=Kalenderår,MONTH(OktSøn1+12)=10),OktSøn1+12,""),IF(AND(YEAR(OktSøn1+19)=Kalenderår,MONTH(OktSøn1+19)=10),OktSøn1+19,""))</f>
        <v>44120</v>
      </c>
      <c r="P43" s="30">
        <f>IF(DAY(OktSøn1)=1,IF(AND(YEAR(OktSøn1+13)=Kalenderår,MONTH(OktSøn1+13)=10),OktSøn1+13,""),IF(AND(YEAR(OktSøn1+20)=Kalenderår,MONTH(OktSøn1+20)=10),OktSøn1+20,""))</f>
        <v>44121</v>
      </c>
      <c r="Q43" s="30">
        <f>IF(DAY(OktSøn1)=1,IF(AND(YEAR(OktSøn1+14)=Kalenderår,MONTH(OktSøn1+14)=10),OktSøn1+14,""),IF(AND(YEAR(OktSøn1+21)=Kalenderår,MONTH(OktSøn1+21)=10),OktSøn1+21,""))</f>
        <v>44122</v>
      </c>
      <c r="S43" s="24"/>
      <c r="U43" s="3"/>
      <c r="V43" s="25"/>
      <c r="W43" s="25"/>
    </row>
    <row r="44" spans="1:23" ht="15" customHeight="1" x14ac:dyDescent="0.2">
      <c r="A44" s="18" t="s">
        <v>19</v>
      </c>
      <c r="C44" s="30">
        <f>IF(DAY(SepSøn1)=1,IF(AND(YEAR(SepSøn1+15)=Kalenderår,MONTH(SepSøn1+15)=9),SepSøn1+15,""),IF(AND(YEAR(SepSøn1+22)=Kalenderår,MONTH(SepSøn1+22)=9),SepSøn1+22,""))</f>
        <v>44095</v>
      </c>
      <c r="D44" s="30">
        <f>IF(DAY(SepSøn1)=1,IF(AND(YEAR(SepSøn1+16)=Kalenderår,MONTH(SepSøn1+16)=9),SepSøn1+16,""),IF(AND(YEAR(SepSøn1+23)=Kalenderår,MONTH(SepSøn1+23)=9),SepSøn1+23,""))</f>
        <v>44096</v>
      </c>
      <c r="E44" s="30">
        <f>IF(DAY(SepSøn1)=1,IF(AND(YEAR(SepSøn1+17)=Kalenderår,MONTH(SepSøn1+17)=9),SepSøn1+17,""),IF(AND(YEAR(SepSøn1+24)=Kalenderår,MONTH(SepSøn1+24)=9),SepSøn1+24,""))</f>
        <v>44097</v>
      </c>
      <c r="F44" s="30">
        <f>IF(DAY(SepSøn1)=1,IF(AND(YEAR(SepSøn1+18)=Kalenderår,MONTH(SepSøn1+18)=9),SepSøn1+18,""),IF(AND(YEAR(SepSøn1+25)=Kalenderår,MONTH(SepSøn1+25)=9),SepSøn1+25,""))</f>
        <v>44098</v>
      </c>
      <c r="G44" s="30">
        <f>IF(DAY(SepSøn1)=1,IF(AND(YEAR(SepSøn1+19)=Kalenderår,MONTH(SepSøn1+19)=9),SepSøn1+19,""),IF(AND(YEAR(SepSøn1+26)=Kalenderår,MONTH(SepSøn1+26)=9),SepSøn1+26,""))</f>
        <v>44099</v>
      </c>
      <c r="H44" s="30">
        <f>IF(DAY(SepSøn1)=1,IF(AND(YEAR(SepSøn1+20)=Kalenderår,MONTH(SepSøn1+20)=9),SepSøn1+20,""),IF(AND(YEAR(SepSøn1+27)=Kalenderår,MONTH(SepSøn1+27)=9),SepSøn1+27,""))</f>
        <v>44100</v>
      </c>
      <c r="I44" s="30">
        <f>IF(DAY(SepSøn1)=1,IF(AND(YEAR(SepSøn1+21)=Kalenderår,MONTH(SepSøn1+21)=9),SepSøn1+21,""),IF(AND(YEAR(SepSøn1+28)=Kalenderår,MONTH(SepSøn1+28)=9),SepSøn1+28,""))</f>
        <v>44101</v>
      </c>
      <c r="K44" s="30">
        <f>IF(DAY(OktSøn1)=1,IF(AND(YEAR(OktSøn1+15)=Kalenderår,MONTH(OktSøn1+15)=10),OktSøn1+15,""),IF(AND(YEAR(OktSøn1+22)=Kalenderår,MONTH(OktSøn1+22)=10),OktSøn1+22,""))</f>
        <v>44123</v>
      </c>
      <c r="L44" s="30">
        <f>IF(DAY(OktSøn1)=1,IF(AND(YEAR(OktSøn1+16)=Kalenderår,MONTH(OktSøn1+16)=10),OktSøn1+16,""),IF(AND(YEAR(OktSøn1+23)=Kalenderår,MONTH(OktSøn1+23)=10),OktSøn1+23,""))</f>
        <v>44124</v>
      </c>
      <c r="M44" s="30">
        <f>IF(DAY(OktSøn1)=1,IF(AND(YEAR(OktSøn1+17)=Kalenderår,MONTH(OktSøn1+17)=10),OktSøn1+17,""),IF(AND(YEAR(OktSøn1+24)=Kalenderår,MONTH(OktSøn1+24)=10),OktSøn1+24,""))</f>
        <v>44125</v>
      </c>
      <c r="N44" s="30">
        <f>IF(DAY(OktSøn1)=1,IF(AND(YEAR(OktSøn1+18)=Kalenderår,MONTH(OktSøn1+18)=10),OktSøn1+18,""),IF(AND(YEAR(OktSøn1+25)=Kalenderår,MONTH(OktSøn1+25)=10),OktSøn1+25,""))</f>
        <v>44126</v>
      </c>
      <c r="O44" s="30">
        <f>IF(DAY(OktSøn1)=1,IF(AND(YEAR(OktSøn1+19)=Kalenderår,MONTH(OktSøn1+19)=10),OktSøn1+19,""),IF(AND(YEAR(OktSøn1+26)=Kalenderår,MONTH(OktSøn1+26)=10),OktSøn1+26,""))</f>
        <v>44127</v>
      </c>
      <c r="P44" s="30">
        <f>IF(DAY(OktSøn1)=1,IF(AND(YEAR(OktSøn1+20)=Kalenderår,MONTH(OktSøn1+20)=10),OktSøn1+20,""),IF(AND(YEAR(OktSøn1+27)=Kalenderår,MONTH(OktSøn1+27)=10),OktSøn1+27,""))</f>
        <v>44128</v>
      </c>
      <c r="Q44" s="30">
        <f>IF(DAY(OktSøn1)=1,IF(AND(YEAR(OktSøn1+21)=Kalenderår,MONTH(OktSøn1+21)=10),OktSøn1+21,""),IF(AND(YEAR(OktSøn1+28)=Kalenderår,MONTH(OktSøn1+28)=10),OktSøn1+28,""))</f>
        <v>44129</v>
      </c>
      <c r="S44" s="24"/>
      <c r="U44" s="8" t="s">
        <v>52</v>
      </c>
      <c r="V44" s="25"/>
      <c r="W44" s="25"/>
    </row>
    <row r="45" spans="1:23" ht="15" customHeight="1" x14ac:dyDescent="0.2">
      <c r="A45" s="18" t="s">
        <v>20</v>
      </c>
      <c r="C45" s="30">
        <f>IF(DAY(SepSøn1)=1,IF(AND(YEAR(SepSøn1+22)=Kalenderår,MONTH(SepSøn1+22)=9),SepSøn1+22,""),IF(AND(YEAR(SepSøn1+29)=Kalenderår,MONTH(SepSøn1+29)=9),SepSøn1+29,""))</f>
        <v>44102</v>
      </c>
      <c r="D45" s="30">
        <f>IF(DAY(SepSøn1)=1,IF(AND(YEAR(SepSøn1+23)=Kalenderår,MONTH(SepSøn1+23)=9),SepSøn1+23,""),IF(AND(YEAR(SepSøn1+30)=Kalenderår,MONTH(SepSøn1+30)=9),SepSøn1+30,""))</f>
        <v>44103</v>
      </c>
      <c r="E45" s="30">
        <f>IF(DAY(SepSøn1)=1,IF(AND(YEAR(SepSøn1+24)=Kalenderår,MONTH(SepSøn1+24)=9),SepSøn1+24,""),IF(AND(YEAR(SepSøn1+31)=Kalenderår,MONTH(SepSøn1+31)=9),SepSøn1+31,""))</f>
        <v>44104</v>
      </c>
      <c r="F45" s="30" t="str">
        <f>IF(DAY(SepSøn1)=1,IF(AND(YEAR(SepSøn1+25)=Kalenderår,MONTH(SepSøn1+25)=9),SepSøn1+25,""),IF(AND(YEAR(SepSøn1+32)=Kalenderår,MONTH(SepSøn1+32)=9),SepSøn1+32,""))</f>
        <v/>
      </c>
      <c r="G45" s="30" t="str">
        <f>IF(DAY(SepSøn1)=1,IF(AND(YEAR(SepSøn1+26)=Kalenderår,MONTH(SepSøn1+26)=9),SepSøn1+26,""),IF(AND(YEAR(SepSøn1+33)=Kalenderår,MONTH(SepSøn1+33)=9),SepSøn1+33,""))</f>
        <v/>
      </c>
      <c r="H45" s="30" t="str">
        <f>IF(DAY(SepSøn1)=1,IF(AND(YEAR(SepSøn1+27)=Kalenderår,MONTH(SepSøn1+27)=9),SepSøn1+27,""),IF(AND(YEAR(SepSøn1+34)=Kalenderår,MONTH(SepSøn1+34)=9),SepSøn1+34,""))</f>
        <v/>
      </c>
      <c r="I45" s="30" t="str">
        <f>IF(DAY(SepSøn1)=1,IF(AND(YEAR(SepSøn1+28)=Kalenderår,MONTH(SepSøn1+28)=9),SepSøn1+28,""),IF(AND(YEAR(SepSøn1+35)=Kalenderår,MONTH(SepSøn1+35)=9),SepSøn1+35,""))</f>
        <v/>
      </c>
      <c r="K45" s="30">
        <f>IF(DAY(OktSøn1)=1,IF(AND(YEAR(OktSøn1+22)=Kalenderår,MONTH(OktSøn1+22)=10),OktSøn1+22,""),IF(AND(YEAR(OktSøn1+29)=Kalenderår,MONTH(OktSøn1+29)=10),OktSøn1+29,""))</f>
        <v>44130</v>
      </c>
      <c r="L45" s="30">
        <f>IF(DAY(OktSøn1)=1,IF(AND(YEAR(OktSøn1+23)=Kalenderår,MONTH(OktSøn1+23)=10),OktSøn1+23,""),IF(AND(YEAR(OktSøn1+30)=Kalenderår,MONTH(OktSøn1+30)=10),OktSøn1+30,""))</f>
        <v>44131</v>
      </c>
      <c r="M45" s="30">
        <f>IF(DAY(OktSøn1)=1,IF(AND(YEAR(OktSøn1+24)=Kalenderår,MONTH(OktSøn1+24)=10),OktSøn1+24,""),IF(AND(YEAR(OktSøn1+31)=Kalenderår,MONTH(OktSøn1+31)=10),OktSøn1+31,""))</f>
        <v>44132</v>
      </c>
      <c r="N45" s="30">
        <f>IF(DAY(OktSøn1)=1,IF(AND(YEAR(OktSøn1+25)=Kalenderår,MONTH(OktSøn1+25)=10),OktSøn1+25,""),IF(AND(YEAR(OktSøn1+32)=Kalenderår,MONTH(OktSøn1+32)=10),OktSøn1+32,""))</f>
        <v>44133</v>
      </c>
      <c r="O45" s="30">
        <f>IF(DAY(OktSøn1)=1,IF(AND(YEAR(OktSøn1+26)=Kalenderår,MONTH(OktSøn1+26)=10),OktSøn1+26,""),IF(AND(YEAR(OktSøn1+33)=Kalenderår,MONTH(OktSøn1+33)=10),OktSøn1+33,""))</f>
        <v>44134</v>
      </c>
      <c r="P45" s="30">
        <f>IF(DAY(OktSøn1)=1,IF(AND(YEAR(OktSøn1+27)=Kalenderår,MONTH(OktSøn1+27)=10),OktSøn1+27,""),IF(AND(YEAR(OktSøn1+34)=Kalenderår,MONTH(OktSøn1+34)=10),OktSøn1+34,""))</f>
        <v>44135</v>
      </c>
      <c r="Q45" s="30" t="str">
        <f>IF(DAY(OktSøn1)=1,IF(AND(YEAR(OktSøn1+28)=Kalenderår,MONTH(OktSøn1+28)=10),OktSøn1+28,""),IF(AND(YEAR(OktSøn1+35)=Kalenderår,MONTH(OktSøn1+35)=10),OktSøn1+35,""))</f>
        <v/>
      </c>
      <c r="S45" s="24"/>
      <c r="U45" s="9" t="s">
        <v>53</v>
      </c>
      <c r="V45" s="25"/>
      <c r="W45" s="25"/>
    </row>
    <row r="46" spans="1:23" ht="15" customHeight="1" x14ac:dyDescent="0.2">
      <c r="A46" s="18"/>
      <c r="C46" s="30" t="str">
        <f>IF(DAY(SepSøn1)=1,IF(AND(YEAR(SepSøn1+29)=Kalenderår,MONTH(SepSøn1+29)=9),SepSøn1+29,""),IF(AND(YEAR(SepSøn1+36)=Kalenderår,MONTH(SepSøn1+36)=9),SepSøn1+36,""))</f>
        <v/>
      </c>
      <c r="D46" s="30" t="str">
        <f>IF(DAY(SepSøn1)=1,IF(AND(YEAR(SepSøn1+30)=Kalenderår,MONTH(SepSøn1+30)=9),SepSøn1+30,""),IF(AND(YEAR(SepSøn1+37)=Kalenderår,MONTH(SepSøn1+37)=9),SepSøn1+37,""))</f>
        <v/>
      </c>
      <c r="E46" s="30" t="str">
        <f>IF(DAY(SepSøn1)=1,IF(AND(YEAR(SepSøn1+31)=Kalenderår,MONTH(SepSøn1+31)=9),SepSøn1+31,""),IF(AND(YEAR(SepSøn1+38)=Kalenderår,MONTH(SepSøn1+38)=9),SepSøn1+38,""))</f>
        <v/>
      </c>
      <c r="F46" s="30" t="str">
        <f>IF(DAY(SepSøn1)=1,IF(AND(YEAR(SepSøn1+32)=Kalenderår,MONTH(SepSøn1+32)=9),SepSøn1+32,""),IF(AND(YEAR(SepSøn1+39)=Kalenderår,MONTH(SepSøn1+39)=9),SepSøn1+39,""))</f>
        <v/>
      </c>
      <c r="G46" s="30" t="str">
        <f>IF(DAY(SepSøn1)=1,IF(AND(YEAR(SepSøn1+33)=Kalenderår,MONTH(SepSøn1+33)=9),SepSøn1+33,""),IF(AND(YEAR(SepSøn1+40)=Kalenderår,MONTH(SepSøn1+40)=9),SepSøn1+40,""))</f>
        <v/>
      </c>
      <c r="H46" s="30" t="str">
        <f>IF(DAY(SepSøn1)=1,IF(AND(YEAR(SepSøn1+34)=Kalenderår,MONTH(SepSøn1+34)=9),SepSøn1+34,""),IF(AND(YEAR(SepSøn1+41)=Kalenderår,MONTH(SepSøn1+41)=9),SepSøn1+41,""))</f>
        <v/>
      </c>
      <c r="I46" s="30" t="str">
        <f>IF(DAY(SepSøn1)=1,IF(AND(YEAR(SepSøn1+35)=Kalenderår,MONTH(SepSøn1+35)=9),SepSøn1+35,""),IF(AND(YEAR(SepSøn1+42)=Kalenderår,MONTH(SepSøn1+42)=9),SepSøn1+42,""))</f>
        <v/>
      </c>
      <c r="K46" s="30" t="str">
        <f>IF(DAY(OktSøn1)=1,IF(AND(YEAR(OktSøn1+29)=Kalenderår,MONTH(OktSøn1+29)=10),OktSøn1+29,""),IF(AND(YEAR(OktSøn1+36)=Kalenderår,MONTH(OktSøn1+36)=10),OktSøn1+36,""))</f>
        <v/>
      </c>
      <c r="L46" s="30" t="str">
        <f>IF(DAY(OktSøn1)=1,IF(AND(YEAR(OktSøn1+30)=Kalenderår,MONTH(OktSøn1+30)=10),OktSøn1+30,""),IF(AND(YEAR(OktSøn1+37)=Kalenderår,MONTH(OktSøn1+37)=10),OktSøn1+37,""))</f>
        <v/>
      </c>
      <c r="M46" s="30" t="str">
        <f>IF(DAY(OktSøn1)=1,IF(AND(YEAR(OktSøn1+31)=Kalenderår,MONTH(OktSøn1+31)=10),OktSøn1+31,""),IF(AND(YEAR(OktSøn1+38)=Kalenderår,MONTH(OktSøn1+38)=10),OktSøn1+38,""))</f>
        <v/>
      </c>
      <c r="N46" s="30" t="str">
        <f>IF(DAY(OktSøn1)=1,IF(AND(YEAR(OktSøn1+32)=Kalenderår,MONTH(OktSøn1+32)=10),OktSøn1+32,""),IF(AND(YEAR(OktSøn1+39)=Kalenderår,MONTH(OktSøn1+39)=10),OktSøn1+39,""))</f>
        <v/>
      </c>
      <c r="O46" s="30" t="str">
        <f>IF(DAY(OktSøn1)=1,IF(AND(YEAR(OktSøn1+33)=Kalenderår,MONTH(OktSøn1+33)=10),OktSøn1+33,""),IF(AND(YEAR(OktSøn1+40)=Kalenderår,MONTH(OktSøn1+40)=10),OktSøn1+40,""))</f>
        <v/>
      </c>
      <c r="P46" s="30" t="str">
        <f>IF(DAY(OktSøn1)=1,IF(AND(YEAR(OktSøn1+34)=Kalenderår,MONTH(OktSøn1+34)=10),OktSøn1+34,""),IF(AND(YEAR(OktSøn1+41)=Kalenderår,MONTH(OktSøn1+41)=10),OktSøn1+41,""))</f>
        <v/>
      </c>
      <c r="Q46" s="30" t="str">
        <f>IF(DAY(OktSøn1)=1,IF(AND(YEAR(OktSøn1+35)=Kalenderår,MONTH(OktSøn1+35)=10),OktSøn1+35,""),IF(AND(YEAR(OktSøn1+42)=Kalenderår,MONTH(OktSøn1+42)=10),OktSøn1+42,""))</f>
        <v/>
      </c>
      <c r="S46" s="24"/>
      <c r="U46" s="9"/>
      <c r="V46" s="25"/>
      <c r="W46" s="25"/>
    </row>
    <row r="47" spans="1:23" ht="15" customHeight="1" x14ac:dyDescent="0.2">
      <c r="A47" s="18" t="s">
        <v>21</v>
      </c>
      <c r="S47" s="24"/>
      <c r="U47" s="9" t="s">
        <v>54</v>
      </c>
      <c r="V47" s="25"/>
      <c r="W47" s="25"/>
    </row>
    <row r="48" spans="1:23" ht="15" customHeight="1" x14ac:dyDescent="0.2">
      <c r="A48" s="18" t="s">
        <v>22</v>
      </c>
      <c r="C48" s="26" t="s">
        <v>32</v>
      </c>
      <c r="D48" s="26"/>
      <c r="E48" s="26"/>
      <c r="F48" s="26"/>
      <c r="G48" s="26"/>
      <c r="H48" s="26"/>
      <c r="I48" s="26"/>
      <c r="K48" s="26" t="s">
        <v>44</v>
      </c>
      <c r="L48" s="26"/>
      <c r="M48" s="26"/>
      <c r="N48" s="26"/>
      <c r="O48" s="26"/>
      <c r="P48" s="26"/>
      <c r="Q48" s="26"/>
      <c r="S48" s="24"/>
      <c r="U48" s="9" t="s">
        <v>55</v>
      </c>
      <c r="V48" s="25"/>
      <c r="W48" s="25"/>
    </row>
    <row r="49" spans="1:21" ht="15" customHeight="1" x14ac:dyDescent="0.2">
      <c r="A49" s="18" t="s">
        <v>23</v>
      </c>
      <c r="C49" s="11" t="s">
        <v>27</v>
      </c>
      <c r="D49" s="11" t="s">
        <v>33</v>
      </c>
      <c r="E49" s="11" t="s">
        <v>34</v>
      </c>
      <c r="F49" s="11" t="s">
        <v>35</v>
      </c>
      <c r="G49" s="11" t="s">
        <v>36</v>
      </c>
      <c r="H49" s="11" t="s">
        <v>37</v>
      </c>
      <c r="I49" s="11" t="s">
        <v>38</v>
      </c>
      <c r="J49" s="23"/>
      <c r="K49" s="11" t="s">
        <v>27</v>
      </c>
      <c r="L49" s="11" t="s">
        <v>33</v>
      </c>
      <c r="M49" s="11" t="s">
        <v>34</v>
      </c>
      <c r="N49" s="11" t="s">
        <v>35</v>
      </c>
      <c r="O49" s="11" t="s">
        <v>36</v>
      </c>
      <c r="P49" s="11" t="s">
        <v>37</v>
      </c>
      <c r="Q49" s="11" t="s">
        <v>38</v>
      </c>
      <c r="S49" s="24"/>
      <c r="U49" s="9" t="s">
        <v>56</v>
      </c>
    </row>
    <row r="50" spans="1:21" ht="15" customHeight="1" x14ac:dyDescent="0.2">
      <c r="A50" s="18"/>
      <c r="C50" s="30" t="str">
        <f>IF(DAY(NovSøn1)=1,"",IF(AND(YEAR(NovSøn1+1)=Kalenderår,MONTH(NovSøn1+1)=11),NovSøn1+1,""))</f>
        <v/>
      </c>
      <c r="D50" s="30" t="str">
        <f>IF(DAY(NovSøn1)=1,"",IF(AND(YEAR(NovSøn1+2)=Kalenderår,MONTH(NovSøn1+2)=11),NovSøn1+2,""))</f>
        <v/>
      </c>
      <c r="E50" s="30" t="str">
        <f>IF(DAY(NovSøn1)=1,"",IF(AND(YEAR(NovSøn1+3)=Kalenderår,MONTH(NovSøn1+3)=11),NovSøn1+3,""))</f>
        <v/>
      </c>
      <c r="F50" s="30" t="str">
        <f>IF(DAY(NovSøn1)=1,"",IF(AND(YEAR(NovSøn1+4)=Kalenderår,MONTH(NovSøn1+4)=11),NovSøn1+4,""))</f>
        <v/>
      </c>
      <c r="G50" s="30" t="str">
        <f>IF(DAY(NovSøn1)=1,"",IF(AND(YEAR(NovSøn1+5)=Kalenderår,MONTH(NovSøn1+5)=11),NovSøn1+5,""))</f>
        <v/>
      </c>
      <c r="H50" s="30" t="str">
        <f>IF(DAY(NovSøn1)=1,"",IF(AND(YEAR(NovSøn1+6)=Kalenderår,MONTH(NovSøn1+6)=11),NovSøn1+6,""))</f>
        <v/>
      </c>
      <c r="I50" s="30">
        <f>IF(DAY(NovSøn1)=1,IF(AND(YEAR(NovSøn1)=Kalenderår,MONTH(NovSøn1)=11),NovSøn1,""),IF(AND(YEAR(NovSøn1+7)=Kalenderår,MONTH(NovSøn1+7)=11),NovSøn1+7,""))</f>
        <v>44136</v>
      </c>
      <c r="K50" s="30" t="str">
        <f>IF(DAY(DesSøn1)=1,"",IF(AND(YEAR(DesSøn1+1)=Kalenderår,MONTH(DesSøn1+1)=12),DesSøn1+1,""))</f>
        <v/>
      </c>
      <c r="L50" s="30">
        <f>IF(DAY(DesSøn1)=1,"",IF(AND(YEAR(DesSøn1+2)=Kalenderår,MONTH(DesSøn1+2)=12),DesSøn1+2,""))</f>
        <v>44166</v>
      </c>
      <c r="M50" s="30">
        <f>IF(DAY(DesSøn1)=1,"",IF(AND(YEAR(DesSøn1+3)=Kalenderår,MONTH(DesSøn1+3)=12),DesSøn1+3,""))</f>
        <v>44167</v>
      </c>
      <c r="N50" s="30">
        <f>IF(DAY(DesSøn1)=1,"",IF(AND(YEAR(DesSøn1+4)=Kalenderår,MONTH(DesSøn1+4)=12),DesSøn1+4,""))</f>
        <v>44168</v>
      </c>
      <c r="O50" s="30">
        <f>IF(DAY(DesSøn1)=1,"",IF(AND(YEAR(DesSøn1+5)=Kalenderår,MONTH(DesSøn1+5)=12),DesSøn1+5,""))</f>
        <v>44169</v>
      </c>
      <c r="P50" s="30">
        <f>IF(DAY(DesSøn1)=1,"",IF(AND(YEAR(DesSøn1+6)=Kalenderår,MONTH(DesSøn1+6)=12),DesSøn1+6,""))</f>
        <v>44170</v>
      </c>
      <c r="Q50" s="30">
        <f>IF(DAY(DesSøn1)=1,IF(AND(YEAR(DesSøn1)=Kalenderår,MONTH(DesSøn1)=12),DesSøn1,""),IF(AND(YEAR(DesSøn1+7)=Kalenderår,MONTH(DesSøn1+7)=12),DesSøn1+7,""))</f>
        <v>44171</v>
      </c>
      <c r="S50" s="24"/>
      <c r="U50" s="1"/>
    </row>
    <row r="51" spans="1:21" ht="15" customHeight="1" x14ac:dyDescent="0.2">
      <c r="A51" s="18" t="s">
        <v>24</v>
      </c>
      <c r="C51" s="30">
        <f>IF(DAY(NovSøn1)=1,IF(AND(YEAR(NovSøn1+1)=Kalenderår,MONTH(NovSøn1+1)=11),NovSøn1+1,""),IF(AND(YEAR(NovSøn1+8)=Kalenderår,MONTH(NovSøn1+8)=11),NovSøn1+8,""))</f>
        <v>44137</v>
      </c>
      <c r="D51" s="30">
        <f>IF(DAY(NovSøn1)=1,IF(AND(YEAR(NovSøn1+2)=Kalenderår,MONTH(NovSøn1+2)=11),NovSøn1+2,""),IF(AND(YEAR(NovSøn1+9)=Kalenderår,MONTH(NovSøn1+9)=11),NovSøn1+9,""))</f>
        <v>44138</v>
      </c>
      <c r="E51" s="30">
        <f>IF(DAY(NovSøn1)=1,IF(AND(YEAR(NovSøn1+3)=Kalenderår,MONTH(NovSøn1+3)=11),NovSøn1+3,""),IF(AND(YEAR(NovSøn1+10)=Kalenderår,MONTH(NovSøn1+10)=11),NovSøn1+10,""))</f>
        <v>44139</v>
      </c>
      <c r="F51" s="30">
        <f>IF(DAY(NovSøn1)=1,IF(AND(YEAR(NovSøn1+4)=Kalenderår,MONTH(NovSøn1+4)=11),NovSøn1+4,""),IF(AND(YEAR(NovSøn1+11)=Kalenderår,MONTH(NovSøn1+11)=11),NovSøn1+11,""))</f>
        <v>44140</v>
      </c>
      <c r="G51" s="30">
        <f>IF(DAY(NovSøn1)=1,IF(AND(YEAR(NovSøn1+5)=Kalenderår,MONTH(NovSøn1+5)=11),NovSøn1+5,""),IF(AND(YEAR(NovSøn1+12)=Kalenderår,MONTH(NovSøn1+12)=11),NovSøn1+12,""))</f>
        <v>44141</v>
      </c>
      <c r="H51" s="30">
        <f>IF(DAY(NovSøn1)=1,IF(AND(YEAR(NovSøn1+6)=Kalenderår,MONTH(NovSøn1+6)=11),NovSøn1+6,""),IF(AND(YEAR(NovSøn1+13)=Kalenderår,MONTH(NovSøn1+13)=11),NovSøn1+13,""))</f>
        <v>44142</v>
      </c>
      <c r="I51" s="30">
        <f>IF(DAY(NovSøn1)=1,IF(AND(YEAR(NovSøn1+7)=Kalenderår,MONTH(NovSøn1+7)=11),NovSøn1+7,""),IF(AND(YEAR(NovSøn1+14)=Kalenderår,MONTH(NovSøn1+14)=11),NovSøn1+14,""))</f>
        <v>44143</v>
      </c>
      <c r="K51" s="30">
        <f>IF(DAY(DesSøn1)=1,IF(AND(YEAR(DesSøn1+1)=Kalenderår,MONTH(DesSøn1+1)=12),DesSøn1+1,""),IF(AND(YEAR(DesSøn1+8)=Kalenderår,MONTH(DesSøn1+8)=12),DesSøn1+8,""))</f>
        <v>44172</v>
      </c>
      <c r="L51" s="30">
        <f>IF(DAY(DesSøn1)=1,IF(AND(YEAR(DesSøn1+2)=Kalenderår,MONTH(DesSøn1+2)=12),DesSøn1+2,""),IF(AND(YEAR(DesSøn1+9)=Kalenderår,MONTH(DesSøn1+9)=12),DesSøn1+9,""))</f>
        <v>44173</v>
      </c>
      <c r="M51" s="30">
        <f>IF(DAY(DesSøn1)=1,IF(AND(YEAR(DesSøn1+3)=Kalenderår,MONTH(DesSøn1+3)=12),DesSøn1+3,""),IF(AND(YEAR(DesSøn1+10)=Kalenderår,MONTH(DesSøn1+10)=12),DesSøn1+10,""))</f>
        <v>44174</v>
      </c>
      <c r="N51" s="30">
        <f>IF(DAY(DesSøn1)=1,IF(AND(YEAR(DesSøn1+4)=Kalenderår,MONTH(DesSøn1+4)=12),DesSøn1+4,""),IF(AND(YEAR(DesSøn1+11)=Kalenderår,MONTH(DesSøn1+11)=12),DesSøn1+11,""))</f>
        <v>44175</v>
      </c>
      <c r="O51" s="30">
        <f>IF(DAY(DesSøn1)=1,IF(AND(YEAR(DesSøn1+5)=Kalenderår,MONTH(DesSøn1+5)=12),DesSøn1+5,""),IF(AND(YEAR(DesSøn1+12)=Kalenderår,MONTH(DesSøn1+12)=12),DesSøn1+12,""))</f>
        <v>44176</v>
      </c>
      <c r="P51" s="30">
        <f>IF(DAY(DesSøn1)=1,IF(AND(YEAR(DesSøn1+6)=Kalenderår,MONTH(DesSøn1+6)=12),DesSøn1+6,""),IF(AND(YEAR(DesSøn1+13)=Kalenderår,MONTH(DesSøn1+13)=12),DesSøn1+13,""))</f>
        <v>44177</v>
      </c>
      <c r="Q51" s="30">
        <f>IF(DAY(DesSøn1)=1,IF(AND(YEAR(DesSøn1+7)=Kalenderår,MONTH(DesSøn1+7)=12),DesSøn1+7,""),IF(AND(YEAR(DesSøn1+14)=Kalenderår,MONTH(DesSøn1+14)=12),DesSøn1+14,""))</f>
        <v>44178</v>
      </c>
      <c r="S51" s="24"/>
      <c r="U51" s="29" t="s">
        <v>57</v>
      </c>
    </row>
    <row r="52" spans="1:21" ht="15" customHeight="1" x14ac:dyDescent="0.2">
      <c r="C52" s="30">
        <f>IF(DAY(NovSøn1)=1,IF(AND(YEAR(NovSøn1+8)=Kalenderår,MONTH(NovSøn1+8)=11),NovSøn1+8,""),IF(AND(YEAR(NovSøn1+15)=Kalenderår,MONTH(NovSøn1+15)=11),NovSøn1+15,""))</f>
        <v>44144</v>
      </c>
      <c r="D52" s="30">
        <f>IF(DAY(NovSøn1)=1,IF(AND(YEAR(NovSøn1+9)=Kalenderår,MONTH(NovSøn1+9)=11),NovSøn1+9,""),IF(AND(YEAR(NovSøn1+16)=Kalenderår,MONTH(NovSøn1+16)=11),NovSøn1+16,""))</f>
        <v>44145</v>
      </c>
      <c r="E52" s="30">
        <f>IF(DAY(NovSøn1)=1,IF(AND(YEAR(NovSøn1+10)=Kalenderår,MONTH(NovSøn1+10)=11),NovSøn1+10,""),IF(AND(YEAR(NovSøn1+17)=Kalenderår,MONTH(NovSøn1+17)=11),NovSøn1+17,""))</f>
        <v>44146</v>
      </c>
      <c r="F52" s="30">
        <f>IF(DAY(NovSøn1)=1,IF(AND(YEAR(NovSøn1+11)=Kalenderår,MONTH(NovSøn1+11)=11),NovSøn1+11,""),IF(AND(YEAR(NovSøn1+18)=Kalenderår,MONTH(NovSøn1+18)=11),NovSøn1+18,""))</f>
        <v>44147</v>
      </c>
      <c r="G52" s="30">
        <f>IF(DAY(NovSøn1)=1,IF(AND(YEAR(NovSøn1+12)=Kalenderår,MONTH(NovSøn1+12)=11),NovSøn1+12,""),IF(AND(YEAR(NovSøn1+19)=Kalenderår,MONTH(NovSøn1+19)=11),NovSøn1+19,""))</f>
        <v>44148</v>
      </c>
      <c r="H52" s="30">
        <f>IF(DAY(NovSøn1)=1,IF(AND(YEAR(NovSøn1+13)=Kalenderår,MONTH(NovSøn1+13)=11),NovSøn1+13,""),IF(AND(YEAR(NovSøn1+20)=Kalenderår,MONTH(NovSøn1+20)=11),NovSøn1+20,""))</f>
        <v>44149</v>
      </c>
      <c r="I52" s="30">
        <f>IF(DAY(NovSøn1)=1,IF(AND(YEAR(NovSøn1+14)=Kalenderår,MONTH(NovSøn1+14)=11),NovSøn1+14,""),IF(AND(YEAR(NovSøn1+21)=Kalenderår,MONTH(NovSøn1+21)=11),NovSøn1+21,""))</f>
        <v>44150</v>
      </c>
      <c r="K52" s="30">
        <f>IF(DAY(DesSøn1)=1,IF(AND(YEAR(DesSøn1+8)=Kalenderår,MONTH(DesSøn1+8)=12),DesSøn1+8,""),IF(AND(YEAR(DesSøn1+15)=Kalenderår,MONTH(DesSøn1+15)=12),DesSøn1+15,""))</f>
        <v>44179</v>
      </c>
      <c r="L52" s="30">
        <f>IF(DAY(DesSøn1)=1,IF(AND(YEAR(DesSøn1+9)=Kalenderår,MONTH(DesSøn1+9)=12),DesSøn1+9,""),IF(AND(YEAR(DesSøn1+16)=Kalenderår,MONTH(DesSøn1+16)=12),DesSøn1+16,""))</f>
        <v>44180</v>
      </c>
      <c r="M52" s="30">
        <f>IF(DAY(DesSøn1)=1,IF(AND(YEAR(DesSøn1+10)=Kalenderår,MONTH(DesSøn1+10)=12),DesSøn1+10,""),IF(AND(YEAR(DesSøn1+17)=Kalenderår,MONTH(DesSøn1+17)=12),DesSøn1+17,""))</f>
        <v>44181</v>
      </c>
      <c r="N52" s="30">
        <f>IF(DAY(DesSøn1)=1,IF(AND(YEAR(DesSøn1+11)=Kalenderår,MONTH(DesSøn1+11)=12),DesSøn1+11,""),IF(AND(YEAR(DesSøn1+18)=Kalenderår,MONTH(DesSøn1+18)=12),DesSøn1+18,""))</f>
        <v>44182</v>
      </c>
      <c r="O52" s="30">
        <f>IF(DAY(DesSøn1)=1,IF(AND(YEAR(DesSøn1+12)=Kalenderår,MONTH(DesSøn1+12)=12),DesSøn1+12,""),IF(AND(YEAR(DesSøn1+19)=Kalenderår,MONTH(DesSøn1+19)=12),DesSøn1+19,""))</f>
        <v>44183</v>
      </c>
      <c r="P52" s="30">
        <f>IF(DAY(DesSøn1)=1,IF(AND(YEAR(DesSøn1+13)=Kalenderår,MONTH(DesSøn1+13)=12),DesSøn1+13,""),IF(AND(YEAR(DesSøn1+20)=Kalenderår,MONTH(DesSøn1+20)=12),DesSøn1+20,""))</f>
        <v>44184</v>
      </c>
      <c r="Q52" s="30">
        <f>IF(DAY(DesSøn1)=1,IF(AND(YEAR(DesSøn1+14)=Kalenderår,MONTH(DesSøn1+14)=12),DesSøn1+14,""),IF(AND(YEAR(DesSøn1+21)=Kalenderår,MONTH(DesSøn1+21)=12),DesSøn1+21,""))</f>
        <v>44185</v>
      </c>
      <c r="S52" s="24"/>
      <c r="U52" s="29"/>
    </row>
    <row r="53" spans="1:21" ht="15" customHeight="1" x14ac:dyDescent="0.2">
      <c r="C53" s="30">
        <f>IF(DAY(NovSøn1)=1,IF(AND(YEAR(NovSøn1+15)=Kalenderår,MONTH(NovSøn1+15)=11),NovSøn1+15,""),IF(AND(YEAR(NovSøn1+22)=Kalenderår,MONTH(NovSøn1+22)=11),NovSøn1+22,""))</f>
        <v>44151</v>
      </c>
      <c r="D53" s="30">
        <f>IF(DAY(NovSøn1)=1,IF(AND(YEAR(NovSøn1+16)=Kalenderår,MONTH(NovSøn1+16)=11),NovSøn1+16,""),IF(AND(YEAR(NovSøn1+23)=Kalenderår,MONTH(NovSøn1+23)=11),NovSøn1+23,""))</f>
        <v>44152</v>
      </c>
      <c r="E53" s="30">
        <f>IF(DAY(NovSøn1)=1,IF(AND(YEAR(NovSøn1+17)=Kalenderår,MONTH(NovSøn1+17)=11),NovSøn1+17,""),IF(AND(YEAR(NovSøn1+24)=Kalenderår,MONTH(NovSøn1+24)=11),NovSøn1+24,""))</f>
        <v>44153</v>
      </c>
      <c r="F53" s="30">
        <f>IF(DAY(NovSøn1)=1,IF(AND(YEAR(NovSøn1+18)=Kalenderår,MONTH(NovSøn1+18)=11),NovSøn1+18,""),IF(AND(YEAR(NovSøn1+25)=Kalenderår,MONTH(NovSøn1+25)=11),NovSøn1+25,""))</f>
        <v>44154</v>
      </c>
      <c r="G53" s="30">
        <f>IF(DAY(NovSøn1)=1,IF(AND(YEAR(NovSøn1+19)=Kalenderår,MONTH(NovSøn1+19)=11),NovSøn1+19,""),IF(AND(YEAR(NovSøn1+26)=Kalenderår,MONTH(NovSøn1+26)=11),NovSøn1+26,""))</f>
        <v>44155</v>
      </c>
      <c r="H53" s="30">
        <f>IF(DAY(NovSøn1)=1,IF(AND(YEAR(NovSøn1+20)=Kalenderår,MONTH(NovSøn1+20)=11),NovSøn1+20,""),IF(AND(YEAR(NovSøn1+27)=Kalenderår,MONTH(NovSøn1+27)=11),NovSøn1+27,""))</f>
        <v>44156</v>
      </c>
      <c r="I53" s="30">
        <f>IF(DAY(NovSøn1)=1,IF(AND(YEAR(NovSøn1+21)=Kalenderår,MONTH(NovSøn1+21)=11),NovSøn1+21,""),IF(AND(YEAR(NovSøn1+28)=Kalenderår,MONTH(NovSøn1+28)=11),NovSøn1+28,""))</f>
        <v>44157</v>
      </c>
      <c r="K53" s="30">
        <f>IF(DAY(DesSøn1)=1,IF(AND(YEAR(DesSøn1+15)=Kalenderår,MONTH(DesSøn1+15)=12),DesSøn1+15,""),IF(AND(YEAR(DesSøn1+22)=Kalenderår,MONTH(DesSøn1+22)=12),DesSøn1+22,""))</f>
        <v>44186</v>
      </c>
      <c r="L53" s="30">
        <f>IF(DAY(DesSøn1)=1,IF(AND(YEAR(DesSøn1+16)=Kalenderår,MONTH(DesSøn1+16)=12),DesSøn1+16,""),IF(AND(YEAR(DesSøn1+23)=Kalenderår,MONTH(DesSøn1+23)=12),DesSøn1+23,""))</f>
        <v>44187</v>
      </c>
      <c r="M53" s="30">
        <f>IF(DAY(DesSøn1)=1,IF(AND(YEAR(DesSøn1+17)=Kalenderår,MONTH(DesSøn1+17)=12),DesSøn1+17,""),IF(AND(YEAR(DesSøn1+24)=Kalenderår,MONTH(DesSøn1+24)=12),DesSøn1+24,""))</f>
        <v>44188</v>
      </c>
      <c r="N53" s="30">
        <f>IF(DAY(DesSøn1)=1,IF(AND(YEAR(DesSøn1+18)=Kalenderår,MONTH(DesSøn1+18)=12),DesSøn1+18,""),IF(AND(YEAR(DesSøn1+25)=Kalenderår,MONTH(DesSøn1+25)=12),DesSøn1+25,""))</f>
        <v>44189</v>
      </c>
      <c r="O53" s="30">
        <f>IF(DAY(DesSøn1)=1,IF(AND(YEAR(DesSøn1+19)=Kalenderår,MONTH(DesSøn1+19)=12),DesSøn1+19,""),IF(AND(YEAR(DesSøn1+26)=Kalenderår,MONTH(DesSøn1+26)=12),DesSøn1+26,""))</f>
        <v>44190</v>
      </c>
      <c r="P53" s="30">
        <f>IF(DAY(DesSøn1)=1,IF(AND(YEAR(DesSøn1+20)=Kalenderår,MONTH(DesSøn1+20)=12),DesSøn1+20,""),IF(AND(YEAR(DesSøn1+27)=Kalenderår,MONTH(DesSøn1+27)=12),DesSøn1+27,""))</f>
        <v>44191</v>
      </c>
      <c r="Q53" s="30">
        <f>IF(DAY(DesSøn1)=1,IF(AND(YEAR(DesSøn1+21)=Kalenderår,MONTH(DesSøn1+21)=12),DesSøn1+21,""),IF(AND(YEAR(DesSøn1+28)=Kalenderår,MONTH(DesSøn1+28)=12),DesSøn1+28,""))</f>
        <v>44192</v>
      </c>
      <c r="S53" s="24"/>
      <c r="U53" s="29"/>
    </row>
    <row r="54" spans="1:21" ht="15" customHeight="1" x14ac:dyDescent="0.2">
      <c r="C54" s="30">
        <f>IF(DAY(NovSøn1)=1,IF(AND(YEAR(NovSøn1+22)=Kalenderår,MONTH(NovSøn1+22)=11),NovSøn1+22,""),IF(AND(YEAR(NovSøn1+29)=Kalenderår,MONTH(NovSøn1+29)=11),NovSøn1+29,""))</f>
        <v>44158</v>
      </c>
      <c r="D54" s="30">
        <f>IF(DAY(NovSøn1)=1,IF(AND(YEAR(NovSøn1+23)=Kalenderår,MONTH(NovSøn1+23)=11),NovSøn1+23,""),IF(AND(YEAR(NovSøn1+30)=Kalenderår,MONTH(NovSøn1+30)=11),NovSøn1+30,""))</f>
        <v>44159</v>
      </c>
      <c r="E54" s="30">
        <f>IF(DAY(NovSøn1)=1,IF(AND(YEAR(NovSøn1+24)=Kalenderår,MONTH(NovSøn1+24)=11),NovSøn1+24,""),IF(AND(YEAR(NovSøn1+31)=Kalenderår,MONTH(NovSøn1+31)=11),NovSøn1+31,""))</f>
        <v>44160</v>
      </c>
      <c r="F54" s="30">
        <f>IF(DAY(NovSøn1)=1,IF(AND(YEAR(NovSøn1+25)=Kalenderår,MONTH(NovSøn1+25)=11),NovSøn1+25,""),IF(AND(YEAR(NovSøn1+32)=Kalenderår,MONTH(NovSøn1+32)=11),NovSøn1+32,""))</f>
        <v>44161</v>
      </c>
      <c r="G54" s="30">
        <f>IF(DAY(NovSøn1)=1,IF(AND(YEAR(NovSøn1+26)=Kalenderår,MONTH(NovSøn1+26)=11),NovSøn1+26,""),IF(AND(YEAR(NovSøn1+33)=Kalenderår,MONTH(NovSøn1+33)=11),NovSøn1+33,""))</f>
        <v>44162</v>
      </c>
      <c r="H54" s="30">
        <f>IF(DAY(NovSøn1)=1,IF(AND(YEAR(NovSøn1+27)=Kalenderår,MONTH(NovSøn1+27)=11),NovSøn1+27,""),IF(AND(YEAR(NovSøn1+34)=Kalenderår,MONTH(NovSøn1+34)=11),NovSøn1+34,""))</f>
        <v>44163</v>
      </c>
      <c r="I54" s="30">
        <f>IF(DAY(NovSøn1)=1,IF(AND(YEAR(NovSøn1+28)=Kalenderår,MONTH(NovSøn1+28)=11),NovSøn1+28,""),IF(AND(YEAR(NovSøn1+35)=Kalenderår,MONTH(NovSøn1+35)=11),NovSøn1+35,""))</f>
        <v>44164</v>
      </c>
      <c r="K54" s="30">
        <f>IF(DAY(DesSøn1)=1,IF(AND(YEAR(DesSøn1+22)=Kalenderår,MONTH(DesSøn1+22)=12),DesSøn1+22,""),IF(AND(YEAR(DesSøn1+29)=Kalenderår,MONTH(DesSøn1+29)=12),DesSøn1+29,""))</f>
        <v>44193</v>
      </c>
      <c r="L54" s="30">
        <f>IF(DAY(DesSøn1)=1,IF(AND(YEAR(DesSøn1+23)=Kalenderår,MONTH(DesSøn1+23)=12),DesSøn1+23,""),IF(AND(YEAR(DesSøn1+30)=Kalenderår,MONTH(DesSøn1+30)=12),DesSøn1+30,""))</f>
        <v>44194</v>
      </c>
      <c r="M54" s="30">
        <f>IF(DAY(DesSøn1)=1,IF(AND(YEAR(DesSøn1+24)=Kalenderår,MONTH(DesSøn1+24)=12),DesSøn1+24,""),IF(AND(YEAR(DesSøn1+31)=Kalenderår,MONTH(DesSøn1+31)=12),DesSøn1+31,""))</f>
        <v>44195</v>
      </c>
      <c r="N54" s="30">
        <f>IF(DAY(DesSøn1)=1,IF(AND(YEAR(DesSøn1+25)=Kalenderår,MONTH(DesSøn1+25)=12),DesSøn1+25,""),IF(AND(YEAR(DesSøn1+32)=Kalenderår,MONTH(DesSøn1+32)=12),DesSøn1+32,""))</f>
        <v>44196</v>
      </c>
      <c r="O54" s="30" t="str">
        <f>IF(DAY(DesSøn1)=1,IF(AND(YEAR(DesSøn1+26)=Kalenderår,MONTH(DesSøn1+26)=12),DesSøn1+26,""),IF(AND(YEAR(DesSøn1+33)=Kalenderår,MONTH(DesSøn1+33)=12),DesSøn1+33,""))</f>
        <v/>
      </c>
      <c r="P54" s="30" t="str">
        <f>IF(DAY(DesSøn1)=1,IF(AND(YEAR(DesSøn1+27)=Kalenderår,MONTH(DesSøn1+27)=12),DesSøn1+27,""),IF(AND(YEAR(DesSøn1+34)=Kalenderår,MONTH(DesSøn1+34)=12),DesSøn1+34,""))</f>
        <v/>
      </c>
      <c r="Q54" s="30" t="str">
        <f>IF(DAY(DesSøn1)=1,IF(AND(YEAR(DesSøn1+28)=Kalenderår,MONTH(DesSøn1+28)=12),DesSøn1+28,""),IF(AND(YEAR(DesSøn1+35)=Kalenderår,MONTH(DesSøn1+35)=12),DesSøn1+35,""))</f>
        <v/>
      </c>
      <c r="S54" s="24"/>
      <c r="U54" s="29"/>
    </row>
    <row r="55" spans="1:21" ht="15" customHeight="1" x14ac:dyDescent="0.2">
      <c r="C55" s="30">
        <f>IF(DAY(NovSøn1)=1,IF(AND(YEAR(NovSøn1+29)=Kalenderår,MONTH(NovSøn1+29)=11),NovSøn1+29,""),IF(AND(YEAR(NovSøn1+36)=Kalenderår,MONTH(NovSøn1+36)=11),NovSøn1+36,""))</f>
        <v>44165</v>
      </c>
      <c r="D55" s="30" t="str">
        <f>IF(DAY(NovSøn1)=1,IF(AND(YEAR(NovSøn1+30)=Kalenderår,MONTH(NovSøn1+30)=11),NovSøn1+30,""),IF(AND(YEAR(NovSøn1+37)=Kalenderår,MONTH(NovSøn1+37)=11),NovSøn1+37,""))</f>
        <v/>
      </c>
      <c r="E55" s="30" t="str">
        <f>IF(DAY(NovSøn1)=1,IF(AND(YEAR(NovSøn1+31)=Kalenderår,MONTH(NovSøn1+31)=11),NovSøn1+31,""),IF(AND(YEAR(NovSøn1+38)=Kalenderår,MONTH(NovSøn1+38)=11),NovSøn1+38,""))</f>
        <v/>
      </c>
      <c r="F55" s="30" t="str">
        <f>IF(DAY(NovSøn1)=1,IF(AND(YEAR(NovSøn1+32)=Kalenderår,MONTH(NovSøn1+32)=11),NovSøn1+32,""),IF(AND(YEAR(NovSøn1+39)=Kalenderår,MONTH(NovSøn1+39)=11),NovSøn1+39,""))</f>
        <v/>
      </c>
      <c r="G55" s="30" t="str">
        <f>IF(DAY(NovSøn1)=1,IF(AND(YEAR(NovSøn1+33)=Kalenderår,MONTH(NovSøn1+33)=11),NovSøn1+33,""),IF(AND(YEAR(NovSøn1+40)=Kalenderår,MONTH(NovSøn1+40)=11),NovSøn1+40,""))</f>
        <v/>
      </c>
      <c r="H55" s="30" t="str">
        <f>IF(DAY(NovSøn1)=1,IF(AND(YEAR(NovSøn1+34)=Kalenderår,MONTH(NovSøn1+34)=11),NovSøn1+34,""),IF(AND(YEAR(NovSøn1+41)=Kalenderår,MONTH(NovSøn1+41)=11),NovSøn1+41,""))</f>
        <v/>
      </c>
      <c r="I55" s="30" t="str">
        <f>IF(DAY(NovSøn1)=1,IF(AND(YEAR(NovSøn1+35)=Kalenderår,MONTH(NovSøn1+35)=11),NovSøn1+35,""),IF(AND(YEAR(NovSøn1+42)=Kalenderår,MONTH(NovSøn1+42)=11),NovSøn1+42,""))</f>
        <v/>
      </c>
      <c r="K55" s="30" t="str">
        <f>IF(DAY(DesSøn1)=1,IF(AND(YEAR(DesSøn1+29)=Kalenderår,MONTH(DesSøn1+29)=12),DesSøn1+29,""),IF(AND(YEAR(DesSøn1+36)=Kalenderår,MONTH(DesSøn1+36)=12),DesSøn1+36,""))</f>
        <v/>
      </c>
      <c r="L55" s="30" t="str">
        <f>IF(DAY(DesSøn1)=1,IF(AND(YEAR(DesSøn1+30)=Kalenderår,MONTH(DesSøn1+30)=12),DesSøn1+30,""),IF(AND(YEAR(DesSøn1+37)=Kalenderår,MONTH(DesSøn1+37)=12),DesSøn1+37,""))</f>
        <v/>
      </c>
      <c r="M55" s="30" t="str">
        <f>IF(DAY(DesSøn1)=1,IF(AND(YEAR(DesSøn1+31)=Kalenderår,MONTH(DesSøn1+31)=12),DesSøn1+31,""),IF(AND(YEAR(DesSøn1+38)=Kalenderår,MONTH(DesSøn1+38)=12),DesSøn1+38,""))</f>
        <v/>
      </c>
      <c r="N55" s="30" t="str">
        <f>IF(DAY(DesSøn1)=1,IF(AND(YEAR(DesSøn1+32)=Kalenderår,MONTH(DesSøn1+32)=12),DesSøn1+32,""),IF(AND(YEAR(DesSøn1+39)=Kalenderår,MONTH(DesSøn1+39)=12),DesSøn1+39,""))</f>
        <v/>
      </c>
      <c r="O55" s="30" t="str">
        <f>IF(DAY(DesSøn1)=1,IF(AND(YEAR(DesSøn1+33)=Kalenderår,MONTH(DesSøn1+33)=12),DesSøn1+33,""),IF(AND(YEAR(DesSøn1+40)=Kalenderår,MONTH(DesSøn1+40)=12),DesSøn1+40,""))</f>
        <v/>
      </c>
      <c r="P55" s="30" t="str">
        <f>IF(DAY(DesSøn1)=1,IF(AND(YEAR(DesSøn1+34)=Kalenderår,MONTH(DesSøn1+34)=12),DesSøn1+34,""),IF(AND(YEAR(DesSøn1+41)=Kalenderår,MONTH(DesSøn1+41)=12),DesSøn1+41,""))</f>
        <v/>
      </c>
      <c r="Q55" s="30" t="str">
        <f>IF(DAY(DesSøn1)=1,IF(AND(YEAR(DesSøn1+35)=Kalenderår,MONTH(DesSøn1+35)=12),DesSøn1+35,""),IF(AND(YEAR(DesSøn1+42)=Kalenderår,MONTH(DesSøn1+42)=12),DesSøn1+42,""))</f>
        <v/>
      </c>
      <c r="S55" s="24"/>
      <c r="U55" s="29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C1:F1"/>
    <mergeCell ref="B2:J2"/>
    <mergeCell ref="C3:I3"/>
    <mergeCell ref="K3:Q3"/>
    <mergeCell ref="U51:U55"/>
    <mergeCell ref="C39:I39"/>
    <mergeCell ref="K39:Q39"/>
    <mergeCell ref="C48:I48"/>
    <mergeCell ref="K48:Q48"/>
    <mergeCell ref="V3:W48"/>
    <mergeCell ref="C12:I12"/>
    <mergeCell ref="K12:Q12"/>
    <mergeCell ref="C21:I21"/>
    <mergeCell ref="K21:Q21"/>
    <mergeCell ref="C30:I30"/>
    <mergeCell ref="K30:Q30"/>
  </mergeCells>
  <phoneticPr fontId="6" type="noConversion"/>
  <dataValidations disablePrompts="1" count="1">
    <dataValidation allowBlank="1" showInputMessage="1" showErrorMessage="1" errorTitle="Ugyldig år" error="Skriv inn et år fra 1900 til 9999, eller bruk rullefeltet til å finne et år." sqref="C1" xr:uid="{00000000-0002-0000-0100-000000000000}"/>
  </dataValidations>
  <printOptions horizontalCentered="1" verticalCentered="1"/>
  <pageMargins left="0.5" right="0.5" top="0.5" bottom="0.5" header="0.3" footer="0.3"/>
  <pageSetup paperSize="9" scale="83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Bruk spinnerknappen til å endre kalenderåret eller angi året i celle C1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Start</vt:lpstr>
      <vt:lpstr>Årlig kalender</vt:lpstr>
      <vt:lpstr>Kalenderår</vt:lpstr>
      <vt:lpstr>'Årlig kalender'!Utskriftsområde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2020-02-17T16:23:53Z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