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E9BAAAF9-E5DE-A45E-5512-C6A5E48AC118}"/>
  <workbookPr filterPrivacy="1" codeName="ThisWorkbook"/>
  <bookViews>
    <workbookView xWindow="0" yWindow="0" windowWidth="25200" windowHeight="12570"/>
  </bookViews>
  <sheets>
    <sheet name="Lønnsregistrering" sheetId="3" r:id="rId1"/>
    <sheet name="stubs_template" sheetId="4" state="hidden" r:id="rId2"/>
  </sheets>
  <definedNames>
    <definedName name="CompanyName">Lønnsregistrering!$P$1</definedName>
    <definedName name="CurrentEmp">Employees[[#This Row],[Navn på ansatt]]</definedName>
    <definedName name="Lønsslipp">INT((ROW()-2)/12)+1</definedName>
    <definedName name="PeriodEnding">Lønnsregistrering!$L$1</definedName>
    <definedName name="StubStruc">stubs_template!$B$37:$N$48</definedName>
    <definedName name="ThePage">stubs_template!$B$1:$N$48</definedName>
    <definedName name="_xlnm.Print_Titles" localSheetId="0">Lønnsregistrering!$1:$3</definedName>
  </definedNames>
  <calcPr calcId="152511"/>
</workbook>
</file>

<file path=xl/calcChain.xml><?xml version="1.0" encoding="utf-8"?>
<calcChain xmlns="http://schemas.openxmlformats.org/spreadsheetml/2006/main">
  <c r="M11" i="4" l="1"/>
  <c r="M23" i="4"/>
  <c r="M35" i="4"/>
  <c r="M47" i="4"/>
  <c r="M9" i="4"/>
  <c r="M21" i="4"/>
  <c r="M33" i="4"/>
  <c r="M45" i="4"/>
  <c r="M43" i="4"/>
  <c r="M31" i="4"/>
  <c r="M19" i="4"/>
  <c r="M7" i="4"/>
  <c r="M42" i="4"/>
  <c r="M30" i="4"/>
  <c r="M18" i="4"/>
  <c r="M6" i="4"/>
  <c r="M40" i="4"/>
  <c r="M28" i="4"/>
  <c r="M16" i="4"/>
  <c r="M4" i="4"/>
  <c r="I44" i="4"/>
  <c r="I32" i="4"/>
  <c r="I20" i="4"/>
  <c r="I8" i="4"/>
  <c r="I41" i="4"/>
  <c r="I29" i="4"/>
  <c r="I17" i="4"/>
  <c r="I5" i="4"/>
  <c r="E44" i="4"/>
  <c r="E32" i="4"/>
  <c r="E20" i="4"/>
  <c r="E21" i="4"/>
  <c r="E33" i="4"/>
  <c r="E45" i="4"/>
  <c r="E41" i="4"/>
  <c r="E29" i="4"/>
  <c r="E17" i="4"/>
  <c r="E9" i="4"/>
  <c r="E8" i="4"/>
  <c r="E5" i="4"/>
  <c r="J13" i="3" l="1"/>
  <c r="V13" i="3"/>
  <c r="W13" i="3"/>
  <c r="X5" i="3"/>
  <c r="X6" i="3"/>
  <c r="X7" i="3"/>
  <c r="X8" i="3"/>
  <c r="X9" i="3"/>
  <c r="X10" i="3"/>
  <c r="X11" i="3"/>
  <c r="X12" i="3"/>
  <c r="X4" i="3"/>
  <c r="X13" i="3" s="1"/>
  <c r="I5" i="3"/>
  <c r="I6" i="3"/>
  <c r="I7" i="3"/>
  <c r="I8" i="3"/>
  <c r="I9" i="3"/>
  <c r="I10" i="3"/>
  <c r="I11" i="3"/>
  <c r="I12" i="3"/>
  <c r="I4" i="3"/>
  <c r="K13" i="3"/>
  <c r="G13" i="3"/>
  <c r="F13" i="3"/>
  <c r="E13" i="3"/>
  <c r="D13" i="3"/>
  <c r="C13" i="3"/>
  <c r="I13" i="3" l="1"/>
  <c r="M41" i="4"/>
  <c r="L39" i="4"/>
  <c r="M29" i="4"/>
  <c r="L27" i="4"/>
  <c r="M17" i="4"/>
  <c r="L15" i="4"/>
  <c r="I45" i="4"/>
  <c r="I40" i="4"/>
  <c r="H39" i="4"/>
  <c r="I33" i="4"/>
  <c r="I28" i="4"/>
  <c r="H27" i="4"/>
  <c r="I21" i="4"/>
  <c r="I16" i="4"/>
  <c r="H15" i="4"/>
  <c r="E40" i="4"/>
  <c r="E28" i="4"/>
  <c r="E16" i="4"/>
  <c r="M5" i="4"/>
  <c r="L3" i="4"/>
  <c r="E4" i="4"/>
  <c r="I9" i="4"/>
  <c r="I4" i="4"/>
  <c r="H3" i="4"/>
  <c r="U12" i="3" l="1"/>
  <c r="J12" i="3" s="1"/>
  <c r="L12" i="3" s="1"/>
  <c r="U11" i="3"/>
  <c r="J11" i="3" s="1"/>
  <c r="L11" i="3" s="1"/>
  <c r="U10" i="3"/>
  <c r="J10" i="3" s="1"/>
  <c r="L10" i="3" s="1"/>
  <c r="D39" i="4" l="1"/>
  <c r="C38" i="4"/>
  <c r="D27" i="4"/>
  <c r="C26" i="4"/>
  <c r="D15" i="4"/>
  <c r="C14" i="4"/>
  <c r="D3" i="4"/>
  <c r="C2" i="4"/>
  <c r="U9" i="3"/>
  <c r="J9" i="3" s="1"/>
  <c r="L9" i="3" s="1"/>
  <c r="U8" i="3"/>
  <c r="J8" i="3" s="1"/>
  <c r="L8" i="3" s="1"/>
  <c r="U7" i="3"/>
  <c r="J7" i="3" s="1"/>
  <c r="L7" i="3" s="1"/>
  <c r="U6" i="3"/>
  <c r="J6" i="3" s="1"/>
  <c r="L6" i="3" s="1"/>
  <c r="U4" i="3"/>
  <c r="J4" i="3" s="1"/>
  <c r="L4" i="3" s="1"/>
  <c r="U5" i="3"/>
  <c r="J5" i="3" s="1"/>
  <c r="L5" i="3" s="1"/>
  <c r="L13" i="3" l="1"/>
  <c r="M32" i="4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</calcChain>
</file>

<file path=xl/sharedStrings.xml><?xml version="1.0" encoding="utf-8"?>
<sst xmlns="http://schemas.openxmlformats.org/spreadsheetml/2006/main" count="129" uniqueCount="57">
  <si>
    <t>Timelønn</t>
  </si>
  <si>
    <t>Skattestatus</t>
  </si>
  <si>
    <t>Statlig fradrag</t>
  </si>
  <si>
    <t>ID</t>
  </si>
  <si>
    <t>Ferietimer</t>
  </si>
  <si>
    <t>Syketimer</t>
  </si>
  <si>
    <t>Overtidstimer</t>
  </si>
  <si>
    <t>Timelønn for overtid</t>
  </si>
  <si>
    <t>Bruttolønn</t>
  </si>
  <si>
    <t>Annet fradrag</t>
  </si>
  <si>
    <t xml:space="preserve"> </t>
  </si>
  <si>
    <t>Nettolønn</t>
  </si>
  <si>
    <t>Syketimer</t>
  </si>
  <si>
    <t>Bruttolønn</t>
  </si>
  <si>
    <t>Navn på ansatt</t>
  </si>
  <si>
    <t>Timer arbeidet</t>
  </si>
  <si>
    <t>Timelønn</t>
  </si>
  <si>
    <t>Trygdeavgift</t>
  </si>
  <si>
    <t xml:space="preserve">Statlig inntekstsskatt </t>
  </si>
  <si>
    <t xml:space="preserve">Toppskatt </t>
  </si>
  <si>
    <t xml:space="preserve">Kommune- og fylkesskatt </t>
  </si>
  <si>
    <t>Forsikringsfradrag</t>
  </si>
  <si>
    <t>Annet vanlig fradrag</t>
  </si>
  <si>
    <t xml:space="preserve">Totalt skatt og fradrag </t>
  </si>
  <si>
    <t>Tony Smith</t>
  </si>
  <si>
    <t>David Jones</t>
  </si>
  <si>
    <t>Denise Smith</t>
  </si>
  <si>
    <t>Sebastien Motte</t>
  </si>
  <si>
    <t>Isabelle Scemla</t>
  </si>
  <si>
    <t>David Bristol</t>
  </si>
  <si>
    <t>Anne Weiler</t>
  </si>
  <si>
    <t>Luka Abrus</t>
  </si>
  <si>
    <t>David Ludwig</t>
  </si>
  <si>
    <t>LØNNSKALKULATOR</t>
  </si>
  <si>
    <t>Totalt fratrukket skatt</t>
  </si>
  <si>
    <t>Totalt vanlige
fradrag</t>
  </si>
  <si>
    <t>Annet vanlig fradrag</t>
  </si>
  <si>
    <t>Statlig inntekstsskatt</t>
  </si>
  <si>
    <t>Kommune- og fylkesskatt</t>
  </si>
  <si>
    <t>Statlig
fradrag</t>
  </si>
  <si>
    <t>Skatter og fradrag</t>
  </si>
  <si>
    <t>Trygdeavgift</t>
  </si>
  <si>
    <t>Skattestatus</t>
  </si>
  <si>
    <t>Vanlige timer arbeidet</t>
  </si>
  <si>
    <t>FIRMANAVN:</t>
  </si>
  <si>
    <t>PERIODE AVSLUTTER:</t>
  </si>
  <si>
    <t>Andre
fradrag</t>
  </si>
  <si>
    <t>Totaler</t>
  </si>
  <si>
    <t>PERIODE</t>
  </si>
  <si>
    <t>NAVN</t>
  </si>
  <si>
    <t>ANSATT-ID</t>
  </si>
  <si>
    <t>NETTOLØNN</t>
  </si>
  <si>
    <t>ADVENTURE WORKS</t>
  </si>
  <si>
    <t>PEROIDE</t>
  </si>
  <si>
    <t>Totalt skatt og</t>
  </si>
  <si>
    <t xml:space="preserve">vanlige fradrag </t>
  </si>
  <si>
    <t>Trygdeavgift2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</si>
</sst>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kr&quot;\ * #,##0.00_ ;_ &quot;kr&quot;\ * \-#,##0.00_ ;_ &quot;kr&quot;\ * &quot;-&quot;??_ ;_ @_ "/>
    <numFmt numFmtId="165" formatCode="&quot;$&quot;#,##0.00_);[Red]\(&quot;$&quot;#,##0.00\)"/>
    <numFmt numFmtId="167" formatCode="&quot;$&quot;#,##0.00;[Red]&quot;$&quot;#,##0.00"/>
    <numFmt numFmtId="168" formatCode="&quot;kr&quot;\ #,##0.00;[Red]&quot;kr&quot;\ #,##0.00"/>
    <numFmt numFmtId="172" formatCode="&quot;kr&quot;\ #,##0.00;\-&quot;kr&quot;\ #,##0.00;\-"/>
    <numFmt numFmtId="173" formatCode="&quot;kr&quot;\ #,##0.00;;\-"/>
  </numFmts>
  <fonts count="16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  <font>
      <b/>
      <condense/>
      <extend/>
      <outline/>
      <shadow/>
      <sz val="10"/>
      <color theme="1"/>
      <name val="Calibri"/>
      <family val="2"/>
    </font>
    <font>
      <b/>
      <i/>
      <strike/>
      <condense/>
      <extend/>
      <outline/>
      <shadow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8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5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indent="1"/>
    </xf>
    <xf numFmtId="167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10" fillId="0" borderId="4" xfId="2" applyBorder="1" applyAlignment="1">
      <alignment horizontal="left" vertical="center"/>
    </xf>
    <xf numFmtId="0" fontId="5" fillId="0" borderId="4" xfId="3" applyFill="1" applyBorder="1" applyAlignment="1">
      <alignment horizontal="left" vertical="center"/>
    </xf>
    <xf numFmtId="14" fontId="5" fillId="0" borderId="4" xfId="3" applyNumberForma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14" fontId="4" fillId="0" borderId="19" xfId="5" applyNumberFormat="1" applyFill="1" applyBorder="1" applyAlignment="1">
      <alignment horizontal="right" vertical="center" indent="2"/>
    </xf>
    <xf numFmtId="0" fontId="5" fillId="0" borderId="19" xfId="5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  <xf numFmtId="168" fontId="6" fillId="0" borderId="15" xfId="0" applyNumberFormat="1" applyFont="1" applyFill="1" applyBorder="1" applyAlignment="1">
      <alignment horizontal="right" indent="2"/>
    </xf>
    <xf numFmtId="168" fontId="6" fillId="0" borderId="15" xfId="0" applyNumberFormat="1" applyFont="1" applyFill="1" applyBorder="1" applyAlignment="1">
      <alignment horizontal="right" vertical="center" indent="2"/>
    </xf>
    <xf numFmtId="168" fontId="1" fillId="4" borderId="18" xfId="0" applyNumberFormat="1" applyFont="1" applyFill="1" applyBorder="1" applyAlignment="1">
      <alignment horizontal="right" vertical="center" indent="2"/>
    </xf>
    <xf numFmtId="172" fontId="0" fillId="2" borderId="0" xfId="7" applyNumberFormat="1" applyFont="1" applyFill="1" applyBorder="1" applyAlignment="1">
      <alignment horizontal="right" vertical="center" indent="1"/>
    </xf>
    <xf numFmtId="172" fontId="0" fillId="0" borderId="0" xfId="7" applyNumberFormat="1" applyFont="1" applyFill="1" applyBorder="1" applyAlignment="1">
      <alignment horizontal="right" vertical="center" indent="1"/>
    </xf>
    <xf numFmtId="172" fontId="0" fillId="0" borderId="0" xfId="0" applyNumberFormat="1" applyFont="1" applyFill="1" applyBorder="1" applyAlignment="1">
      <alignment horizontal="right" vertical="center" indent="1"/>
    </xf>
    <xf numFmtId="172" fontId="0" fillId="0" borderId="0" xfId="7" applyNumberFormat="1" applyFont="1" applyFill="1" applyBorder="1" applyAlignment="1">
      <alignment horizontal="center" vertical="center"/>
    </xf>
    <xf numFmtId="172" fontId="8" fillId="2" borderId="0" xfId="7" applyNumberFormat="1" applyFont="1" applyFill="1" applyBorder="1" applyAlignment="1">
      <alignment horizontal="right" vertical="center" indent="1"/>
    </xf>
    <xf numFmtId="173" fontId="14" fillId="0" borderId="0" xfId="7" applyNumberFormat="1" applyFont="1" applyFill="1" applyBorder="1" applyAlignment="1">
      <alignment horizontal="right" vertical="center" indent="1"/>
    </xf>
    <xf numFmtId="173" fontId="14" fillId="0" borderId="0" xfId="0" applyNumberFormat="1" applyFont="1" applyFill="1" applyBorder="1" applyAlignment="1">
      <alignment horizontal="right" vertical="center" indent="1"/>
    </xf>
    <xf numFmtId="172" fontId="0" fillId="0" borderId="0" xfId="0" applyNumberFormat="1" applyFont="1" applyFill="1" applyBorder="1" applyAlignment="1">
      <alignment horizontal="center" vertical="center"/>
    </xf>
  </cellXfs>
  <cellStyles count="8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/>
    <cellStyle name="Prosent" xfId="6" builtinId="5"/>
    <cellStyle name="Tittel" xfId="1" builtinId="15" customBuiltin="1"/>
    <cellStyle name="Valuta" xfId="7" builtinId="4"/>
  </cellStyles>
  <dxfs count="41">
    <dxf>
      <numFmt numFmtId="172" formatCode="&quot;kr&quot;\ #,##0.00;\-&quot;kr&quot;\ #,##0.00;\-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numFmt numFmtId="173" formatCode="&quot;kr&quot;\ #,##0.00;;\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72" formatCode="&quot;kr&quot;\ #,##0.00;\-&quot;kr&quot;\ #,##0.00;\-"/>
    </dxf>
    <dxf>
      <numFmt numFmtId="172" formatCode="&quot;kr&quot;\ #,##0.00;\-&quot;kr&quot;\ #,##0.00;\-"/>
    </dxf>
    <dxf>
      <numFmt numFmtId="172" formatCode="&quot;kr&quot;\ #,##0.00;\-&quot;kr&quot;\ #,##0.00;\-"/>
    </dxf>
    <dxf>
      <numFmt numFmtId="172" formatCode="&quot;kr&quot;\ #,##0.00;\-&quot;kr&quot;\ #,##0.00;\-"/>
    </dxf>
    <dxf>
      <numFmt numFmtId="172" formatCode="&quot;kr&quot;\ #,##0.00;\-&quot;kr&quot;\ #,##0.00;\-"/>
    </dxf>
    <dxf>
      <numFmt numFmtId="172" formatCode="&quot;kr&quot;\ #,##0.00;\-&quot;kr&quot;\ #,##0.00;\-"/>
    </dxf>
    <dxf>
      <numFmt numFmtId="172" formatCode="&quot;kr&quot;\ #,##0.00;\-&quot;kr&quot;\ #,##0.00;\-"/>
    </dxf>
    <dxf>
      <numFmt numFmtId="172" formatCode="&quot;kr&quot;\ #,##0.00;\-&quot;kr&quot;\ #,##0.00;\-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40"/>
      <tableStyleElement type="headerRow" dxfId="39"/>
      <tableStyleElement type="totalRow" dxfId="38"/>
      <tableStyleElement type="firstRowStripe" dxfId="37"/>
      <tableStyleElement type="secondRowStripe" dxfId="36"/>
      <tableStyleElement type="firstColumnStripe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&#248;nnsregistrer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0</xdr:row>
      <xdr:rowOff>171449</xdr:rowOff>
    </xdr:from>
    <xdr:to>
      <xdr:col>8</xdr:col>
      <xdr:colOff>828675</xdr:colOff>
      <xdr:row>0</xdr:row>
      <xdr:rowOff>400050</xdr:rowOff>
    </xdr:to>
    <xdr:sp macro="[0]!BuildPayStubs" textlink="">
      <xdr:nvSpPr>
        <xdr:cNvPr id="2" name="Generer lønnsslipper" descr="Klikk for å generere lønnsslipper" title="Generer lønnsslipper"/>
        <xdr:cNvSpPr/>
      </xdr:nvSpPr>
      <xdr:spPr>
        <a:xfrm>
          <a:off x="5791200" y="171449"/>
          <a:ext cx="1581150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GENERER LØNNSSLIPPER</a:t>
          </a: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Filterforside" descr="&quot;&quot;" title="Filterforside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123823</xdr:colOff>
      <xdr:row>0</xdr:row>
      <xdr:rowOff>171450</xdr:rowOff>
    </xdr:from>
    <xdr:to>
      <xdr:col>17</xdr:col>
      <xdr:colOff>110698</xdr:colOff>
      <xdr:row>1</xdr:row>
      <xdr:rowOff>209550</xdr:rowOff>
    </xdr:to>
    <xdr:sp macro="" textlink="">
      <xdr:nvSpPr>
        <xdr:cNvPr id="2" name="Lønnsregistrering" descr="Klikk for å vise arket for lønnsregistrering." title="Lønnsregistrering">
          <a:hlinkClick xmlns:r="http://schemas.openxmlformats.org/officeDocument/2006/relationships" r:id="rId1" tooltip="Klikk for å vise arket for lønnsregistrering."/>
        </xdr:cNvPr>
        <xdr:cNvSpPr/>
      </xdr:nvSpPr>
      <xdr:spPr>
        <a:xfrm>
          <a:off x="8867773" y="171450"/>
          <a:ext cx="1368000" cy="228600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000" b="1">
              <a:solidFill>
                <a:schemeClr val="bg1"/>
              </a:solidFill>
              <a:latin typeface="+mn-lt"/>
              <a:ea typeface="+mn-ea"/>
              <a:cs typeface="+mn-cs"/>
            </a:rPr>
            <a:t>LØNNSREGISTRERING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3" totalsRowCount="1" headerRowDxfId="34" dataDxfId="33" totalsRowDxfId="32">
  <autoFilter ref="B3:X12"/>
  <tableColumns count="23">
    <tableColumn id="1" name="ID" totalsRowLabel="Totaler" totalsRowDxfId="31"/>
    <tableColumn id="2" name="Navn på ansatt" totalsRowFunction="count" totalsRowDxfId="30"/>
    <tableColumn id="25" name="Vanlige timer arbeidet" totalsRowFunction="sum" totalsRowDxfId="29"/>
    <tableColumn id="26" name="Ferietimer" totalsRowFunction="sum" totalsRowDxfId="28"/>
    <tableColumn id="27" name="Syketimer" totalsRowFunction="sum" totalsRowDxfId="27"/>
    <tableColumn id="28" name="Overtidstimer" totalsRowFunction="sum" totalsRowDxfId="26"/>
    <tableColumn id="29" name="Timelønn for overtid" dataDxfId="0" totalsRowDxfId="25"/>
    <tableColumn id="30" name="Bruttolønn" totalsRowFunction="sum" dataDxfId="15" totalsRowDxfId="7" dataCellStyle="Valuta">
      <calculatedColumnFormula>SUM(Employees[[#This Row],[Vanlige timer arbeidet]:[Syketimer]])*Employees[[#This Row],[Timelønn]]+Employees[[#This Row],[Overtidstimer]]*Employees[[#This Row],[Timelønn for overtid]]</calculatedColumnFormula>
    </tableColumn>
    <tableColumn id="31" name="Skatter og fradrag" totalsRowFunction="sum" dataDxfId="14" totalsRowDxfId="6" dataCellStyle="Valuta">
      <calculatedColumnFormula>Employees[[#This Row],[Bruttolønn]]*Employees[[#This Row],[Totalt fratrukket skatt]] + Employees[[#This Row],[Totalt vanlige
fradrag]]</calculatedColumnFormula>
    </tableColumn>
    <tableColumn id="32" name="Andre_x000a_fradrag" totalsRowFunction="sum" dataDxfId="13" totalsRowDxfId="5" dataCellStyle="Valuta"/>
    <tableColumn id="33" name="Nettolønn" totalsRowFunction="sum" dataDxfId="12" totalsRowDxfId="4" dataCellStyle="Valuta">
      <calculatedColumnFormula>Employees[[#This Row],[Bruttolønn]]-Employees[[#This Row],[Skatter og fradrag]]-Employees[[#This Row],[Andre
fradrag]]</calculatedColumnFormula>
    </tableColumn>
    <tableColumn id="24" name=" " totalsRowDxfId="24"/>
    <tableColumn id="3" name="Timelønn" dataDxfId="11" totalsRowDxfId="23" dataCellStyle="Valuta"/>
    <tableColumn id="4" name="Skattestatus" totalsRowDxfId="22"/>
    <tableColumn id="5" name="Statlig_x000a_fradrag" totalsRowDxfId="21"/>
    <tableColumn id="6" name="Kommune- og fylkesskatt" totalsRowDxfId="20"/>
    <tableColumn id="7" name="Statlig inntekstsskatt" totalsRowDxfId="19"/>
    <tableColumn id="8" name="Trygdeavgift" totalsRowDxfId="18"/>
    <tableColumn id="9" name="Trygdeavgift2" totalsRowDxfId="17"/>
    <tableColumn id="10" name="Totalt fratrukket skatt" totalsRowDxfId="16">
      <calculatedColumnFormula>SUM(Employees[[#This Row],[Kommune- og fylkesskatt]:[Trygdeavgift2]])</calculatedColumnFormula>
    </tableColumn>
    <tableColumn id="11" name="Forsikringsfradrag" totalsRowFunction="sum" dataDxfId="10" totalsRowDxfId="3" dataCellStyle="Valuta"/>
    <tableColumn id="12" name="Annet vanlig fradrag" totalsRowFunction="sum" dataDxfId="9" totalsRowDxfId="2" dataCellStyle="Valuta"/>
    <tableColumn id="13" name="Totalt vanlige_x000a_fradrag" totalsRowFunction="sum" dataDxfId="8" totalsRowDxfId="1" dataCellStyle="Valuta">
      <calculatedColumnFormula>SUM(Employees[[#This Row],[Forsikringsfradrag]:[Annet vanlig fradrag]])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Lønnsinformasjon" altTextSummary="Liste over ansatte sammen med lønnsdata, for eksempel vanlige arbeidstimer arbeidet, ferietimer, syketimer, overtidstimer, timelønn for overtid, bruttolønn og skattedata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3"/>
  <sheetViews>
    <sheetView showGridLines="0" tabSelected="1" zoomScaleNormal="100" workbookViewId="0">
      <pane xSplit="3" topLeftCell="D1" activePane="topRight" state="frozen"/>
      <selection pane="topRight"/>
    </sheetView>
  </sheetViews>
  <sheetFormatPr baseColWidth="10" defaultColWidth="9.140625" defaultRowHeight="18.75" customHeight="1" x14ac:dyDescent="0.2"/>
  <cols>
    <col min="1" max="1" width="1.42578125" customWidth="1"/>
    <col min="2" max="2" width="10.28515625" customWidth="1"/>
    <col min="3" max="3" width="19.5703125" customWidth="1"/>
    <col min="4" max="4" width="15.42578125" bestFit="1" customWidth="1"/>
    <col min="5" max="5" width="13" bestFit="1" customWidth="1"/>
    <col min="6" max="6" width="12.5703125" bestFit="1" customWidth="1"/>
    <col min="7" max="7" width="15.7109375" bestFit="1" customWidth="1"/>
    <col min="8" max="8" width="13" bestFit="1" customWidth="1"/>
    <col min="9" max="9" width="13.28515625" bestFit="1" customWidth="1"/>
    <col min="10" max="10" width="14.140625" bestFit="1" customWidth="1"/>
    <col min="11" max="11" width="14.28515625" customWidth="1"/>
    <col min="12" max="12" width="13.7109375" customWidth="1"/>
    <col min="13" max="13" width="2.85546875" customWidth="1"/>
    <col min="14" max="14" width="12.5703125" customWidth="1"/>
    <col min="15" max="15" width="14.5703125" bestFit="1" customWidth="1"/>
    <col min="16" max="16" width="12.42578125" customWidth="1"/>
    <col min="17" max="17" width="15.42578125" bestFit="1" customWidth="1"/>
    <col min="18" max="18" width="16.85546875" customWidth="1"/>
    <col min="19" max="19" width="14.7109375" customWidth="1"/>
    <col min="20" max="20" width="15.7109375" bestFit="1" customWidth="1"/>
    <col min="21" max="21" width="16" customWidth="1"/>
    <col min="22" max="22" width="19.140625" bestFit="1" customWidth="1"/>
    <col min="23" max="23" width="13.85546875" customWidth="1"/>
    <col min="24" max="24" width="13.28515625" customWidth="1"/>
  </cols>
  <sheetData>
    <row r="1" spans="2:24" ht="42" customHeight="1" thickBot="1" x14ac:dyDescent="0.25">
      <c r="B1" s="15" t="s">
        <v>33</v>
      </c>
      <c r="C1" s="16"/>
      <c r="D1" s="16"/>
      <c r="E1" s="16"/>
      <c r="F1" s="16"/>
      <c r="G1" s="16"/>
      <c r="H1" s="16"/>
      <c r="I1" s="16"/>
      <c r="J1" s="16"/>
      <c r="K1" s="39" t="s">
        <v>45</v>
      </c>
      <c r="L1" s="42">
        <v>41372</v>
      </c>
      <c r="M1" s="16"/>
      <c r="N1" s="40" t="s">
        <v>44</v>
      </c>
      <c r="O1" s="16"/>
      <c r="P1" s="41" t="s">
        <v>52</v>
      </c>
      <c r="Q1" s="16"/>
      <c r="R1" s="16"/>
      <c r="S1" s="16"/>
      <c r="T1" s="16"/>
      <c r="U1" s="16"/>
      <c r="V1" s="16"/>
      <c r="W1" s="16"/>
      <c r="X1" s="16"/>
    </row>
    <row r="2" spans="2:24" ht="12" customHeight="1" x14ac:dyDescent="0.25">
      <c r="B2" s="1"/>
      <c r="H2" s="10"/>
      <c r="P2" s="14"/>
    </row>
    <row r="3" spans="2:24" ht="30.75" customHeight="1" x14ac:dyDescent="0.25">
      <c r="B3" s="11" t="s">
        <v>3</v>
      </c>
      <c r="C3" s="11" t="s">
        <v>14</v>
      </c>
      <c r="D3" s="31" t="s">
        <v>43</v>
      </c>
      <c r="E3" s="12" t="s">
        <v>4</v>
      </c>
      <c r="F3" s="12" t="s">
        <v>12</v>
      </c>
      <c r="G3" s="12" t="s">
        <v>6</v>
      </c>
      <c r="H3" s="12" t="s">
        <v>7</v>
      </c>
      <c r="I3" s="12" t="s">
        <v>13</v>
      </c>
      <c r="J3" s="12" t="s">
        <v>40</v>
      </c>
      <c r="K3" s="12" t="s">
        <v>46</v>
      </c>
      <c r="L3" s="12" t="s">
        <v>11</v>
      </c>
      <c r="M3" s="9" t="s">
        <v>10</v>
      </c>
      <c r="N3" s="12" t="s">
        <v>0</v>
      </c>
      <c r="O3" s="12" t="s">
        <v>42</v>
      </c>
      <c r="P3" s="12" t="s">
        <v>39</v>
      </c>
      <c r="Q3" s="12" t="s">
        <v>38</v>
      </c>
      <c r="R3" s="12" t="s">
        <v>37</v>
      </c>
      <c r="S3" s="12" t="s">
        <v>41</v>
      </c>
      <c r="T3" s="12" t="s">
        <v>56</v>
      </c>
      <c r="U3" s="12" t="s">
        <v>34</v>
      </c>
      <c r="V3" s="12" t="s">
        <v>21</v>
      </c>
      <c r="W3" s="12" t="s">
        <v>36</v>
      </c>
      <c r="X3" s="12" t="s">
        <v>35</v>
      </c>
    </row>
    <row r="4" spans="2:24" ht="18.75" customHeight="1" x14ac:dyDescent="0.2">
      <c r="B4" s="13">
        <v>1001</v>
      </c>
      <c r="C4" s="13" t="s">
        <v>24</v>
      </c>
      <c r="D4" s="32">
        <v>50</v>
      </c>
      <c r="E4" s="4">
        <v>5</v>
      </c>
      <c r="F4" s="4">
        <v>1</v>
      </c>
      <c r="G4" s="4"/>
      <c r="H4" s="72"/>
      <c r="I4" s="65">
        <f>SUM(Employees[[#This Row],[Vanlige timer arbeidet]:[Syketimer]])*Employees[[#This Row],[Timelønn]]+Employees[[#This Row],[Overtidstimer]]*Employees[[#This Row],[Timelønn for overtid]]</f>
        <v>560</v>
      </c>
      <c r="J4" s="65">
        <f>Employees[[#This Row],[Bruttolønn]]*Employees[[#This Row],[Totalt fratrukket skatt]] + Employees[[#This Row],[Totalt vanlige
fradrag]]</f>
        <v>273.08000000000004</v>
      </c>
      <c r="K4" s="66">
        <v>20</v>
      </c>
      <c r="L4" s="65">
        <f>Employees[[#This Row],[Bruttolønn]]-Employees[[#This Row],[Skatter og fradrag]]-Employees[[#This Row],[Andre
fradrag]]</f>
        <v>266.91999999999996</v>
      </c>
      <c r="M4" s="6"/>
      <c r="N4" s="68">
        <v>10</v>
      </c>
      <c r="O4" s="4">
        <v>1</v>
      </c>
      <c r="P4" s="4">
        <v>4</v>
      </c>
      <c r="Q4" s="5">
        <v>2.3E-2</v>
      </c>
      <c r="R4" s="48">
        <v>0.28000000000000003</v>
      </c>
      <c r="S4" s="48">
        <v>6.3E-2</v>
      </c>
      <c r="T4" s="48">
        <v>1.4500000000000001E-2</v>
      </c>
      <c r="U4" s="49">
        <f>SUM(Employees[[#This Row],[Kommune- og fylkesskatt]:[Trygdeavgift2]])</f>
        <v>0.38050000000000006</v>
      </c>
      <c r="V4" s="66">
        <v>20</v>
      </c>
      <c r="W4" s="66">
        <v>40</v>
      </c>
      <c r="X4" s="69">
        <f>SUM(Employees[[#This Row],[Forsikringsfradrag]:[Annet vanlig fradrag]])</f>
        <v>60</v>
      </c>
    </row>
    <row r="5" spans="2:24" ht="18.75" customHeight="1" x14ac:dyDescent="0.2">
      <c r="B5" s="13">
        <v>1002</v>
      </c>
      <c r="C5" s="13" t="s">
        <v>25</v>
      </c>
      <c r="D5" s="32">
        <v>40</v>
      </c>
      <c r="E5" s="4"/>
      <c r="F5" s="4"/>
      <c r="G5" s="4"/>
      <c r="H5" s="72"/>
      <c r="I5" s="65">
        <f>SUM(Employees[[#This Row],[Vanlige timer arbeidet]:[Syketimer]])*Employees[[#This Row],[Timelønn]]+Employees[[#This Row],[Overtidstimer]]*Employees[[#This Row],[Timelønn for overtid]]</f>
        <v>320</v>
      </c>
      <c r="J5" s="65">
        <f>Employees[[#This Row],[Bruttolønn]]*Employees[[#This Row],[Totalt fratrukket skatt]] + Employees[[#This Row],[Totalt vanlige
fradrag]]</f>
        <v>131.76000000000002</v>
      </c>
      <c r="K5" s="67"/>
      <c r="L5" s="65">
        <f>Employees[[#This Row],[Bruttolønn]]-Employees[[#This Row],[Skatter og fradrag]]-Employees[[#This Row],[Andre
fradrag]]</f>
        <v>188.23999999999998</v>
      </c>
      <c r="M5" s="7"/>
      <c r="N5" s="68">
        <v>8</v>
      </c>
      <c r="O5" s="4">
        <v>1</v>
      </c>
      <c r="P5" s="4">
        <v>1</v>
      </c>
      <c r="Q5" s="5">
        <v>2.3E-2</v>
      </c>
      <c r="R5" s="48">
        <v>0.28000000000000003</v>
      </c>
      <c r="S5" s="48">
        <v>6.3E-2</v>
      </c>
      <c r="T5" s="48">
        <v>1.4500000000000001E-2</v>
      </c>
      <c r="U5" s="49">
        <f>SUM(Employees[[#This Row],[Kommune- og fylkesskatt]:[Trygdeavgift2]])</f>
        <v>0.38050000000000006</v>
      </c>
      <c r="V5" s="66">
        <v>0</v>
      </c>
      <c r="W5" s="66">
        <v>10</v>
      </c>
      <c r="X5" s="69">
        <f>SUM(Employees[[#This Row],[Forsikringsfradrag]:[Annet vanlig fradrag]])</f>
        <v>10</v>
      </c>
    </row>
    <row r="6" spans="2:24" ht="18.75" customHeight="1" x14ac:dyDescent="0.2">
      <c r="B6" s="13">
        <v>1003</v>
      </c>
      <c r="C6" s="13" t="s">
        <v>26</v>
      </c>
      <c r="D6" s="32">
        <v>35</v>
      </c>
      <c r="E6" s="4">
        <v>3</v>
      </c>
      <c r="F6" s="4"/>
      <c r="G6" s="4"/>
      <c r="H6" s="72"/>
      <c r="I6" s="65">
        <f>SUM(Employees[[#This Row],[Vanlige timer arbeidet]:[Syketimer]])*Employees[[#This Row],[Timelønn]]+Employees[[#This Row],[Overtidstimer]]*Employees[[#This Row],[Timelønn for overtid]]</f>
        <v>532</v>
      </c>
      <c r="J6" s="65">
        <f>Employees[[#This Row],[Bruttolønn]]*Employees[[#This Row],[Totalt fratrukket skatt]] + Employees[[#This Row],[Totalt vanlige
fradrag]]</f>
        <v>240.42600000000004</v>
      </c>
      <c r="K6" s="67"/>
      <c r="L6" s="65">
        <f>Employees[[#This Row],[Bruttolønn]]-Employees[[#This Row],[Skatter og fradrag]]-Employees[[#This Row],[Andre
fradrag]]</f>
        <v>291.57399999999996</v>
      </c>
      <c r="M6" s="7"/>
      <c r="N6" s="68">
        <v>14</v>
      </c>
      <c r="O6" s="4">
        <v>1</v>
      </c>
      <c r="P6" s="4">
        <v>3</v>
      </c>
      <c r="Q6" s="5">
        <v>2.3E-2</v>
      </c>
      <c r="R6" s="48">
        <v>0.28000000000000003</v>
      </c>
      <c r="S6" s="48">
        <v>6.3E-2</v>
      </c>
      <c r="T6" s="48">
        <v>1.4500000000000001E-2</v>
      </c>
      <c r="U6" s="49">
        <f>SUM(Employees[[#This Row],[Kommune- og fylkesskatt]:[Trygdeavgift2]])</f>
        <v>0.38050000000000006</v>
      </c>
      <c r="V6" s="66">
        <v>18</v>
      </c>
      <c r="W6" s="66">
        <v>20</v>
      </c>
      <c r="X6" s="69">
        <f>SUM(Employees[[#This Row],[Forsikringsfradrag]:[Annet vanlig fradrag]])</f>
        <v>38</v>
      </c>
    </row>
    <row r="7" spans="2:24" ht="18.75" customHeight="1" x14ac:dyDescent="0.2">
      <c r="B7" s="13">
        <v>1008</v>
      </c>
      <c r="C7" s="13" t="s">
        <v>27</v>
      </c>
      <c r="D7" s="32">
        <v>50</v>
      </c>
      <c r="E7" s="4">
        <v>5</v>
      </c>
      <c r="F7" s="4">
        <v>1</v>
      </c>
      <c r="G7" s="4"/>
      <c r="H7" s="72"/>
      <c r="I7" s="65">
        <f>SUM(Employees[[#This Row],[Vanlige timer arbeidet]:[Syketimer]])*Employees[[#This Row],[Timelønn]]+Employees[[#This Row],[Overtidstimer]]*Employees[[#This Row],[Timelønn for overtid]]</f>
        <v>1120</v>
      </c>
      <c r="J7" s="65">
        <f>Employees[[#This Row],[Bruttolønn]]*Employees[[#This Row],[Totalt fratrukket skatt]] + Employees[[#This Row],[Totalt vanlige
fradrag]]</f>
        <v>441.16000000000008</v>
      </c>
      <c r="K7" s="67"/>
      <c r="L7" s="65">
        <f>Employees[[#This Row],[Bruttolønn]]-Employees[[#This Row],[Skatter og fradrag]]-Employees[[#This Row],[Andre
fradrag]]</f>
        <v>678.83999999999992</v>
      </c>
      <c r="M7" s="7"/>
      <c r="N7" s="68">
        <v>20</v>
      </c>
      <c r="O7" s="4">
        <v>1</v>
      </c>
      <c r="P7" s="4">
        <v>0</v>
      </c>
      <c r="Q7" s="5">
        <v>2.3E-2</v>
      </c>
      <c r="R7" s="48">
        <v>0.28000000000000003</v>
      </c>
      <c r="S7" s="48">
        <v>6.3E-2</v>
      </c>
      <c r="T7" s="48">
        <v>1.4500000000000001E-2</v>
      </c>
      <c r="U7" s="49">
        <f>SUM(Employees[[#This Row],[Kommune- og fylkesskatt]:[Trygdeavgift2]])</f>
        <v>0.38050000000000006</v>
      </c>
      <c r="V7" s="66">
        <v>15</v>
      </c>
      <c r="W7" s="66"/>
      <c r="X7" s="69">
        <f>SUM(Employees[[#This Row],[Forsikringsfradrag]:[Annet vanlig fradrag]])</f>
        <v>15</v>
      </c>
    </row>
    <row r="8" spans="2:24" ht="18.75" customHeight="1" x14ac:dyDescent="0.2">
      <c r="B8" s="13">
        <v>1011</v>
      </c>
      <c r="C8" s="13" t="s">
        <v>28</v>
      </c>
      <c r="D8" s="32">
        <v>40</v>
      </c>
      <c r="E8" s="4"/>
      <c r="F8" s="4"/>
      <c r="G8" s="4">
        <v>2</v>
      </c>
      <c r="H8" s="68">
        <v>15</v>
      </c>
      <c r="I8" s="65">
        <f>SUM(Employees[[#This Row],[Vanlige timer arbeidet]:[Syketimer]])*Employees[[#This Row],[Timelønn]]+Employees[[#This Row],[Overtidstimer]]*Employees[[#This Row],[Timelønn for overtid]]</f>
        <v>430</v>
      </c>
      <c r="J8" s="65">
        <f>Employees[[#This Row],[Bruttolønn]]*Employees[[#This Row],[Totalt fratrukket skatt]] + Employees[[#This Row],[Totalt vanlige
fradrag]]</f>
        <v>223.61500000000004</v>
      </c>
      <c r="K8" s="67"/>
      <c r="L8" s="65">
        <f>Employees[[#This Row],[Bruttolønn]]-Employees[[#This Row],[Skatter og fradrag]]-Employees[[#This Row],[Andre
fradrag]]</f>
        <v>206.38499999999996</v>
      </c>
      <c r="M8" s="7"/>
      <c r="N8" s="68">
        <v>10</v>
      </c>
      <c r="O8" s="4">
        <v>1</v>
      </c>
      <c r="P8" s="4">
        <v>0</v>
      </c>
      <c r="Q8" s="5">
        <v>2.3E-2</v>
      </c>
      <c r="R8" s="48">
        <v>0.28000000000000003</v>
      </c>
      <c r="S8" s="48">
        <v>6.3E-2</v>
      </c>
      <c r="T8" s="48">
        <v>1.4500000000000001E-2</v>
      </c>
      <c r="U8" s="49">
        <f>SUM(Employees[[#This Row],[Kommune- og fylkesskatt]:[Trygdeavgift2]])</f>
        <v>0.38050000000000006</v>
      </c>
      <c r="V8" s="66">
        <v>20</v>
      </c>
      <c r="W8" s="66">
        <v>40</v>
      </c>
      <c r="X8" s="69">
        <f>SUM(Employees[[#This Row],[Forsikringsfradrag]:[Annet vanlig fradrag]])</f>
        <v>60</v>
      </c>
    </row>
    <row r="9" spans="2:24" ht="18.75" customHeight="1" x14ac:dyDescent="0.2">
      <c r="B9" s="13">
        <v>1012</v>
      </c>
      <c r="C9" s="13" t="s">
        <v>29</v>
      </c>
      <c r="D9" s="32">
        <v>40</v>
      </c>
      <c r="E9" s="4">
        <v>5</v>
      </c>
      <c r="F9" s="4">
        <v>1</v>
      </c>
      <c r="G9" s="4"/>
      <c r="H9" s="72"/>
      <c r="I9" s="65">
        <f>SUM(Employees[[#This Row],[Vanlige timer arbeidet]:[Syketimer]])*Employees[[#This Row],[Timelønn]]+Employees[[#This Row],[Overtidstimer]]*Employees[[#This Row],[Timelønn for overtid]]</f>
        <v>552</v>
      </c>
      <c r="J9" s="65">
        <f>Employees[[#This Row],[Bruttolønn]]*Employees[[#This Row],[Totalt fratrukket skatt]] + Employees[[#This Row],[Totalt vanlige
fradrag]]</f>
        <v>270.03600000000006</v>
      </c>
      <c r="K9" s="67"/>
      <c r="L9" s="65">
        <f>Employees[[#This Row],[Bruttolønn]]-Employees[[#This Row],[Skatter og fradrag]]-Employees[[#This Row],[Andre
fradrag]]</f>
        <v>281.96399999999994</v>
      </c>
      <c r="M9" s="7"/>
      <c r="N9" s="68">
        <v>12</v>
      </c>
      <c r="O9" s="4">
        <v>1</v>
      </c>
      <c r="P9" s="4">
        <v>4</v>
      </c>
      <c r="Q9" s="5">
        <v>2.3E-2</v>
      </c>
      <c r="R9" s="48">
        <v>0.28000000000000003</v>
      </c>
      <c r="S9" s="48">
        <v>6.3E-2</v>
      </c>
      <c r="T9" s="48">
        <v>1.4500000000000001E-2</v>
      </c>
      <c r="U9" s="49">
        <f>SUM(Employees[[#This Row],[Kommune- og fylkesskatt]:[Trygdeavgift2]])</f>
        <v>0.38050000000000006</v>
      </c>
      <c r="V9" s="66">
        <v>20</v>
      </c>
      <c r="W9" s="66">
        <v>40</v>
      </c>
      <c r="X9" s="69">
        <f>SUM(Employees[[#This Row],[Forsikringsfradrag]:[Annet vanlig fradrag]])</f>
        <v>60</v>
      </c>
    </row>
    <row r="10" spans="2:24" ht="18.75" customHeight="1" x14ac:dyDescent="0.2">
      <c r="B10" s="13">
        <v>1025</v>
      </c>
      <c r="C10" s="13" t="s">
        <v>30</v>
      </c>
      <c r="D10" s="32">
        <v>36</v>
      </c>
      <c r="E10" s="4"/>
      <c r="F10" s="4">
        <v>2</v>
      </c>
      <c r="G10" s="4">
        <v>1</v>
      </c>
      <c r="H10" s="68">
        <v>18</v>
      </c>
      <c r="I10" s="65">
        <f>SUM(Employees[[#This Row],[Vanlige timer arbeidet]:[Syketimer]])*Employees[[#This Row],[Timelønn]]+Employees[[#This Row],[Overtidstimer]]*Employees[[#This Row],[Timelønn for overtid]]</f>
        <v>474</v>
      </c>
      <c r="J10" s="65">
        <f>Employees[[#This Row],[Bruttolønn]]*Employees[[#This Row],[Totalt fratrukket skatt]] + Employees[[#This Row],[Totalt vanlige
fradrag]]</f>
        <v>225.35700000000003</v>
      </c>
      <c r="K10" s="66">
        <v>25</v>
      </c>
      <c r="L10" s="65">
        <f>Employees[[#This Row],[Bruttolønn]]-Employees[[#This Row],[Skatter og fradrag]]-Employees[[#This Row],[Andre
fradrag]]</f>
        <v>223.64299999999997</v>
      </c>
      <c r="M10" s="7"/>
      <c r="N10" s="68">
        <v>12</v>
      </c>
      <c r="O10" s="4">
        <v>1</v>
      </c>
      <c r="P10" s="4">
        <v>2</v>
      </c>
      <c r="Q10" s="5">
        <v>2.3E-2</v>
      </c>
      <c r="R10" s="48">
        <v>0.28000000000000003</v>
      </c>
      <c r="S10" s="48">
        <v>6.3E-2</v>
      </c>
      <c r="T10" s="48">
        <v>1.4500000000000001E-2</v>
      </c>
      <c r="U10" s="49">
        <f>SUM(Employees[[#This Row],[Kommune- og fylkesskatt]:[Trygdeavgift2]])</f>
        <v>0.38050000000000006</v>
      </c>
      <c r="V10" s="66">
        <v>25</v>
      </c>
      <c r="W10" s="66">
        <v>20</v>
      </c>
      <c r="X10" s="69">
        <f>SUM(Employees[[#This Row],[Forsikringsfradrag]:[Annet vanlig fradrag]])</f>
        <v>45</v>
      </c>
    </row>
    <row r="11" spans="2:24" ht="18.75" customHeight="1" x14ac:dyDescent="0.2">
      <c r="B11" s="13">
        <v>1032</v>
      </c>
      <c r="C11" s="13" t="s">
        <v>31</v>
      </c>
      <c r="D11" s="32">
        <v>40</v>
      </c>
      <c r="E11" s="4">
        <v>5</v>
      </c>
      <c r="F11" s="4">
        <v>1</v>
      </c>
      <c r="G11" s="4"/>
      <c r="H11" s="72"/>
      <c r="I11" s="65">
        <f>SUM(Employees[[#This Row],[Vanlige timer arbeidet]:[Syketimer]])*Employees[[#This Row],[Timelønn]]+Employees[[#This Row],[Overtidstimer]]*Employees[[#This Row],[Timelønn for overtid]]</f>
        <v>460</v>
      </c>
      <c r="J11" s="65">
        <f>Employees[[#This Row],[Bruttolønn]]*Employees[[#This Row],[Totalt fratrukket skatt]] + Employees[[#This Row],[Totalt vanlige
fradrag]]</f>
        <v>175.03000000000003</v>
      </c>
      <c r="K11" s="66">
        <v>50</v>
      </c>
      <c r="L11" s="65">
        <f>Employees[[#This Row],[Bruttolønn]]-Employees[[#This Row],[Skatter og fradrag]]-Employees[[#This Row],[Andre
fradrag]]</f>
        <v>234.96999999999997</v>
      </c>
      <c r="M11" s="7"/>
      <c r="N11" s="68">
        <v>10</v>
      </c>
      <c r="O11" s="4">
        <v>1</v>
      </c>
      <c r="P11" s="4">
        <v>3</v>
      </c>
      <c r="Q11" s="5">
        <v>2.3E-2</v>
      </c>
      <c r="R11" s="48">
        <v>0.28000000000000003</v>
      </c>
      <c r="S11" s="48">
        <v>6.3E-2</v>
      </c>
      <c r="T11" s="48">
        <v>1.4500000000000001E-2</v>
      </c>
      <c r="U11" s="49">
        <f>SUM(Employees[[#This Row],[Kommune- og fylkesskatt]:[Trygdeavgift2]])</f>
        <v>0.38050000000000006</v>
      </c>
      <c r="V11" s="66"/>
      <c r="W11" s="66"/>
      <c r="X11" s="69">
        <f>SUM(Employees[[#This Row],[Forsikringsfradrag]:[Annet vanlig fradrag]])</f>
        <v>0</v>
      </c>
    </row>
    <row r="12" spans="2:24" ht="18.75" customHeight="1" x14ac:dyDescent="0.2">
      <c r="B12" s="13">
        <v>1049</v>
      </c>
      <c r="C12" s="13" t="s">
        <v>32</v>
      </c>
      <c r="D12" s="32">
        <v>40</v>
      </c>
      <c r="E12" s="4">
        <v>1</v>
      </c>
      <c r="F12" s="4"/>
      <c r="G12" s="4"/>
      <c r="H12" s="72"/>
      <c r="I12" s="65">
        <f>SUM(Employees[[#This Row],[Vanlige timer arbeidet]:[Syketimer]])*Employees[[#This Row],[Timelønn]]+Employees[[#This Row],[Overtidstimer]]*Employees[[#This Row],[Timelønn for overtid]]</f>
        <v>615</v>
      </c>
      <c r="J12" s="65">
        <f>Employees[[#This Row],[Bruttolønn]]*Employees[[#This Row],[Totalt fratrukket skatt]] + Employees[[#This Row],[Totalt vanlige
fradrag]]</f>
        <v>259.00750000000005</v>
      </c>
      <c r="K12" s="66">
        <v>23</v>
      </c>
      <c r="L12" s="65">
        <f>Employees[[#This Row],[Bruttolønn]]-Employees[[#This Row],[Skatter og fradrag]]-Employees[[#This Row],[Andre
fradrag]]</f>
        <v>332.99249999999995</v>
      </c>
      <c r="M12" s="8"/>
      <c r="N12" s="68">
        <v>15</v>
      </c>
      <c r="O12" s="4">
        <v>1</v>
      </c>
      <c r="P12" s="4">
        <v>2</v>
      </c>
      <c r="Q12" s="5">
        <v>2.3E-2</v>
      </c>
      <c r="R12" s="48">
        <v>0.28000000000000003</v>
      </c>
      <c r="S12" s="48">
        <v>6.3E-2</v>
      </c>
      <c r="T12" s="48">
        <v>1.4500000000000001E-2</v>
      </c>
      <c r="U12" s="49">
        <f>SUM(Employees[[#This Row],[Kommune- og fylkesskatt]:[Trygdeavgift2]])</f>
        <v>0.38050000000000006</v>
      </c>
      <c r="V12" s="66">
        <v>25</v>
      </c>
      <c r="W12" s="66"/>
      <c r="X12" s="69">
        <f>SUM(Employees[[#This Row],[Forsikringsfradrag]:[Annet vanlig fradrag]])</f>
        <v>25</v>
      </c>
    </row>
    <row r="13" spans="2:24" ht="18.75" customHeight="1" x14ac:dyDescent="0.2">
      <c r="B13" s="13" t="s">
        <v>47</v>
      </c>
      <c r="C13" s="50">
        <f>SUBTOTAL(103,Employees[Navn på ansatt])</f>
        <v>9</v>
      </c>
      <c r="D13" s="53">
        <f>SUBTOTAL(109,Employees[Vanlige timer arbeidet])</f>
        <v>371</v>
      </c>
      <c r="E13" s="54">
        <f>SUBTOTAL(109,Employees[Ferietimer])</f>
        <v>24</v>
      </c>
      <c r="F13" s="54">
        <f>SUBTOTAL(109,Employees[Syketimer])</f>
        <v>6</v>
      </c>
      <c r="G13" s="54">
        <f>SUBTOTAL(109,Employees[Overtidstimer])</f>
        <v>3</v>
      </c>
      <c r="H13" s="51"/>
      <c r="I13" s="70">
        <f>SUBTOTAL(109,Employees[Bruttolønn])</f>
        <v>5063</v>
      </c>
      <c r="J13" s="70">
        <f>SUBTOTAL(109,Employees[Skatter og fradrag])</f>
        <v>2239.4715000000001</v>
      </c>
      <c r="K13" s="70">
        <f>SUBTOTAL(109,Employees[Andre
fradrag])</f>
        <v>118</v>
      </c>
      <c r="L13" s="70">
        <f>SUBTOTAL(109,Employees[Nettolønn])</f>
        <v>2705.5284999999994</v>
      </c>
      <c r="M13" s="52"/>
      <c r="N13" s="51"/>
      <c r="O13" s="51"/>
      <c r="P13" s="51"/>
      <c r="Q13" s="51"/>
      <c r="R13" s="51"/>
      <c r="S13" s="51"/>
      <c r="T13" s="51"/>
      <c r="U13" s="51"/>
      <c r="V13" s="71">
        <f>SUBTOTAL(109,Employees[Forsikringsfradrag])</f>
        <v>143</v>
      </c>
      <c r="W13" s="71">
        <f>SUBTOTAL(109,Employees[Annet vanlig fradrag])</f>
        <v>170</v>
      </c>
      <c r="X13" s="71">
        <f>SUBTOTAL(109,Employees[Totalt vanlige
fradrag])</f>
        <v>313</v>
      </c>
    </row>
  </sheetData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zoomScaleNormal="100" workbookViewId="0"/>
  </sheetViews>
  <sheetFormatPr baseColWidth="10" defaultColWidth="9.140625" defaultRowHeight="12.75" x14ac:dyDescent="0.2"/>
  <cols>
    <col min="1" max="1" width="2.7109375" customWidth="1"/>
    <col min="2" max="2" width="2.42578125" customWidth="1"/>
    <col min="3" max="3" width="11" customWidth="1"/>
    <col min="4" max="4" width="13.28515625" customWidth="1"/>
    <col min="5" max="5" width="14.28515625" customWidth="1"/>
    <col min="6" max="6" width="2.28515625" customWidth="1"/>
    <col min="7" max="7" width="8.5703125" customWidth="1"/>
    <col min="8" max="8" width="17.7109375" customWidth="1"/>
    <col min="9" max="9" width="18.85546875" customWidth="1"/>
    <col min="10" max="10" width="2.28515625" customWidth="1"/>
    <col min="11" max="11" width="15.28515625" customWidth="1"/>
    <col min="12" max="12" width="7.28515625" customWidth="1"/>
    <col min="13" max="13" width="14.28515625" customWidth="1"/>
    <col min="14" max="15" width="2.42578125" customWidth="1"/>
  </cols>
  <sheetData>
    <row r="1" spans="2:16" ht="15" customHeight="1" thickBot="1" x14ac:dyDescent="0.25">
      <c r="P1" s="2"/>
    </row>
    <row r="2" spans="2:16" ht="27.75" customHeight="1" x14ac:dyDescent="0.2">
      <c r="B2" s="22"/>
      <c r="C2" s="23" t="str">
        <f>CompanyName</f>
        <v>ADVENTURE WORKS</v>
      </c>
      <c r="D2" s="23"/>
      <c r="E2" s="21"/>
      <c r="F2" s="21"/>
      <c r="G2" s="21"/>
      <c r="H2" s="21"/>
      <c r="I2" s="21"/>
      <c r="J2" s="21"/>
      <c r="K2" s="21"/>
      <c r="L2" s="21"/>
      <c r="M2" s="21"/>
      <c r="N2" s="24"/>
      <c r="O2" s="47"/>
      <c r="P2" s="2"/>
    </row>
    <row r="3" spans="2:16" ht="16.5" customHeight="1" x14ac:dyDescent="0.2">
      <c r="B3" s="25"/>
      <c r="C3" s="30" t="s">
        <v>48</v>
      </c>
      <c r="D3" s="59">
        <f>PeriodEnding</f>
        <v>41372</v>
      </c>
      <c r="E3" s="59"/>
      <c r="F3" s="17"/>
      <c r="G3" s="30" t="s">
        <v>49</v>
      </c>
      <c r="H3" s="60" t="str">
        <f>IFERROR(INDEX(#REF!,Lønsslipp),"")</f>
        <v/>
      </c>
      <c r="I3" s="60"/>
      <c r="J3" s="18"/>
      <c r="K3" s="30" t="s">
        <v>50</v>
      </c>
      <c r="L3" s="61">
        <f>IFERROR(INDEX(Employees[ID],Lønsslipp),"")</f>
        <v>1001</v>
      </c>
      <c r="M3" s="61"/>
      <c r="N3" s="26"/>
      <c r="O3" s="47"/>
      <c r="P3" s="2"/>
    </row>
    <row r="4" spans="2:16" ht="16.5" customHeight="1" x14ac:dyDescent="0.2">
      <c r="B4" s="25"/>
      <c r="C4" s="35" t="s">
        <v>1</v>
      </c>
      <c r="D4" s="43"/>
      <c r="E4" s="37">
        <f>IFERROR(INDEX(Employees[Skattestatus],Lønsslipp),"")</f>
        <v>1</v>
      </c>
      <c r="F4" s="19"/>
      <c r="G4" s="35" t="s">
        <v>2</v>
      </c>
      <c r="H4" s="43"/>
      <c r="I4" s="37">
        <f>IFERROR(INDEX(Employees[Statlig
fradrag],Lønsslipp),"")</f>
        <v>4</v>
      </c>
      <c r="J4" s="19"/>
      <c r="K4" s="35" t="s">
        <v>15</v>
      </c>
      <c r="L4" s="43"/>
      <c r="M4" s="37">
        <f>IFERROR(INDEX(Employees[Vanlige timer arbeidet],Lønsslipp),"")</f>
        <v>50</v>
      </c>
      <c r="N4" s="26"/>
      <c r="O4" s="47"/>
      <c r="P4" s="2"/>
    </row>
    <row r="5" spans="2:16" ht="16.5" customHeight="1" x14ac:dyDescent="0.2">
      <c r="B5" s="25"/>
      <c r="C5" s="36" t="s">
        <v>16</v>
      </c>
      <c r="D5" s="44"/>
      <c r="E5" s="62">
        <f>IFERROR(INDEX(Employees[Timelønn],Lønsslipp),"")</f>
        <v>10</v>
      </c>
      <c r="F5" s="20"/>
      <c r="G5" s="36" t="s">
        <v>7</v>
      </c>
      <c r="H5" s="44"/>
      <c r="I5" s="62">
        <f>IFERROR(INDEX(Employees[Timelønn for overtid],Lønsslipp),"")</f>
        <v>0</v>
      </c>
      <c r="J5" s="20"/>
      <c r="K5" s="36" t="s">
        <v>5</v>
      </c>
      <c r="L5" s="44"/>
      <c r="M5" s="38">
        <f>IFERROR(INDEX(Employees[Syketimer],Lønsslipp),"")</f>
        <v>1</v>
      </c>
      <c r="N5" s="26"/>
      <c r="O5" s="47"/>
      <c r="P5" s="2"/>
    </row>
    <row r="6" spans="2:16" ht="16.5" customHeight="1" x14ac:dyDescent="0.2">
      <c r="B6" s="25"/>
      <c r="C6" s="36" t="s">
        <v>17</v>
      </c>
      <c r="D6" s="44"/>
      <c r="E6" s="62">
        <f>IFERROR(INDEX(Employees[Trygdeavgift],Lønsslipp)  *  INDEX(Employees[Bruttolønn],Lønsslipp),"")</f>
        <v>35.28</v>
      </c>
      <c r="F6" s="20"/>
      <c r="G6" s="36" t="s">
        <v>18</v>
      </c>
      <c r="H6" s="44"/>
      <c r="I6" s="62">
        <f>IFERROR(INDEX(Employees[Statlig inntekstsskatt],Lønsslipp)  *  INDEX(Employees[Bruttolønn],Lønsslipp),"")</f>
        <v>156.80000000000001</v>
      </c>
      <c r="J6" s="20"/>
      <c r="K6" s="36" t="s">
        <v>4</v>
      </c>
      <c r="L6" s="44"/>
      <c r="M6" s="38">
        <f>IFERROR(INDEX(Employees[Ferietimer],Lønsslipp),"")</f>
        <v>5</v>
      </c>
      <c r="N6" s="26"/>
      <c r="O6" s="47"/>
      <c r="P6" s="2"/>
    </row>
    <row r="7" spans="2:16" ht="16.5" customHeight="1" x14ac:dyDescent="0.2">
      <c r="B7" s="25"/>
      <c r="C7" s="36" t="s">
        <v>19</v>
      </c>
      <c r="D7" s="44"/>
      <c r="E7" s="62">
        <f>IFERROR(INDEX(Employees[Trygdeavgift2],Lønsslipp)  *  INDEX(Employees[Bruttolønn],Lønsslipp),"")</f>
        <v>8.120000000000001</v>
      </c>
      <c r="F7" s="20"/>
      <c r="G7" s="36" t="s">
        <v>20</v>
      </c>
      <c r="H7" s="44"/>
      <c r="I7" s="62">
        <f>IFERROR(INDEX(Employees[Kommune- og fylkesskatt],Lønsslipp)  *  INDEX(Employees[Bruttolønn],Lønsslipp),"")</f>
        <v>12.879999999999999</v>
      </c>
      <c r="J7" s="20"/>
      <c r="K7" s="36" t="s">
        <v>6</v>
      </c>
      <c r="L7" s="44"/>
      <c r="M7" s="38">
        <f>IFERROR(INDEX(Employees[Overtidstimer],Lønsslipp),"")</f>
        <v>0</v>
      </c>
      <c r="N7" s="26"/>
      <c r="O7" s="47"/>
      <c r="P7" s="2"/>
    </row>
    <row r="8" spans="2:16" ht="16.5" customHeight="1" x14ac:dyDescent="0.2">
      <c r="B8" s="25"/>
      <c r="C8" s="36" t="s">
        <v>21</v>
      </c>
      <c r="D8" s="44"/>
      <c r="E8" s="62">
        <f>IFERROR(INDEX(Employees[Forsikringsfradrag],Lønsslipp),"")</f>
        <v>20</v>
      </c>
      <c r="F8" s="20"/>
      <c r="G8" s="36" t="s">
        <v>22</v>
      </c>
      <c r="H8" s="44"/>
      <c r="I8" s="62">
        <f>IFERROR(INDEX(Employees[Annet vanlig fradrag],Lønsslipp),"")</f>
        <v>40</v>
      </c>
      <c r="J8" s="20"/>
      <c r="K8" s="36" t="s">
        <v>8</v>
      </c>
      <c r="L8" s="44"/>
      <c r="M8" s="62">
        <f>IFERROR(INDEX(Employees[Bruttolønn],Lønsslipp),"")</f>
        <v>560</v>
      </c>
      <c r="N8" s="26"/>
      <c r="O8" s="47"/>
      <c r="P8" s="2"/>
    </row>
    <row r="9" spans="2:16" ht="16.5" customHeight="1" x14ac:dyDescent="0.2">
      <c r="B9" s="25"/>
      <c r="C9" s="57" t="s">
        <v>54</v>
      </c>
      <c r="D9" s="58"/>
      <c r="E9" s="63">
        <f>IFERROR(INDEX(Employees[Skatter og fradrag],Lønsslipp),"")</f>
        <v>273.08000000000004</v>
      </c>
      <c r="F9" s="20"/>
      <c r="G9" s="36" t="s">
        <v>9</v>
      </c>
      <c r="H9" s="45"/>
      <c r="I9" s="62">
        <f>IFERROR(INDEX(Employees[Andre
fradrag],Lønsslipp),"")</f>
        <v>20</v>
      </c>
      <c r="J9" s="20"/>
      <c r="K9" s="36" t="s">
        <v>23</v>
      </c>
      <c r="L9" s="45"/>
      <c r="M9" s="62">
        <f>IFERROR(INDEX(Employees[Skatter og fradrag],Lønsslipp)  +  INDEX(Employees[Andre
fradrag],Lønsslipp),"")</f>
        <v>293.08000000000004</v>
      </c>
      <c r="N9" s="26"/>
      <c r="O9" s="47"/>
      <c r="P9" s="2"/>
    </row>
    <row r="10" spans="2:16" ht="16.5" customHeight="1" x14ac:dyDescent="0.2">
      <c r="B10" s="25"/>
      <c r="C10" s="55" t="s">
        <v>55</v>
      </c>
      <c r="D10" s="56"/>
      <c r="E10" s="34"/>
      <c r="F10" s="20"/>
      <c r="G10" s="33"/>
      <c r="H10" s="46"/>
      <c r="I10" s="34"/>
      <c r="J10" s="20"/>
      <c r="K10" s="33"/>
      <c r="L10" s="46"/>
      <c r="M10" s="34"/>
      <c r="N10" s="26"/>
      <c r="O10" s="47"/>
      <c r="P10" s="2"/>
    </row>
    <row r="11" spans="2:16" ht="15.75" customHeight="1" x14ac:dyDescent="0.2">
      <c r="B11" s="25"/>
      <c r="C11" s="3"/>
      <c r="D11" s="3"/>
      <c r="E11" s="3"/>
      <c r="F11" s="3"/>
      <c r="G11" s="3"/>
      <c r="H11" s="3"/>
      <c r="I11" s="3"/>
      <c r="J11" s="3"/>
      <c r="K11" s="29" t="s">
        <v>51</v>
      </c>
      <c r="L11" s="29"/>
      <c r="M11" s="64">
        <f>IFERROR(INDEX(Employees[Nettolønn],Lønsslipp),"")</f>
        <v>266.91999999999996</v>
      </c>
      <c r="N11" s="26"/>
      <c r="O11" s="47"/>
      <c r="P11" s="2"/>
    </row>
    <row r="12" spans="2:16" ht="10.5" customHeight="1" thickBot="1" x14ac:dyDescent="0.25">
      <c r="B12" s="2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8"/>
      <c r="O12" s="47"/>
      <c r="P12" s="2"/>
    </row>
    <row r="13" spans="2:16" ht="15" customHeight="1" thickBot="1" x14ac:dyDescent="0.25">
      <c r="P13" s="2"/>
    </row>
    <row r="14" spans="2:16" ht="27.75" customHeight="1" x14ac:dyDescent="0.2">
      <c r="B14" s="22"/>
      <c r="C14" s="23" t="str">
        <f>CompanyName</f>
        <v>ADVENTURE WORKS</v>
      </c>
      <c r="D14" s="23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47"/>
      <c r="P14" s="2"/>
    </row>
    <row r="15" spans="2:16" ht="16.5" customHeight="1" x14ac:dyDescent="0.2">
      <c r="B15" s="25"/>
      <c r="C15" s="30" t="s">
        <v>48</v>
      </c>
      <c r="D15" s="59">
        <f>PeriodEnding</f>
        <v>41372</v>
      </c>
      <c r="E15" s="59"/>
      <c r="F15" s="17"/>
      <c r="G15" s="30" t="s">
        <v>49</v>
      </c>
      <c r="H15" s="60" t="str">
        <f>IFERROR(INDEX(#REF!,Lønsslipp),"")</f>
        <v/>
      </c>
      <c r="I15" s="60"/>
      <c r="J15" s="18"/>
      <c r="K15" s="30" t="s">
        <v>50</v>
      </c>
      <c r="L15" s="61">
        <f>IFERROR(INDEX(Employees[ID],Lønsslipp),"")</f>
        <v>1002</v>
      </c>
      <c r="M15" s="61"/>
      <c r="N15" s="26"/>
      <c r="O15" s="47"/>
      <c r="P15" s="2"/>
    </row>
    <row r="16" spans="2:16" ht="16.5" customHeight="1" x14ac:dyDescent="0.2">
      <c r="B16" s="25"/>
      <c r="C16" s="35" t="s">
        <v>1</v>
      </c>
      <c r="D16" s="43"/>
      <c r="E16" s="37">
        <f>IFERROR(INDEX(Employees[Skattestatus],Lønsslipp),"")</f>
        <v>1</v>
      </c>
      <c r="F16" s="19"/>
      <c r="G16" s="35" t="s">
        <v>2</v>
      </c>
      <c r="H16" s="43"/>
      <c r="I16" s="37">
        <f>IFERROR(INDEX(Employees[Statlig
fradrag],Lønsslipp),"")</f>
        <v>1</v>
      </c>
      <c r="J16" s="19"/>
      <c r="K16" s="35" t="s">
        <v>15</v>
      </c>
      <c r="L16" s="43"/>
      <c r="M16" s="37">
        <f>IFERROR(INDEX(Employees[Vanlige timer arbeidet],Lønsslipp),"")</f>
        <v>40</v>
      </c>
      <c r="N16" s="26"/>
      <c r="O16" s="47"/>
      <c r="P16" s="2"/>
    </row>
    <row r="17" spans="2:16" ht="16.5" customHeight="1" x14ac:dyDescent="0.2">
      <c r="B17" s="25"/>
      <c r="C17" s="36" t="s">
        <v>16</v>
      </c>
      <c r="D17" s="44"/>
      <c r="E17" s="62">
        <f>IFERROR(INDEX(Employees[Timelønn],Lønsslipp),"")</f>
        <v>8</v>
      </c>
      <c r="F17" s="20"/>
      <c r="G17" s="36" t="s">
        <v>7</v>
      </c>
      <c r="H17" s="44"/>
      <c r="I17" s="62">
        <f>IFERROR(INDEX(Employees[Timelønn for overtid],Lønsslipp),"")</f>
        <v>0</v>
      </c>
      <c r="J17" s="20"/>
      <c r="K17" s="36" t="s">
        <v>5</v>
      </c>
      <c r="L17" s="44"/>
      <c r="M17" s="38">
        <f>IFERROR(INDEX(Employees[Syketimer],Lønsslipp),"")</f>
        <v>0</v>
      </c>
      <c r="N17" s="26"/>
      <c r="O17" s="47"/>
      <c r="P17" s="2"/>
    </row>
    <row r="18" spans="2:16" ht="16.5" customHeight="1" x14ac:dyDescent="0.2">
      <c r="B18" s="25"/>
      <c r="C18" s="36" t="s">
        <v>17</v>
      </c>
      <c r="D18" s="44"/>
      <c r="E18" s="62">
        <f>IFERROR(INDEX(Employees[Trygdeavgift],Lønsslipp)  *  INDEX(Employees[Bruttolønn],Lønsslipp),"")</f>
        <v>20.16</v>
      </c>
      <c r="F18" s="20"/>
      <c r="G18" s="36" t="s">
        <v>18</v>
      </c>
      <c r="H18" s="44"/>
      <c r="I18" s="62">
        <f>IFERROR(INDEX(Employees[Statlig inntekstsskatt],Lønsslipp)  *  INDEX(Employees[Bruttolønn],Lønsslipp),"")</f>
        <v>89.600000000000009</v>
      </c>
      <c r="J18" s="20"/>
      <c r="K18" s="36" t="s">
        <v>4</v>
      </c>
      <c r="L18" s="44"/>
      <c r="M18" s="38">
        <f>IFERROR(INDEX(Employees[Ferietimer],Lønsslipp),"")</f>
        <v>0</v>
      </c>
      <c r="N18" s="26"/>
      <c r="O18" s="47"/>
      <c r="P18" s="2"/>
    </row>
    <row r="19" spans="2:16" ht="16.5" customHeight="1" x14ac:dyDescent="0.2">
      <c r="B19" s="25"/>
      <c r="C19" s="36" t="s">
        <v>19</v>
      </c>
      <c r="D19" s="44"/>
      <c r="E19" s="62">
        <f>IFERROR(INDEX(Employees[Trygdeavgift2],Lønsslipp)  *  INDEX(Employees[Bruttolønn],Lønsslipp),"")</f>
        <v>4.6400000000000006</v>
      </c>
      <c r="F19" s="20"/>
      <c r="G19" s="36" t="s">
        <v>20</v>
      </c>
      <c r="H19" s="44"/>
      <c r="I19" s="62">
        <f>IFERROR(INDEX(Employees[Kommune- og fylkesskatt],Lønsslipp)  *  INDEX(Employees[Bruttolønn],Lønsslipp),"")</f>
        <v>7.3599999999999994</v>
      </c>
      <c r="J19" s="20"/>
      <c r="K19" s="36" t="s">
        <v>6</v>
      </c>
      <c r="L19" s="44"/>
      <c r="M19" s="38">
        <f>IFERROR(INDEX(Employees[Overtidstimer],Lønsslipp),"")</f>
        <v>0</v>
      </c>
      <c r="N19" s="26"/>
      <c r="O19" s="47"/>
      <c r="P19" s="2"/>
    </row>
    <row r="20" spans="2:16" ht="16.5" customHeight="1" x14ac:dyDescent="0.2">
      <c r="B20" s="25"/>
      <c r="C20" s="36" t="s">
        <v>21</v>
      </c>
      <c r="D20" s="44"/>
      <c r="E20" s="62">
        <f>IFERROR(INDEX(Employees[Forsikringsfradrag],Lønsslipp),"")</f>
        <v>0</v>
      </c>
      <c r="F20" s="20"/>
      <c r="G20" s="36" t="s">
        <v>22</v>
      </c>
      <c r="H20" s="44"/>
      <c r="I20" s="62">
        <f>IFERROR(INDEX(Employees[Annet vanlig fradrag],Lønsslipp),"")</f>
        <v>10</v>
      </c>
      <c r="J20" s="20"/>
      <c r="K20" s="36" t="s">
        <v>8</v>
      </c>
      <c r="L20" s="44"/>
      <c r="M20" s="62">
        <f>IFERROR(INDEX(Employees[Bruttolønn],Lønsslipp),"")</f>
        <v>320</v>
      </c>
      <c r="N20" s="26"/>
      <c r="O20" s="47"/>
      <c r="P20" s="2"/>
    </row>
    <row r="21" spans="2:16" ht="16.5" customHeight="1" x14ac:dyDescent="0.2">
      <c r="B21" s="25"/>
      <c r="C21" s="57" t="s">
        <v>54</v>
      </c>
      <c r="D21" s="58"/>
      <c r="E21" s="63">
        <f>IFERROR(INDEX(Employees[Skatter og fradrag],Lønsslipp),"")</f>
        <v>131.76000000000002</v>
      </c>
      <c r="F21" s="20"/>
      <c r="G21" s="36" t="s">
        <v>9</v>
      </c>
      <c r="H21" s="45"/>
      <c r="I21" s="62">
        <f>IFERROR(INDEX(Employees[Andre
fradrag],Lønsslipp),"")</f>
        <v>0</v>
      </c>
      <c r="J21" s="20"/>
      <c r="K21" s="36" t="s">
        <v>23</v>
      </c>
      <c r="L21" s="45"/>
      <c r="M21" s="62">
        <f>IFERROR(INDEX(Employees[Skatter og fradrag],Lønsslipp)  +  INDEX(Employees[Andre
fradrag],Lønsslipp),"")</f>
        <v>131.76000000000002</v>
      </c>
      <c r="N21" s="26"/>
      <c r="O21" s="47"/>
      <c r="P21" s="2"/>
    </row>
    <row r="22" spans="2:16" ht="16.5" customHeight="1" x14ac:dyDescent="0.2">
      <c r="B22" s="25"/>
      <c r="C22" s="55" t="s">
        <v>55</v>
      </c>
      <c r="D22" s="56"/>
      <c r="E22" s="34"/>
      <c r="F22" s="20"/>
      <c r="G22" s="33"/>
      <c r="H22" s="46"/>
      <c r="I22" s="34"/>
      <c r="J22" s="20"/>
      <c r="K22" s="33"/>
      <c r="L22" s="46"/>
      <c r="M22" s="34"/>
      <c r="N22" s="26"/>
      <c r="O22" s="47"/>
      <c r="P22" s="2"/>
    </row>
    <row r="23" spans="2:16" ht="15.75" customHeight="1" x14ac:dyDescent="0.2">
      <c r="B23" s="25"/>
      <c r="C23" s="3"/>
      <c r="D23" s="3"/>
      <c r="E23" s="3"/>
      <c r="F23" s="3"/>
      <c r="G23" s="3"/>
      <c r="H23" s="3"/>
      <c r="I23" s="3"/>
      <c r="J23" s="3"/>
      <c r="K23" s="29" t="s">
        <v>51</v>
      </c>
      <c r="L23" s="29"/>
      <c r="M23" s="64">
        <f>IFERROR(INDEX(Employees[Nettolønn],Lønsslipp),"")</f>
        <v>188.23999999999998</v>
      </c>
      <c r="N23" s="26"/>
      <c r="O23" s="47"/>
      <c r="P23" s="2"/>
    </row>
    <row r="24" spans="2:16" ht="10.5" customHeight="1" thickBot="1" x14ac:dyDescent="0.25">
      <c r="B24" s="2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8"/>
      <c r="O24" s="47"/>
      <c r="P24" s="2"/>
    </row>
    <row r="25" spans="2:16" ht="15" customHeight="1" thickBot="1" x14ac:dyDescent="0.25">
      <c r="P25" s="2"/>
    </row>
    <row r="26" spans="2:16" ht="27.75" customHeight="1" x14ac:dyDescent="0.2">
      <c r="B26" s="22"/>
      <c r="C26" s="23" t="str">
        <f>CompanyName</f>
        <v>ADVENTURE WORKS</v>
      </c>
      <c r="D26" s="23"/>
      <c r="E26" s="21"/>
      <c r="F26" s="21"/>
      <c r="G26" s="21"/>
      <c r="H26" s="21"/>
      <c r="I26" s="21"/>
      <c r="J26" s="21"/>
      <c r="K26" s="21"/>
      <c r="L26" s="21"/>
      <c r="M26" s="21"/>
      <c r="N26" s="24"/>
      <c r="O26" s="47"/>
      <c r="P26" s="2"/>
    </row>
    <row r="27" spans="2:16" ht="16.5" customHeight="1" x14ac:dyDescent="0.2">
      <c r="B27" s="25"/>
      <c r="C27" s="30" t="s">
        <v>53</v>
      </c>
      <c r="D27" s="59">
        <f>PeriodEnding</f>
        <v>41372</v>
      </c>
      <c r="E27" s="59"/>
      <c r="F27" s="17"/>
      <c r="G27" s="30" t="s">
        <v>49</v>
      </c>
      <c r="H27" s="60" t="str">
        <f>IFERROR(INDEX(#REF!,Lønsslipp),"")</f>
        <v/>
      </c>
      <c r="I27" s="60"/>
      <c r="J27" s="18"/>
      <c r="K27" s="30" t="s">
        <v>50</v>
      </c>
      <c r="L27" s="61">
        <f>IFERROR(INDEX(Employees[ID],Lønsslipp),"")</f>
        <v>1003</v>
      </c>
      <c r="M27" s="61"/>
      <c r="N27" s="26"/>
      <c r="O27" s="47"/>
      <c r="P27" s="2"/>
    </row>
    <row r="28" spans="2:16" ht="16.5" customHeight="1" x14ac:dyDescent="0.2">
      <c r="B28" s="25"/>
      <c r="C28" s="35" t="s">
        <v>1</v>
      </c>
      <c r="D28" s="43"/>
      <c r="E28" s="37">
        <f>IFERROR(INDEX(Employees[Skattestatus],Lønsslipp),"")</f>
        <v>1</v>
      </c>
      <c r="F28" s="19"/>
      <c r="G28" s="35" t="s">
        <v>2</v>
      </c>
      <c r="H28" s="43"/>
      <c r="I28" s="37">
        <f>IFERROR(INDEX(Employees[Statlig
fradrag],Lønsslipp),"")</f>
        <v>3</v>
      </c>
      <c r="J28" s="19"/>
      <c r="K28" s="35" t="s">
        <v>15</v>
      </c>
      <c r="L28" s="43"/>
      <c r="M28" s="37">
        <f>IFERROR(INDEX(Employees[Vanlige timer arbeidet],Lønsslipp),"")</f>
        <v>35</v>
      </c>
      <c r="N28" s="26"/>
      <c r="O28" s="47"/>
      <c r="P28" s="2"/>
    </row>
    <row r="29" spans="2:16" ht="16.5" customHeight="1" x14ac:dyDescent="0.2">
      <c r="B29" s="25"/>
      <c r="C29" s="36" t="s">
        <v>16</v>
      </c>
      <c r="D29" s="44"/>
      <c r="E29" s="62">
        <f>IFERROR(INDEX(Employees[Timelønn],Lønsslipp),"")</f>
        <v>14</v>
      </c>
      <c r="F29" s="20"/>
      <c r="G29" s="36" t="s">
        <v>7</v>
      </c>
      <c r="H29" s="44"/>
      <c r="I29" s="62">
        <f>IFERROR(INDEX(Employees[Timelønn for overtid],Lønsslipp),"")</f>
        <v>0</v>
      </c>
      <c r="J29" s="20"/>
      <c r="K29" s="36" t="s">
        <v>5</v>
      </c>
      <c r="L29" s="44"/>
      <c r="M29" s="38">
        <f>IFERROR(INDEX(Employees[Syketimer],Lønsslipp),"")</f>
        <v>0</v>
      </c>
      <c r="N29" s="26"/>
      <c r="O29" s="47"/>
      <c r="P29" s="2"/>
    </row>
    <row r="30" spans="2:16" ht="16.5" customHeight="1" x14ac:dyDescent="0.2">
      <c r="B30" s="25"/>
      <c r="C30" s="36" t="s">
        <v>17</v>
      </c>
      <c r="D30" s="44"/>
      <c r="E30" s="62">
        <f>IFERROR(INDEX(Employees[Trygdeavgift],Lønsslipp)  *  INDEX(Employees[Bruttolønn],Lønsslipp),"")</f>
        <v>33.515999999999998</v>
      </c>
      <c r="F30" s="20"/>
      <c r="G30" s="36" t="s">
        <v>18</v>
      </c>
      <c r="H30" s="44"/>
      <c r="I30" s="62">
        <f>IFERROR(INDEX(Employees[Statlig inntekstsskatt],Lønsslipp)  *  INDEX(Employees[Bruttolønn],Lønsslipp),"")</f>
        <v>148.96</v>
      </c>
      <c r="J30" s="20"/>
      <c r="K30" s="36" t="s">
        <v>4</v>
      </c>
      <c r="L30" s="44"/>
      <c r="M30" s="38">
        <f>IFERROR(INDEX(Employees[Ferietimer],Lønsslipp),"")</f>
        <v>3</v>
      </c>
      <c r="N30" s="26"/>
      <c r="O30" s="47"/>
      <c r="P30" s="2"/>
    </row>
    <row r="31" spans="2:16" ht="16.5" customHeight="1" x14ac:dyDescent="0.2">
      <c r="B31" s="25"/>
      <c r="C31" s="36" t="s">
        <v>19</v>
      </c>
      <c r="D31" s="44"/>
      <c r="E31" s="62">
        <f>IFERROR(INDEX(Employees[Trygdeavgift2],Lønsslipp)  *  INDEX(Employees[Bruttolønn],Lønsslipp),"")</f>
        <v>7.7140000000000004</v>
      </c>
      <c r="F31" s="20"/>
      <c r="G31" s="36" t="s">
        <v>20</v>
      </c>
      <c r="H31" s="44"/>
      <c r="I31" s="62">
        <f>IFERROR(INDEX(Employees[Kommune- og fylkesskatt],Lønsslipp)  *  INDEX(Employees[Bruttolønn],Lønsslipp),"")</f>
        <v>12.236000000000001</v>
      </c>
      <c r="J31" s="20"/>
      <c r="K31" s="36" t="s">
        <v>6</v>
      </c>
      <c r="L31" s="44"/>
      <c r="M31" s="38">
        <f>IFERROR(INDEX(Employees[Overtidstimer],Lønsslipp),"")</f>
        <v>0</v>
      </c>
      <c r="N31" s="26"/>
      <c r="O31" s="47"/>
      <c r="P31" s="2"/>
    </row>
    <row r="32" spans="2:16" ht="16.5" customHeight="1" x14ac:dyDescent="0.2">
      <c r="B32" s="25"/>
      <c r="C32" s="36" t="s">
        <v>21</v>
      </c>
      <c r="D32" s="44"/>
      <c r="E32" s="62">
        <f>IFERROR(INDEX(Employees[Forsikringsfradrag],Lønsslipp),"")</f>
        <v>18</v>
      </c>
      <c r="F32" s="20"/>
      <c r="G32" s="36" t="s">
        <v>22</v>
      </c>
      <c r="H32" s="44"/>
      <c r="I32" s="62">
        <f>IFERROR(INDEX(Employees[Annet vanlig fradrag],Lønsslipp),"")</f>
        <v>20</v>
      </c>
      <c r="J32" s="20"/>
      <c r="K32" s="36" t="s">
        <v>8</v>
      </c>
      <c r="L32" s="44"/>
      <c r="M32" s="62">
        <f>IFERROR(INDEX(Employees[Bruttolønn],Lønsslipp),"")</f>
        <v>532</v>
      </c>
      <c r="N32" s="26"/>
      <c r="O32" s="47"/>
      <c r="P32" s="2"/>
    </row>
    <row r="33" spans="2:16" ht="16.5" customHeight="1" x14ac:dyDescent="0.2">
      <c r="B33" s="25"/>
      <c r="C33" s="57" t="s">
        <v>54</v>
      </c>
      <c r="D33" s="58"/>
      <c r="E33" s="63">
        <f>IFERROR(INDEX(Employees[Skatter og fradrag],Lønsslipp),"")</f>
        <v>240.42600000000004</v>
      </c>
      <c r="F33" s="20"/>
      <c r="G33" s="36" t="s">
        <v>9</v>
      </c>
      <c r="H33" s="45"/>
      <c r="I33" s="62">
        <f>IFERROR(INDEX(Employees[Andre
fradrag],Lønsslipp),"")</f>
        <v>0</v>
      </c>
      <c r="J33" s="20"/>
      <c r="K33" s="36" t="s">
        <v>23</v>
      </c>
      <c r="L33" s="45"/>
      <c r="M33" s="62">
        <f>IFERROR(INDEX(Employees[Skatter og fradrag],Lønsslipp)  +  INDEX(Employees[Andre
fradrag],Lønsslipp),"")</f>
        <v>240.42600000000004</v>
      </c>
      <c r="N33" s="26"/>
      <c r="O33" s="47"/>
      <c r="P33" s="2"/>
    </row>
    <row r="34" spans="2:16" ht="16.5" customHeight="1" x14ac:dyDescent="0.2">
      <c r="B34" s="25"/>
      <c r="C34" s="55" t="s">
        <v>55</v>
      </c>
      <c r="D34" s="56"/>
      <c r="E34" s="34"/>
      <c r="F34" s="20"/>
      <c r="G34" s="33"/>
      <c r="H34" s="46"/>
      <c r="I34" s="34"/>
      <c r="J34" s="20"/>
      <c r="K34" s="33"/>
      <c r="L34" s="46"/>
      <c r="M34" s="34"/>
      <c r="N34" s="26"/>
      <c r="O34" s="47"/>
      <c r="P34" s="2"/>
    </row>
    <row r="35" spans="2:16" ht="15.75" customHeight="1" x14ac:dyDescent="0.2">
      <c r="B35" s="25"/>
      <c r="C35" s="3"/>
      <c r="D35" s="3"/>
      <c r="E35" s="3"/>
      <c r="F35" s="3"/>
      <c r="G35" s="3"/>
      <c r="H35" s="3"/>
      <c r="I35" s="3"/>
      <c r="J35" s="3"/>
      <c r="K35" s="29" t="s">
        <v>51</v>
      </c>
      <c r="L35" s="29"/>
      <c r="M35" s="64">
        <f>IFERROR(INDEX(Employees[Nettolønn],Lønsslipp),"")</f>
        <v>291.57399999999996</v>
      </c>
      <c r="N35" s="26"/>
      <c r="O35" s="47"/>
      <c r="P35" s="2"/>
    </row>
    <row r="36" spans="2:16" ht="10.5" customHeight="1" thickBot="1" x14ac:dyDescent="0.25">
      <c r="B36" s="2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8"/>
      <c r="O36" s="47"/>
      <c r="P36" s="2"/>
    </row>
    <row r="37" spans="2:16" ht="15" customHeight="1" thickBot="1" x14ac:dyDescent="0.25">
      <c r="P37" s="2"/>
    </row>
    <row r="38" spans="2:16" ht="27.75" customHeight="1" x14ac:dyDescent="0.2">
      <c r="B38" s="22"/>
      <c r="C38" s="23" t="str">
        <f>CompanyName</f>
        <v>ADVENTURE WORKS</v>
      </c>
      <c r="D38" s="23"/>
      <c r="E38" s="21"/>
      <c r="F38" s="21"/>
      <c r="G38" s="21"/>
      <c r="H38" s="21"/>
      <c r="I38" s="21"/>
      <c r="J38" s="21"/>
      <c r="K38" s="21"/>
      <c r="L38" s="21"/>
      <c r="M38" s="21"/>
      <c r="N38" s="24"/>
      <c r="O38" s="47"/>
      <c r="P38" s="2"/>
    </row>
    <row r="39" spans="2:16" ht="16.5" customHeight="1" x14ac:dyDescent="0.2">
      <c r="B39" s="25"/>
      <c r="C39" s="30" t="s">
        <v>48</v>
      </c>
      <c r="D39" s="59">
        <f>PeriodEnding</f>
        <v>41372</v>
      </c>
      <c r="E39" s="59"/>
      <c r="F39" s="17"/>
      <c r="G39" s="30" t="s">
        <v>49</v>
      </c>
      <c r="H39" s="60" t="str">
        <f>IFERROR(INDEX(#REF!,Lønsslipp),"")</f>
        <v/>
      </c>
      <c r="I39" s="60"/>
      <c r="J39" s="18"/>
      <c r="K39" s="30" t="s">
        <v>50</v>
      </c>
      <c r="L39" s="61">
        <f>IFERROR(INDEX(Employees[ID],Lønsslipp),"")</f>
        <v>1008</v>
      </c>
      <c r="M39" s="61"/>
      <c r="N39" s="26"/>
      <c r="O39" s="47"/>
      <c r="P39" s="2"/>
    </row>
    <row r="40" spans="2:16" ht="16.5" customHeight="1" x14ac:dyDescent="0.2">
      <c r="B40" s="25"/>
      <c r="C40" s="35" t="s">
        <v>1</v>
      </c>
      <c r="D40" s="43"/>
      <c r="E40" s="37">
        <f>IFERROR(INDEX(Employees[Skattestatus],Lønsslipp),"")</f>
        <v>1</v>
      </c>
      <c r="F40" s="19"/>
      <c r="G40" s="35" t="s">
        <v>2</v>
      </c>
      <c r="H40" s="43"/>
      <c r="I40" s="37">
        <f>IFERROR(INDEX(Employees[Statlig
fradrag],Lønsslipp),"")</f>
        <v>0</v>
      </c>
      <c r="J40" s="19"/>
      <c r="K40" s="35" t="s">
        <v>15</v>
      </c>
      <c r="L40" s="43"/>
      <c r="M40" s="37">
        <f>IFERROR(INDEX(Employees[Vanlige timer arbeidet],Lønsslipp),"")</f>
        <v>50</v>
      </c>
      <c r="N40" s="26"/>
      <c r="O40" s="47"/>
      <c r="P40" s="2"/>
    </row>
    <row r="41" spans="2:16" ht="16.5" customHeight="1" x14ac:dyDescent="0.2">
      <c r="B41" s="25"/>
      <c r="C41" s="36" t="s">
        <v>16</v>
      </c>
      <c r="D41" s="44"/>
      <c r="E41" s="62">
        <f>IFERROR(INDEX(Employees[Timelønn],Lønsslipp),"")</f>
        <v>20</v>
      </c>
      <c r="F41" s="20"/>
      <c r="G41" s="36" t="s">
        <v>7</v>
      </c>
      <c r="H41" s="44"/>
      <c r="I41" s="62">
        <f>IFERROR(INDEX(Employees[Timelønn for overtid],Lønsslipp),"")</f>
        <v>0</v>
      </c>
      <c r="J41" s="20"/>
      <c r="K41" s="36" t="s">
        <v>5</v>
      </c>
      <c r="L41" s="44"/>
      <c r="M41" s="38">
        <f>IFERROR(INDEX(Employees[Syketimer],Lønsslipp),"")</f>
        <v>1</v>
      </c>
      <c r="N41" s="26"/>
      <c r="O41" s="47"/>
      <c r="P41" s="2"/>
    </row>
    <row r="42" spans="2:16" ht="16.5" customHeight="1" x14ac:dyDescent="0.2">
      <c r="B42" s="25"/>
      <c r="C42" s="36" t="s">
        <v>17</v>
      </c>
      <c r="D42" s="44"/>
      <c r="E42" s="62">
        <f>IFERROR(INDEX(Employees[Trygdeavgift],Lønsslipp)  *  INDEX(Employees[Bruttolønn],Lønsslipp),"")</f>
        <v>70.56</v>
      </c>
      <c r="F42" s="20"/>
      <c r="G42" s="36" t="s">
        <v>18</v>
      </c>
      <c r="H42" s="44"/>
      <c r="I42" s="62">
        <f>IFERROR(INDEX(Employees[Statlig inntekstsskatt],Lønsslipp)  *  INDEX(Employees[Bruttolønn],Lønsslipp),"")</f>
        <v>313.60000000000002</v>
      </c>
      <c r="J42" s="20"/>
      <c r="K42" s="36" t="s">
        <v>4</v>
      </c>
      <c r="L42" s="44"/>
      <c r="M42" s="38">
        <f>IFERROR(INDEX(Employees[Ferietimer],Lønsslipp),"")</f>
        <v>5</v>
      </c>
      <c r="N42" s="26"/>
      <c r="O42" s="47"/>
      <c r="P42" s="2"/>
    </row>
    <row r="43" spans="2:16" ht="16.5" customHeight="1" x14ac:dyDescent="0.2">
      <c r="B43" s="25"/>
      <c r="C43" s="36" t="s">
        <v>19</v>
      </c>
      <c r="D43" s="44"/>
      <c r="E43" s="62">
        <f>IFERROR(INDEX(Employees[Trygdeavgift2],Lønsslipp)  *  INDEX(Employees[Bruttolønn],Lønsslipp),"")</f>
        <v>16.240000000000002</v>
      </c>
      <c r="F43" s="20"/>
      <c r="G43" s="36" t="s">
        <v>20</v>
      </c>
      <c r="H43" s="44"/>
      <c r="I43" s="62">
        <f>IFERROR(INDEX(Employees[Kommune- og fylkesskatt],Lønsslipp)  *  INDEX(Employees[Bruttolønn],Lønsslipp),"")</f>
        <v>25.759999999999998</v>
      </c>
      <c r="J43" s="20"/>
      <c r="K43" s="36" t="s">
        <v>6</v>
      </c>
      <c r="L43" s="44"/>
      <c r="M43" s="38">
        <f>IFERROR(INDEX(Employees[Overtidstimer],Lønsslipp),"")</f>
        <v>0</v>
      </c>
      <c r="N43" s="26"/>
      <c r="O43" s="47"/>
      <c r="P43" s="2"/>
    </row>
    <row r="44" spans="2:16" ht="16.5" customHeight="1" x14ac:dyDescent="0.2">
      <c r="B44" s="25"/>
      <c r="C44" s="36" t="s">
        <v>21</v>
      </c>
      <c r="D44" s="44"/>
      <c r="E44" s="62">
        <f>IFERROR(INDEX(Employees[Forsikringsfradrag],Lønsslipp),"")</f>
        <v>15</v>
      </c>
      <c r="F44" s="20"/>
      <c r="G44" s="36" t="s">
        <v>22</v>
      </c>
      <c r="H44" s="44"/>
      <c r="I44" s="62">
        <f>IFERROR(INDEX(Employees[Annet vanlig fradrag],Lønsslipp),"")</f>
        <v>0</v>
      </c>
      <c r="J44" s="20"/>
      <c r="K44" s="36" t="s">
        <v>8</v>
      </c>
      <c r="L44" s="44"/>
      <c r="M44" s="62">
        <f>IFERROR(INDEX(Employees[Bruttolønn],Lønsslipp),"")</f>
        <v>1120</v>
      </c>
      <c r="N44" s="26"/>
      <c r="O44" s="47"/>
      <c r="P44" s="2"/>
    </row>
    <row r="45" spans="2:16" ht="16.5" customHeight="1" x14ac:dyDescent="0.2">
      <c r="B45" s="25"/>
      <c r="C45" s="57" t="s">
        <v>54</v>
      </c>
      <c r="D45" s="58"/>
      <c r="E45" s="63">
        <f>IFERROR(INDEX(Employees[Skatter og fradrag],Lønsslipp),"")</f>
        <v>441.16000000000008</v>
      </c>
      <c r="F45" s="20"/>
      <c r="G45" s="36" t="s">
        <v>9</v>
      </c>
      <c r="H45" s="45"/>
      <c r="I45" s="62">
        <f>IFERROR(INDEX(Employees[Andre
fradrag],Lønsslipp),"")</f>
        <v>0</v>
      </c>
      <c r="J45" s="20"/>
      <c r="K45" s="36" t="s">
        <v>23</v>
      </c>
      <c r="L45" s="45"/>
      <c r="M45" s="62">
        <f>IFERROR(INDEX(Employees[Skatter og fradrag],Lønsslipp)  +  INDEX(Employees[Andre
fradrag],Lønsslipp),"")</f>
        <v>441.16000000000008</v>
      </c>
      <c r="N45" s="26"/>
      <c r="O45" s="47"/>
      <c r="P45" s="2"/>
    </row>
    <row r="46" spans="2:16" ht="16.5" customHeight="1" x14ac:dyDescent="0.2">
      <c r="B46" s="25"/>
      <c r="C46" s="55" t="s">
        <v>55</v>
      </c>
      <c r="D46" s="56"/>
      <c r="E46" s="34"/>
      <c r="F46" s="20"/>
      <c r="G46" s="33"/>
      <c r="H46" s="46"/>
      <c r="I46" s="34"/>
      <c r="J46" s="20"/>
      <c r="K46" s="33"/>
      <c r="L46" s="46"/>
      <c r="M46" s="34"/>
      <c r="N46" s="26"/>
      <c r="O46" s="47"/>
      <c r="P46" s="2"/>
    </row>
    <row r="47" spans="2:16" ht="15.75" customHeight="1" x14ac:dyDescent="0.2">
      <c r="B47" s="25"/>
      <c r="C47" s="3"/>
      <c r="D47" s="3"/>
      <c r="E47" s="3"/>
      <c r="F47" s="3"/>
      <c r="G47" s="3"/>
      <c r="H47" s="3"/>
      <c r="I47" s="3"/>
      <c r="J47" s="3"/>
      <c r="K47" s="29" t="s">
        <v>51</v>
      </c>
      <c r="L47" s="29"/>
      <c r="M47" s="64">
        <f>IFERROR(INDEX(Employees[Nettolønn],Lønsslipp),"")</f>
        <v>678.83999999999992</v>
      </c>
      <c r="N47" s="26"/>
      <c r="O47" s="47"/>
      <c r="P47" s="2"/>
    </row>
    <row r="48" spans="2:16" ht="10.5" customHeight="1" thickBot="1" x14ac:dyDescent="0.25">
      <c r="B48" s="2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8"/>
      <c r="O48" s="47"/>
      <c r="P48" s="2"/>
    </row>
    <row r="49" ht="15" customHeight="1" x14ac:dyDescent="0.2"/>
  </sheetData>
  <mergeCells count="20">
    <mergeCell ref="H3:I3"/>
    <mergeCell ref="H15:I15"/>
    <mergeCell ref="H27:I27"/>
    <mergeCell ref="H39:I39"/>
    <mergeCell ref="L39:M39"/>
    <mergeCell ref="L27:M27"/>
    <mergeCell ref="L15:M15"/>
    <mergeCell ref="L3:M3"/>
    <mergeCell ref="D3:E3"/>
    <mergeCell ref="D15:E15"/>
    <mergeCell ref="D27:E27"/>
    <mergeCell ref="D39:E39"/>
    <mergeCell ref="C45:D45"/>
    <mergeCell ref="C9:D9"/>
    <mergeCell ref="C10:D10"/>
    <mergeCell ref="C46:D46"/>
    <mergeCell ref="C33:D33"/>
    <mergeCell ref="C34:D34"/>
    <mergeCell ref="C21:D21"/>
    <mergeCell ref="C22:D22"/>
  </mergeCells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845882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2012-06-28T22:28:01+00:00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330072</Value>
    </PublishStatusLookup>
    <APAuthor xmlns="e3770583-0a95-488a-909d-acf753acc1f4">
      <UserInfo>
        <DisplayName/>
        <AccountId>2566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 xsi:nil="true"/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false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>TEMPLATE ON HOLD! DO NOT PUBLISH! BlockPublish set by REDMOND\dduffy!</UALocComments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Spreadsheet Template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TP102929976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219A9-5E77-40E8-852C-40B3EEEDF291}"/>
</file>

<file path=customXml/itemProps2.xml><?xml version="1.0" encoding="utf-8"?>
<ds:datastoreItem xmlns:ds="http://schemas.openxmlformats.org/officeDocument/2006/customXml" ds:itemID="{E16B4335-69EE-4932-AE69-C68F7AAA65E7}"/>
</file>

<file path=customXml/itemProps3.xml><?xml version="1.0" encoding="utf-8"?>
<ds:datastoreItem xmlns:ds="http://schemas.openxmlformats.org/officeDocument/2006/customXml" ds:itemID="{9BCD2588-C7BB-4B25-8367-5D47EF0EA4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6</vt:i4>
      </vt:variant>
    </vt:vector>
  </HeadingPairs>
  <TitlesOfParts>
    <vt:vector size="8" baseType="lpstr">
      <vt:lpstr>Lønnsregistrering</vt:lpstr>
      <vt:lpstr>stubs_template</vt:lpstr>
      <vt:lpstr>CompanyName</vt:lpstr>
      <vt:lpstr>CurrentEmp</vt:lpstr>
      <vt:lpstr>PeriodEnding</vt:lpstr>
      <vt:lpstr>StubStruc</vt:lpstr>
      <vt:lpstr>ThePage</vt:lpstr>
      <vt:lpstr>Lønnsregistrering!Utskriftstitler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2012-09-12T09:45:58Z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5907200</vt:r8>
  </property>
  <property fmtid="{D5CDD505-2E9C-101B-9397-08002B2CF9AE}" pid="13" name="Applications">
    <vt:lpwstr/>
  </property>
</Properties>
</file>