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15"/>
  <workbookPr filterPrivacy="1" autoCompressPictures="0"/>
  <xr:revisionPtr revIDLastSave="0" documentId="13_ncr:1_{B179F4DB-BEB6-4AA9-B3AF-8E717B47B160}" xr6:coauthVersionLast="45" xr6:coauthVersionMax="45" xr10:uidLastSave="{00000000-0000-0000-0000-000000000000}"/>
  <bookViews>
    <workbookView xWindow="-120" yWindow="-120" windowWidth="28980" windowHeight="16215" xr2:uid="{00000000-000D-0000-FFFF-FFFF00000000}"/>
  </bookViews>
  <sheets>
    <sheet name="Pradžia" sheetId="2" r:id="rId1"/>
    <sheet name="Metų kalendorius" sheetId="1" r:id="rId2"/>
  </sheets>
  <definedNames>
    <definedName name="BalSek1">DATE(KalendoriniaiMetai,4,1)-WEEKDAY(DATE(KalendoriniaiMetai,4,1))+1</definedName>
    <definedName name="BirSek1">DATE(KalendoriniaiMetai,6,1)-WEEKDAY(DATE(KalendoriniaiMetai,6,1))+1</definedName>
    <definedName name="GegSek1">DATE(KalendoriniaiMetai,5,1)-WEEKDAY(DATE(KalendoriniaiMetai,5,1))+1</definedName>
    <definedName name="GrdSek1">DATE(KalendoriniaiMetai,12,1)-WEEKDAY(DATE(KalendoriniaiMetai,12,1))+1</definedName>
    <definedName name="KalendoriniaiMetai">'Metų kalendorius'!$C$1</definedName>
    <definedName name="KovSek1">DATE(KalendoriniaiMetai,3,1)-WEEKDAY(DATE(KalendoriniaiMetai,3,1))+1</definedName>
    <definedName name="LapSek1">DATE(KalendoriniaiMetai,11,1)-WEEKDAY(DATE(KalendoriniaiMetai,11,1))+1</definedName>
    <definedName name="LieSek1">DATE(KalendoriniaiMetai,7,1)-WEEKDAY(DATE(KalendoriniaiMetai,7,1))+1</definedName>
    <definedName name="_xlnm.Print_Area" localSheetId="1">'Metų kalendorius'!$B$1:$W$55</definedName>
    <definedName name="RgpSek1">DATE(KalendoriniaiMetai,8,1)-WEEKDAY(DATE(KalendoriniaiMetai,8,1))+1</definedName>
    <definedName name="RgsSek1">DATE(KalendoriniaiMetai,9,1)-WEEKDAY(DATE(KalendoriniaiMetai,9,1))+1</definedName>
    <definedName name="SauSek1">DATE(KalendoriniaiMetai,1,1)-WEEKDAY(DATE(KalendoriniaiMetai,1,1))+1</definedName>
    <definedName name="SpaSek1">DATE(KalendoriniaiMetai,10,1)-WEEKDAY(DATE(KalendoriniaiMetai,10,1))+1</definedName>
    <definedName name="VasSek1">DATE(KalendoriniaiMetai,2,1)-WEEKDAY(DATE(KalendoriniaiMetai,2,1))+1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<sst xmlns="http://schemas.openxmlformats.org/spreadsheetml/2006/main" count="135" uniqueCount="58">
  <si>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APIE ŠĮ ŠABLONĄ</t>
  </si>
  <si>
    <t>Naudokite šį šabloną norėdami sukurti asmeninį bet kurių metų smulkiojo verslo kalendorių.</t>
  </si>
  <si>
    <t>Įveskite įmonės pavadinimą ir kontaktinę informaciją ir pridėkite įmonės logotipą.</t>
  </si>
  <si>
    <t>Pasirinkite metus ir įveskite svarbias datas bei įvykius.</t>
  </si>
  <si>
    <t>Pastaba. </t>
  </si>
  <si>
    <t xml:space="preserve">Papildomos instrukcijos pateikiamos darbalapio METŲ KALENDORIUS A stulpelyje. Šis tekstas buvo specialiai paslėptas. Norėdami pašalinti tekstą, pasirinkite A stulpelį, tada pasirinkite NAIKINTI. </t>
  </si>
  <si>
    <t>Šiame darbalapyje sukurkite bet kurių metų smulkiojo verslo kalendorių. Naudingi patarimai, kaip naudoti šį darbalapį, pateikti šio stulpelio langeliuose. Pasirinkite suktuką dešinėje esančiame langelyje, kad pakeistumėte metus langelyje C1. Žyma Svarbios datos yra langelyje U1</t>
  </si>
  <si>
    <t>Patarimas pateikiamas langelyje dešinėje</t>
  </si>
  <si>
    <t>Pasirinktų metų kalendorius yra langeliuose C3–Q55, sausio kalendorius yra langeliuose C4–I10, o vasario kalendorius – langeliuose K4–Q10. Sausio žyma yra langelyje C3, o vasario – langelyje K3. Įveskite svarbias datas ir įvykius langeliuose U3–U42</t>
  </si>
  <si>
    <t>Sausio kalendoriaus lentelė yra langeliuose C4–I10, o vasario kalendoriaus lentelė – langeliuose K4–Q10. Kitas nurodymas yra langelyje A12</t>
  </si>
  <si>
    <t>Kovo žyma yra langelyje C12, o balandžio – langelyje K12</t>
  </si>
  <si>
    <t>Kovo kalendoriaus lentelė yra langeliuose C13–I19, o balandžio kalendoriaus lentelė – langeliuose K13–Q19. Kitas nurodymas yra langelyje A21</t>
  </si>
  <si>
    <t>Gegužės žyma yra langelyje C21, o birželio – langelyje K21</t>
  </si>
  <si>
    <t>Gegužės kalendoriaus lentelė yra langeliuose C22–I28, o birželio kalendoriaus lentelė – langeliuose K22–Q28. Kitas nurodymas yra langelyje A30</t>
  </si>
  <si>
    <t>Liepos žyma yra langelyje C30, o rugpjūčio – langelyje K30</t>
  </si>
  <si>
    <t>Liepos kalendoriaus lentelė yra langeliuose C31–I37, o rugpjūčio kalendoriaus lentelė – langeliuose K31–Q37. Kitas nurodymas yra langelyje A39</t>
  </si>
  <si>
    <t>Rugsėjo žyma yra langelyje C39, o spalio – langelyje K39</t>
  </si>
  <si>
    <t>Rugsėjo kalendoriaus lentelė yra langeliuose C40–I46, o spalio kalendoriaus – langeliuose K40–Q46. Kitas nurodymas yra langelyje A44</t>
  </si>
  <si>
    <t>Įveskite adresą langelyje U44</t>
  </si>
  <si>
    <t>Įveskite miestą, valstybę ir pašto kodą langelyje U45. Kitas nurodymas yra langelyje A47</t>
  </si>
  <si>
    <t>Įveskite įmonės telefono numerį langelyje U47</t>
  </si>
  <si>
    <t>Lapkričio žyma yra langelyje C48, o gruodžio – langelyje K48. Įveskite el. pašto adresą langelyje U48</t>
  </si>
  <si>
    <t>Lapkričio kalendoriaus lentelė yra langeliuose C49–I55, o gruodžio kalendoriaus – langeliuose K49–Q55. Kitas nurodymas yra langelyje A51</t>
  </si>
  <si>
    <t>Pridėkite įmonės logotipą langelyje U51</t>
  </si>
  <si>
    <t>Norėdami pakeisti kalendoriaus metus, naudokite suktuką</t>
  </si>
  <si>
    <t>SAUSIS</t>
  </si>
  <si>
    <t>PR</t>
  </si>
  <si>
    <t>KOVAS</t>
  </si>
  <si>
    <t>GEGUŽĖ</t>
  </si>
  <si>
    <t>LIEPA</t>
  </si>
  <si>
    <t>RUGSĖJIS</t>
  </si>
  <si>
    <t>LAPKRITIS</t>
  </si>
  <si>
    <t>AN</t>
  </si>
  <si>
    <t>TR</t>
  </si>
  <si>
    <t>KT</t>
  </si>
  <si>
    <t>PN</t>
  </si>
  <si>
    <t>ŠT</t>
  </si>
  <si>
    <t>SK</t>
  </si>
  <si>
    <t>VASARIS</t>
  </si>
  <si>
    <t>BALANDIS</t>
  </si>
  <si>
    <t>BIRŽELIS</t>
  </si>
  <si>
    <t>RUGPJŪTIS</t>
  </si>
  <si>
    <t>SPALIS</t>
  </si>
  <si>
    <t>GRUODIS</t>
  </si>
  <si>
    <t>SVARBIOS DATOS</t>
  </si>
  <si>
    <t>SAUSIO 1 D.</t>
  </si>
  <si>
    <t>NAUJŲJŲ METŲ DIENA</t>
  </si>
  <si>
    <t>VASARIO 14 D.</t>
  </si>
  <si>
    <t>VALENTINO DIENA</t>
  </si>
  <si>
    <t>VASARIO 22 D.</t>
  </si>
  <si>
    <t>KLASĖS VALANDĖLĖ</t>
  </si>
  <si>
    <t>Gatvė ir namo numeris</t>
  </si>
  <si>
    <t>Miestas, valstybė, pašto kodas</t>
  </si>
  <si>
    <t>Telefonas</t>
  </si>
  <si>
    <t>El. paštas</t>
  </si>
  <si>
    <t>Svetainė</t>
  </si>
  <si>
    <t>Šiame langelyje yra logotipo vietos rezervavimo ženklas.</t>
  </si>
  <si>
    <t>Norėdami sužinoti daugiau apie lenteles, lentelėje paspauskite SHIFT, tada – F10, pasirinkite parinktį LENTELĖ, tada pasirinkite ALTERNATYVUS TEKSTAS.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</si>
</sst>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
    <numFmt numFmtId="167" formatCode="_([$EUR]\ * #,##0.00_);_([$EUR]\ * \(#,##0.00\);_([$EUR]\ * &quot;-&quot;??_);_(@_)"/>
    <numFmt numFmtId="168" formatCode="_([$EUR]\ * #,##0_);_([$EUR]\ * \(#,##0\);_([$EUR]\ * &quot;-&quot;_);_(@_)"/>
    <numFmt numFmtId="169" formatCode="d"/>
  </numFmts>
  <fonts count="36"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8" fillId="0" borderId="2" applyNumberFormat="0" applyFill="0" applyAlignment="0" applyProtection="0"/>
    <xf numFmtId="165"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5" applyNumberFormat="0" applyAlignment="0" applyProtection="0"/>
    <xf numFmtId="0" fontId="29" fillId="8" borderId="6" applyNumberFormat="0" applyAlignment="0" applyProtection="0"/>
    <xf numFmtId="0" fontId="30" fillId="8" borderId="5" applyNumberFormat="0" applyAlignment="0" applyProtection="0"/>
    <xf numFmtId="0" fontId="31" fillId="0" borderId="7" applyNumberFormat="0" applyFill="0" applyAlignment="0" applyProtection="0"/>
    <xf numFmtId="0" fontId="32" fillId="9" borderId="8" applyNumberFormat="0" applyAlignment="0" applyProtection="0"/>
    <xf numFmtId="0" fontId="33" fillId="0" borderId="0" applyNumberFormat="0" applyFill="0" applyBorder="0" applyAlignment="0" applyProtection="0"/>
    <xf numFmtId="0" fontId="21" fillId="10" borderId="9" applyNumberFormat="0" applyFont="0" applyAlignment="0" applyProtection="0"/>
    <xf numFmtId="0" fontId="34" fillId="0" borderId="0" applyNumberFormat="0" applyFill="0" applyBorder="0" applyAlignment="0" applyProtection="0"/>
    <xf numFmtId="0" fontId="19" fillId="0" borderId="10" applyNumberFormat="0" applyFill="0" applyAlignment="0" applyProtection="0"/>
    <xf numFmtId="0" fontId="3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xf numFmtId="49" fontId="11" fillId="0" borderId="0" xfId="0" applyNumberFormat="1" applyFont="1"/>
    <xf numFmtId="49" fontId="0" fillId="0" borderId="0" xfId="0" applyNumberFormat="1" applyAlignment="1">
      <alignment horizontal="left"/>
    </xf>
    <xf numFmtId="49" fontId="12" fillId="0" borderId="0" xfId="0" applyNumberFormat="1" applyFont="1" applyAlignment="1">
      <alignment horizontal="left"/>
    </xf>
    <xf numFmtId="0" fontId="0" fillId="3" borderId="0" xfId="0" applyFill="1"/>
    <xf numFmtId="0" fontId="7" fillId="3" borderId="0" xfId="0" applyFont="1" applyFill="1" applyAlignment="1">
      <alignment vertical="center"/>
    </xf>
    <xf numFmtId="0" fontId="8" fillId="3" borderId="0" xfId="0" applyFont="1" applyFill="1"/>
    <xf numFmtId="0" fontId="9" fillId="3" borderId="0" xfId="0" applyFont="1" applyFill="1" applyAlignment="1">
      <alignment vertical="center"/>
    </xf>
    <xf numFmtId="49" fontId="15" fillId="0" borderId="1" xfId="0" applyNumberFormat="1" applyFont="1" applyBorder="1"/>
    <xf numFmtId="49" fontId="15" fillId="0" borderId="0" xfId="0" applyNumberFormat="1" applyFont="1"/>
    <xf numFmtId="49" fontId="16" fillId="0" borderId="0" xfId="0" applyNumberFormat="1" applyFont="1" applyAlignment="1">
      <alignment horizontal="left"/>
    </xf>
    <xf numFmtId="0" fontId="17" fillId="0" borderId="0" xfId="0" applyFont="1" applyAlignment="1">
      <alignment horizontal="center"/>
    </xf>
    <xf numFmtId="0" fontId="4" fillId="0" borderId="0" xfId="0" applyFont="1" applyAlignment="1">
      <alignment vertical="center" wrapText="1"/>
    </xf>
    <xf numFmtId="0" fontId="20" fillId="3" borderId="0" xfId="1" applyFont="1" applyFill="1" applyBorder="1" applyAlignment="1">
      <alignment horizontal="center" vertical="center"/>
    </xf>
    <xf numFmtId="0" fontId="19"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0" fontId="6" fillId="0" borderId="0" xfId="0" applyFont="1"/>
    <xf numFmtId="0" fontId="0" fillId="0" borderId="0" xfId="0" applyAlignment="1">
      <alignment horizontal="center"/>
    </xf>
    <xf numFmtId="0" fontId="10" fillId="0" borderId="0" xfId="0" applyFont="1"/>
    <xf numFmtId="0" fontId="0" fillId="2" borderId="0" xfId="0" applyFill="1"/>
    <xf numFmtId="169" fontId="0" fillId="0" borderId="0" xfId="0" applyNumberFormat="1" applyAlignment="1">
      <alignment horizontal="center"/>
    </xf>
    <xf numFmtId="0" fontId="0" fillId="0" borderId="0" xfId="0" applyAlignment="1">
      <alignment horizontal="center"/>
    </xf>
    <xf numFmtId="0" fontId="14" fillId="0" borderId="0" xfId="0" applyFont="1" applyAlignment="1">
      <alignment horizontal="left"/>
    </xf>
    <xf numFmtId="0" fontId="7" fillId="3" borderId="0" xfId="0" applyFont="1" applyFill="1" applyAlignment="1">
      <alignment horizontal="left" vertical="center"/>
    </xf>
    <xf numFmtId="166" fontId="0" fillId="0" borderId="0" xfId="0" applyNumberFormat="1" applyAlignment="1">
      <alignment horizontal="center"/>
    </xf>
    <xf numFmtId="0" fontId="13" fillId="0" borderId="0" xfId="0" applyFont="1" applyAlignment="1">
      <alignment horizontal="left" vertical="center" indent="2"/>
    </xf>
    <xf numFmtId="0" fontId="1" fillId="0" borderId="0" xfId="0" applyFont="1" applyAlignment="1">
      <alignment vertical="center" wrapText="1"/>
    </xf>
  </cellXfs>
  <cellStyles count="47">
    <cellStyle name="1 antraštė" xfId="8" builtinId="16" customBuiltin="1"/>
    <cellStyle name="2 antraštė" xfId="1" builtinId="17" customBuiltin="1"/>
    <cellStyle name="20% – paryškinimas 1" xfId="24" builtinId="30" customBuiltin="1"/>
    <cellStyle name="20% – paryškinimas 2" xfId="28" builtinId="34" customBuiltin="1"/>
    <cellStyle name="20% – paryškinimas 3" xfId="32" builtinId="38" customBuiltin="1"/>
    <cellStyle name="20% – paryškinimas 4" xfId="36" builtinId="42" customBuiltin="1"/>
    <cellStyle name="20% – paryškinimas 5" xfId="40" builtinId="46" customBuiltin="1"/>
    <cellStyle name="20% – paryškinimas 6" xfId="44" builtinId="50" customBuiltin="1"/>
    <cellStyle name="3 antraštė" xfId="9" builtinId="18" customBuiltin="1"/>
    <cellStyle name="4 antraštė" xfId="10" builtinId="19" customBuiltin="1"/>
    <cellStyle name="40% – paryškinimas 1" xfId="25" builtinId="31" customBuiltin="1"/>
    <cellStyle name="40% – paryškinimas 2" xfId="29" builtinId="35" customBuiltin="1"/>
    <cellStyle name="40% – paryškinimas 3" xfId="33" builtinId="39" customBuiltin="1"/>
    <cellStyle name="40% – paryškinimas 4" xfId="37" builtinId="43" customBuiltin="1"/>
    <cellStyle name="40% – paryškinimas 5" xfId="41" builtinId="47" customBuiltin="1"/>
    <cellStyle name="40% – paryškinimas 6" xfId="45" builtinId="51" customBuiltin="1"/>
    <cellStyle name="60% – paryškinimas 1" xfId="26" builtinId="32" customBuiltin="1"/>
    <cellStyle name="60% – paryškinimas 2" xfId="30" builtinId="36" customBuiltin="1"/>
    <cellStyle name="60% – paryškinimas 3" xfId="34" builtinId="40" customBuiltin="1"/>
    <cellStyle name="60% – paryškinimas 4" xfId="38" builtinId="44" customBuiltin="1"/>
    <cellStyle name="60% – paryškinimas 5" xfId="42" builtinId="48" customBuiltin="1"/>
    <cellStyle name="60% – paryškinimas 6" xfId="46" builtinId="52" customBuiltin="1"/>
    <cellStyle name="Aiškinamasis tekstas" xfId="21" builtinId="53" customBuiltin="1"/>
    <cellStyle name="Blogas" xfId="12" builtinId="27" customBuiltin="1"/>
    <cellStyle name="Geras" xfId="11" builtinId="26" customBuiltin="1"/>
    <cellStyle name="Įprastas" xfId="0" builtinId="0" customBuiltin="1"/>
    <cellStyle name="Įspėjimo tekstas" xfId="19" builtinId="11" customBuiltin="1"/>
    <cellStyle name="Išvestis" xfId="15" builtinId="21" customBuiltin="1"/>
    <cellStyle name="Įvestis" xfId="14" builtinId="20" customBuiltin="1"/>
    <cellStyle name="Kablelis" xfId="2" builtinId="3" customBuiltin="1"/>
    <cellStyle name="Kablelis [0]" xfId="3" builtinId="6" customBuiltin="1"/>
    <cellStyle name="Neutralus" xfId="13" builtinId="28" customBuiltin="1"/>
    <cellStyle name="Paryškinimas 1" xfId="23" builtinId="29" customBuiltin="1"/>
    <cellStyle name="Paryškinimas 2" xfId="27" builtinId="33" customBuiltin="1"/>
    <cellStyle name="Paryškinimas 3" xfId="31" builtinId="37" customBuiltin="1"/>
    <cellStyle name="Paryškinimas 4" xfId="35" builtinId="41" customBuiltin="1"/>
    <cellStyle name="Paryškinimas 5" xfId="39" builtinId="45" customBuiltin="1"/>
    <cellStyle name="Paryškinimas 6" xfId="43" builtinId="49" customBuiltin="1"/>
    <cellStyle name="Pastaba" xfId="20" builtinId="10" customBuiltin="1"/>
    <cellStyle name="Pavadinimas" xfId="7" builtinId="15" customBuiltin="1"/>
    <cellStyle name="Procentai" xfId="6" builtinId="5" customBuiltin="1"/>
    <cellStyle name="Skaičiavimas" xfId="16" builtinId="22" customBuiltin="1"/>
    <cellStyle name="Suma" xfId="22" builtinId="25" customBuiltin="1"/>
    <cellStyle name="Susietas langelis" xfId="17" builtinId="24" customBuiltin="1"/>
    <cellStyle name="Tikrinimo langelis" xfId="18" builtinId="23" customBuiltin="1"/>
    <cellStyle name="Valiuta" xfId="4" builtinId="4" customBuiltin="1"/>
    <cellStyle name="Valiuta [0]" xfId="5" builtinId="7" customBuiltin="1"/>
  </cellStyles>
  <dxfs count="108">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682625</xdr:colOff>
      <xdr:row>47</xdr:row>
      <xdr:rowOff>66674</xdr:rowOff>
    </xdr:to>
    <xdr:pic>
      <xdr:nvPicPr>
        <xdr:cNvPr id="2" name="Lapai" descr="Šeši lapai, padėti poromis ir atskirai įvairiais atstumais">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uktukas" descr="Naudodami suktuko mygtuką pakeiskite kalendoriaus metus arba įveskite metus langelyje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tipas" descr="Įmonės logotipo įtraukimo vietos rezervavimo ženkla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Rugsėjis" displayName="Rugsėjis" ref="C40:I46" totalsRowShown="0" headerRowDxfId="107" dataDxfId="106">
  <autoFilter ref="C40:I4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PR" dataDxfId="105"/>
    <tableColumn id="2" xr3:uid="{00000000-0010-0000-0000-000002000000}" name="AN" dataDxfId="104"/>
    <tableColumn id="3" xr3:uid="{00000000-0010-0000-0000-000003000000}" name="TR" dataDxfId="103"/>
    <tableColumn id="4" xr3:uid="{00000000-0010-0000-0000-000004000000}" name="KT" dataDxfId="102"/>
    <tableColumn id="5" xr3:uid="{00000000-0010-0000-0000-000005000000}" name="PN" dataDxfId="101"/>
    <tableColumn id="6" xr3:uid="{00000000-0010-0000-0000-000006000000}" name="ŠT" dataDxfId="100"/>
    <tableColumn id="7" xr3:uid="{00000000-0010-0000-0000-000007000000}" name="SK" dataDxfId="99"/>
  </tableColumns>
  <tableStyleInfo showFirstColumn="0" showLastColumn="0" showRowStripes="0" showColumnStripes="0"/>
  <extLst>
    <ext xmlns:x14="http://schemas.microsoft.com/office/spreadsheetml/2009/9/main" uri="{504A1905-F514-4f6f-8877-14C23A59335A}">
      <x14:table altTextSummary="Rugsėjo kalendorius šioje lentelėje automatiškai atnaujinamas savaitės dienų pavadinimais ir datomi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Balandis" displayName="Balandis" ref="K13:Q19" totalsRowShown="0" headerRowDxfId="26" dataDxfId="25">
  <autoFilter ref="K13:Q19" xr:uid="{00000000-0009-0000-0100-00001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PR" dataDxfId="24"/>
    <tableColumn id="2" xr3:uid="{00000000-0010-0000-0900-000002000000}" name="AN" dataDxfId="23"/>
    <tableColumn id="3" xr3:uid="{00000000-0010-0000-0900-000003000000}" name="TR" dataDxfId="22"/>
    <tableColumn id="4" xr3:uid="{00000000-0010-0000-0900-000004000000}" name="KT" dataDxfId="21"/>
    <tableColumn id="5" xr3:uid="{00000000-0010-0000-0900-000005000000}" name="PN" dataDxfId="20"/>
    <tableColumn id="6" xr3:uid="{00000000-0010-0000-0900-000006000000}" name="ŠT" dataDxfId="19"/>
    <tableColumn id="7" xr3:uid="{00000000-0010-0000-0900-000007000000}" name="SK" dataDxfId="18"/>
  </tableColumns>
  <tableStyleInfo showFirstColumn="0" showLastColumn="0" showRowStripes="0" showColumnStripes="0"/>
  <extLst>
    <ext xmlns:x14="http://schemas.microsoft.com/office/spreadsheetml/2009/9/main" uri="{504A1905-F514-4f6f-8877-14C23A59335A}">
      <x14:table altTextSummary="Balandžio kalendorius šioje lentelėje automatiškai atnaujinamas savaitės dienų pavadinimais ir datomi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Vasaris" displayName="Vasaris" ref="K4:Q10" totalsRowShown="0" headerRowDxfId="17" dataDxfId="16">
  <autoFilter ref="K4:Q10"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PR" dataDxfId="15"/>
    <tableColumn id="2" xr3:uid="{00000000-0010-0000-0A00-000002000000}" name="AN" dataDxfId="14"/>
    <tableColumn id="3" xr3:uid="{00000000-0010-0000-0A00-000003000000}" name="TR" dataDxfId="13"/>
    <tableColumn id="4" xr3:uid="{00000000-0010-0000-0A00-000004000000}" name="KT" dataDxfId="12"/>
    <tableColumn id="5" xr3:uid="{00000000-0010-0000-0A00-000005000000}" name="PN" dataDxfId="11"/>
    <tableColumn id="6" xr3:uid="{00000000-0010-0000-0A00-000006000000}" name="ŠT" dataDxfId="10"/>
    <tableColumn id="7" xr3:uid="{00000000-0010-0000-0A00-000007000000}" name="SK" dataDxfId="9"/>
  </tableColumns>
  <tableStyleInfo showFirstColumn="0" showLastColumn="0" showRowStripes="0" showColumnStripes="0"/>
  <extLst>
    <ext xmlns:x14="http://schemas.microsoft.com/office/spreadsheetml/2009/9/main" uri="{504A1905-F514-4f6f-8877-14C23A59335A}">
      <x14:table altTextSummary="Vasario kalendorius šioje lentelėje automatiškai atnaujinamas savaitės dienų pavadinimais ir datomi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Sausis" displayName="Sausis" ref="C4:I10" totalsRowShown="0" headerRowDxfId="8" dataDxfId="7">
  <autoFilter ref="C4:I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PR" dataDxfId="6"/>
    <tableColumn id="2" xr3:uid="{00000000-0010-0000-0B00-000002000000}" name="AN" dataDxfId="5"/>
    <tableColumn id="3" xr3:uid="{00000000-0010-0000-0B00-000003000000}" name="TR" dataDxfId="4"/>
    <tableColumn id="4" xr3:uid="{00000000-0010-0000-0B00-000004000000}" name="KT" dataDxfId="3"/>
    <tableColumn id="5" xr3:uid="{00000000-0010-0000-0B00-000005000000}" name="PN" dataDxfId="2"/>
    <tableColumn id="6" xr3:uid="{00000000-0010-0000-0B00-000006000000}" name="ŠT" dataDxfId="1"/>
    <tableColumn id="7" xr3:uid="{00000000-0010-0000-0B00-000007000000}" name="SK" dataDxfId="0"/>
  </tableColumns>
  <tableStyleInfo showFirstColumn="0" showLastColumn="0" showRowStripes="0" showColumnStripes="0"/>
  <extLst>
    <ext xmlns:x14="http://schemas.microsoft.com/office/spreadsheetml/2009/9/main" uri="{504A1905-F514-4f6f-8877-14C23A59335A}">
      <x14:table altTextSummary="Sausio kalendorius šioje lentelėje automatiškai atnaujinamas savaitės dienų pavadinimais ir datom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Spalis" displayName="Spalis" ref="K40:Q46" totalsRowShown="0" headerRowDxfId="98" dataDxfId="97">
  <autoFilter ref="K40:Q46"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PR" dataDxfId="96"/>
    <tableColumn id="2" xr3:uid="{00000000-0010-0000-0100-000002000000}" name="AN" dataDxfId="95"/>
    <tableColumn id="3" xr3:uid="{00000000-0010-0000-0100-000003000000}" name="TR" dataDxfId="94"/>
    <tableColumn id="4" xr3:uid="{00000000-0010-0000-0100-000004000000}" name="KT" dataDxfId="93"/>
    <tableColumn id="5" xr3:uid="{00000000-0010-0000-0100-000005000000}" name="PN" dataDxfId="92"/>
    <tableColumn id="6" xr3:uid="{00000000-0010-0000-0100-000006000000}" name="ŠT" dataDxfId="91"/>
    <tableColumn id="7" xr3:uid="{00000000-0010-0000-0100-000007000000}" name="SK" dataDxfId="90"/>
  </tableColumns>
  <tableStyleInfo showFirstColumn="0" showLastColumn="0" showRowStripes="0" showColumnStripes="0"/>
  <extLst>
    <ext xmlns:x14="http://schemas.microsoft.com/office/spreadsheetml/2009/9/main" uri="{504A1905-F514-4f6f-8877-14C23A59335A}">
      <x14:table altTextSummary="Spalio kalendorius šioje lentelėje automatiškai atnaujinamas savaitės dienų pavadinimais ir datomi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Gruodis" displayName="Gruodis" ref="K49:Q55" totalsRowShown="0" headerRowDxfId="89" dataDxfId="88">
  <autoFilter ref="K49:Q55"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PR" dataDxfId="87"/>
    <tableColumn id="2" xr3:uid="{00000000-0010-0000-0200-000002000000}" name="AN" dataDxfId="86"/>
    <tableColumn id="3" xr3:uid="{00000000-0010-0000-0200-000003000000}" name="TR" dataDxfId="85"/>
    <tableColumn id="4" xr3:uid="{00000000-0010-0000-0200-000004000000}" name="KT" dataDxfId="84"/>
    <tableColumn id="5" xr3:uid="{00000000-0010-0000-0200-000005000000}" name="PN" dataDxfId="83"/>
    <tableColumn id="6" xr3:uid="{00000000-0010-0000-0200-000006000000}" name="ŠT" dataDxfId="82"/>
    <tableColumn id="7" xr3:uid="{00000000-0010-0000-0200-000007000000}" name="SK" dataDxfId="81"/>
  </tableColumns>
  <tableStyleInfo showFirstColumn="0" showLastColumn="0" showRowStripes="0" showColumnStripes="0"/>
  <extLst>
    <ext xmlns:x14="http://schemas.microsoft.com/office/spreadsheetml/2009/9/main" uri="{504A1905-F514-4f6f-8877-14C23A59335A}">
      <x14:table altTextSummary="Gruodžio kalendorius šioje lentelėje automatiškai atnaujinamas savaitės dienų pavadinimais ir datomi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Lapkritis" displayName="Lapkritis" ref="C49:I55" totalsRowShown="0" headerRowDxfId="80" dataDxfId="79">
  <autoFilter ref="C49:I55" xr:uid="{00000000-0009-0000-0100-00000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PR" dataDxfId="78"/>
    <tableColumn id="2" xr3:uid="{00000000-0010-0000-0300-000002000000}" name="AN" dataDxfId="77"/>
    <tableColumn id="3" xr3:uid="{00000000-0010-0000-0300-000003000000}" name="TR" dataDxfId="76"/>
    <tableColumn id="4" xr3:uid="{00000000-0010-0000-0300-000004000000}" name="KT" dataDxfId="75"/>
    <tableColumn id="5" xr3:uid="{00000000-0010-0000-0300-000005000000}" name="PN" dataDxfId="74"/>
    <tableColumn id="6" xr3:uid="{00000000-0010-0000-0300-000006000000}" name="ŠT" dataDxfId="73"/>
    <tableColumn id="7" xr3:uid="{00000000-0010-0000-0300-000007000000}" name="SK" dataDxfId="72"/>
  </tableColumns>
  <tableStyleInfo showFirstColumn="0" showLastColumn="0" showRowStripes="0" showColumnStripes="0"/>
  <extLst>
    <ext xmlns:x14="http://schemas.microsoft.com/office/spreadsheetml/2009/9/main" uri="{504A1905-F514-4f6f-8877-14C23A59335A}">
      <x14:table altTextSummary="Lapkričio kalendorius šioje lentelėje automatiškai atnaujinamas savaitės dienų pavadinimais ir datomi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Rugpjūtis" displayName="Rugpjūtis" ref="K31:Q37" totalsRowShown="0" headerRowDxfId="71" dataDxfId="70">
  <autoFilter ref="K31:Q3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PR" dataDxfId="69"/>
    <tableColumn id="2" xr3:uid="{00000000-0010-0000-0400-000002000000}" name="AN" dataDxfId="68"/>
    <tableColumn id="3" xr3:uid="{00000000-0010-0000-0400-000003000000}" name="TR" dataDxfId="67"/>
    <tableColumn id="4" xr3:uid="{00000000-0010-0000-0400-000004000000}" name="KT" dataDxfId="66"/>
    <tableColumn id="5" xr3:uid="{00000000-0010-0000-0400-000005000000}" name="PN" dataDxfId="65"/>
    <tableColumn id="6" xr3:uid="{00000000-0010-0000-0400-000006000000}" name="ŠT" dataDxfId="64"/>
    <tableColumn id="7" xr3:uid="{00000000-0010-0000-0400-000007000000}" name="SK" dataDxfId="63"/>
  </tableColumns>
  <tableStyleInfo showFirstColumn="0" showLastColumn="0" showRowStripes="0" showColumnStripes="0"/>
  <extLst>
    <ext xmlns:x14="http://schemas.microsoft.com/office/spreadsheetml/2009/9/main" uri="{504A1905-F514-4f6f-8877-14C23A59335A}">
      <x14:table altTextSummary="Rugpjūčio kalendorius šioje lentelėje automatiškai atnaujinamas savaitės dienų pavadinimais ir datomi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Liepa" displayName="Liepa" ref="C31:I37" totalsRowShown="0" headerRowDxfId="62" dataDxfId="61">
  <autoFilter ref="C31:I37"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PR" dataDxfId="60"/>
    <tableColumn id="2" xr3:uid="{00000000-0010-0000-0500-000002000000}" name="AN" dataDxfId="59"/>
    <tableColumn id="3" xr3:uid="{00000000-0010-0000-0500-000003000000}" name="TR" dataDxfId="58"/>
    <tableColumn id="4" xr3:uid="{00000000-0010-0000-0500-000004000000}" name="KT" dataDxfId="57"/>
    <tableColumn id="5" xr3:uid="{00000000-0010-0000-0500-000005000000}" name="PN" dataDxfId="56"/>
    <tableColumn id="6" xr3:uid="{00000000-0010-0000-0500-000006000000}" name="ŠT" dataDxfId="55"/>
    <tableColumn id="7" xr3:uid="{00000000-0010-0000-0500-000007000000}" name="SK" dataDxfId="54"/>
  </tableColumns>
  <tableStyleInfo showFirstColumn="0" showLastColumn="0" showRowStripes="0" showColumnStripes="0"/>
  <extLst>
    <ext xmlns:x14="http://schemas.microsoft.com/office/spreadsheetml/2009/9/main" uri="{504A1905-F514-4f6f-8877-14C23A59335A}">
      <x14:table altTextSummary="Liepos kalendorius šioje lentelėje automatiškai atnaujinamas savaitės dienų pavadinimais ir datomi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Birželis" displayName="Birželis" ref="K22:Q28" totalsRowShown="0" headerRowDxfId="53" dataDxfId="52">
  <autoFilter ref="K22:Q28"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PR" dataDxfId="51"/>
    <tableColumn id="2" xr3:uid="{00000000-0010-0000-0600-000002000000}" name="AN" dataDxfId="50"/>
    <tableColumn id="3" xr3:uid="{00000000-0010-0000-0600-000003000000}" name="TR" dataDxfId="49"/>
    <tableColumn id="4" xr3:uid="{00000000-0010-0000-0600-000004000000}" name="KT" dataDxfId="48"/>
    <tableColumn id="5" xr3:uid="{00000000-0010-0000-0600-000005000000}" name="PN" dataDxfId="47"/>
    <tableColumn id="6" xr3:uid="{00000000-0010-0000-0600-000006000000}" name="ŠT" dataDxfId="46"/>
    <tableColumn id="7" xr3:uid="{00000000-0010-0000-0600-000007000000}" name="SK" dataDxfId="45"/>
  </tableColumns>
  <tableStyleInfo showFirstColumn="0" showLastColumn="0" showRowStripes="0" showColumnStripes="0"/>
  <extLst>
    <ext xmlns:x14="http://schemas.microsoft.com/office/spreadsheetml/2009/9/main" uri="{504A1905-F514-4f6f-8877-14C23A59335A}">
      <x14:table altTextSummary="Birželio kalendorius šioje lentelėje automatiškai atnaujinamas savaitės dienų pavadinimais ir datomi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Gegužė" displayName="Gegužė" ref="C22:I28" totalsRowShown="0" headerRowDxfId="44" dataDxfId="43">
  <autoFilter ref="C22:I2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PR" dataDxfId="42"/>
    <tableColumn id="2" xr3:uid="{00000000-0010-0000-0700-000002000000}" name="AN" dataDxfId="41"/>
    <tableColumn id="3" xr3:uid="{00000000-0010-0000-0700-000003000000}" name="TR" dataDxfId="40"/>
    <tableColumn id="4" xr3:uid="{00000000-0010-0000-0700-000004000000}" name="KT" dataDxfId="39"/>
    <tableColumn id="5" xr3:uid="{00000000-0010-0000-0700-000005000000}" name="PN" dataDxfId="38"/>
    <tableColumn id="6" xr3:uid="{00000000-0010-0000-0700-000006000000}" name="ŠT" dataDxfId="37"/>
    <tableColumn id="7" xr3:uid="{00000000-0010-0000-0700-000007000000}" name="SK" dataDxfId="36"/>
  </tableColumns>
  <tableStyleInfo showFirstColumn="0" showLastColumn="0" showRowStripes="0" showColumnStripes="0"/>
  <extLst>
    <ext xmlns:x14="http://schemas.microsoft.com/office/spreadsheetml/2009/9/main" uri="{504A1905-F514-4f6f-8877-14C23A59335A}">
      <x14:table altTextSummary="Gegužės kalendorius šioje lentelėje automatiškai atnaujinamas savaitės dienų pavadinimais ir datomi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Kovas" displayName="Kovas" ref="C13:I19" totalsRowShown="0" headerRowDxfId="35" dataDxfId="34">
  <autoFilter ref="C13:I19" xr:uid="{00000000-0009-0000-0100-00001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PR" dataDxfId="33"/>
    <tableColumn id="2" xr3:uid="{00000000-0010-0000-0800-000002000000}" name="AN" dataDxfId="32"/>
    <tableColumn id="3" xr3:uid="{00000000-0010-0000-0800-000003000000}" name="TR" dataDxfId="31"/>
    <tableColumn id="4" xr3:uid="{00000000-0010-0000-0800-000004000000}" name="KT" dataDxfId="30"/>
    <tableColumn id="5" xr3:uid="{00000000-0010-0000-0800-000005000000}" name="PN" dataDxfId="29"/>
    <tableColumn id="6" xr3:uid="{00000000-0010-0000-0800-000006000000}" name="ŠT" dataDxfId="28"/>
    <tableColumn id="7" xr3:uid="{00000000-0010-0000-0800-000007000000}" name="SK" dataDxfId="27"/>
  </tableColumns>
  <tableStyleInfo showFirstColumn="0" showLastColumn="0" showRowStripes="0" showColumnStripes="0"/>
  <extLst>
    <ext xmlns:x14="http://schemas.microsoft.com/office/spreadsheetml/2009/9/main" uri="{504A1905-F514-4f6f-8877-14C23A59335A}">
      <x14:table altTextSummary="Kovo kalendorius šioje lentelėje automatiškai atnaujinamas savaitės dienų pavadinimais ir datomi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B8"/>
  <sheetViews>
    <sheetView showGridLines="0" tabSelected="1" workbookViewId="0"/>
  </sheetViews>
  <sheetFormatPr defaultRowHeight="11.25" x14ac:dyDescent="0.2"/>
  <cols>
    <col min="1" max="1" width="2.83203125" customWidth="1"/>
    <col min="2" max="2" width="92.83203125" style="15" customWidth="1"/>
    <col min="3" max="3" width="2.83203125" customWidth="1"/>
  </cols>
  <sheetData>
    <row r="1" spans="2:2" ht="30" customHeight="1" x14ac:dyDescent="0.2">
      <c r="B1" s="13" t="s">
        <v>0</v>
      </c>
    </row>
    <row r="2" spans="2:2" ht="41.25" customHeight="1" x14ac:dyDescent="0.2">
      <c r="B2" s="12" t="s">
        <v>1</v>
      </c>
    </row>
    <row r="3" spans="2:2" ht="30" customHeight="1" x14ac:dyDescent="0.2">
      <c r="B3" s="12" t="s">
        <v>2</v>
      </c>
    </row>
    <row r="4" spans="2:2" ht="30" customHeight="1" x14ac:dyDescent="0.2">
      <c r="B4" s="12" t="s">
        <v>3</v>
      </c>
    </row>
    <row r="5" spans="2:2" ht="30" customHeight="1" x14ac:dyDescent="0.25">
      <c r="B5" s="14" t="s">
        <v>4</v>
      </c>
    </row>
    <row r="6" spans="2:2" ht="65.25" customHeight="1" x14ac:dyDescent="0.2">
      <c r="B6" s="19" t="s">
        <v>5</v>
      </c>
    </row>
    <row r="7" spans="2:2" ht="30" x14ac:dyDescent="0.2">
      <c r="B7" s="30" t="s">
        <v>57</v>
      </c>
    </row>
    <row r="8" spans="2:2" ht="15" x14ac:dyDescent="0.2">
      <c r="B8"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W69"/>
  <sheetViews>
    <sheetView showGridLines="0" zoomScaleNormal="100" workbookViewId="0"/>
  </sheetViews>
  <sheetFormatPr defaultColWidth="9.5" defaultRowHeight="11.25" x14ac:dyDescent="0.2"/>
  <cols>
    <col min="1" max="1" width="2.5" style="18" customWidth="1"/>
    <col min="2" max="2" width="5.1640625" customWidth="1"/>
    <col min="3" max="17" width="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23" ht="30" customHeight="1" x14ac:dyDescent="0.2">
      <c r="A1" s="16" t="s">
        <v>6</v>
      </c>
      <c r="B1" s="4"/>
      <c r="C1" s="27">
        <v>2020</v>
      </c>
      <c r="D1" s="27"/>
      <c r="E1" s="27"/>
      <c r="F1" s="27"/>
      <c r="G1" s="5"/>
      <c r="H1" s="6"/>
      <c r="I1" s="6"/>
      <c r="J1" s="6"/>
      <c r="K1" s="6"/>
      <c r="L1" s="6"/>
      <c r="M1" s="6"/>
      <c r="N1" s="6"/>
      <c r="O1" s="6"/>
      <c r="P1" s="6"/>
      <c r="Q1" s="6"/>
      <c r="R1" s="6"/>
      <c r="S1" s="4"/>
      <c r="T1" s="4"/>
      <c r="U1" s="7" t="s">
        <v>44</v>
      </c>
      <c r="V1" s="4"/>
      <c r="W1" s="4"/>
    </row>
    <row r="2" spans="1:23" ht="15" customHeight="1" x14ac:dyDescent="0.2">
      <c r="A2" s="17" t="s">
        <v>7</v>
      </c>
      <c r="B2" s="29" t="s">
        <v>24</v>
      </c>
      <c r="C2" s="29"/>
      <c r="D2" s="29"/>
      <c r="E2" s="29"/>
      <c r="F2" s="29"/>
      <c r="G2" s="29"/>
      <c r="H2" s="29"/>
      <c r="I2" s="29"/>
      <c r="J2" s="29"/>
      <c r="K2" s="29"/>
      <c r="L2" s="29"/>
      <c r="M2" s="29"/>
      <c r="S2" s="23"/>
    </row>
    <row r="3" spans="1:23" ht="15" customHeight="1" x14ac:dyDescent="0.25">
      <c r="A3" s="18" t="s">
        <v>8</v>
      </c>
      <c r="C3" s="26" t="s">
        <v>25</v>
      </c>
      <c r="D3" s="26"/>
      <c r="E3" s="26"/>
      <c r="F3" s="26"/>
      <c r="G3" s="26"/>
      <c r="H3" s="26"/>
      <c r="I3" s="26"/>
      <c r="J3" s="20"/>
      <c r="K3" s="26" t="s">
        <v>38</v>
      </c>
      <c r="L3" s="26"/>
      <c r="M3" s="26"/>
      <c r="N3" s="26"/>
      <c r="O3" s="26"/>
      <c r="P3" s="26"/>
      <c r="Q3" s="26"/>
      <c r="S3" s="23"/>
      <c r="U3" s="10" t="s">
        <v>45</v>
      </c>
      <c r="V3" s="25"/>
      <c r="W3" s="25"/>
    </row>
    <row r="4" spans="1:23" ht="15" customHeight="1" x14ac:dyDescent="0.2">
      <c r="A4" s="17" t="s">
        <v>9</v>
      </c>
      <c r="C4" s="11" t="s">
        <v>26</v>
      </c>
      <c r="D4" s="11" t="s">
        <v>32</v>
      </c>
      <c r="E4" s="11" t="s">
        <v>33</v>
      </c>
      <c r="F4" s="11" t="s">
        <v>34</v>
      </c>
      <c r="G4" s="11" t="s">
        <v>35</v>
      </c>
      <c r="H4" s="11" t="s">
        <v>36</v>
      </c>
      <c r="I4" s="11" t="s">
        <v>37</v>
      </c>
      <c r="J4" s="21"/>
      <c r="K4" s="11" t="s">
        <v>26</v>
      </c>
      <c r="L4" s="11" t="s">
        <v>32</v>
      </c>
      <c r="M4" s="11" t="s">
        <v>33</v>
      </c>
      <c r="N4" s="11" t="s">
        <v>34</v>
      </c>
      <c r="O4" s="11" t="s">
        <v>35</v>
      </c>
      <c r="P4" s="11" t="s">
        <v>36</v>
      </c>
      <c r="Q4" s="11" t="s">
        <v>37</v>
      </c>
      <c r="S4" s="23"/>
      <c r="U4" s="3" t="s">
        <v>46</v>
      </c>
      <c r="V4" s="25"/>
      <c r="W4" s="25"/>
    </row>
    <row r="5" spans="1:23" ht="15" customHeight="1" x14ac:dyDescent="0.2">
      <c r="A5" s="17"/>
      <c r="C5" s="24" t="str">
        <f>IF(DAY(SauSek1)=1,"",IF(AND(YEAR(SauSek1+1)=KalendoriniaiMetai,MONTH(SauSek1+1)=1),SauSek1+1,""))</f>
        <v/>
      </c>
      <c r="D5" s="24" t="str">
        <f>IF(DAY(SauSek1)=1,"",IF(AND(YEAR(SauSek1+2)=KalendoriniaiMetai,MONTH(SauSek1+2)=1),SauSek1+2,""))</f>
        <v/>
      </c>
      <c r="E5" s="24">
        <f>IF(DAY(SauSek1)=1,"",IF(AND(YEAR(SauSek1+3)=KalendoriniaiMetai,MONTH(SauSek1+3)=1),SauSek1+3,""))</f>
        <v>43831</v>
      </c>
      <c r="F5" s="24">
        <f>IF(DAY(SauSek1)=1,"",IF(AND(YEAR(SauSek1+4)=KalendoriniaiMetai,MONTH(SauSek1+4)=1),SauSek1+4,""))</f>
        <v>43832</v>
      </c>
      <c r="G5" s="24">
        <f>IF(DAY(SauSek1)=1,"",IF(AND(YEAR(SauSek1+5)=KalendoriniaiMetai,MONTH(SauSek1+5)=1),SauSek1+5,""))</f>
        <v>43833</v>
      </c>
      <c r="H5" s="24">
        <f>IF(DAY(SauSek1)=1,"",IF(AND(YEAR(SauSek1+6)=KalendoriniaiMetai,MONTH(SauSek1+6)=1),SauSek1+6,""))</f>
        <v>43834</v>
      </c>
      <c r="I5" s="24">
        <f>IF(DAY(SauSek1)=1,IF(AND(YEAR(SauSek1)=KalendoriniaiMetai,MONTH(SauSek1)=1),SauSek1,""),IF(AND(YEAR(SauSek1+7)=KalendoriniaiMetai,MONTH(SauSek1+7)=1),SauSek1+7,""))</f>
        <v>43835</v>
      </c>
      <c r="J5" s="21"/>
      <c r="K5" s="24" t="str">
        <f>IF(DAY(VasSek1)=1,"",IF(AND(YEAR(VasSek1+1)=KalendoriniaiMetai,MONTH(VasSek1+1)=2),VasSek1+1,""))</f>
        <v/>
      </c>
      <c r="L5" s="24" t="str">
        <f>IF(DAY(VasSek1)=1,"",IF(AND(YEAR(VasSek1+2)=KalendoriniaiMetai,MONTH(VasSek1+2)=2),VasSek1+2,""))</f>
        <v/>
      </c>
      <c r="M5" s="24" t="str">
        <f>IF(DAY(VasSek1)=1,"",IF(AND(YEAR(VasSek1+3)=KalendoriniaiMetai,MONTH(VasSek1+3)=2),VasSek1+3,""))</f>
        <v/>
      </c>
      <c r="N5" s="24" t="str">
        <f>IF(DAY(VasSek1)=1,"",IF(AND(YEAR(VasSek1+4)=KalendoriniaiMetai,MONTH(VasSek1+4)=2),VasSek1+4,""))</f>
        <v/>
      </c>
      <c r="O5" s="24" t="str">
        <f>IF(DAY(VasSek1)=1,"",IF(AND(YEAR(VasSek1+5)=KalendoriniaiMetai,MONTH(VasSek1+5)=2),VasSek1+5,""))</f>
        <v/>
      </c>
      <c r="P5" s="24">
        <f>IF(DAY(VasSek1)=1,"",IF(AND(YEAR(VasSek1+6)=KalendoriniaiMetai,MONTH(VasSek1+6)=2),VasSek1+6,""))</f>
        <v>43862</v>
      </c>
      <c r="Q5" s="24">
        <f>IF(DAY(VasSek1)=1,IF(AND(YEAR(VasSek1)=KalendoriniaiMetai,MONTH(VasSek1)=2),VasSek1,""),IF(AND(YEAR(VasSek1+7)=KalendoriniaiMetai,MONTH(VasSek1+7)=2),VasSek1+7,""))</f>
        <v>43863</v>
      </c>
      <c r="S5" s="23"/>
      <c r="U5" s="2"/>
      <c r="V5" s="25"/>
      <c r="W5" s="25"/>
    </row>
    <row r="6" spans="1:23" ht="15" customHeight="1" x14ac:dyDescent="0.2">
      <c r="A6" s="17"/>
      <c r="C6" s="24">
        <f>IF(DAY(SauSek1)=1,IF(AND(YEAR(SauSek1+1)=KalendoriniaiMetai,MONTH(SauSek1+1)=1),SauSek1+1,""),IF(AND(YEAR(SauSek1+8)=KalendoriniaiMetai,MONTH(SauSek1+8)=1),SauSek1+8,""))</f>
        <v>43836</v>
      </c>
      <c r="D6" s="24">
        <f>IF(DAY(SauSek1)=1,IF(AND(YEAR(SauSek1+2)=KalendoriniaiMetai,MONTH(SauSek1+2)=1),SauSek1+2,""),IF(AND(YEAR(SauSek1+9)=KalendoriniaiMetai,MONTH(SauSek1+9)=1),SauSek1+9,""))</f>
        <v>43837</v>
      </c>
      <c r="E6" s="24">
        <f>IF(DAY(SauSek1)=1,IF(AND(YEAR(SauSek1+3)=KalendoriniaiMetai,MONTH(SauSek1+3)=1),SauSek1+3,""),IF(AND(YEAR(SauSek1+10)=KalendoriniaiMetai,MONTH(SauSek1+10)=1),SauSek1+10,""))</f>
        <v>43838</v>
      </c>
      <c r="F6" s="24">
        <f>IF(DAY(SauSek1)=1,IF(AND(YEAR(SauSek1+4)=KalendoriniaiMetai,MONTH(SauSek1+4)=1),SauSek1+4,""),IF(AND(YEAR(SauSek1+11)=KalendoriniaiMetai,MONTH(SauSek1+11)=1),SauSek1+11,""))</f>
        <v>43839</v>
      </c>
      <c r="G6" s="24">
        <f>IF(DAY(SauSek1)=1,IF(AND(YEAR(SauSek1+5)=KalendoriniaiMetai,MONTH(SauSek1+5)=1),SauSek1+5,""),IF(AND(YEAR(SauSek1+12)=KalendoriniaiMetai,MONTH(SauSek1+12)=1),SauSek1+12,""))</f>
        <v>43840</v>
      </c>
      <c r="H6" s="24">
        <f>IF(DAY(SauSek1)=1,IF(AND(YEAR(SauSek1+6)=KalendoriniaiMetai,MONTH(SauSek1+6)=1),SauSek1+6,""),IF(AND(YEAR(SauSek1+13)=KalendoriniaiMetai,MONTH(SauSek1+13)=1),SauSek1+13,""))</f>
        <v>43841</v>
      </c>
      <c r="I6" s="24">
        <f>IF(DAY(SauSek1)=1,IF(AND(YEAR(SauSek1+7)=KalendoriniaiMetai,MONTH(SauSek1+7)=1),SauSek1+7,""),IF(AND(YEAR(SauSek1+14)=KalendoriniaiMetai,MONTH(SauSek1+14)=1),SauSek1+14,""))</f>
        <v>43842</v>
      </c>
      <c r="J6" s="21"/>
      <c r="K6" s="24">
        <f>IF(DAY(VasSek1)=1,IF(AND(YEAR(VasSek1+1)=KalendoriniaiMetai,MONTH(VasSek1+1)=2),VasSek1+1,""),IF(AND(YEAR(VasSek1+8)=KalendoriniaiMetai,MONTH(VasSek1+8)=2),VasSek1+8,""))</f>
        <v>43864</v>
      </c>
      <c r="L6" s="24">
        <f>IF(DAY(VasSek1)=1,IF(AND(YEAR(VasSek1+2)=KalendoriniaiMetai,MONTH(VasSek1+2)=2),VasSek1+2,""),IF(AND(YEAR(VasSek1+9)=KalendoriniaiMetai,MONTH(VasSek1+9)=2),VasSek1+9,""))</f>
        <v>43865</v>
      </c>
      <c r="M6" s="24">
        <f>IF(DAY(VasSek1)=1,IF(AND(YEAR(VasSek1+3)=KalendoriniaiMetai,MONTH(VasSek1+3)=2),VasSek1+3,""),IF(AND(YEAR(VasSek1+10)=KalendoriniaiMetai,MONTH(VasSek1+10)=2),VasSek1+10,""))</f>
        <v>43866</v>
      </c>
      <c r="N6" s="24">
        <f>IF(DAY(VasSek1)=1,IF(AND(YEAR(VasSek1+4)=KalendoriniaiMetai,MONTH(VasSek1+4)=2),VasSek1+4,""),IF(AND(YEAR(VasSek1+11)=KalendoriniaiMetai,MONTH(VasSek1+11)=2),VasSek1+11,""))</f>
        <v>43867</v>
      </c>
      <c r="O6" s="24">
        <f>IF(DAY(VasSek1)=1,IF(AND(YEAR(VasSek1+5)=KalendoriniaiMetai,MONTH(VasSek1+5)=2),VasSek1+5,""),IF(AND(YEAR(VasSek1+12)=KalendoriniaiMetai,MONTH(VasSek1+12)=2),VasSek1+12,""))</f>
        <v>43868</v>
      </c>
      <c r="P6" s="24">
        <f>IF(DAY(VasSek1)=1,IF(AND(YEAR(VasSek1+6)=KalendoriniaiMetai,MONTH(VasSek1+6)=2),VasSek1+6,""),IF(AND(YEAR(VasSek1+13)=KalendoriniaiMetai,MONTH(VasSek1+13)=2),VasSek1+13,""))</f>
        <v>43869</v>
      </c>
      <c r="Q6" s="24">
        <f>IF(DAY(VasSek1)=1,IF(AND(YEAR(VasSek1+7)=KalendoriniaiMetai,MONTH(VasSek1+7)=2),VasSek1+7,""),IF(AND(YEAR(VasSek1+14)=KalendoriniaiMetai,MONTH(VasSek1+14)=2),VasSek1+14,""))</f>
        <v>43870</v>
      </c>
      <c r="S6" s="23"/>
      <c r="U6" s="10" t="s">
        <v>47</v>
      </c>
      <c r="V6" s="25"/>
      <c r="W6" s="25"/>
    </row>
    <row r="7" spans="1:23" ht="15" customHeight="1" x14ac:dyDescent="0.2">
      <c r="C7" s="24">
        <f>IF(DAY(SauSek1)=1,IF(AND(YEAR(SauSek1+8)=KalendoriniaiMetai,MONTH(SauSek1+8)=1),SauSek1+8,""),IF(AND(YEAR(SauSek1+15)=KalendoriniaiMetai,MONTH(SauSek1+15)=1),SauSek1+15,""))</f>
        <v>43843</v>
      </c>
      <c r="D7" s="24">
        <f>IF(DAY(SauSek1)=1,IF(AND(YEAR(SauSek1+9)=KalendoriniaiMetai,MONTH(SauSek1+9)=1),SauSek1+9,""),IF(AND(YEAR(SauSek1+16)=KalendoriniaiMetai,MONTH(SauSek1+16)=1),SauSek1+16,""))</f>
        <v>43844</v>
      </c>
      <c r="E7" s="24">
        <f>IF(DAY(SauSek1)=1,IF(AND(YEAR(SauSek1+10)=KalendoriniaiMetai,MONTH(SauSek1+10)=1),SauSek1+10,""),IF(AND(YEAR(SauSek1+17)=KalendoriniaiMetai,MONTH(SauSek1+17)=1),SauSek1+17,""))</f>
        <v>43845</v>
      </c>
      <c r="F7" s="24">
        <f>IF(DAY(SauSek1)=1,IF(AND(YEAR(SauSek1+11)=KalendoriniaiMetai,MONTH(SauSek1+11)=1),SauSek1+11,""),IF(AND(YEAR(SauSek1+18)=KalendoriniaiMetai,MONTH(SauSek1+18)=1),SauSek1+18,""))</f>
        <v>43846</v>
      </c>
      <c r="G7" s="24">
        <f>IF(DAY(SauSek1)=1,IF(AND(YEAR(SauSek1+12)=KalendoriniaiMetai,MONTH(SauSek1+12)=1),SauSek1+12,""),IF(AND(YEAR(SauSek1+19)=KalendoriniaiMetai,MONTH(SauSek1+19)=1),SauSek1+19,""))</f>
        <v>43847</v>
      </c>
      <c r="H7" s="24">
        <f>IF(DAY(SauSek1)=1,IF(AND(YEAR(SauSek1+13)=KalendoriniaiMetai,MONTH(SauSek1+13)=1),SauSek1+13,""),IF(AND(YEAR(SauSek1+20)=KalendoriniaiMetai,MONTH(SauSek1+20)=1),SauSek1+20,""))</f>
        <v>43848</v>
      </c>
      <c r="I7" s="24">
        <f>IF(DAY(SauSek1)=1,IF(AND(YEAR(SauSek1+14)=KalendoriniaiMetai,MONTH(SauSek1+14)=1),SauSek1+14,""),IF(AND(YEAR(SauSek1+21)=KalendoriniaiMetai,MONTH(SauSek1+21)=1),SauSek1+21,""))</f>
        <v>43849</v>
      </c>
      <c r="J7" s="21"/>
      <c r="K7" s="24">
        <f>IF(DAY(VasSek1)=1,IF(AND(YEAR(VasSek1+8)=KalendoriniaiMetai,MONTH(VasSek1+8)=2),VasSek1+8,""),IF(AND(YEAR(VasSek1+15)=KalendoriniaiMetai,MONTH(VasSek1+15)=2),VasSek1+15,""))</f>
        <v>43871</v>
      </c>
      <c r="L7" s="24">
        <f>IF(DAY(VasSek1)=1,IF(AND(YEAR(VasSek1+9)=KalendoriniaiMetai,MONTH(VasSek1+9)=2),VasSek1+9,""),IF(AND(YEAR(VasSek1+16)=KalendoriniaiMetai,MONTH(VasSek1+16)=2),VasSek1+16,""))</f>
        <v>43872</v>
      </c>
      <c r="M7" s="24">
        <f>IF(DAY(VasSek1)=1,IF(AND(YEAR(VasSek1+10)=KalendoriniaiMetai,MONTH(VasSek1+10)=2),VasSek1+10,""),IF(AND(YEAR(VasSek1+17)=KalendoriniaiMetai,MONTH(VasSek1+17)=2),VasSek1+17,""))</f>
        <v>43873</v>
      </c>
      <c r="N7" s="24">
        <f>IF(DAY(VasSek1)=1,IF(AND(YEAR(VasSek1+11)=KalendoriniaiMetai,MONTH(VasSek1+11)=2),VasSek1+11,""),IF(AND(YEAR(VasSek1+18)=KalendoriniaiMetai,MONTH(VasSek1+18)=2),VasSek1+18,""))</f>
        <v>43874</v>
      </c>
      <c r="O7" s="24">
        <f>IF(DAY(VasSek1)=1,IF(AND(YEAR(VasSek1+12)=KalendoriniaiMetai,MONTH(VasSek1+12)=2),VasSek1+12,""),IF(AND(YEAR(VasSek1+19)=KalendoriniaiMetai,MONTH(VasSek1+19)=2),VasSek1+19,""))</f>
        <v>43875</v>
      </c>
      <c r="P7" s="24">
        <f>IF(DAY(VasSek1)=1,IF(AND(YEAR(VasSek1+13)=KalendoriniaiMetai,MONTH(VasSek1+13)=2),VasSek1+13,""),IF(AND(YEAR(VasSek1+20)=KalendoriniaiMetai,MONTH(VasSek1+20)=2),VasSek1+20,""))</f>
        <v>43876</v>
      </c>
      <c r="Q7" s="24">
        <f>IF(DAY(VasSek1)=1,IF(AND(YEAR(VasSek1+14)=KalendoriniaiMetai,MONTH(VasSek1+14)=2),VasSek1+14,""),IF(AND(YEAR(VasSek1+21)=KalendoriniaiMetai,MONTH(VasSek1+21)=2),VasSek1+21,""))</f>
        <v>43877</v>
      </c>
      <c r="S7" s="23"/>
      <c r="U7" s="3" t="s">
        <v>48</v>
      </c>
      <c r="V7" s="25"/>
      <c r="W7" s="25"/>
    </row>
    <row r="8" spans="1:23" ht="15" customHeight="1" x14ac:dyDescent="0.2">
      <c r="C8" s="24">
        <f>IF(DAY(SauSek1)=1,IF(AND(YEAR(SauSek1+15)=KalendoriniaiMetai,MONTH(SauSek1+15)=1),SauSek1+15,""),IF(AND(YEAR(SauSek1+22)=KalendoriniaiMetai,MONTH(SauSek1+22)=1),SauSek1+22,""))</f>
        <v>43850</v>
      </c>
      <c r="D8" s="24">
        <f>IF(DAY(SauSek1)=1,IF(AND(YEAR(SauSek1+16)=KalendoriniaiMetai,MONTH(SauSek1+16)=1),SauSek1+16,""),IF(AND(YEAR(SauSek1+23)=KalendoriniaiMetai,MONTH(SauSek1+23)=1),SauSek1+23,""))</f>
        <v>43851</v>
      </c>
      <c r="E8" s="24">
        <f>IF(DAY(SauSek1)=1,IF(AND(YEAR(SauSek1+17)=KalendoriniaiMetai,MONTH(SauSek1+17)=1),SauSek1+17,""),IF(AND(YEAR(SauSek1+24)=KalendoriniaiMetai,MONTH(SauSek1+24)=1),SauSek1+24,""))</f>
        <v>43852</v>
      </c>
      <c r="F8" s="24">
        <f>IF(DAY(SauSek1)=1,IF(AND(YEAR(SauSek1+18)=KalendoriniaiMetai,MONTH(SauSek1+18)=1),SauSek1+18,""),IF(AND(YEAR(SauSek1+25)=KalendoriniaiMetai,MONTH(SauSek1+25)=1),SauSek1+25,""))</f>
        <v>43853</v>
      </c>
      <c r="G8" s="24">
        <f>IF(DAY(SauSek1)=1,IF(AND(YEAR(SauSek1+19)=KalendoriniaiMetai,MONTH(SauSek1+19)=1),SauSek1+19,""),IF(AND(YEAR(SauSek1+26)=KalendoriniaiMetai,MONTH(SauSek1+26)=1),SauSek1+26,""))</f>
        <v>43854</v>
      </c>
      <c r="H8" s="24">
        <f>IF(DAY(SauSek1)=1,IF(AND(YEAR(SauSek1+20)=KalendoriniaiMetai,MONTH(SauSek1+20)=1),SauSek1+20,""),IF(AND(YEAR(SauSek1+27)=KalendoriniaiMetai,MONTH(SauSek1+27)=1),SauSek1+27,""))</f>
        <v>43855</v>
      </c>
      <c r="I8" s="24">
        <f>IF(DAY(SauSek1)=1,IF(AND(YEAR(SauSek1+21)=KalendoriniaiMetai,MONTH(SauSek1+21)=1),SauSek1+21,""),IF(AND(YEAR(SauSek1+28)=KalendoriniaiMetai,MONTH(SauSek1+28)=1),SauSek1+28,""))</f>
        <v>43856</v>
      </c>
      <c r="J8" s="21"/>
      <c r="K8" s="24">
        <f>IF(DAY(VasSek1)=1,IF(AND(YEAR(VasSek1+15)=KalendoriniaiMetai,MONTH(VasSek1+15)=2),VasSek1+15,""),IF(AND(YEAR(VasSek1+22)=KalendoriniaiMetai,MONTH(VasSek1+22)=2),VasSek1+22,""))</f>
        <v>43878</v>
      </c>
      <c r="L8" s="24">
        <f>IF(DAY(VasSek1)=1,IF(AND(YEAR(VasSek1+16)=KalendoriniaiMetai,MONTH(VasSek1+16)=2),VasSek1+16,""),IF(AND(YEAR(VasSek1+23)=KalendoriniaiMetai,MONTH(VasSek1+23)=2),VasSek1+23,""))</f>
        <v>43879</v>
      </c>
      <c r="M8" s="24">
        <f>IF(DAY(VasSek1)=1,IF(AND(YEAR(VasSek1+17)=KalendoriniaiMetai,MONTH(VasSek1+17)=2),VasSek1+17,""),IF(AND(YEAR(VasSek1+24)=KalendoriniaiMetai,MONTH(VasSek1+24)=2),VasSek1+24,""))</f>
        <v>43880</v>
      </c>
      <c r="N8" s="24">
        <f>IF(DAY(VasSek1)=1,IF(AND(YEAR(VasSek1+18)=KalendoriniaiMetai,MONTH(VasSek1+18)=2),VasSek1+18,""),IF(AND(YEAR(VasSek1+25)=KalendoriniaiMetai,MONTH(VasSek1+25)=2),VasSek1+25,""))</f>
        <v>43881</v>
      </c>
      <c r="O8" s="24">
        <f>IF(DAY(VasSek1)=1,IF(AND(YEAR(VasSek1+19)=KalendoriniaiMetai,MONTH(VasSek1+19)=2),VasSek1+19,""),IF(AND(YEAR(VasSek1+26)=KalendoriniaiMetai,MONTH(VasSek1+26)=2),VasSek1+26,""))</f>
        <v>43882</v>
      </c>
      <c r="P8" s="24">
        <f>IF(DAY(VasSek1)=1,IF(AND(YEAR(VasSek1+20)=KalendoriniaiMetai,MONTH(VasSek1+20)=2),VasSek1+20,""),IF(AND(YEAR(VasSek1+27)=KalendoriniaiMetai,MONTH(VasSek1+27)=2),VasSek1+27,""))</f>
        <v>43883</v>
      </c>
      <c r="Q8" s="24">
        <f>IF(DAY(VasSek1)=1,IF(AND(YEAR(VasSek1+21)=KalendoriniaiMetai,MONTH(VasSek1+21)=2),VasSek1+21,""),IF(AND(YEAR(VasSek1+28)=KalendoriniaiMetai,MONTH(VasSek1+28)=2),VasSek1+28,""))</f>
        <v>43884</v>
      </c>
      <c r="S8" s="23"/>
      <c r="U8" s="2"/>
      <c r="V8" s="25"/>
      <c r="W8" s="25"/>
    </row>
    <row r="9" spans="1:23" ht="15" customHeight="1" x14ac:dyDescent="0.2">
      <c r="C9" s="24">
        <f>IF(DAY(SauSek1)=1,IF(AND(YEAR(SauSek1+22)=KalendoriniaiMetai,MONTH(SauSek1+22)=1),SauSek1+22,""),IF(AND(YEAR(SauSek1+29)=KalendoriniaiMetai,MONTH(SauSek1+29)=1),SauSek1+29,""))</f>
        <v>43857</v>
      </c>
      <c r="D9" s="24">
        <f>IF(DAY(SauSek1)=1,IF(AND(YEAR(SauSek1+23)=KalendoriniaiMetai,MONTH(SauSek1+23)=1),SauSek1+23,""),IF(AND(YEAR(SauSek1+30)=KalendoriniaiMetai,MONTH(SauSek1+30)=1),SauSek1+30,""))</f>
        <v>43858</v>
      </c>
      <c r="E9" s="24">
        <f>IF(DAY(SauSek1)=1,IF(AND(YEAR(SauSek1+24)=KalendoriniaiMetai,MONTH(SauSek1+24)=1),SauSek1+24,""),IF(AND(YEAR(SauSek1+31)=KalendoriniaiMetai,MONTH(SauSek1+31)=1),SauSek1+31,""))</f>
        <v>43859</v>
      </c>
      <c r="F9" s="24">
        <f>IF(DAY(SauSek1)=1,IF(AND(YEAR(SauSek1+25)=KalendoriniaiMetai,MONTH(SauSek1+25)=1),SauSek1+25,""),IF(AND(YEAR(SauSek1+32)=KalendoriniaiMetai,MONTH(SauSek1+32)=1),SauSek1+32,""))</f>
        <v>43860</v>
      </c>
      <c r="G9" s="24">
        <f>IF(DAY(SauSek1)=1,IF(AND(YEAR(SauSek1+26)=KalendoriniaiMetai,MONTH(SauSek1+26)=1),SauSek1+26,""),IF(AND(YEAR(SauSek1+33)=KalendoriniaiMetai,MONTH(SauSek1+33)=1),SauSek1+33,""))</f>
        <v>43861</v>
      </c>
      <c r="H9" s="24" t="str">
        <f>IF(DAY(SauSek1)=1,IF(AND(YEAR(SauSek1+27)=KalendoriniaiMetai,MONTH(SauSek1+27)=1),SauSek1+27,""),IF(AND(YEAR(SauSek1+34)=KalendoriniaiMetai,MONTH(SauSek1+34)=1),SauSek1+34,""))</f>
        <v/>
      </c>
      <c r="I9" s="24" t="str">
        <f>IF(DAY(SauSek1)=1,IF(AND(YEAR(SauSek1+28)=KalendoriniaiMetai,MONTH(SauSek1+28)=1),SauSek1+28,""),IF(AND(YEAR(SauSek1+35)=KalendoriniaiMetai,MONTH(SauSek1+35)=1),SauSek1+35,""))</f>
        <v/>
      </c>
      <c r="J9" s="21"/>
      <c r="K9" s="24">
        <f>IF(DAY(VasSek1)=1,IF(AND(YEAR(VasSek1+22)=KalendoriniaiMetai,MONTH(VasSek1+22)=2),VasSek1+22,""),IF(AND(YEAR(VasSek1+29)=KalendoriniaiMetai,MONTH(VasSek1+29)=2),VasSek1+29,""))</f>
        <v>43885</v>
      </c>
      <c r="L9" s="24">
        <f>IF(DAY(VasSek1)=1,IF(AND(YEAR(VasSek1+23)=KalendoriniaiMetai,MONTH(VasSek1+23)=2),VasSek1+23,""),IF(AND(YEAR(VasSek1+30)=KalendoriniaiMetai,MONTH(VasSek1+30)=2),VasSek1+30,""))</f>
        <v>43886</v>
      </c>
      <c r="M9" s="24">
        <f>IF(DAY(VasSek1)=1,IF(AND(YEAR(VasSek1+24)=KalendoriniaiMetai,MONTH(VasSek1+24)=2),VasSek1+24,""),IF(AND(YEAR(VasSek1+31)=KalendoriniaiMetai,MONTH(VasSek1+31)=2),VasSek1+31,""))</f>
        <v>43887</v>
      </c>
      <c r="N9" s="24">
        <f>IF(DAY(VasSek1)=1,IF(AND(YEAR(VasSek1+25)=KalendoriniaiMetai,MONTH(VasSek1+25)=2),VasSek1+25,""),IF(AND(YEAR(VasSek1+32)=KalendoriniaiMetai,MONTH(VasSek1+32)=2),VasSek1+32,""))</f>
        <v>43888</v>
      </c>
      <c r="O9" s="24">
        <f>IF(DAY(VasSek1)=1,IF(AND(YEAR(VasSek1+26)=KalendoriniaiMetai,MONTH(VasSek1+26)=2),VasSek1+26,""),IF(AND(YEAR(VasSek1+33)=KalendoriniaiMetai,MONTH(VasSek1+33)=2),VasSek1+33,""))</f>
        <v>43889</v>
      </c>
      <c r="P9" s="24">
        <f>IF(DAY(VasSek1)=1,IF(AND(YEAR(VasSek1+27)=KalendoriniaiMetai,MONTH(VasSek1+27)=2),VasSek1+27,""),IF(AND(YEAR(VasSek1+34)=KalendoriniaiMetai,MONTH(VasSek1+34)=2),VasSek1+34,""))</f>
        <v>43890</v>
      </c>
      <c r="Q9" s="24" t="str">
        <f>IF(DAY(VasSek1)=1,IF(AND(YEAR(VasSek1+28)=KalendoriniaiMetai,MONTH(VasSek1+28)=2),VasSek1+28,""),IF(AND(YEAR(VasSek1+35)=KalendoriniaiMetai,MONTH(VasSek1+35)=2),VasSek1+35,""))</f>
        <v/>
      </c>
      <c r="S9" s="23"/>
      <c r="U9" s="10" t="s">
        <v>49</v>
      </c>
      <c r="V9" s="25"/>
      <c r="W9" s="25"/>
    </row>
    <row r="10" spans="1:23" ht="15" customHeight="1" x14ac:dyDescent="0.2">
      <c r="C10" s="24" t="str">
        <f>IF(DAY(SauSek1)=1,IF(AND(YEAR(SauSek1+29)=KalendoriniaiMetai,MONTH(SauSek1+29)=1),SauSek1+29,""),IF(AND(YEAR(SauSek1+36)=KalendoriniaiMetai,MONTH(SauSek1+36)=1),SauSek1+36,""))</f>
        <v/>
      </c>
      <c r="D10" s="24" t="str">
        <f>IF(DAY(SauSek1)=1,IF(AND(YEAR(SauSek1+30)=KalendoriniaiMetai,MONTH(SauSek1+30)=1),SauSek1+30,""),IF(AND(YEAR(SauSek1+37)=KalendoriniaiMetai,MONTH(SauSek1+37)=1),SauSek1+37,""))</f>
        <v/>
      </c>
      <c r="E10" s="24" t="str">
        <f>IF(DAY(SauSek1)=1,IF(AND(YEAR(SauSek1+31)=KalendoriniaiMetai,MONTH(SauSek1+31)=1),SauSek1+31,""),IF(AND(YEAR(SauSek1+38)=KalendoriniaiMetai,MONTH(SauSek1+38)=1),SauSek1+38,""))</f>
        <v/>
      </c>
      <c r="F10" s="24" t="str">
        <f>IF(DAY(SauSek1)=1,IF(AND(YEAR(SauSek1+32)=KalendoriniaiMetai,MONTH(SauSek1+32)=1),SauSek1+32,""),IF(AND(YEAR(SauSek1+39)=KalendoriniaiMetai,MONTH(SauSek1+39)=1),SauSek1+39,""))</f>
        <v/>
      </c>
      <c r="G10" s="24" t="str">
        <f>IF(DAY(SauSek1)=1,IF(AND(YEAR(SauSek1+33)=KalendoriniaiMetai,MONTH(SauSek1+33)=1),SauSek1+33,""),IF(AND(YEAR(SauSek1+40)=KalendoriniaiMetai,MONTH(SauSek1+40)=1),SauSek1+40,""))</f>
        <v/>
      </c>
      <c r="H10" s="24" t="str">
        <f>IF(DAY(SauSek1)=1,IF(AND(YEAR(SauSek1+34)=KalendoriniaiMetai,MONTH(SauSek1+34)=1),SauSek1+34,""),IF(AND(YEAR(SauSek1+41)=KalendoriniaiMetai,MONTH(SauSek1+41)=1),SauSek1+41,""))</f>
        <v/>
      </c>
      <c r="I10" s="24" t="str">
        <f>IF(DAY(SauSek1)=1,IF(AND(YEAR(SauSek1+35)=KalendoriniaiMetai,MONTH(SauSek1+35)=1),SauSek1+35,""),IF(AND(YEAR(SauSek1+42)=KalendoriniaiMetai,MONTH(SauSek1+42)=1),SauSek1+42,""))</f>
        <v/>
      </c>
      <c r="J10" s="21"/>
      <c r="K10" s="24" t="str">
        <f>IF(DAY(VasSek1)=1,IF(AND(YEAR(VasSek1+29)=KalendoriniaiMetai,MONTH(VasSek1+29)=2),VasSek1+29,""),IF(AND(YEAR(VasSek1+36)=KalendoriniaiMetai,MONTH(VasSek1+36)=2),VasSek1+36,""))</f>
        <v/>
      </c>
      <c r="L10" s="24" t="str">
        <f>IF(DAY(VasSek1)=1,IF(AND(YEAR(VasSek1+30)=KalendoriniaiMetai,MONTH(VasSek1+30)=2),VasSek1+30,""),IF(AND(YEAR(VasSek1+37)=KalendoriniaiMetai,MONTH(VasSek1+37)=2),VasSek1+37,""))</f>
        <v/>
      </c>
      <c r="M10" s="24" t="str">
        <f>IF(DAY(VasSek1)=1,IF(AND(YEAR(VasSek1+31)=KalendoriniaiMetai,MONTH(VasSek1+31)=2),VasSek1+31,""),IF(AND(YEAR(VasSek1+38)=KalendoriniaiMetai,MONTH(VasSek1+38)=2),VasSek1+38,""))</f>
        <v/>
      </c>
      <c r="N10" s="24" t="str">
        <f>IF(DAY(VasSek1)=1,IF(AND(YEAR(VasSek1+32)=KalendoriniaiMetai,MONTH(VasSek1+32)=2),VasSek1+32,""),IF(AND(YEAR(VasSek1+39)=KalendoriniaiMetai,MONTH(VasSek1+39)=2),VasSek1+39,""))</f>
        <v/>
      </c>
      <c r="O10" s="24" t="str">
        <f>IF(DAY(VasSek1)=1,IF(AND(YEAR(VasSek1+33)=KalendoriniaiMetai,MONTH(VasSek1+33)=2),VasSek1+33,""),IF(AND(YEAR(VasSek1+40)=KalendoriniaiMetai,MONTH(VasSek1+40)=2),VasSek1+40,""))</f>
        <v/>
      </c>
      <c r="P10" s="24" t="str">
        <f>IF(DAY(VasSek1)=1,IF(AND(YEAR(VasSek1+34)=KalendoriniaiMetai,MONTH(VasSek1+34)=2),VasSek1+34,""),IF(AND(YEAR(VasSek1+41)=KalendoriniaiMetai,MONTH(VasSek1+41)=2),VasSek1+41,""))</f>
        <v/>
      </c>
      <c r="Q10" s="24" t="str">
        <f>IF(DAY(VasSek1)=1,IF(AND(YEAR(VasSek1+35)=KalendoriniaiMetai,MONTH(VasSek1+35)=2),VasSek1+35,""),IF(AND(YEAR(VasSek1+42)=KalendoriniaiMetai,MONTH(VasSek1+42)=2),VasSek1+42,""))</f>
        <v/>
      </c>
      <c r="S10" s="23"/>
      <c r="U10" s="3" t="s">
        <v>50</v>
      </c>
      <c r="V10" s="25"/>
      <c r="W10" s="25"/>
    </row>
    <row r="11" spans="1:23" ht="15" customHeight="1" x14ac:dyDescent="0.2">
      <c r="C11" s="21"/>
      <c r="D11" s="21"/>
      <c r="E11" s="21"/>
      <c r="F11" s="21"/>
      <c r="G11" s="21"/>
      <c r="H11" s="21"/>
      <c r="I11" s="21"/>
      <c r="J11" s="21"/>
      <c r="K11" s="21"/>
      <c r="L11" s="21"/>
      <c r="M11" s="21"/>
      <c r="N11" s="21"/>
      <c r="O11" s="21"/>
      <c r="P11" s="21"/>
      <c r="Q11" s="21"/>
      <c r="S11" s="23"/>
      <c r="U11" s="2"/>
      <c r="V11" s="25"/>
      <c r="W11" s="25"/>
    </row>
    <row r="12" spans="1:23" ht="15" customHeight="1" x14ac:dyDescent="0.2">
      <c r="A12" s="17" t="s">
        <v>10</v>
      </c>
      <c r="C12" s="26" t="s">
        <v>27</v>
      </c>
      <c r="D12" s="26"/>
      <c r="E12" s="26"/>
      <c r="F12" s="26"/>
      <c r="G12" s="26"/>
      <c r="H12" s="26"/>
      <c r="I12" s="26"/>
      <c r="K12" s="26" t="s">
        <v>39</v>
      </c>
      <c r="L12" s="26"/>
      <c r="M12" s="26"/>
      <c r="N12" s="26"/>
      <c r="O12" s="26"/>
      <c r="P12" s="26"/>
      <c r="Q12" s="26"/>
      <c r="S12" s="23"/>
      <c r="U12" s="10"/>
      <c r="V12" s="25"/>
      <c r="W12" s="25"/>
    </row>
    <row r="13" spans="1:23" ht="15" customHeight="1" x14ac:dyDescent="0.25">
      <c r="A13" s="17" t="s">
        <v>11</v>
      </c>
      <c r="C13" s="11" t="s">
        <v>26</v>
      </c>
      <c r="D13" s="11" t="s">
        <v>32</v>
      </c>
      <c r="E13" s="11" t="s">
        <v>33</v>
      </c>
      <c r="F13" s="11" t="s">
        <v>34</v>
      </c>
      <c r="G13" s="11" t="s">
        <v>35</v>
      </c>
      <c r="H13" s="11" t="s">
        <v>36</v>
      </c>
      <c r="I13" s="11" t="s">
        <v>37</v>
      </c>
      <c r="J13" s="20"/>
      <c r="K13" s="11" t="s">
        <v>26</v>
      </c>
      <c r="L13" s="11" t="s">
        <v>32</v>
      </c>
      <c r="M13" s="11" t="s">
        <v>33</v>
      </c>
      <c r="N13" s="11" t="s">
        <v>34</v>
      </c>
      <c r="O13" s="11" t="s">
        <v>35</v>
      </c>
      <c r="P13" s="11" t="s">
        <v>36</v>
      </c>
      <c r="Q13" s="11" t="s">
        <v>37</v>
      </c>
      <c r="S13" s="23"/>
      <c r="U13" s="3"/>
      <c r="V13" s="25"/>
      <c r="W13" s="25"/>
    </row>
    <row r="14" spans="1:23" ht="15" customHeight="1" x14ac:dyDescent="0.2">
      <c r="C14" s="24" t="str">
        <f>IF(DAY(KovSek1)=1,"",IF(AND(YEAR(KovSek1+1)=KalendoriniaiMetai,MONTH(KovSek1+1)=3),KovSek1+1,""))</f>
        <v/>
      </c>
      <c r="D14" s="24" t="str">
        <f>IF(DAY(KovSek1)=1,"",IF(AND(YEAR(KovSek1+2)=KalendoriniaiMetai,MONTH(KovSek1+2)=3),KovSek1+2,""))</f>
        <v/>
      </c>
      <c r="E14" s="24" t="str">
        <f>IF(DAY(KovSek1)=1,"",IF(AND(YEAR(KovSek1+3)=KalendoriniaiMetai,MONTH(KovSek1+3)=3),KovSek1+3,""))</f>
        <v/>
      </c>
      <c r="F14" s="24" t="str">
        <f>IF(DAY(KovSek1)=1,"",IF(AND(YEAR(KovSek1+4)=KalendoriniaiMetai,MONTH(KovSek1+4)=3),KovSek1+4,""))</f>
        <v/>
      </c>
      <c r="G14" s="24" t="str">
        <f>IF(DAY(KovSek1)=1,"",IF(AND(YEAR(KovSek1+5)=KalendoriniaiMetai,MONTH(KovSek1+5)=3),KovSek1+5,""))</f>
        <v/>
      </c>
      <c r="H14" s="24" t="str">
        <f>IF(DAY(KovSek1)=1,"",IF(AND(YEAR(KovSek1+6)=KalendoriniaiMetai,MONTH(KovSek1+6)=3),KovSek1+6,""))</f>
        <v/>
      </c>
      <c r="I14" s="24">
        <f>IF(DAY(KovSek1)=1,IF(AND(YEAR(KovSek1)=KalendoriniaiMetai,MONTH(KovSek1)=3),KovSek1,""),IF(AND(YEAR(KovSek1+7)=KalendoriniaiMetai,MONTH(KovSek1+7)=3),KovSek1+7,""))</f>
        <v>43891</v>
      </c>
      <c r="J14" s="21"/>
      <c r="K14" s="24" t="str">
        <f>IF(DAY(BalSek1)=1,"",IF(AND(YEAR(BalSek1+1)=KalendoriniaiMetai,MONTH(BalSek1+1)=4),BalSek1+1,""))</f>
        <v/>
      </c>
      <c r="L14" s="24" t="str">
        <f>IF(DAY(BalSek1)=1,"",IF(AND(YEAR(BalSek1+2)=KalendoriniaiMetai,MONTH(BalSek1+2)=4),BalSek1+2,""))</f>
        <v/>
      </c>
      <c r="M14" s="24">
        <f>IF(DAY(BalSek1)=1,"",IF(AND(YEAR(BalSek1+3)=KalendoriniaiMetai,MONTH(BalSek1+3)=4),BalSek1+3,""))</f>
        <v>43922</v>
      </c>
      <c r="N14" s="24">
        <f>IF(DAY(BalSek1)=1,"",IF(AND(YEAR(BalSek1+4)=KalendoriniaiMetai,MONTH(BalSek1+4)=4),BalSek1+4,""))</f>
        <v>43923</v>
      </c>
      <c r="O14" s="24">
        <f>IF(DAY(BalSek1)=1,"",IF(AND(YEAR(BalSek1+5)=KalendoriniaiMetai,MONTH(BalSek1+5)=4),BalSek1+5,""))</f>
        <v>43924</v>
      </c>
      <c r="P14" s="24">
        <f>IF(DAY(BalSek1)=1,"",IF(AND(YEAR(BalSek1+6)=KalendoriniaiMetai,MONTH(BalSek1+6)=4),BalSek1+6,""))</f>
        <v>43925</v>
      </c>
      <c r="Q14" s="24">
        <f>IF(DAY(BalSek1)=1,IF(AND(YEAR(BalSek1)=KalendoriniaiMetai,MONTH(BalSek1)=4),BalSek1,""),IF(AND(YEAR(BalSek1+7)=KalendoriniaiMetai,MONTH(BalSek1+7)=4),BalSek1+7,""))</f>
        <v>43926</v>
      </c>
      <c r="S14" s="23"/>
      <c r="U14" s="2"/>
      <c r="V14" s="25"/>
      <c r="W14" s="25"/>
    </row>
    <row r="15" spans="1:23" ht="15" customHeight="1" x14ac:dyDescent="0.2">
      <c r="A15" s="17"/>
      <c r="C15" s="24">
        <f>IF(DAY(KovSek1)=1,IF(AND(YEAR(KovSek1+1)=KalendoriniaiMetai,MONTH(KovSek1+1)=3),KovSek1+1,""),IF(AND(YEAR(KovSek1+8)=KalendoriniaiMetai,MONTH(KovSek1+8)=3),KovSek1+8,""))</f>
        <v>43892</v>
      </c>
      <c r="D15" s="24">
        <f>IF(DAY(KovSek1)=1,IF(AND(YEAR(KovSek1+2)=KalendoriniaiMetai,MONTH(KovSek1+2)=3),KovSek1+2,""),IF(AND(YEAR(KovSek1+9)=KalendoriniaiMetai,MONTH(KovSek1+9)=3),KovSek1+9,""))</f>
        <v>43893</v>
      </c>
      <c r="E15" s="24">
        <f>IF(DAY(KovSek1)=1,IF(AND(YEAR(KovSek1+3)=KalendoriniaiMetai,MONTH(KovSek1+3)=3),KovSek1+3,""),IF(AND(YEAR(KovSek1+10)=KalendoriniaiMetai,MONTH(KovSek1+10)=3),KovSek1+10,""))</f>
        <v>43894</v>
      </c>
      <c r="F15" s="24">
        <f>IF(DAY(KovSek1)=1,IF(AND(YEAR(KovSek1+4)=KalendoriniaiMetai,MONTH(KovSek1+4)=3),KovSek1+4,""),IF(AND(YEAR(KovSek1+11)=KalendoriniaiMetai,MONTH(KovSek1+11)=3),KovSek1+11,""))</f>
        <v>43895</v>
      </c>
      <c r="G15" s="24">
        <f>IF(DAY(KovSek1)=1,IF(AND(YEAR(KovSek1+5)=KalendoriniaiMetai,MONTH(KovSek1+5)=3),KovSek1+5,""),IF(AND(YEAR(KovSek1+12)=KalendoriniaiMetai,MONTH(KovSek1+12)=3),KovSek1+12,""))</f>
        <v>43896</v>
      </c>
      <c r="H15" s="24">
        <f>IF(DAY(KovSek1)=1,IF(AND(YEAR(KovSek1+6)=KalendoriniaiMetai,MONTH(KovSek1+6)=3),KovSek1+6,""),IF(AND(YEAR(KovSek1+13)=KalendoriniaiMetai,MONTH(KovSek1+13)=3),KovSek1+13,""))</f>
        <v>43897</v>
      </c>
      <c r="I15" s="24">
        <f>IF(DAY(KovSek1)=1,IF(AND(YEAR(KovSek1+7)=KalendoriniaiMetai,MONTH(KovSek1+7)=3),KovSek1+7,""),IF(AND(YEAR(KovSek1+14)=KalendoriniaiMetai,MONTH(KovSek1+14)=3),KovSek1+14,""))</f>
        <v>43898</v>
      </c>
      <c r="J15" s="21"/>
      <c r="K15" s="24">
        <f>IF(DAY(BalSek1)=1,IF(AND(YEAR(BalSek1+1)=KalendoriniaiMetai,MONTH(BalSek1+1)=4),BalSek1+1,""),IF(AND(YEAR(BalSek1+8)=KalendoriniaiMetai,MONTH(BalSek1+8)=4),BalSek1+8,""))</f>
        <v>43927</v>
      </c>
      <c r="L15" s="24">
        <f>IF(DAY(BalSek1)=1,IF(AND(YEAR(BalSek1+2)=KalendoriniaiMetai,MONTH(BalSek1+2)=4),BalSek1+2,""),IF(AND(YEAR(BalSek1+9)=KalendoriniaiMetai,MONTH(BalSek1+9)=4),BalSek1+9,""))</f>
        <v>43928</v>
      </c>
      <c r="M15" s="24">
        <f>IF(DAY(BalSek1)=1,IF(AND(YEAR(BalSek1+3)=KalendoriniaiMetai,MONTH(BalSek1+3)=4),BalSek1+3,""),IF(AND(YEAR(BalSek1+10)=KalendoriniaiMetai,MONTH(BalSek1+10)=4),BalSek1+10,""))</f>
        <v>43929</v>
      </c>
      <c r="N15" s="24">
        <f>IF(DAY(BalSek1)=1,IF(AND(YEAR(BalSek1+4)=KalendoriniaiMetai,MONTH(BalSek1+4)=4),BalSek1+4,""),IF(AND(YEAR(BalSek1+11)=KalendoriniaiMetai,MONTH(BalSek1+11)=4),BalSek1+11,""))</f>
        <v>43930</v>
      </c>
      <c r="O15" s="24">
        <f>IF(DAY(BalSek1)=1,IF(AND(YEAR(BalSek1+5)=KalendoriniaiMetai,MONTH(BalSek1+5)=4),BalSek1+5,""),IF(AND(YEAR(BalSek1+12)=KalendoriniaiMetai,MONTH(BalSek1+12)=4),BalSek1+12,""))</f>
        <v>43931</v>
      </c>
      <c r="P15" s="24">
        <f>IF(DAY(BalSek1)=1,IF(AND(YEAR(BalSek1+6)=KalendoriniaiMetai,MONTH(BalSek1+6)=4),BalSek1+6,""),IF(AND(YEAR(BalSek1+13)=KalendoriniaiMetai,MONTH(BalSek1+13)=4),BalSek1+13,""))</f>
        <v>43932</v>
      </c>
      <c r="Q15" s="24">
        <f>IF(DAY(BalSek1)=1,IF(AND(YEAR(BalSek1+7)=KalendoriniaiMetai,MONTH(BalSek1+7)=4),BalSek1+7,""),IF(AND(YEAR(BalSek1+14)=KalendoriniaiMetai,MONTH(BalSek1+14)=4),BalSek1+14,""))</f>
        <v>43933</v>
      </c>
      <c r="S15" s="23"/>
      <c r="U15" s="10"/>
      <c r="V15" s="25"/>
      <c r="W15" s="25"/>
    </row>
    <row r="16" spans="1:23" ht="15" customHeight="1" x14ac:dyDescent="0.2">
      <c r="C16" s="24">
        <f>IF(DAY(KovSek1)=1,IF(AND(YEAR(KovSek1+8)=KalendoriniaiMetai,MONTH(KovSek1+8)=3),KovSek1+8,""),IF(AND(YEAR(KovSek1+15)=KalendoriniaiMetai,MONTH(KovSek1+15)=3),KovSek1+15,""))</f>
        <v>43899</v>
      </c>
      <c r="D16" s="24">
        <f>IF(DAY(KovSek1)=1,IF(AND(YEAR(KovSek1+9)=KalendoriniaiMetai,MONTH(KovSek1+9)=3),KovSek1+9,""),IF(AND(YEAR(KovSek1+16)=KalendoriniaiMetai,MONTH(KovSek1+16)=3),KovSek1+16,""))</f>
        <v>43900</v>
      </c>
      <c r="E16" s="24">
        <f>IF(DAY(KovSek1)=1,IF(AND(YEAR(KovSek1+10)=KalendoriniaiMetai,MONTH(KovSek1+10)=3),KovSek1+10,""),IF(AND(YEAR(KovSek1+17)=KalendoriniaiMetai,MONTH(KovSek1+17)=3),KovSek1+17,""))</f>
        <v>43901</v>
      </c>
      <c r="F16" s="24">
        <f>IF(DAY(KovSek1)=1,IF(AND(YEAR(KovSek1+11)=KalendoriniaiMetai,MONTH(KovSek1+11)=3),KovSek1+11,""),IF(AND(YEAR(KovSek1+18)=KalendoriniaiMetai,MONTH(KovSek1+18)=3),KovSek1+18,""))</f>
        <v>43902</v>
      </c>
      <c r="G16" s="24">
        <f>IF(DAY(KovSek1)=1,IF(AND(YEAR(KovSek1+12)=KalendoriniaiMetai,MONTH(KovSek1+12)=3),KovSek1+12,""),IF(AND(YEAR(KovSek1+19)=KalendoriniaiMetai,MONTH(KovSek1+19)=3),KovSek1+19,""))</f>
        <v>43903</v>
      </c>
      <c r="H16" s="24">
        <f>IF(DAY(KovSek1)=1,IF(AND(YEAR(KovSek1+13)=KalendoriniaiMetai,MONTH(KovSek1+13)=3),KovSek1+13,""),IF(AND(YEAR(KovSek1+20)=KalendoriniaiMetai,MONTH(KovSek1+20)=3),KovSek1+20,""))</f>
        <v>43904</v>
      </c>
      <c r="I16" s="24">
        <f>IF(DAY(KovSek1)=1,IF(AND(YEAR(KovSek1+14)=KalendoriniaiMetai,MONTH(KovSek1+14)=3),KovSek1+14,""),IF(AND(YEAR(KovSek1+21)=KalendoriniaiMetai,MONTH(KovSek1+21)=3),KovSek1+21,""))</f>
        <v>43905</v>
      </c>
      <c r="J16" s="21"/>
      <c r="K16" s="24">
        <f>IF(DAY(BalSek1)=1,IF(AND(YEAR(BalSek1+8)=KalendoriniaiMetai,MONTH(BalSek1+8)=4),BalSek1+8,""),IF(AND(YEAR(BalSek1+15)=KalendoriniaiMetai,MONTH(BalSek1+15)=4),BalSek1+15,""))</f>
        <v>43934</v>
      </c>
      <c r="L16" s="24">
        <f>IF(DAY(BalSek1)=1,IF(AND(YEAR(BalSek1+9)=KalendoriniaiMetai,MONTH(BalSek1+9)=4),BalSek1+9,""),IF(AND(YEAR(BalSek1+16)=KalendoriniaiMetai,MONTH(BalSek1+16)=4),BalSek1+16,""))</f>
        <v>43935</v>
      </c>
      <c r="M16" s="24">
        <f>IF(DAY(BalSek1)=1,IF(AND(YEAR(BalSek1+10)=KalendoriniaiMetai,MONTH(BalSek1+10)=4),BalSek1+10,""),IF(AND(YEAR(BalSek1+17)=KalendoriniaiMetai,MONTH(BalSek1+17)=4),BalSek1+17,""))</f>
        <v>43936</v>
      </c>
      <c r="N16" s="24">
        <f>IF(DAY(BalSek1)=1,IF(AND(YEAR(BalSek1+11)=KalendoriniaiMetai,MONTH(BalSek1+11)=4),BalSek1+11,""),IF(AND(YEAR(BalSek1+18)=KalendoriniaiMetai,MONTH(BalSek1+18)=4),BalSek1+18,""))</f>
        <v>43937</v>
      </c>
      <c r="O16" s="24">
        <f>IF(DAY(BalSek1)=1,IF(AND(YEAR(BalSek1+12)=KalendoriniaiMetai,MONTH(BalSek1+12)=4),BalSek1+12,""),IF(AND(YEAR(BalSek1+19)=KalendoriniaiMetai,MONTH(BalSek1+19)=4),BalSek1+19,""))</f>
        <v>43938</v>
      </c>
      <c r="P16" s="24">
        <f>IF(DAY(BalSek1)=1,IF(AND(YEAR(BalSek1+13)=KalendoriniaiMetai,MONTH(BalSek1+13)=4),BalSek1+13,""),IF(AND(YEAR(BalSek1+20)=KalendoriniaiMetai,MONTH(BalSek1+20)=4),BalSek1+20,""))</f>
        <v>43939</v>
      </c>
      <c r="Q16" s="24">
        <f>IF(DAY(BalSek1)=1,IF(AND(YEAR(BalSek1+14)=KalendoriniaiMetai,MONTH(BalSek1+14)=4),BalSek1+14,""),IF(AND(YEAR(BalSek1+21)=KalendoriniaiMetai,MONTH(BalSek1+21)=4),BalSek1+21,""))</f>
        <v>43940</v>
      </c>
      <c r="S16" s="23"/>
      <c r="U16" s="3"/>
      <c r="V16" s="25"/>
      <c r="W16" s="25"/>
    </row>
    <row r="17" spans="1:23" ht="15" customHeight="1" x14ac:dyDescent="0.2">
      <c r="C17" s="24">
        <f>IF(DAY(KovSek1)=1,IF(AND(YEAR(KovSek1+15)=KalendoriniaiMetai,MONTH(KovSek1+15)=3),KovSek1+15,""),IF(AND(YEAR(KovSek1+22)=KalendoriniaiMetai,MONTH(KovSek1+22)=3),KovSek1+22,""))</f>
        <v>43906</v>
      </c>
      <c r="D17" s="24">
        <f>IF(DAY(KovSek1)=1,IF(AND(YEAR(KovSek1+16)=KalendoriniaiMetai,MONTH(KovSek1+16)=3),KovSek1+16,""),IF(AND(YEAR(KovSek1+23)=KalendoriniaiMetai,MONTH(KovSek1+23)=3),KovSek1+23,""))</f>
        <v>43907</v>
      </c>
      <c r="E17" s="24">
        <f>IF(DAY(KovSek1)=1,IF(AND(YEAR(KovSek1+17)=KalendoriniaiMetai,MONTH(KovSek1+17)=3),KovSek1+17,""),IF(AND(YEAR(KovSek1+24)=KalendoriniaiMetai,MONTH(KovSek1+24)=3),KovSek1+24,""))</f>
        <v>43908</v>
      </c>
      <c r="F17" s="24">
        <f>IF(DAY(KovSek1)=1,IF(AND(YEAR(KovSek1+18)=KalendoriniaiMetai,MONTH(KovSek1+18)=3),KovSek1+18,""),IF(AND(YEAR(KovSek1+25)=KalendoriniaiMetai,MONTH(KovSek1+25)=3),KovSek1+25,""))</f>
        <v>43909</v>
      </c>
      <c r="G17" s="24">
        <f>IF(DAY(KovSek1)=1,IF(AND(YEAR(KovSek1+19)=KalendoriniaiMetai,MONTH(KovSek1+19)=3),KovSek1+19,""),IF(AND(YEAR(KovSek1+26)=KalendoriniaiMetai,MONTH(KovSek1+26)=3),KovSek1+26,""))</f>
        <v>43910</v>
      </c>
      <c r="H17" s="24">
        <f>IF(DAY(KovSek1)=1,IF(AND(YEAR(KovSek1+20)=KalendoriniaiMetai,MONTH(KovSek1+20)=3),KovSek1+20,""),IF(AND(YEAR(KovSek1+27)=KalendoriniaiMetai,MONTH(KovSek1+27)=3),KovSek1+27,""))</f>
        <v>43911</v>
      </c>
      <c r="I17" s="24">
        <f>IF(DAY(KovSek1)=1,IF(AND(YEAR(KovSek1+21)=KalendoriniaiMetai,MONTH(KovSek1+21)=3),KovSek1+21,""),IF(AND(YEAR(KovSek1+28)=KalendoriniaiMetai,MONTH(KovSek1+28)=3),KovSek1+28,""))</f>
        <v>43912</v>
      </c>
      <c r="J17" s="21"/>
      <c r="K17" s="24">
        <f>IF(DAY(BalSek1)=1,IF(AND(YEAR(BalSek1+15)=KalendoriniaiMetai,MONTH(BalSek1+15)=4),BalSek1+15,""),IF(AND(YEAR(BalSek1+22)=KalendoriniaiMetai,MONTH(BalSek1+22)=4),BalSek1+22,""))</f>
        <v>43941</v>
      </c>
      <c r="L17" s="24">
        <f>IF(DAY(BalSek1)=1,IF(AND(YEAR(BalSek1+16)=KalendoriniaiMetai,MONTH(BalSek1+16)=4),BalSek1+16,""),IF(AND(YEAR(BalSek1+23)=KalendoriniaiMetai,MONTH(BalSek1+23)=4),BalSek1+23,""))</f>
        <v>43942</v>
      </c>
      <c r="M17" s="24">
        <f>IF(DAY(BalSek1)=1,IF(AND(YEAR(BalSek1+17)=KalendoriniaiMetai,MONTH(BalSek1+17)=4),BalSek1+17,""),IF(AND(YEAR(BalSek1+24)=KalendoriniaiMetai,MONTH(BalSek1+24)=4),BalSek1+24,""))</f>
        <v>43943</v>
      </c>
      <c r="N17" s="24">
        <f>IF(DAY(BalSek1)=1,IF(AND(YEAR(BalSek1+18)=KalendoriniaiMetai,MONTH(BalSek1+18)=4),BalSek1+18,""),IF(AND(YEAR(BalSek1+25)=KalendoriniaiMetai,MONTH(BalSek1+25)=4),BalSek1+25,""))</f>
        <v>43944</v>
      </c>
      <c r="O17" s="24">
        <f>IF(DAY(BalSek1)=1,IF(AND(YEAR(BalSek1+19)=KalendoriniaiMetai,MONTH(BalSek1+19)=4),BalSek1+19,""),IF(AND(YEAR(BalSek1+26)=KalendoriniaiMetai,MONTH(BalSek1+26)=4),BalSek1+26,""))</f>
        <v>43945</v>
      </c>
      <c r="P17" s="24">
        <f>IF(DAY(BalSek1)=1,IF(AND(YEAR(BalSek1+20)=KalendoriniaiMetai,MONTH(BalSek1+20)=4),BalSek1+20,""),IF(AND(YEAR(BalSek1+27)=KalendoriniaiMetai,MONTH(BalSek1+27)=4),BalSek1+27,""))</f>
        <v>43946</v>
      </c>
      <c r="Q17" s="24">
        <f>IF(DAY(BalSek1)=1,IF(AND(YEAR(BalSek1+21)=KalendoriniaiMetai,MONTH(BalSek1+21)=4),BalSek1+21,""),IF(AND(YEAR(BalSek1+28)=KalendoriniaiMetai,MONTH(BalSek1+28)=4),BalSek1+28,""))</f>
        <v>43947</v>
      </c>
      <c r="S17" s="23"/>
      <c r="U17" s="2"/>
      <c r="V17" s="25"/>
      <c r="W17" s="25"/>
    </row>
    <row r="18" spans="1:23" ht="15" customHeight="1" x14ac:dyDescent="0.2">
      <c r="C18" s="24">
        <f>IF(DAY(KovSek1)=1,IF(AND(YEAR(KovSek1+22)=KalendoriniaiMetai,MONTH(KovSek1+22)=3),KovSek1+22,""),IF(AND(YEAR(KovSek1+29)=KalendoriniaiMetai,MONTH(KovSek1+29)=3),KovSek1+29,""))</f>
        <v>43913</v>
      </c>
      <c r="D18" s="24">
        <f>IF(DAY(KovSek1)=1,IF(AND(YEAR(KovSek1+23)=KalendoriniaiMetai,MONTH(KovSek1+23)=3),KovSek1+23,""),IF(AND(YEAR(KovSek1+30)=KalendoriniaiMetai,MONTH(KovSek1+30)=3),KovSek1+30,""))</f>
        <v>43914</v>
      </c>
      <c r="E18" s="24">
        <f>IF(DAY(KovSek1)=1,IF(AND(YEAR(KovSek1+24)=KalendoriniaiMetai,MONTH(KovSek1+24)=3),KovSek1+24,""),IF(AND(YEAR(KovSek1+31)=KalendoriniaiMetai,MONTH(KovSek1+31)=3),KovSek1+31,""))</f>
        <v>43915</v>
      </c>
      <c r="F18" s="24">
        <f>IF(DAY(KovSek1)=1,IF(AND(YEAR(KovSek1+25)=KalendoriniaiMetai,MONTH(KovSek1+25)=3),KovSek1+25,""),IF(AND(YEAR(KovSek1+32)=KalendoriniaiMetai,MONTH(KovSek1+32)=3),KovSek1+32,""))</f>
        <v>43916</v>
      </c>
      <c r="G18" s="24">
        <f>IF(DAY(KovSek1)=1,IF(AND(YEAR(KovSek1+26)=KalendoriniaiMetai,MONTH(KovSek1+26)=3),KovSek1+26,""),IF(AND(YEAR(KovSek1+33)=KalendoriniaiMetai,MONTH(KovSek1+33)=3),KovSek1+33,""))</f>
        <v>43917</v>
      </c>
      <c r="H18" s="24">
        <f>IF(DAY(KovSek1)=1,IF(AND(YEAR(KovSek1+27)=KalendoriniaiMetai,MONTH(KovSek1+27)=3),KovSek1+27,""),IF(AND(YEAR(KovSek1+34)=KalendoriniaiMetai,MONTH(KovSek1+34)=3),KovSek1+34,""))</f>
        <v>43918</v>
      </c>
      <c r="I18" s="24">
        <f>IF(DAY(KovSek1)=1,IF(AND(YEAR(KovSek1+28)=KalendoriniaiMetai,MONTH(KovSek1+28)=3),KovSek1+28,""),IF(AND(YEAR(KovSek1+35)=KalendoriniaiMetai,MONTH(KovSek1+35)=3),KovSek1+35,""))</f>
        <v>43919</v>
      </c>
      <c r="J18" s="21"/>
      <c r="K18" s="24">
        <f>IF(DAY(BalSek1)=1,IF(AND(YEAR(BalSek1+22)=KalendoriniaiMetai,MONTH(BalSek1+22)=4),BalSek1+22,""),IF(AND(YEAR(BalSek1+29)=KalendoriniaiMetai,MONTH(BalSek1+29)=4),BalSek1+29,""))</f>
        <v>43948</v>
      </c>
      <c r="L18" s="24">
        <f>IF(DAY(BalSek1)=1,IF(AND(YEAR(BalSek1+23)=KalendoriniaiMetai,MONTH(BalSek1+23)=4),BalSek1+23,""),IF(AND(YEAR(BalSek1+30)=KalendoriniaiMetai,MONTH(BalSek1+30)=4),BalSek1+30,""))</f>
        <v>43949</v>
      </c>
      <c r="M18" s="24">
        <f>IF(DAY(BalSek1)=1,IF(AND(YEAR(BalSek1+24)=KalendoriniaiMetai,MONTH(BalSek1+24)=4),BalSek1+24,""),IF(AND(YEAR(BalSek1+31)=KalendoriniaiMetai,MONTH(BalSek1+31)=4),BalSek1+31,""))</f>
        <v>43950</v>
      </c>
      <c r="N18" s="24">
        <f>IF(DAY(BalSek1)=1,IF(AND(YEAR(BalSek1+25)=KalendoriniaiMetai,MONTH(BalSek1+25)=4),BalSek1+25,""),IF(AND(YEAR(BalSek1+32)=KalendoriniaiMetai,MONTH(BalSek1+32)=4),BalSek1+32,""))</f>
        <v>43951</v>
      </c>
      <c r="O18" s="24" t="str">
        <f>IF(DAY(BalSek1)=1,IF(AND(YEAR(BalSek1+26)=KalendoriniaiMetai,MONTH(BalSek1+26)=4),BalSek1+26,""),IF(AND(YEAR(BalSek1+33)=KalendoriniaiMetai,MONTH(BalSek1+33)=4),BalSek1+33,""))</f>
        <v/>
      </c>
      <c r="P18" s="24" t="str">
        <f>IF(DAY(BalSek1)=1,IF(AND(YEAR(BalSek1+27)=KalendoriniaiMetai,MONTH(BalSek1+27)=4),BalSek1+27,""),IF(AND(YEAR(BalSek1+34)=KalendoriniaiMetai,MONTH(BalSek1+34)=4),BalSek1+34,""))</f>
        <v/>
      </c>
      <c r="Q18" s="24" t="str">
        <f>IF(DAY(BalSek1)=1,IF(AND(YEAR(BalSek1+28)=KalendoriniaiMetai,MONTH(BalSek1+28)=4),BalSek1+28,""),IF(AND(YEAR(BalSek1+35)=KalendoriniaiMetai,MONTH(BalSek1+35)=4),BalSek1+35,""))</f>
        <v/>
      </c>
      <c r="S18" s="23"/>
      <c r="U18" s="10"/>
      <c r="V18" s="25"/>
      <c r="W18" s="25"/>
    </row>
    <row r="19" spans="1:23" ht="15" customHeight="1" x14ac:dyDescent="0.2">
      <c r="C19" s="24">
        <f>IF(DAY(KovSek1)=1,IF(AND(YEAR(KovSek1+29)=KalendoriniaiMetai,MONTH(KovSek1+29)=3),KovSek1+29,""),IF(AND(YEAR(KovSek1+36)=KalendoriniaiMetai,MONTH(KovSek1+36)=3),KovSek1+36,""))</f>
        <v>43920</v>
      </c>
      <c r="D19" s="24">
        <f>IF(DAY(KovSek1)=1,IF(AND(YEAR(KovSek1+30)=KalendoriniaiMetai,MONTH(KovSek1+30)=3),KovSek1+30,""),IF(AND(YEAR(KovSek1+37)=KalendoriniaiMetai,MONTH(KovSek1+37)=3),KovSek1+37,""))</f>
        <v>43921</v>
      </c>
      <c r="E19" s="24" t="str">
        <f>IF(DAY(KovSek1)=1,IF(AND(YEAR(KovSek1+31)=KalendoriniaiMetai,MONTH(KovSek1+31)=3),KovSek1+31,""),IF(AND(YEAR(KovSek1+38)=KalendoriniaiMetai,MONTH(KovSek1+38)=3),KovSek1+38,""))</f>
        <v/>
      </c>
      <c r="F19" s="24" t="str">
        <f>IF(DAY(KovSek1)=1,IF(AND(YEAR(KovSek1+32)=KalendoriniaiMetai,MONTH(KovSek1+32)=3),KovSek1+32,""),IF(AND(YEAR(KovSek1+39)=KalendoriniaiMetai,MONTH(KovSek1+39)=3),KovSek1+39,""))</f>
        <v/>
      </c>
      <c r="G19" s="24" t="str">
        <f>IF(DAY(KovSek1)=1,IF(AND(YEAR(KovSek1+33)=KalendoriniaiMetai,MONTH(KovSek1+33)=3),KovSek1+33,""),IF(AND(YEAR(KovSek1+40)=KalendoriniaiMetai,MONTH(KovSek1+40)=3),KovSek1+40,""))</f>
        <v/>
      </c>
      <c r="H19" s="24" t="str">
        <f>IF(DAY(KovSek1)=1,IF(AND(YEAR(KovSek1+34)=KalendoriniaiMetai,MONTH(KovSek1+34)=3),KovSek1+34,""),IF(AND(YEAR(KovSek1+41)=KalendoriniaiMetai,MONTH(KovSek1+41)=3),KovSek1+41,""))</f>
        <v/>
      </c>
      <c r="I19" s="24" t="str">
        <f>IF(DAY(KovSek1)=1,IF(AND(YEAR(KovSek1+35)=KalendoriniaiMetai,MONTH(KovSek1+35)=3),KovSek1+35,""),IF(AND(YEAR(KovSek1+42)=KalendoriniaiMetai,MONTH(KovSek1+42)=3),KovSek1+42,""))</f>
        <v/>
      </c>
      <c r="J19" s="21"/>
      <c r="K19" s="24" t="str">
        <f>IF(DAY(BalSek1)=1,IF(AND(YEAR(BalSek1+29)=KalendoriniaiMetai,MONTH(BalSek1+29)=4),BalSek1+29,""),IF(AND(YEAR(BalSek1+36)=KalendoriniaiMetai,MONTH(BalSek1+36)=4),BalSek1+36,""))</f>
        <v/>
      </c>
      <c r="L19" s="24" t="str">
        <f>IF(DAY(BalSek1)=1,IF(AND(YEAR(BalSek1+30)=KalendoriniaiMetai,MONTH(BalSek1+30)=4),BalSek1+30,""),IF(AND(YEAR(BalSek1+37)=KalendoriniaiMetai,MONTH(BalSek1+37)=4),BalSek1+37,""))</f>
        <v/>
      </c>
      <c r="M19" s="24" t="str">
        <f>IF(DAY(BalSek1)=1,IF(AND(YEAR(BalSek1+31)=KalendoriniaiMetai,MONTH(BalSek1+31)=4),BalSek1+31,""),IF(AND(YEAR(BalSek1+38)=KalendoriniaiMetai,MONTH(BalSek1+38)=4),BalSek1+38,""))</f>
        <v/>
      </c>
      <c r="N19" s="24" t="str">
        <f>IF(DAY(BalSek1)=1,IF(AND(YEAR(BalSek1+32)=KalendoriniaiMetai,MONTH(BalSek1+32)=4),BalSek1+32,""),IF(AND(YEAR(BalSek1+39)=KalendoriniaiMetai,MONTH(BalSek1+39)=4),BalSek1+39,""))</f>
        <v/>
      </c>
      <c r="O19" s="24" t="str">
        <f>IF(DAY(BalSek1)=1,IF(AND(YEAR(BalSek1+33)=KalendoriniaiMetai,MONTH(BalSek1+33)=4),BalSek1+33,""),IF(AND(YEAR(BalSek1+40)=KalendoriniaiMetai,MONTH(BalSek1+40)=4),BalSek1+40,""))</f>
        <v/>
      </c>
      <c r="P19" s="24" t="str">
        <f>IF(DAY(BalSek1)=1,IF(AND(YEAR(BalSek1+34)=KalendoriniaiMetai,MONTH(BalSek1+34)=4),BalSek1+34,""),IF(AND(YEAR(BalSek1+41)=KalendoriniaiMetai,MONTH(BalSek1+41)=4),BalSek1+41,""))</f>
        <v/>
      </c>
      <c r="Q19" s="24" t="str">
        <f>IF(DAY(BalSek1)=1,IF(AND(YEAR(BalSek1+35)=KalendoriniaiMetai,MONTH(BalSek1+35)=4),BalSek1+35,""),IF(AND(YEAR(BalSek1+42)=KalendoriniaiMetai,MONTH(BalSek1+42)=4),BalSek1+42,""))</f>
        <v/>
      </c>
      <c r="S19" s="23"/>
      <c r="U19" s="3"/>
      <c r="V19" s="25"/>
      <c r="W19" s="25"/>
    </row>
    <row r="20" spans="1:23" ht="15" customHeight="1" x14ac:dyDescent="0.2">
      <c r="J20" s="21"/>
      <c r="S20" s="23"/>
      <c r="U20" s="2"/>
      <c r="V20" s="25"/>
      <c r="W20" s="25"/>
    </row>
    <row r="21" spans="1:23" ht="15" customHeight="1" x14ac:dyDescent="0.2">
      <c r="A21" s="17" t="s">
        <v>12</v>
      </c>
      <c r="C21" s="26" t="s">
        <v>28</v>
      </c>
      <c r="D21" s="26"/>
      <c r="E21" s="26"/>
      <c r="F21" s="26"/>
      <c r="G21" s="26"/>
      <c r="H21" s="26"/>
      <c r="I21" s="26"/>
      <c r="J21" s="21"/>
      <c r="K21" s="26" t="s">
        <v>40</v>
      </c>
      <c r="L21" s="26"/>
      <c r="M21" s="26"/>
      <c r="N21" s="26"/>
      <c r="O21" s="26"/>
      <c r="P21" s="26"/>
      <c r="Q21" s="26"/>
      <c r="S21" s="23"/>
      <c r="U21" s="10"/>
      <c r="V21" s="25"/>
      <c r="W21" s="25"/>
    </row>
    <row r="22" spans="1:23" ht="15" customHeight="1" x14ac:dyDescent="0.2">
      <c r="A22" s="17" t="s">
        <v>13</v>
      </c>
      <c r="C22" s="11" t="s">
        <v>26</v>
      </c>
      <c r="D22" s="11" t="s">
        <v>32</v>
      </c>
      <c r="E22" s="11" t="s">
        <v>33</v>
      </c>
      <c r="F22" s="11" t="s">
        <v>34</v>
      </c>
      <c r="G22" s="11" t="s">
        <v>35</v>
      </c>
      <c r="H22" s="11" t="s">
        <v>36</v>
      </c>
      <c r="I22" s="11" t="s">
        <v>37</v>
      </c>
      <c r="K22" s="11" t="s">
        <v>26</v>
      </c>
      <c r="L22" s="11" t="s">
        <v>32</v>
      </c>
      <c r="M22" s="11" t="s">
        <v>33</v>
      </c>
      <c r="N22" s="11" t="s">
        <v>34</v>
      </c>
      <c r="O22" s="11" t="s">
        <v>35</v>
      </c>
      <c r="P22" s="11" t="s">
        <v>36</v>
      </c>
      <c r="Q22" s="11" t="s">
        <v>37</v>
      </c>
      <c r="S22" s="23"/>
      <c r="U22" s="3"/>
      <c r="V22" s="25"/>
      <c r="W22" s="25"/>
    </row>
    <row r="23" spans="1:23" ht="15" customHeight="1" x14ac:dyDescent="0.25">
      <c r="A23" s="17"/>
      <c r="C23" s="24" t="str">
        <f>IF(DAY(GegSek1)=1,"",IF(AND(YEAR(GegSek1+1)=KalendoriniaiMetai,MONTH(GegSek1+1)=5),GegSek1+1,""))</f>
        <v/>
      </c>
      <c r="D23" s="24" t="str">
        <f>IF(DAY(GegSek1)=1,"",IF(AND(YEAR(GegSek1+2)=KalendoriniaiMetai,MONTH(GegSek1+2)=5),GegSek1+2,""))</f>
        <v/>
      </c>
      <c r="E23" s="24" t="str">
        <f>IF(DAY(GegSek1)=1,"",IF(AND(YEAR(GegSek1+3)=KalendoriniaiMetai,MONTH(GegSek1+3)=5),GegSek1+3,""))</f>
        <v/>
      </c>
      <c r="F23" s="24" t="str">
        <f>IF(DAY(GegSek1)=1,"",IF(AND(YEAR(GegSek1+4)=KalendoriniaiMetai,MONTH(GegSek1+4)=5),GegSek1+4,""))</f>
        <v/>
      </c>
      <c r="G23" s="24">
        <f>IF(DAY(GegSek1)=1,"",IF(AND(YEAR(GegSek1+5)=KalendoriniaiMetai,MONTH(GegSek1+5)=5),GegSek1+5,""))</f>
        <v>43952</v>
      </c>
      <c r="H23" s="24">
        <f>IF(DAY(GegSek1)=1,"",IF(AND(YEAR(GegSek1+6)=KalendoriniaiMetai,MONTH(GegSek1+6)=5),GegSek1+6,""))</f>
        <v>43953</v>
      </c>
      <c r="I23" s="24">
        <f>IF(DAY(GegSek1)=1,IF(AND(YEAR(GegSek1)=KalendoriniaiMetai,MONTH(GegSek1)=5),GegSek1,""),IF(AND(YEAR(GegSek1+7)=KalendoriniaiMetai,MONTH(GegSek1+7)=5),GegSek1+7,""))</f>
        <v>43954</v>
      </c>
      <c r="J23" s="20"/>
      <c r="K23" s="24">
        <f>IF(DAY(BirSek1)=1,"",IF(AND(YEAR(BirSek1+1)=KalendoriniaiMetai,MONTH(BirSek1+1)=6),BirSek1+1,""))</f>
        <v>43983</v>
      </c>
      <c r="L23" s="24">
        <f>IF(DAY(BirSek1)=1,"",IF(AND(YEAR(BirSek1+2)=KalendoriniaiMetai,MONTH(BirSek1+2)=6),BirSek1+2,""))</f>
        <v>43984</v>
      </c>
      <c r="M23" s="24">
        <f>IF(DAY(BirSek1)=1,"",IF(AND(YEAR(BirSek1+3)=KalendoriniaiMetai,MONTH(BirSek1+3)=6),BirSek1+3,""))</f>
        <v>43985</v>
      </c>
      <c r="N23" s="24">
        <f>IF(DAY(BirSek1)=1,"",IF(AND(YEAR(BirSek1+4)=KalendoriniaiMetai,MONTH(BirSek1+4)=6),BirSek1+4,""))</f>
        <v>43986</v>
      </c>
      <c r="O23" s="24">
        <f>IF(DAY(BirSek1)=1,"",IF(AND(YEAR(BirSek1+5)=KalendoriniaiMetai,MONTH(BirSek1+5)=6),BirSek1+5,""))</f>
        <v>43987</v>
      </c>
      <c r="P23" s="24">
        <f>IF(DAY(BirSek1)=1,"",IF(AND(YEAR(BirSek1+6)=KalendoriniaiMetai,MONTH(BirSek1+6)=6),BirSek1+6,""))</f>
        <v>43988</v>
      </c>
      <c r="Q23" s="24">
        <f>IF(DAY(BirSek1)=1,IF(AND(YEAR(BirSek1)=KalendoriniaiMetai,MONTH(BirSek1)=6),BirSek1,""),IF(AND(YEAR(BirSek1+7)=KalendoriniaiMetai,MONTH(BirSek1+7)=6),BirSek1+7,""))</f>
        <v>43989</v>
      </c>
      <c r="S23" s="23"/>
      <c r="U23" s="2"/>
      <c r="V23" s="25"/>
      <c r="W23" s="25"/>
    </row>
    <row r="24" spans="1:23" ht="15" customHeight="1" x14ac:dyDescent="0.2">
      <c r="C24" s="24">
        <f>IF(DAY(GegSek1)=1,IF(AND(YEAR(GegSek1+1)=KalendoriniaiMetai,MONTH(GegSek1+1)=5),GegSek1+1,""),IF(AND(YEAR(GegSek1+8)=KalendoriniaiMetai,MONTH(GegSek1+8)=5),GegSek1+8,""))</f>
        <v>43955</v>
      </c>
      <c r="D24" s="24">
        <f>IF(DAY(GegSek1)=1,IF(AND(YEAR(GegSek1+2)=KalendoriniaiMetai,MONTH(GegSek1+2)=5),GegSek1+2,""),IF(AND(YEAR(GegSek1+9)=KalendoriniaiMetai,MONTH(GegSek1+9)=5),GegSek1+9,""))</f>
        <v>43956</v>
      </c>
      <c r="E24" s="24">
        <f>IF(DAY(GegSek1)=1,IF(AND(YEAR(GegSek1+3)=KalendoriniaiMetai,MONTH(GegSek1+3)=5),GegSek1+3,""),IF(AND(YEAR(GegSek1+10)=KalendoriniaiMetai,MONTH(GegSek1+10)=5),GegSek1+10,""))</f>
        <v>43957</v>
      </c>
      <c r="F24" s="24">
        <f>IF(DAY(GegSek1)=1,IF(AND(YEAR(GegSek1+4)=KalendoriniaiMetai,MONTH(GegSek1+4)=5),GegSek1+4,""),IF(AND(YEAR(GegSek1+11)=KalendoriniaiMetai,MONTH(GegSek1+11)=5),GegSek1+11,""))</f>
        <v>43958</v>
      </c>
      <c r="G24" s="24">
        <f>IF(DAY(GegSek1)=1,IF(AND(YEAR(GegSek1+5)=KalendoriniaiMetai,MONTH(GegSek1+5)=5),GegSek1+5,""),IF(AND(YEAR(GegSek1+12)=KalendoriniaiMetai,MONTH(GegSek1+12)=5),GegSek1+12,""))</f>
        <v>43959</v>
      </c>
      <c r="H24" s="24">
        <f>IF(DAY(GegSek1)=1,IF(AND(YEAR(GegSek1+6)=KalendoriniaiMetai,MONTH(GegSek1+6)=5),GegSek1+6,""),IF(AND(YEAR(GegSek1+13)=KalendoriniaiMetai,MONTH(GegSek1+13)=5),GegSek1+13,""))</f>
        <v>43960</v>
      </c>
      <c r="I24" s="24">
        <f>IF(DAY(GegSek1)=1,IF(AND(YEAR(GegSek1+7)=KalendoriniaiMetai,MONTH(GegSek1+7)=5),GegSek1+7,""),IF(AND(YEAR(GegSek1+14)=KalendoriniaiMetai,MONTH(GegSek1+14)=5),GegSek1+14,""))</f>
        <v>43961</v>
      </c>
      <c r="J24" s="21"/>
      <c r="K24" s="24">
        <f>IF(DAY(BirSek1)=1,IF(AND(YEAR(BirSek1+1)=KalendoriniaiMetai,MONTH(BirSek1+1)=6),BirSek1+1,""),IF(AND(YEAR(BirSek1+8)=KalendoriniaiMetai,MONTH(BirSek1+8)=6),BirSek1+8,""))</f>
        <v>43990</v>
      </c>
      <c r="L24" s="24">
        <f>IF(DAY(BirSek1)=1,IF(AND(YEAR(BirSek1+2)=KalendoriniaiMetai,MONTH(BirSek1+2)=6),BirSek1+2,""),IF(AND(YEAR(BirSek1+9)=KalendoriniaiMetai,MONTH(BirSek1+9)=6),BirSek1+9,""))</f>
        <v>43991</v>
      </c>
      <c r="M24" s="24">
        <f>IF(DAY(BirSek1)=1,IF(AND(YEAR(BirSek1+3)=KalendoriniaiMetai,MONTH(BirSek1+3)=6),BirSek1+3,""),IF(AND(YEAR(BirSek1+10)=KalendoriniaiMetai,MONTH(BirSek1+10)=6),BirSek1+10,""))</f>
        <v>43992</v>
      </c>
      <c r="N24" s="24">
        <f>IF(DAY(BirSek1)=1,IF(AND(YEAR(BirSek1+4)=KalendoriniaiMetai,MONTH(BirSek1+4)=6),BirSek1+4,""),IF(AND(YEAR(BirSek1+11)=KalendoriniaiMetai,MONTH(BirSek1+11)=6),BirSek1+11,""))</f>
        <v>43993</v>
      </c>
      <c r="O24" s="24">
        <f>IF(DAY(BirSek1)=1,IF(AND(YEAR(BirSek1+5)=KalendoriniaiMetai,MONTH(BirSek1+5)=6),BirSek1+5,""),IF(AND(YEAR(BirSek1+12)=KalendoriniaiMetai,MONTH(BirSek1+12)=6),BirSek1+12,""))</f>
        <v>43994</v>
      </c>
      <c r="P24" s="24">
        <f>IF(DAY(BirSek1)=1,IF(AND(YEAR(BirSek1+6)=KalendoriniaiMetai,MONTH(BirSek1+6)=6),BirSek1+6,""),IF(AND(YEAR(BirSek1+13)=KalendoriniaiMetai,MONTH(BirSek1+13)=6),BirSek1+13,""))</f>
        <v>43995</v>
      </c>
      <c r="Q24" s="24">
        <f>IF(DAY(BirSek1)=1,IF(AND(YEAR(BirSek1+7)=KalendoriniaiMetai,MONTH(BirSek1+7)=6),BirSek1+7,""),IF(AND(YEAR(BirSek1+14)=KalendoriniaiMetai,MONTH(BirSek1+14)=6),BirSek1+14,""))</f>
        <v>43996</v>
      </c>
      <c r="S24" s="23"/>
      <c r="U24" s="10"/>
      <c r="V24" s="25"/>
      <c r="W24" s="25"/>
    </row>
    <row r="25" spans="1:23" ht="15" customHeight="1" x14ac:dyDescent="0.2">
      <c r="C25" s="24">
        <f>IF(DAY(GegSek1)=1,IF(AND(YEAR(GegSek1+8)=KalendoriniaiMetai,MONTH(GegSek1+8)=5),GegSek1+8,""),IF(AND(YEAR(GegSek1+15)=KalendoriniaiMetai,MONTH(GegSek1+15)=5),GegSek1+15,""))</f>
        <v>43962</v>
      </c>
      <c r="D25" s="24">
        <f>IF(DAY(GegSek1)=1,IF(AND(YEAR(GegSek1+9)=KalendoriniaiMetai,MONTH(GegSek1+9)=5),GegSek1+9,""),IF(AND(YEAR(GegSek1+16)=KalendoriniaiMetai,MONTH(GegSek1+16)=5),GegSek1+16,""))</f>
        <v>43963</v>
      </c>
      <c r="E25" s="24">
        <f>IF(DAY(GegSek1)=1,IF(AND(YEAR(GegSek1+10)=KalendoriniaiMetai,MONTH(GegSek1+10)=5),GegSek1+10,""),IF(AND(YEAR(GegSek1+17)=KalendoriniaiMetai,MONTH(GegSek1+17)=5),GegSek1+17,""))</f>
        <v>43964</v>
      </c>
      <c r="F25" s="24">
        <f>IF(DAY(GegSek1)=1,IF(AND(YEAR(GegSek1+11)=KalendoriniaiMetai,MONTH(GegSek1+11)=5),GegSek1+11,""),IF(AND(YEAR(GegSek1+18)=KalendoriniaiMetai,MONTH(GegSek1+18)=5),GegSek1+18,""))</f>
        <v>43965</v>
      </c>
      <c r="G25" s="24">
        <f>IF(DAY(GegSek1)=1,IF(AND(YEAR(GegSek1+12)=KalendoriniaiMetai,MONTH(GegSek1+12)=5),GegSek1+12,""),IF(AND(YEAR(GegSek1+19)=KalendoriniaiMetai,MONTH(GegSek1+19)=5),GegSek1+19,""))</f>
        <v>43966</v>
      </c>
      <c r="H25" s="24">
        <f>IF(DAY(GegSek1)=1,IF(AND(YEAR(GegSek1+13)=KalendoriniaiMetai,MONTH(GegSek1+13)=5),GegSek1+13,""),IF(AND(YEAR(GegSek1+20)=KalendoriniaiMetai,MONTH(GegSek1+20)=5),GegSek1+20,""))</f>
        <v>43967</v>
      </c>
      <c r="I25" s="24">
        <f>IF(DAY(GegSek1)=1,IF(AND(YEAR(GegSek1+14)=KalendoriniaiMetai,MONTH(GegSek1+14)=5),GegSek1+14,""),IF(AND(YEAR(GegSek1+21)=KalendoriniaiMetai,MONTH(GegSek1+21)=5),GegSek1+21,""))</f>
        <v>43968</v>
      </c>
      <c r="J25" s="21"/>
      <c r="K25" s="24">
        <f>IF(DAY(BirSek1)=1,IF(AND(YEAR(BirSek1+8)=KalendoriniaiMetai,MONTH(BirSek1+8)=6),BirSek1+8,""),IF(AND(YEAR(BirSek1+15)=KalendoriniaiMetai,MONTH(BirSek1+15)=6),BirSek1+15,""))</f>
        <v>43997</v>
      </c>
      <c r="L25" s="24">
        <f>IF(DAY(BirSek1)=1,IF(AND(YEAR(BirSek1+9)=KalendoriniaiMetai,MONTH(BirSek1+9)=6),BirSek1+9,""),IF(AND(YEAR(BirSek1+16)=KalendoriniaiMetai,MONTH(BirSek1+16)=6),BirSek1+16,""))</f>
        <v>43998</v>
      </c>
      <c r="M25" s="24">
        <f>IF(DAY(BirSek1)=1,IF(AND(YEAR(BirSek1+10)=KalendoriniaiMetai,MONTH(BirSek1+10)=6),BirSek1+10,""),IF(AND(YEAR(BirSek1+17)=KalendoriniaiMetai,MONTH(BirSek1+17)=6),BirSek1+17,""))</f>
        <v>43999</v>
      </c>
      <c r="N25" s="24">
        <f>IF(DAY(BirSek1)=1,IF(AND(YEAR(BirSek1+11)=KalendoriniaiMetai,MONTH(BirSek1+11)=6),BirSek1+11,""),IF(AND(YEAR(BirSek1+18)=KalendoriniaiMetai,MONTH(BirSek1+18)=6),BirSek1+18,""))</f>
        <v>44000</v>
      </c>
      <c r="O25" s="24">
        <f>IF(DAY(BirSek1)=1,IF(AND(YEAR(BirSek1+12)=KalendoriniaiMetai,MONTH(BirSek1+12)=6),BirSek1+12,""),IF(AND(YEAR(BirSek1+19)=KalendoriniaiMetai,MONTH(BirSek1+19)=6),BirSek1+19,""))</f>
        <v>44001</v>
      </c>
      <c r="P25" s="24">
        <f>IF(DAY(BirSek1)=1,IF(AND(YEAR(BirSek1+13)=KalendoriniaiMetai,MONTH(BirSek1+13)=6),BirSek1+13,""),IF(AND(YEAR(BirSek1+20)=KalendoriniaiMetai,MONTH(BirSek1+20)=6),BirSek1+20,""))</f>
        <v>44002</v>
      </c>
      <c r="Q25" s="24">
        <f>IF(DAY(BirSek1)=1,IF(AND(YEAR(BirSek1+14)=KalendoriniaiMetai,MONTH(BirSek1+14)=6),BirSek1+14,""),IF(AND(YEAR(BirSek1+21)=KalendoriniaiMetai,MONTH(BirSek1+21)=6),BirSek1+21,""))</f>
        <v>44003</v>
      </c>
      <c r="S25" s="23"/>
      <c r="U25" s="3"/>
      <c r="V25" s="25"/>
      <c r="W25" s="25"/>
    </row>
    <row r="26" spans="1:23" ht="15" customHeight="1" x14ac:dyDescent="0.2">
      <c r="C26" s="24">
        <f>IF(DAY(GegSek1)=1,IF(AND(YEAR(GegSek1+15)=KalendoriniaiMetai,MONTH(GegSek1+15)=5),GegSek1+15,""),IF(AND(YEAR(GegSek1+22)=KalendoriniaiMetai,MONTH(GegSek1+22)=5),GegSek1+22,""))</f>
        <v>43969</v>
      </c>
      <c r="D26" s="24">
        <f>IF(DAY(GegSek1)=1,IF(AND(YEAR(GegSek1+16)=KalendoriniaiMetai,MONTH(GegSek1+16)=5),GegSek1+16,""),IF(AND(YEAR(GegSek1+23)=KalendoriniaiMetai,MONTH(GegSek1+23)=5),GegSek1+23,""))</f>
        <v>43970</v>
      </c>
      <c r="E26" s="24">
        <f>IF(DAY(GegSek1)=1,IF(AND(YEAR(GegSek1+17)=KalendoriniaiMetai,MONTH(GegSek1+17)=5),GegSek1+17,""),IF(AND(YEAR(GegSek1+24)=KalendoriniaiMetai,MONTH(GegSek1+24)=5),GegSek1+24,""))</f>
        <v>43971</v>
      </c>
      <c r="F26" s="24">
        <f>IF(DAY(GegSek1)=1,IF(AND(YEAR(GegSek1+18)=KalendoriniaiMetai,MONTH(GegSek1+18)=5),GegSek1+18,""),IF(AND(YEAR(GegSek1+25)=KalendoriniaiMetai,MONTH(GegSek1+25)=5),GegSek1+25,""))</f>
        <v>43972</v>
      </c>
      <c r="G26" s="24">
        <f>IF(DAY(GegSek1)=1,IF(AND(YEAR(GegSek1+19)=KalendoriniaiMetai,MONTH(GegSek1+19)=5),GegSek1+19,""),IF(AND(YEAR(GegSek1+26)=KalendoriniaiMetai,MONTH(GegSek1+26)=5),GegSek1+26,""))</f>
        <v>43973</v>
      </c>
      <c r="H26" s="24">
        <f>IF(DAY(GegSek1)=1,IF(AND(YEAR(GegSek1+20)=KalendoriniaiMetai,MONTH(GegSek1+20)=5),GegSek1+20,""),IF(AND(YEAR(GegSek1+27)=KalendoriniaiMetai,MONTH(GegSek1+27)=5),GegSek1+27,""))</f>
        <v>43974</v>
      </c>
      <c r="I26" s="24">
        <f>IF(DAY(GegSek1)=1,IF(AND(YEAR(GegSek1+21)=KalendoriniaiMetai,MONTH(GegSek1+21)=5),GegSek1+21,""),IF(AND(YEAR(GegSek1+28)=KalendoriniaiMetai,MONTH(GegSek1+28)=5),GegSek1+28,""))</f>
        <v>43975</v>
      </c>
      <c r="J26" s="21"/>
      <c r="K26" s="24">
        <f>IF(DAY(BirSek1)=1,IF(AND(YEAR(BirSek1+15)=KalendoriniaiMetai,MONTH(BirSek1+15)=6),BirSek1+15,""),IF(AND(YEAR(BirSek1+22)=KalendoriniaiMetai,MONTH(BirSek1+22)=6),BirSek1+22,""))</f>
        <v>44004</v>
      </c>
      <c r="L26" s="24">
        <f>IF(DAY(BirSek1)=1,IF(AND(YEAR(BirSek1+16)=KalendoriniaiMetai,MONTH(BirSek1+16)=6),BirSek1+16,""),IF(AND(YEAR(BirSek1+23)=KalendoriniaiMetai,MONTH(BirSek1+23)=6),BirSek1+23,""))</f>
        <v>44005</v>
      </c>
      <c r="M26" s="24">
        <f>IF(DAY(BirSek1)=1,IF(AND(YEAR(BirSek1+17)=KalendoriniaiMetai,MONTH(BirSek1+17)=6),BirSek1+17,""),IF(AND(YEAR(BirSek1+24)=KalendoriniaiMetai,MONTH(BirSek1+24)=6),BirSek1+24,""))</f>
        <v>44006</v>
      </c>
      <c r="N26" s="24">
        <f>IF(DAY(BirSek1)=1,IF(AND(YEAR(BirSek1+18)=KalendoriniaiMetai,MONTH(BirSek1+18)=6),BirSek1+18,""),IF(AND(YEAR(BirSek1+25)=KalendoriniaiMetai,MONTH(BirSek1+25)=6),BirSek1+25,""))</f>
        <v>44007</v>
      </c>
      <c r="O26" s="24">
        <f>IF(DAY(BirSek1)=1,IF(AND(YEAR(BirSek1+19)=KalendoriniaiMetai,MONTH(BirSek1+19)=6),BirSek1+19,""),IF(AND(YEAR(BirSek1+26)=KalendoriniaiMetai,MONTH(BirSek1+26)=6),BirSek1+26,""))</f>
        <v>44008</v>
      </c>
      <c r="P26" s="24">
        <f>IF(DAY(BirSek1)=1,IF(AND(YEAR(BirSek1+20)=KalendoriniaiMetai,MONTH(BirSek1+20)=6),BirSek1+20,""),IF(AND(YEAR(BirSek1+27)=KalendoriniaiMetai,MONTH(BirSek1+27)=6),BirSek1+27,""))</f>
        <v>44009</v>
      </c>
      <c r="Q26" s="24">
        <f>IF(DAY(BirSek1)=1,IF(AND(YEAR(BirSek1+21)=KalendoriniaiMetai,MONTH(BirSek1+21)=6),BirSek1+21,""),IF(AND(YEAR(BirSek1+28)=KalendoriniaiMetai,MONTH(BirSek1+28)=6),BirSek1+28,""))</f>
        <v>44010</v>
      </c>
      <c r="S26" s="23"/>
      <c r="U26" s="2"/>
      <c r="V26" s="25"/>
      <c r="W26" s="25"/>
    </row>
    <row r="27" spans="1:23" ht="15" customHeight="1" x14ac:dyDescent="0.2">
      <c r="C27" s="24">
        <f>IF(DAY(GegSek1)=1,IF(AND(YEAR(GegSek1+22)=KalendoriniaiMetai,MONTH(GegSek1+22)=5),GegSek1+22,""),IF(AND(YEAR(GegSek1+29)=KalendoriniaiMetai,MONTH(GegSek1+29)=5),GegSek1+29,""))</f>
        <v>43976</v>
      </c>
      <c r="D27" s="24">
        <f>IF(DAY(GegSek1)=1,IF(AND(YEAR(GegSek1+23)=KalendoriniaiMetai,MONTH(GegSek1+23)=5),GegSek1+23,""),IF(AND(YEAR(GegSek1+30)=KalendoriniaiMetai,MONTH(GegSek1+30)=5),GegSek1+30,""))</f>
        <v>43977</v>
      </c>
      <c r="E27" s="24">
        <f>IF(DAY(GegSek1)=1,IF(AND(YEAR(GegSek1+24)=KalendoriniaiMetai,MONTH(GegSek1+24)=5),GegSek1+24,""),IF(AND(YEAR(GegSek1+31)=KalendoriniaiMetai,MONTH(GegSek1+31)=5),GegSek1+31,""))</f>
        <v>43978</v>
      </c>
      <c r="F27" s="24">
        <f>IF(DAY(GegSek1)=1,IF(AND(YEAR(GegSek1+25)=KalendoriniaiMetai,MONTH(GegSek1+25)=5),GegSek1+25,""),IF(AND(YEAR(GegSek1+32)=KalendoriniaiMetai,MONTH(GegSek1+32)=5),GegSek1+32,""))</f>
        <v>43979</v>
      </c>
      <c r="G27" s="24">
        <f>IF(DAY(GegSek1)=1,IF(AND(YEAR(GegSek1+26)=KalendoriniaiMetai,MONTH(GegSek1+26)=5),GegSek1+26,""),IF(AND(YEAR(GegSek1+33)=KalendoriniaiMetai,MONTH(GegSek1+33)=5),GegSek1+33,""))</f>
        <v>43980</v>
      </c>
      <c r="H27" s="24">
        <f>IF(DAY(GegSek1)=1,IF(AND(YEAR(GegSek1+27)=KalendoriniaiMetai,MONTH(GegSek1+27)=5),GegSek1+27,""),IF(AND(YEAR(GegSek1+34)=KalendoriniaiMetai,MONTH(GegSek1+34)=5),GegSek1+34,""))</f>
        <v>43981</v>
      </c>
      <c r="I27" s="24">
        <f>IF(DAY(GegSek1)=1,IF(AND(YEAR(GegSek1+28)=KalendoriniaiMetai,MONTH(GegSek1+28)=5),GegSek1+28,""),IF(AND(YEAR(GegSek1+35)=KalendoriniaiMetai,MONTH(GegSek1+35)=5),GegSek1+35,""))</f>
        <v>43982</v>
      </c>
      <c r="J27" s="21"/>
      <c r="K27" s="24">
        <f>IF(DAY(BirSek1)=1,IF(AND(YEAR(BirSek1+22)=KalendoriniaiMetai,MONTH(BirSek1+22)=6),BirSek1+22,""),IF(AND(YEAR(BirSek1+29)=KalendoriniaiMetai,MONTH(BirSek1+29)=6),BirSek1+29,""))</f>
        <v>44011</v>
      </c>
      <c r="L27" s="24">
        <f>IF(DAY(BirSek1)=1,IF(AND(YEAR(BirSek1+23)=KalendoriniaiMetai,MONTH(BirSek1+23)=6),BirSek1+23,""),IF(AND(YEAR(BirSek1+30)=KalendoriniaiMetai,MONTH(BirSek1+30)=6),BirSek1+30,""))</f>
        <v>44012</v>
      </c>
      <c r="M27" s="24" t="str">
        <f>IF(DAY(BirSek1)=1,IF(AND(YEAR(BirSek1+24)=KalendoriniaiMetai,MONTH(BirSek1+24)=6),BirSek1+24,""),IF(AND(YEAR(BirSek1+31)=KalendoriniaiMetai,MONTH(BirSek1+31)=6),BirSek1+31,""))</f>
        <v/>
      </c>
      <c r="N27" s="24" t="str">
        <f>IF(DAY(BirSek1)=1,IF(AND(YEAR(BirSek1+25)=KalendoriniaiMetai,MONTH(BirSek1+25)=6),BirSek1+25,""),IF(AND(YEAR(BirSek1+32)=KalendoriniaiMetai,MONTH(BirSek1+32)=6),BirSek1+32,""))</f>
        <v/>
      </c>
      <c r="O27" s="24" t="str">
        <f>IF(DAY(BirSek1)=1,IF(AND(YEAR(BirSek1+26)=KalendoriniaiMetai,MONTH(BirSek1+26)=6),BirSek1+26,""),IF(AND(YEAR(BirSek1+33)=KalendoriniaiMetai,MONTH(BirSek1+33)=6),BirSek1+33,""))</f>
        <v/>
      </c>
      <c r="P27" s="24" t="str">
        <f>IF(DAY(BirSek1)=1,IF(AND(YEAR(BirSek1+27)=KalendoriniaiMetai,MONTH(BirSek1+27)=6),BirSek1+27,""),IF(AND(YEAR(BirSek1+34)=KalendoriniaiMetai,MONTH(BirSek1+34)=6),BirSek1+34,""))</f>
        <v/>
      </c>
      <c r="Q27" s="24" t="str">
        <f>IF(DAY(BirSek1)=1,IF(AND(YEAR(BirSek1+28)=KalendoriniaiMetai,MONTH(BirSek1+28)=6),BirSek1+28,""),IF(AND(YEAR(BirSek1+35)=KalendoriniaiMetai,MONTH(BirSek1+35)=6),BirSek1+35,""))</f>
        <v/>
      </c>
      <c r="S27" s="23"/>
      <c r="U27" s="10"/>
      <c r="V27" s="25"/>
      <c r="W27" s="25"/>
    </row>
    <row r="28" spans="1:23" ht="15" customHeight="1" x14ac:dyDescent="0.2">
      <c r="C28" s="24" t="str">
        <f>IF(DAY(GegSek1)=1,IF(AND(YEAR(GegSek1+29)=KalendoriniaiMetai,MONTH(GegSek1+29)=5),GegSek1+29,""),IF(AND(YEAR(GegSek1+36)=KalendoriniaiMetai,MONTH(GegSek1+36)=5),GegSek1+36,""))</f>
        <v/>
      </c>
      <c r="D28" s="24" t="str">
        <f>IF(DAY(GegSek1)=1,IF(AND(YEAR(GegSek1+30)=KalendoriniaiMetai,MONTH(GegSek1+30)=5),GegSek1+30,""),IF(AND(YEAR(GegSek1+37)=KalendoriniaiMetai,MONTH(GegSek1+37)=5),GegSek1+37,""))</f>
        <v/>
      </c>
      <c r="E28" s="24" t="str">
        <f>IF(DAY(GegSek1)=1,IF(AND(YEAR(GegSek1+31)=KalendoriniaiMetai,MONTH(GegSek1+31)=5),GegSek1+31,""),IF(AND(YEAR(GegSek1+38)=KalendoriniaiMetai,MONTH(GegSek1+38)=5),GegSek1+38,""))</f>
        <v/>
      </c>
      <c r="F28" s="24" t="str">
        <f>IF(DAY(GegSek1)=1,IF(AND(YEAR(GegSek1+32)=KalendoriniaiMetai,MONTH(GegSek1+32)=5),GegSek1+32,""),IF(AND(YEAR(GegSek1+39)=KalendoriniaiMetai,MONTH(GegSek1+39)=5),GegSek1+39,""))</f>
        <v/>
      </c>
      <c r="G28" s="24" t="str">
        <f>IF(DAY(GegSek1)=1,IF(AND(YEAR(GegSek1+33)=KalendoriniaiMetai,MONTH(GegSek1+33)=5),GegSek1+33,""),IF(AND(YEAR(GegSek1+40)=KalendoriniaiMetai,MONTH(GegSek1+40)=5),GegSek1+40,""))</f>
        <v/>
      </c>
      <c r="H28" s="24" t="str">
        <f>IF(DAY(GegSek1)=1,IF(AND(YEAR(GegSek1+34)=KalendoriniaiMetai,MONTH(GegSek1+34)=5),GegSek1+34,""),IF(AND(YEAR(GegSek1+41)=KalendoriniaiMetai,MONTH(GegSek1+41)=5),GegSek1+41,""))</f>
        <v/>
      </c>
      <c r="I28" s="24" t="str">
        <f>IF(DAY(GegSek1)=1,IF(AND(YEAR(GegSek1+35)=KalendoriniaiMetai,MONTH(GegSek1+35)=5),GegSek1+35,""),IF(AND(YEAR(GegSek1+42)=KalendoriniaiMetai,MONTH(GegSek1+42)=5),GegSek1+42,""))</f>
        <v/>
      </c>
      <c r="J28" s="21"/>
      <c r="K28" s="24" t="str">
        <f>IF(DAY(BirSek1)=1,IF(AND(YEAR(BirSek1+29)=KalendoriniaiMetai,MONTH(BirSek1+29)=6),BirSek1+29,""),IF(AND(YEAR(BirSek1+36)=KalendoriniaiMetai,MONTH(BirSek1+36)=6),BirSek1+36,""))</f>
        <v/>
      </c>
      <c r="L28" s="24" t="str">
        <f>IF(DAY(BirSek1)=1,IF(AND(YEAR(BirSek1+30)=KalendoriniaiMetai,MONTH(BirSek1+30)=6),BirSek1+30,""),IF(AND(YEAR(BirSek1+37)=KalendoriniaiMetai,MONTH(BirSek1+37)=6),BirSek1+37,""))</f>
        <v/>
      </c>
      <c r="M28" s="24" t="str">
        <f>IF(DAY(BirSek1)=1,IF(AND(YEAR(BirSek1+31)=KalendoriniaiMetai,MONTH(BirSek1+31)=6),BirSek1+31,""),IF(AND(YEAR(BirSek1+38)=KalendoriniaiMetai,MONTH(BirSek1+38)=6),BirSek1+38,""))</f>
        <v/>
      </c>
      <c r="N28" s="24" t="str">
        <f>IF(DAY(BirSek1)=1,IF(AND(YEAR(BirSek1+32)=KalendoriniaiMetai,MONTH(BirSek1+32)=6),BirSek1+32,""),IF(AND(YEAR(BirSek1+39)=KalendoriniaiMetai,MONTH(BirSek1+39)=6),BirSek1+39,""))</f>
        <v/>
      </c>
      <c r="O28" s="24" t="str">
        <f>IF(DAY(BirSek1)=1,IF(AND(YEAR(BirSek1+33)=KalendoriniaiMetai,MONTH(BirSek1+33)=6),BirSek1+33,""),IF(AND(YEAR(BirSek1+40)=KalendoriniaiMetai,MONTH(BirSek1+40)=6),BirSek1+40,""))</f>
        <v/>
      </c>
      <c r="P28" s="24" t="str">
        <f>IF(DAY(BirSek1)=1,IF(AND(YEAR(BirSek1+34)=KalendoriniaiMetai,MONTH(BirSek1+34)=6),BirSek1+34,""),IF(AND(YEAR(BirSek1+41)=KalendoriniaiMetai,MONTH(BirSek1+41)=6),BirSek1+41,""))</f>
        <v/>
      </c>
      <c r="Q28" s="24" t="str">
        <f>IF(DAY(BirSek1)=1,IF(AND(YEAR(BirSek1+35)=KalendoriniaiMetai,MONTH(BirSek1+35)=6),BirSek1+35,""),IF(AND(YEAR(BirSek1+42)=KalendoriniaiMetai,MONTH(BirSek1+42)=6),BirSek1+42,""))</f>
        <v/>
      </c>
      <c r="S28" s="23"/>
      <c r="U28" s="3"/>
      <c r="V28" s="25"/>
      <c r="W28" s="25"/>
    </row>
    <row r="29" spans="1:23" ht="15" customHeight="1" x14ac:dyDescent="0.2">
      <c r="J29" s="21"/>
      <c r="S29" s="23"/>
      <c r="U29" s="2"/>
      <c r="V29" s="25"/>
      <c r="W29" s="25"/>
    </row>
    <row r="30" spans="1:23" ht="15" customHeight="1" x14ac:dyDescent="0.2">
      <c r="A30" s="17" t="s">
        <v>14</v>
      </c>
      <c r="C30" s="26" t="s">
        <v>29</v>
      </c>
      <c r="D30" s="26"/>
      <c r="E30" s="26"/>
      <c r="F30" s="26"/>
      <c r="G30" s="26"/>
      <c r="H30" s="26"/>
      <c r="I30" s="26"/>
      <c r="J30" s="21"/>
      <c r="K30" s="26" t="s">
        <v>41</v>
      </c>
      <c r="L30" s="26"/>
      <c r="M30" s="26"/>
      <c r="N30" s="26"/>
      <c r="O30" s="26"/>
      <c r="P30" s="26"/>
      <c r="Q30" s="26"/>
      <c r="S30" s="23"/>
      <c r="U30" s="10"/>
      <c r="V30" s="25"/>
      <c r="W30" s="25"/>
    </row>
    <row r="31" spans="1:23" ht="15" customHeight="1" x14ac:dyDescent="0.2">
      <c r="A31" s="17" t="s">
        <v>15</v>
      </c>
      <c r="C31" s="11" t="s">
        <v>26</v>
      </c>
      <c r="D31" s="11" t="s">
        <v>32</v>
      </c>
      <c r="E31" s="11" t="s">
        <v>33</v>
      </c>
      <c r="F31" s="11" t="s">
        <v>34</v>
      </c>
      <c r="G31" s="11" t="s">
        <v>35</v>
      </c>
      <c r="H31" s="11" t="s">
        <v>36</v>
      </c>
      <c r="I31" s="11" t="s">
        <v>37</v>
      </c>
      <c r="J31" s="21"/>
      <c r="K31" s="11" t="s">
        <v>26</v>
      </c>
      <c r="L31" s="11" t="s">
        <v>32</v>
      </c>
      <c r="M31" s="11" t="s">
        <v>33</v>
      </c>
      <c r="N31" s="11" t="s">
        <v>34</v>
      </c>
      <c r="O31" s="11" t="s">
        <v>35</v>
      </c>
      <c r="P31" s="11" t="s">
        <v>36</v>
      </c>
      <c r="Q31" s="11" t="s">
        <v>37</v>
      </c>
      <c r="S31" s="23"/>
      <c r="U31" s="3"/>
      <c r="V31" s="25"/>
      <c r="W31" s="25"/>
    </row>
    <row r="32" spans="1:23" ht="15" customHeight="1" x14ac:dyDescent="0.2">
      <c r="A32" s="17"/>
      <c r="C32" s="24" t="str">
        <f>IF(DAY(LieSek1)=1,"",IF(AND(YEAR(LieSek1+1)=KalendoriniaiMetai,MONTH(LieSek1+1)=7),LieSek1+1,""))</f>
        <v/>
      </c>
      <c r="D32" s="24" t="str">
        <f>IF(DAY(LieSek1)=1,"",IF(AND(YEAR(LieSek1+2)=KalendoriniaiMetai,MONTH(LieSek1+2)=7),LieSek1+2,""))</f>
        <v/>
      </c>
      <c r="E32" s="24">
        <f>IF(DAY(LieSek1)=1,"",IF(AND(YEAR(LieSek1+3)=KalendoriniaiMetai,MONTH(LieSek1+3)=7),LieSek1+3,""))</f>
        <v>44013</v>
      </c>
      <c r="F32" s="24">
        <f>IF(DAY(LieSek1)=1,"",IF(AND(YEAR(LieSek1+4)=KalendoriniaiMetai,MONTH(LieSek1+4)=7),LieSek1+4,""))</f>
        <v>44014</v>
      </c>
      <c r="G32" s="24">
        <f>IF(DAY(LieSek1)=1,"",IF(AND(YEAR(LieSek1+5)=KalendoriniaiMetai,MONTH(LieSek1+5)=7),LieSek1+5,""))</f>
        <v>44015</v>
      </c>
      <c r="H32" s="24">
        <f>IF(DAY(LieSek1)=1,"",IF(AND(YEAR(LieSek1+6)=KalendoriniaiMetai,MONTH(LieSek1+6)=7),LieSek1+6,""))</f>
        <v>44016</v>
      </c>
      <c r="I32" s="24">
        <f>IF(DAY(LieSek1)=1,IF(AND(YEAR(LieSek1)=KalendoriniaiMetai,MONTH(LieSek1)=7),LieSek1,""),IF(AND(YEAR(LieSek1+7)=KalendoriniaiMetai,MONTH(LieSek1+7)=7),LieSek1+7,""))</f>
        <v>44017</v>
      </c>
      <c r="K32" s="24" t="str">
        <f>IF(DAY(RgpSek1)=1,"",IF(AND(YEAR(RgpSek1+1)=KalendoriniaiMetai,MONTH(RgpSek1+1)=8),RgpSek1+1,""))</f>
        <v/>
      </c>
      <c r="L32" s="24" t="str">
        <f>IF(DAY(RgpSek1)=1,"",IF(AND(YEAR(RgpSek1+2)=KalendoriniaiMetai,MONTH(RgpSek1+2)=8),RgpSek1+2,""))</f>
        <v/>
      </c>
      <c r="M32" s="24" t="str">
        <f>IF(DAY(RgpSek1)=1,"",IF(AND(YEAR(RgpSek1+3)=KalendoriniaiMetai,MONTH(RgpSek1+3)=8),RgpSek1+3,""))</f>
        <v/>
      </c>
      <c r="N32" s="24" t="str">
        <f>IF(DAY(RgpSek1)=1,"",IF(AND(YEAR(RgpSek1+4)=KalendoriniaiMetai,MONTH(RgpSek1+4)=8),RgpSek1+4,""))</f>
        <v/>
      </c>
      <c r="O32" s="24" t="str">
        <f>IF(DAY(RgpSek1)=1,"",IF(AND(YEAR(RgpSek1+5)=KalendoriniaiMetai,MONTH(RgpSek1+5)=8),RgpSek1+5,""))</f>
        <v/>
      </c>
      <c r="P32" s="24">
        <f>IF(DAY(RgpSek1)=1,"",IF(AND(YEAR(RgpSek1+6)=KalendoriniaiMetai,MONTH(RgpSek1+6)=8),RgpSek1+6,""))</f>
        <v>44044</v>
      </c>
      <c r="Q32" s="24">
        <f>IF(DAY(RgpSek1)=1,IF(AND(YEAR(RgpSek1)=KalendoriniaiMetai,MONTH(RgpSek1)=8),RgpSek1,""),IF(AND(YEAR(RgpSek1+7)=KalendoriniaiMetai,MONTH(RgpSek1+7)=8),RgpSek1+7,""))</f>
        <v>44045</v>
      </c>
      <c r="S32" s="23"/>
      <c r="U32" s="2"/>
      <c r="V32" s="25"/>
      <c r="W32" s="25"/>
    </row>
    <row r="33" spans="1:23" ht="15" customHeight="1" x14ac:dyDescent="0.2">
      <c r="A33" s="17"/>
      <c r="C33" s="24">
        <f>IF(DAY(LieSek1)=1,IF(AND(YEAR(LieSek1+1)=KalendoriniaiMetai,MONTH(LieSek1+1)=7),LieSek1+1,""),IF(AND(YEAR(LieSek1+8)=KalendoriniaiMetai,MONTH(LieSek1+8)=7),LieSek1+8,""))</f>
        <v>44018</v>
      </c>
      <c r="D33" s="24">
        <f>IF(DAY(LieSek1)=1,IF(AND(YEAR(LieSek1+2)=KalendoriniaiMetai,MONTH(LieSek1+2)=7),LieSek1+2,""),IF(AND(YEAR(LieSek1+9)=KalendoriniaiMetai,MONTH(LieSek1+9)=7),LieSek1+9,""))</f>
        <v>44019</v>
      </c>
      <c r="E33" s="24">
        <f>IF(DAY(LieSek1)=1,IF(AND(YEAR(LieSek1+3)=KalendoriniaiMetai,MONTH(LieSek1+3)=7),LieSek1+3,""),IF(AND(YEAR(LieSek1+10)=KalendoriniaiMetai,MONTH(LieSek1+10)=7),LieSek1+10,""))</f>
        <v>44020</v>
      </c>
      <c r="F33" s="24">
        <f>IF(DAY(LieSek1)=1,IF(AND(YEAR(LieSek1+4)=KalendoriniaiMetai,MONTH(LieSek1+4)=7),LieSek1+4,""),IF(AND(YEAR(LieSek1+11)=KalendoriniaiMetai,MONTH(LieSek1+11)=7),LieSek1+11,""))</f>
        <v>44021</v>
      </c>
      <c r="G33" s="24">
        <f>IF(DAY(LieSek1)=1,IF(AND(YEAR(LieSek1+5)=KalendoriniaiMetai,MONTH(LieSek1+5)=7),LieSek1+5,""),IF(AND(YEAR(LieSek1+12)=KalendoriniaiMetai,MONTH(LieSek1+12)=7),LieSek1+12,""))</f>
        <v>44022</v>
      </c>
      <c r="H33" s="24">
        <f>IF(DAY(LieSek1)=1,IF(AND(YEAR(LieSek1+6)=KalendoriniaiMetai,MONTH(LieSek1+6)=7),LieSek1+6,""),IF(AND(YEAR(LieSek1+13)=KalendoriniaiMetai,MONTH(LieSek1+13)=7),LieSek1+13,""))</f>
        <v>44023</v>
      </c>
      <c r="I33" s="24">
        <f>IF(DAY(LieSek1)=1,IF(AND(YEAR(LieSek1+7)=KalendoriniaiMetai,MONTH(LieSek1+7)=7),LieSek1+7,""),IF(AND(YEAR(LieSek1+14)=KalendoriniaiMetai,MONTH(LieSek1+14)=7),LieSek1+14,""))</f>
        <v>44024</v>
      </c>
      <c r="K33" s="24">
        <f>IF(DAY(RgpSek1)=1,IF(AND(YEAR(RgpSek1+1)=KalendoriniaiMetai,MONTH(RgpSek1+1)=8),RgpSek1+1,""),IF(AND(YEAR(RgpSek1+8)=KalendoriniaiMetai,MONTH(RgpSek1+8)=8),RgpSek1+8,""))</f>
        <v>44046</v>
      </c>
      <c r="L33" s="24">
        <f>IF(DAY(RgpSek1)=1,IF(AND(YEAR(RgpSek1+2)=KalendoriniaiMetai,MONTH(RgpSek1+2)=8),RgpSek1+2,""),IF(AND(YEAR(RgpSek1+9)=KalendoriniaiMetai,MONTH(RgpSek1+9)=8),RgpSek1+9,""))</f>
        <v>44047</v>
      </c>
      <c r="M33" s="24">
        <f>IF(DAY(RgpSek1)=1,IF(AND(YEAR(RgpSek1+3)=KalendoriniaiMetai,MONTH(RgpSek1+3)=8),RgpSek1+3,""),IF(AND(YEAR(RgpSek1+10)=KalendoriniaiMetai,MONTH(RgpSek1+10)=8),RgpSek1+10,""))</f>
        <v>44048</v>
      </c>
      <c r="N33" s="24">
        <f>IF(DAY(RgpSek1)=1,IF(AND(YEAR(RgpSek1+4)=KalendoriniaiMetai,MONTH(RgpSek1+4)=8),RgpSek1+4,""),IF(AND(YEAR(RgpSek1+11)=KalendoriniaiMetai,MONTH(RgpSek1+11)=8),RgpSek1+11,""))</f>
        <v>44049</v>
      </c>
      <c r="O33" s="24">
        <f>IF(DAY(RgpSek1)=1,IF(AND(YEAR(RgpSek1+5)=KalendoriniaiMetai,MONTH(RgpSek1+5)=8),RgpSek1+5,""),IF(AND(YEAR(RgpSek1+12)=KalendoriniaiMetai,MONTH(RgpSek1+12)=8),RgpSek1+12,""))</f>
        <v>44050</v>
      </c>
      <c r="P33" s="24">
        <f>IF(DAY(RgpSek1)=1,IF(AND(YEAR(RgpSek1+6)=KalendoriniaiMetai,MONTH(RgpSek1+6)=8),RgpSek1+6,""),IF(AND(YEAR(RgpSek1+13)=KalendoriniaiMetai,MONTH(RgpSek1+13)=8),RgpSek1+13,""))</f>
        <v>44051</v>
      </c>
      <c r="Q33" s="24">
        <f>IF(DAY(RgpSek1)=1,IF(AND(YEAR(RgpSek1+7)=KalendoriniaiMetai,MONTH(RgpSek1+7)=8),RgpSek1+7,""),IF(AND(YEAR(RgpSek1+14)=KalendoriniaiMetai,MONTH(RgpSek1+14)=8),RgpSek1+14,""))</f>
        <v>44052</v>
      </c>
      <c r="S33" s="23"/>
      <c r="U33" s="10"/>
      <c r="V33" s="25"/>
      <c r="W33" s="25"/>
    </row>
    <row r="34" spans="1:23" ht="15" customHeight="1" x14ac:dyDescent="0.2">
      <c r="C34" s="24">
        <f>IF(DAY(LieSek1)=1,IF(AND(YEAR(LieSek1+8)=KalendoriniaiMetai,MONTH(LieSek1+8)=7),LieSek1+8,""),IF(AND(YEAR(LieSek1+15)=KalendoriniaiMetai,MONTH(LieSek1+15)=7),LieSek1+15,""))</f>
        <v>44025</v>
      </c>
      <c r="D34" s="24">
        <f>IF(DAY(LieSek1)=1,IF(AND(YEAR(LieSek1+9)=KalendoriniaiMetai,MONTH(LieSek1+9)=7),LieSek1+9,""),IF(AND(YEAR(LieSek1+16)=KalendoriniaiMetai,MONTH(LieSek1+16)=7),LieSek1+16,""))</f>
        <v>44026</v>
      </c>
      <c r="E34" s="24">
        <f>IF(DAY(LieSek1)=1,IF(AND(YEAR(LieSek1+10)=KalendoriniaiMetai,MONTH(LieSek1+10)=7),LieSek1+10,""),IF(AND(YEAR(LieSek1+17)=KalendoriniaiMetai,MONTH(LieSek1+17)=7),LieSek1+17,""))</f>
        <v>44027</v>
      </c>
      <c r="F34" s="24">
        <f>IF(DAY(LieSek1)=1,IF(AND(YEAR(LieSek1+11)=KalendoriniaiMetai,MONTH(LieSek1+11)=7),LieSek1+11,""),IF(AND(YEAR(LieSek1+18)=KalendoriniaiMetai,MONTH(LieSek1+18)=7),LieSek1+18,""))</f>
        <v>44028</v>
      </c>
      <c r="G34" s="24">
        <f>IF(DAY(LieSek1)=1,IF(AND(YEAR(LieSek1+12)=KalendoriniaiMetai,MONTH(LieSek1+12)=7),LieSek1+12,""),IF(AND(YEAR(LieSek1+19)=KalendoriniaiMetai,MONTH(LieSek1+19)=7),LieSek1+19,""))</f>
        <v>44029</v>
      </c>
      <c r="H34" s="24">
        <f>IF(DAY(LieSek1)=1,IF(AND(YEAR(LieSek1+13)=KalendoriniaiMetai,MONTH(LieSek1+13)=7),LieSek1+13,""),IF(AND(YEAR(LieSek1+20)=KalendoriniaiMetai,MONTH(LieSek1+20)=7),LieSek1+20,""))</f>
        <v>44030</v>
      </c>
      <c r="I34" s="24">
        <f>IF(DAY(LieSek1)=1,IF(AND(YEAR(LieSek1+14)=KalendoriniaiMetai,MONTH(LieSek1+14)=7),LieSek1+14,""),IF(AND(YEAR(LieSek1+21)=KalendoriniaiMetai,MONTH(LieSek1+21)=7),LieSek1+21,""))</f>
        <v>44031</v>
      </c>
      <c r="K34" s="24">
        <f>IF(DAY(RgpSek1)=1,IF(AND(YEAR(RgpSek1+8)=KalendoriniaiMetai,MONTH(RgpSek1+8)=8),RgpSek1+8,""),IF(AND(YEAR(RgpSek1+15)=KalendoriniaiMetai,MONTH(RgpSek1+15)=8),RgpSek1+15,""))</f>
        <v>44053</v>
      </c>
      <c r="L34" s="24">
        <f>IF(DAY(RgpSek1)=1,IF(AND(YEAR(RgpSek1+9)=KalendoriniaiMetai,MONTH(RgpSek1+9)=8),RgpSek1+9,""),IF(AND(YEAR(RgpSek1+16)=KalendoriniaiMetai,MONTH(RgpSek1+16)=8),RgpSek1+16,""))</f>
        <v>44054</v>
      </c>
      <c r="M34" s="24">
        <f>IF(DAY(RgpSek1)=1,IF(AND(YEAR(RgpSek1+10)=KalendoriniaiMetai,MONTH(RgpSek1+10)=8),RgpSek1+10,""),IF(AND(YEAR(RgpSek1+17)=KalendoriniaiMetai,MONTH(RgpSek1+17)=8),RgpSek1+17,""))</f>
        <v>44055</v>
      </c>
      <c r="N34" s="24">
        <f>IF(DAY(RgpSek1)=1,IF(AND(YEAR(RgpSek1+11)=KalendoriniaiMetai,MONTH(RgpSek1+11)=8),RgpSek1+11,""),IF(AND(YEAR(RgpSek1+18)=KalendoriniaiMetai,MONTH(RgpSek1+18)=8),RgpSek1+18,""))</f>
        <v>44056</v>
      </c>
      <c r="O34" s="24">
        <f>IF(DAY(RgpSek1)=1,IF(AND(YEAR(RgpSek1+12)=KalendoriniaiMetai,MONTH(RgpSek1+12)=8),RgpSek1+12,""),IF(AND(YEAR(RgpSek1+19)=KalendoriniaiMetai,MONTH(RgpSek1+19)=8),RgpSek1+19,""))</f>
        <v>44057</v>
      </c>
      <c r="P34" s="24">
        <f>IF(DAY(RgpSek1)=1,IF(AND(YEAR(RgpSek1+13)=KalendoriniaiMetai,MONTH(RgpSek1+13)=8),RgpSek1+13,""),IF(AND(YEAR(RgpSek1+20)=KalendoriniaiMetai,MONTH(RgpSek1+20)=8),RgpSek1+20,""))</f>
        <v>44058</v>
      </c>
      <c r="Q34" s="24">
        <f>IF(DAY(RgpSek1)=1,IF(AND(YEAR(RgpSek1+14)=KalendoriniaiMetai,MONTH(RgpSek1+14)=8),RgpSek1+14,""),IF(AND(YEAR(RgpSek1+21)=KalendoriniaiMetai,MONTH(RgpSek1+21)=8),RgpSek1+21,""))</f>
        <v>44059</v>
      </c>
      <c r="S34" s="23"/>
      <c r="U34" s="3"/>
      <c r="V34" s="25"/>
      <c r="W34" s="25"/>
    </row>
    <row r="35" spans="1:23" ht="15" customHeight="1" x14ac:dyDescent="0.2">
      <c r="C35" s="24">
        <f>IF(DAY(LieSek1)=1,IF(AND(YEAR(LieSek1+15)=KalendoriniaiMetai,MONTH(LieSek1+15)=7),LieSek1+15,""),IF(AND(YEAR(LieSek1+22)=KalendoriniaiMetai,MONTH(LieSek1+22)=7),LieSek1+22,""))</f>
        <v>44032</v>
      </c>
      <c r="D35" s="24">
        <f>IF(DAY(LieSek1)=1,IF(AND(YEAR(LieSek1+16)=KalendoriniaiMetai,MONTH(LieSek1+16)=7),LieSek1+16,""),IF(AND(YEAR(LieSek1+23)=KalendoriniaiMetai,MONTH(LieSek1+23)=7),LieSek1+23,""))</f>
        <v>44033</v>
      </c>
      <c r="E35" s="24">
        <f>IF(DAY(LieSek1)=1,IF(AND(YEAR(LieSek1+17)=KalendoriniaiMetai,MONTH(LieSek1+17)=7),LieSek1+17,""),IF(AND(YEAR(LieSek1+24)=KalendoriniaiMetai,MONTH(LieSek1+24)=7),LieSek1+24,""))</f>
        <v>44034</v>
      </c>
      <c r="F35" s="24">
        <f>IF(DAY(LieSek1)=1,IF(AND(YEAR(LieSek1+18)=KalendoriniaiMetai,MONTH(LieSek1+18)=7),LieSek1+18,""),IF(AND(YEAR(LieSek1+25)=KalendoriniaiMetai,MONTH(LieSek1+25)=7),LieSek1+25,""))</f>
        <v>44035</v>
      </c>
      <c r="G35" s="24">
        <f>IF(DAY(LieSek1)=1,IF(AND(YEAR(LieSek1+19)=KalendoriniaiMetai,MONTH(LieSek1+19)=7),LieSek1+19,""),IF(AND(YEAR(LieSek1+26)=KalendoriniaiMetai,MONTH(LieSek1+26)=7),LieSek1+26,""))</f>
        <v>44036</v>
      </c>
      <c r="H35" s="24">
        <f>IF(DAY(LieSek1)=1,IF(AND(YEAR(LieSek1+20)=KalendoriniaiMetai,MONTH(LieSek1+20)=7),LieSek1+20,""),IF(AND(YEAR(LieSek1+27)=KalendoriniaiMetai,MONTH(LieSek1+27)=7),LieSek1+27,""))</f>
        <v>44037</v>
      </c>
      <c r="I35" s="24">
        <f>IF(DAY(LieSek1)=1,IF(AND(YEAR(LieSek1+21)=KalendoriniaiMetai,MONTH(LieSek1+21)=7),LieSek1+21,""),IF(AND(YEAR(LieSek1+28)=KalendoriniaiMetai,MONTH(LieSek1+28)=7),LieSek1+28,""))</f>
        <v>44038</v>
      </c>
      <c r="K35" s="24">
        <f>IF(DAY(RgpSek1)=1,IF(AND(YEAR(RgpSek1+15)=KalendoriniaiMetai,MONTH(RgpSek1+15)=8),RgpSek1+15,""),IF(AND(YEAR(RgpSek1+22)=KalendoriniaiMetai,MONTH(RgpSek1+22)=8),RgpSek1+22,""))</f>
        <v>44060</v>
      </c>
      <c r="L35" s="24">
        <f>IF(DAY(RgpSek1)=1,IF(AND(YEAR(RgpSek1+16)=KalendoriniaiMetai,MONTH(RgpSek1+16)=8),RgpSek1+16,""),IF(AND(YEAR(RgpSek1+23)=KalendoriniaiMetai,MONTH(RgpSek1+23)=8),RgpSek1+23,""))</f>
        <v>44061</v>
      </c>
      <c r="M35" s="24">
        <f>IF(DAY(RgpSek1)=1,IF(AND(YEAR(RgpSek1+17)=KalendoriniaiMetai,MONTH(RgpSek1+17)=8),RgpSek1+17,""),IF(AND(YEAR(RgpSek1+24)=KalendoriniaiMetai,MONTH(RgpSek1+24)=8),RgpSek1+24,""))</f>
        <v>44062</v>
      </c>
      <c r="N35" s="24">
        <f>IF(DAY(RgpSek1)=1,IF(AND(YEAR(RgpSek1+18)=KalendoriniaiMetai,MONTH(RgpSek1+18)=8),RgpSek1+18,""),IF(AND(YEAR(RgpSek1+25)=KalendoriniaiMetai,MONTH(RgpSek1+25)=8),RgpSek1+25,""))</f>
        <v>44063</v>
      </c>
      <c r="O35" s="24">
        <f>IF(DAY(RgpSek1)=1,IF(AND(YEAR(RgpSek1+19)=KalendoriniaiMetai,MONTH(RgpSek1+19)=8),RgpSek1+19,""),IF(AND(YEAR(RgpSek1+26)=KalendoriniaiMetai,MONTH(RgpSek1+26)=8),RgpSek1+26,""))</f>
        <v>44064</v>
      </c>
      <c r="P35" s="24">
        <f>IF(DAY(RgpSek1)=1,IF(AND(YEAR(RgpSek1+20)=KalendoriniaiMetai,MONTH(RgpSek1+20)=8),RgpSek1+20,""),IF(AND(YEAR(RgpSek1+27)=KalendoriniaiMetai,MONTH(RgpSek1+27)=8),RgpSek1+27,""))</f>
        <v>44065</v>
      </c>
      <c r="Q35" s="24">
        <f>IF(DAY(RgpSek1)=1,IF(AND(YEAR(RgpSek1+21)=KalendoriniaiMetai,MONTH(RgpSek1+21)=8),RgpSek1+21,""),IF(AND(YEAR(RgpSek1+28)=KalendoriniaiMetai,MONTH(RgpSek1+28)=8),RgpSek1+28,""))</f>
        <v>44066</v>
      </c>
      <c r="S35" s="23"/>
      <c r="U35" s="2"/>
      <c r="V35" s="25"/>
      <c r="W35" s="25"/>
    </row>
    <row r="36" spans="1:23" ht="15" customHeight="1" x14ac:dyDescent="0.2">
      <c r="C36" s="24">
        <f>IF(DAY(LieSek1)=1,IF(AND(YEAR(LieSek1+22)=KalendoriniaiMetai,MONTH(LieSek1+22)=7),LieSek1+22,""),IF(AND(YEAR(LieSek1+29)=KalendoriniaiMetai,MONTH(LieSek1+29)=7),LieSek1+29,""))</f>
        <v>44039</v>
      </c>
      <c r="D36" s="24">
        <f>IF(DAY(LieSek1)=1,IF(AND(YEAR(LieSek1+23)=KalendoriniaiMetai,MONTH(LieSek1+23)=7),LieSek1+23,""),IF(AND(YEAR(LieSek1+30)=KalendoriniaiMetai,MONTH(LieSek1+30)=7),LieSek1+30,""))</f>
        <v>44040</v>
      </c>
      <c r="E36" s="24">
        <f>IF(DAY(LieSek1)=1,IF(AND(YEAR(LieSek1+24)=KalendoriniaiMetai,MONTH(LieSek1+24)=7),LieSek1+24,""),IF(AND(YEAR(LieSek1+31)=KalendoriniaiMetai,MONTH(LieSek1+31)=7),LieSek1+31,""))</f>
        <v>44041</v>
      </c>
      <c r="F36" s="24">
        <f>IF(DAY(LieSek1)=1,IF(AND(YEAR(LieSek1+25)=KalendoriniaiMetai,MONTH(LieSek1+25)=7),LieSek1+25,""),IF(AND(YEAR(LieSek1+32)=KalendoriniaiMetai,MONTH(LieSek1+32)=7),LieSek1+32,""))</f>
        <v>44042</v>
      </c>
      <c r="G36" s="24">
        <f>IF(DAY(LieSek1)=1,IF(AND(YEAR(LieSek1+26)=KalendoriniaiMetai,MONTH(LieSek1+26)=7),LieSek1+26,""),IF(AND(YEAR(LieSek1+33)=KalendoriniaiMetai,MONTH(LieSek1+33)=7),LieSek1+33,""))</f>
        <v>44043</v>
      </c>
      <c r="H36" s="24" t="str">
        <f>IF(DAY(LieSek1)=1,IF(AND(YEAR(LieSek1+27)=KalendoriniaiMetai,MONTH(LieSek1+27)=7),LieSek1+27,""),IF(AND(YEAR(LieSek1+34)=KalendoriniaiMetai,MONTH(LieSek1+34)=7),LieSek1+34,""))</f>
        <v/>
      </c>
      <c r="I36" s="24" t="str">
        <f>IF(DAY(LieSek1)=1,IF(AND(YEAR(LieSek1+28)=KalendoriniaiMetai,MONTH(LieSek1+28)=7),LieSek1+28,""),IF(AND(YEAR(LieSek1+35)=KalendoriniaiMetai,MONTH(LieSek1+35)=7),LieSek1+35,""))</f>
        <v/>
      </c>
      <c r="K36" s="24">
        <f>IF(DAY(RgpSek1)=1,IF(AND(YEAR(RgpSek1+22)=KalendoriniaiMetai,MONTH(RgpSek1+22)=8),RgpSek1+22,""),IF(AND(YEAR(RgpSek1+29)=KalendoriniaiMetai,MONTH(RgpSek1+29)=8),RgpSek1+29,""))</f>
        <v>44067</v>
      </c>
      <c r="L36" s="24">
        <f>IF(DAY(RgpSek1)=1,IF(AND(YEAR(RgpSek1+23)=KalendoriniaiMetai,MONTH(RgpSek1+23)=8),RgpSek1+23,""),IF(AND(YEAR(RgpSek1+30)=KalendoriniaiMetai,MONTH(RgpSek1+30)=8),RgpSek1+30,""))</f>
        <v>44068</v>
      </c>
      <c r="M36" s="24">
        <f>IF(DAY(RgpSek1)=1,IF(AND(YEAR(RgpSek1+24)=KalendoriniaiMetai,MONTH(RgpSek1+24)=8),RgpSek1+24,""),IF(AND(YEAR(RgpSek1+31)=KalendoriniaiMetai,MONTH(RgpSek1+31)=8),RgpSek1+31,""))</f>
        <v>44069</v>
      </c>
      <c r="N36" s="24">
        <f>IF(DAY(RgpSek1)=1,IF(AND(YEAR(RgpSek1+25)=KalendoriniaiMetai,MONTH(RgpSek1+25)=8),RgpSek1+25,""),IF(AND(YEAR(RgpSek1+32)=KalendoriniaiMetai,MONTH(RgpSek1+32)=8),RgpSek1+32,""))</f>
        <v>44070</v>
      </c>
      <c r="O36" s="24">
        <f>IF(DAY(RgpSek1)=1,IF(AND(YEAR(RgpSek1+26)=KalendoriniaiMetai,MONTH(RgpSek1+26)=8),RgpSek1+26,""),IF(AND(YEAR(RgpSek1+33)=KalendoriniaiMetai,MONTH(RgpSek1+33)=8),RgpSek1+33,""))</f>
        <v>44071</v>
      </c>
      <c r="P36" s="24">
        <f>IF(DAY(RgpSek1)=1,IF(AND(YEAR(RgpSek1+27)=KalendoriniaiMetai,MONTH(RgpSek1+27)=8),RgpSek1+27,""),IF(AND(YEAR(RgpSek1+34)=KalendoriniaiMetai,MONTH(RgpSek1+34)=8),RgpSek1+34,""))</f>
        <v>44072</v>
      </c>
      <c r="Q36" s="24">
        <f>IF(DAY(RgpSek1)=1,IF(AND(YEAR(RgpSek1+28)=KalendoriniaiMetai,MONTH(RgpSek1+28)=8),RgpSek1+28,""),IF(AND(YEAR(RgpSek1+35)=KalendoriniaiMetai,MONTH(RgpSek1+35)=8),RgpSek1+35,""))</f>
        <v>44073</v>
      </c>
      <c r="S36" s="23"/>
      <c r="U36" s="10"/>
      <c r="V36" s="25"/>
      <c r="W36" s="25"/>
    </row>
    <row r="37" spans="1:23" ht="15" customHeight="1" x14ac:dyDescent="0.2">
      <c r="C37" s="24" t="str">
        <f>IF(DAY(LieSek1)=1,IF(AND(YEAR(LieSek1+29)=KalendoriniaiMetai,MONTH(LieSek1+29)=7),LieSek1+29,""),IF(AND(YEAR(LieSek1+36)=KalendoriniaiMetai,MONTH(LieSek1+36)=7),LieSek1+36,""))</f>
        <v/>
      </c>
      <c r="D37" s="24" t="str">
        <f>IF(DAY(LieSek1)=1,IF(AND(YEAR(LieSek1+30)=KalendoriniaiMetai,MONTH(LieSek1+30)=7),LieSek1+30,""),IF(AND(YEAR(LieSek1+37)=KalendoriniaiMetai,MONTH(LieSek1+37)=7),LieSek1+37,""))</f>
        <v/>
      </c>
      <c r="E37" s="24" t="str">
        <f>IF(DAY(LieSek1)=1,IF(AND(YEAR(LieSek1+31)=KalendoriniaiMetai,MONTH(LieSek1+31)=7),LieSek1+31,""),IF(AND(YEAR(LieSek1+38)=KalendoriniaiMetai,MONTH(LieSek1+38)=7),LieSek1+38,""))</f>
        <v/>
      </c>
      <c r="F37" s="24" t="str">
        <f>IF(DAY(LieSek1)=1,IF(AND(YEAR(LieSek1+32)=KalendoriniaiMetai,MONTH(LieSek1+32)=7),LieSek1+32,""),IF(AND(YEAR(LieSek1+39)=KalendoriniaiMetai,MONTH(LieSek1+39)=7),LieSek1+39,""))</f>
        <v/>
      </c>
      <c r="G37" s="24" t="str">
        <f>IF(DAY(LieSek1)=1,IF(AND(YEAR(LieSek1+33)=KalendoriniaiMetai,MONTH(LieSek1+33)=7),LieSek1+33,""),IF(AND(YEAR(LieSek1+40)=KalendoriniaiMetai,MONTH(LieSek1+40)=7),LieSek1+40,""))</f>
        <v/>
      </c>
      <c r="H37" s="24" t="str">
        <f>IF(DAY(LieSek1)=1,IF(AND(YEAR(LieSek1+34)=KalendoriniaiMetai,MONTH(LieSek1+34)=7),LieSek1+34,""),IF(AND(YEAR(LieSek1+41)=KalendoriniaiMetai,MONTH(LieSek1+41)=7),LieSek1+41,""))</f>
        <v/>
      </c>
      <c r="I37" s="24" t="str">
        <f>IF(DAY(LieSek1)=1,IF(AND(YEAR(LieSek1+35)=KalendoriniaiMetai,MONTH(LieSek1+35)=7),LieSek1+35,""),IF(AND(YEAR(LieSek1+42)=KalendoriniaiMetai,MONTH(LieSek1+42)=7),LieSek1+42,""))</f>
        <v/>
      </c>
      <c r="K37" s="24">
        <f>IF(DAY(RgpSek1)=1,IF(AND(YEAR(RgpSek1+29)=KalendoriniaiMetai,MONTH(RgpSek1+29)=8),RgpSek1+29,""),IF(AND(YEAR(RgpSek1+36)=KalendoriniaiMetai,MONTH(RgpSek1+36)=8),RgpSek1+36,""))</f>
        <v>44074</v>
      </c>
      <c r="L37" s="24" t="str">
        <f>IF(DAY(RgpSek1)=1,IF(AND(YEAR(RgpSek1+30)=KalendoriniaiMetai,MONTH(RgpSek1+30)=8),RgpSek1+30,""),IF(AND(YEAR(RgpSek1+37)=KalendoriniaiMetai,MONTH(RgpSek1+37)=8),RgpSek1+37,""))</f>
        <v/>
      </c>
      <c r="M37" s="24" t="str">
        <f>IF(DAY(RgpSek1)=1,IF(AND(YEAR(RgpSek1+31)=KalendoriniaiMetai,MONTH(RgpSek1+31)=8),RgpSek1+31,""),IF(AND(YEAR(RgpSek1+38)=KalendoriniaiMetai,MONTH(RgpSek1+38)=8),RgpSek1+38,""))</f>
        <v/>
      </c>
      <c r="N37" s="24" t="str">
        <f>IF(DAY(RgpSek1)=1,IF(AND(YEAR(RgpSek1+32)=KalendoriniaiMetai,MONTH(RgpSek1+32)=8),RgpSek1+32,""),IF(AND(YEAR(RgpSek1+39)=KalendoriniaiMetai,MONTH(RgpSek1+39)=8),RgpSek1+39,""))</f>
        <v/>
      </c>
      <c r="O37" s="24" t="str">
        <f>IF(DAY(RgpSek1)=1,IF(AND(YEAR(RgpSek1+33)=KalendoriniaiMetai,MONTH(RgpSek1+33)=8),RgpSek1+33,""),IF(AND(YEAR(RgpSek1+40)=KalendoriniaiMetai,MONTH(RgpSek1+40)=8),RgpSek1+40,""))</f>
        <v/>
      </c>
      <c r="P37" s="24" t="str">
        <f>IF(DAY(RgpSek1)=1,IF(AND(YEAR(RgpSek1+34)=KalendoriniaiMetai,MONTH(RgpSek1+34)=8),RgpSek1+34,""),IF(AND(YEAR(RgpSek1+41)=KalendoriniaiMetai,MONTH(RgpSek1+41)=8),RgpSek1+41,""))</f>
        <v/>
      </c>
      <c r="Q37" s="24" t="str">
        <f>IF(DAY(RgpSek1)=1,IF(AND(YEAR(RgpSek1+35)=KalendoriniaiMetai,MONTH(RgpSek1+35)=8),RgpSek1+35,""),IF(AND(YEAR(RgpSek1+42)=KalendoriniaiMetai,MONTH(RgpSek1+42)=8),RgpSek1+42,""))</f>
        <v/>
      </c>
      <c r="S37" s="23"/>
      <c r="U37" s="3"/>
      <c r="V37" s="25"/>
      <c r="W37" s="25"/>
    </row>
    <row r="38" spans="1:23" ht="15" customHeight="1" x14ac:dyDescent="0.2">
      <c r="C38" s="21"/>
      <c r="D38" s="21"/>
      <c r="E38" s="21"/>
      <c r="F38" s="21"/>
      <c r="G38" s="21"/>
      <c r="H38" s="21"/>
      <c r="I38" s="21"/>
      <c r="K38" s="21"/>
      <c r="L38" s="21"/>
      <c r="M38" s="21"/>
      <c r="N38" s="21"/>
      <c r="O38" s="21"/>
      <c r="P38" s="21"/>
      <c r="Q38" s="21"/>
      <c r="S38" s="23"/>
      <c r="U38" s="2"/>
      <c r="V38" s="25"/>
      <c r="W38" s="25"/>
    </row>
    <row r="39" spans="1:23" ht="15" customHeight="1" x14ac:dyDescent="0.2">
      <c r="A39" s="17" t="s">
        <v>16</v>
      </c>
      <c r="C39" s="26" t="s">
        <v>30</v>
      </c>
      <c r="D39" s="26"/>
      <c r="E39" s="26"/>
      <c r="F39" s="26"/>
      <c r="G39" s="26"/>
      <c r="H39" s="26"/>
      <c r="I39" s="26"/>
      <c r="K39" s="26" t="s">
        <v>42</v>
      </c>
      <c r="L39" s="26"/>
      <c r="M39" s="26"/>
      <c r="N39" s="26"/>
      <c r="O39" s="26"/>
      <c r="P39" s="26"/>
      <c r="Q39" s="26"/>
      <c r="S39" s="23"/>
      <c r="U39" s="10"/>
      <c r="V39" s="25"/>
      <c r="W39" s="25"/>
    </row>
    <row r="40" spans="1:23" ht="15" customHeight="1" x14ac:dyDescent="0.2">
      <c r="A40" s="17" t="s">
        <v>17</v>
      </c>
      <c r="C40" s="11" t="s">
        <v>26</v>
      </c>
      <c r="D40" s="11" t="s">
        <v>32</v>
      </c>
      <c r="E40" s="11" t="s">
        <v>33</v>
      </c>
      <c r="F40" s="11" t="s">
        <v>34</v>
      </c>
      <c r="G40" s="11" t="s">
        <v>35</v>
      </c>
      <c r="H40" s="11" t="s">
        <v>36</v>
      </c>
      <c r="I40" s="11" t="s">
        <v>37</v>
      </c>
      <c r="K40" s="11" t="s">
        <v>26</v>
      </c>
      <c r="L40" s="11" t="s">
        <v>32</v>
      </c>
      <c r="M40" s="11" t="s">
        <v>33</v>
      </c>
      <c r="N40" s="11" t="s">
        <v>34</v>
      </c>
      <c r="O40" s="11" t="s">
        <v>35</v>
      </c>
      <c r="P40" s="11" t="s">
        <v>36</v>
      </c>
      <c r="Q40" s="11" t="s">
        <v>37</v>
      </c>
      <c r="S40" s="23"/>
      <c r="U40" s="3"/>
      <c r="V40" s="25"/>
      <c r="W40" s="25"/>
    </row>
    <row r="41" spans="1:23" ht="15" customHeight="1" x14ac:dyDescent="0.2">
      <c r="C41" s="24" t="str">
        <f>IF(DAY(RgsSek1)=1,"",IF(AND(YEAR(RgsSek1+1)=KalendoriniaiMetai,MONTH(RgsSek1+1)=9),RgsSek1+1,""))</f>
        <v/>
      </c>
      <c r="D41" s="24">
        <f>IF(DAY(RgsSek1)=1,"",IF(AND(YEAR(RgsSek1+2)=KalendoriniaiMetai,MONTH(RgsSek1+2)=9),RgsSek1+2,""))</f>
        <v>44075</v>
      </c>
      <c r="E41" s="24">
        <f>IF(DAY(RgsSek1)=1,"",IF(AND(YEAR(RgsSek1+3)=KalendoriniaiMetai,MONTH(RgsSek1+3)=9),RgsSek1+3,""))</f>
        <v>44076</v>
      </c>
      <c r="F41" s="24">
        <f>IF(DAY(RgsSek1)=1,"",IF(AND(YEAR(RgsSek1+4)=KalendoriniaiMetai,MONTH(RgsSek1+4)=9),RgsSek1+4,""))</f>
        <v>44077</v>
      </c>
      <c r="G41" s="24">
        <f>IF(DAY(RgsSek1)=1,"",IF(AND(YEAR(RgsSek1+5)=KalendoriniaiMetai,MONTH(RgsSek1+5)=9),RgsSek1+5,""))</f>
        <v>44078</v>
      </c>
      <c r="H41" s="24">
        <f>IF(DAY(RgsSek1)=1,"",IF(AND(YEAR(RgsSek1+6)=KalendoriniaiMetai,MONTH(RgsSek1+6)=9),RgsSek1+6,""))</f>
        <v>44079</v>
      </c>
      <c r="I41" s="24">
        <f>IF(DAY(RgsSek1)=1,IF(AND(YEAR(RgsSek1)=KalendoriniaiMetai,MONTH(RgsSek1)=9),RgsSek1,""),IF(AND(YEAR(RgsSek1+7)=KalendoriniaiMetai,MONTH(RgsSek1+7)=9),RgsSek1+7,""))</f>
        <v>44080</v>
      </c>
      <c r="K41" s="24" t="str">
        <f>IF(DAY(SpaSek1)=1,"",IF(AND(YEAR(SpaSek1+1)=KalendoriniaiMetai,MONTH(SpaSek1+1)=10),SpaSek1+1,""))</f>
        <v/>
      </c>
      <c r="L41" s="24" t="str">
        <f>IF(DAY(SpaSek1)=1,"",IF(AND(YEAR(SpaSek1+2)=KalendoriniaiMetai,MONTH(SpaSek1+2)=10),SpaSek1+2,""))</f>
        <v/>
      </c>
      <c r="M41" s="24" t="str">
        <f>IF(DAY(SpaSek1)=1,"",IF(AND(YEAR(SpaSek1+3)=KalendoriniaiMetai,MONTH(SpaSek1+3)=10),SpaSek1+3,""))</f>
        <v/>
      </c>
      <c r="N41" s="24">
        <f>IF(DAY(SpaSek1)=1,"",IF(AND(YEAR(SpaSek1+4)=KalendoriniaiMetai,MONTH(SpaSek1+4)=10),SpaSek1+4,""))</f>
        <v>44105</v>
      </c>
      <c r="O41" s="24">
        <f>IF(DAY(SpaSek1)=1,"",IF(AND(YEAR(SpaSek1+5)=KalendoriniaiMetai,MONTH(SpaSek1+5)=10),SpaSek1+5,""))</f>
        <v>44106</v>
      </c>
      <c r="P41" s="24">
        <f>IF(DAY(SpaSek1)=1,"",IF(AND(YEAR(SpaSek1+6)=KalendoriniaiMetai,MONTH(SpaSek1+6)=10),SpaSek1+6,""))</f>
        <v>44107</v>
      </c>
      <c r="Q41" s="24">
        <f>IF(DAY(SpaSek1)=1,IF(AND(YEAR(SpaSek1)=KalendoriniaiMetai,MONTH(SpaSek1)=10),SpaSek1,""),IF(AND(YEAR(SpaSek1+7)=KalendoriniaiMetai,MONTH(SpaSek1+7)=10),SpaSek1+7,""))</f>
        <v>44108</v>
      </c>
      <c r="S41" s="23"/>
      <c r="U41" s="2"/>
      <c r="V41" s="25"/>
      <c r="W41" s="25"/>
    </row>
    <row r="42" spans="1:23" ht="15" customHeight="1" x14ac:dyDescent="0.2">
      <c r="C42" s="24">
        <f>IF(DAY(RgsSek1)=1,IF(AND(YEAR(RgsSek1+1)=KalendoriniaiMetai,MONTH(RgsSek1+1)=9),RgsSek1+1,""),IF(AND(YEAR(RgsSek1+8)=KalendoriniaiMetai,MONTH(RgsSek1+8)=9),RgsSek1+8,""))</f>
        <v>44081</v>
      </c>
      <c r="D42" s="24">
        <f>IF(DAY(RgsSek1)=1,IF(AND(YEAR(RgsSek1+2)=KalendoriniaiMetai,MONTH(RgsSek1+2)=9),RgsSek1+2,""),IF(AND(YEAR(RgsSek1+9)=KalendoriniaiMetai,MONTH(RgsSek1+9)=9),RgsSek1+9,""))</f>
        <v>44082</v>
      </c>
      <c r="E42" s="24">
        <f>IF(DAY(RgsSek1)=1,IF(AND(YEAR(RgsSek1+3)=KalendoriniaiMetai,MONTH(RgsSek1+3)=9),RgsSek1+3,""),IF(AND(YEAR(RgsSek1+10)=KalendoriniaiMetai,MONTH(RgsSek1+10)=9),RgsSek1+10,""))</f>
        <v>44083</v>
      </c>
      <c r="F42" s="24">
        <f>IF(DAY(RgsSek1)=1,IF(AND(YEAR(RgsSek1+4)=KalendoriniaiMetai,MONTH(RgsSek1+4)=9),RgsSek1+4,""),IF(AND(YEAR(RgsSek1+11)=KalendoriniaiMetai,MONTH(RgsSek1+11)=9),RgsSek1+11,""))</f>
        <v>44084</v>
      </c>
      <c r="G42" s="24">
        <f>IF(DAY(RgsSek1)=1,IF(AND(YEAR(RgsSek1+5)=KalendoriniaiMetai,MONTH(RgsSek1+5)=9),RgsSek1+5,""),IF(AND(YEAR(RgsSek1+12)=KalendoriniaiMetai,MONTH(RgsSek1+12)=9),RgsSek1+12,""))</f>
        <v>44085</v>
      </c>
      <c r="H42" s="24">
        <f>IF(DAY(RgsSek1)=1,IF(AND(YEAR(RgsSek1+6)=KalendoriniaiMetai,MONTH(RgsSek1+6)=9),RgsSek1+6,""),IF(AND(YEAR(RgsSek1+13)=KalendoriniaiMetai,MONTH(RgsSek1+13)=9),RgsSek1+13,""))</f>
        <v>44086</v>
      </c>
      <c r="I42" s="24">
        <f>IF(DAY(RgsSek1)=1,IF(AND(YEAR(RgsSek1+7)=KalendoriniaiMetai,MONTH(RgsSek1+7)=9),RgsSek1+7,""),IF(AND(YEAR(RgsSek1+14)=KalendoriniaiMetai,MONTH(RgsSek1+14)=9),RgsSek1+14,""))</f>
        <v>44087</v>
      </c>
      <c r="K42" s="24">
        <f>IF(DAY(SpaSek1)=1,IF(AND(YEAR(SpaSek1+1)=KalendoriniaiMetai,MONTH(SpaSek1+1)=10),SpaSek1+1,""),IF(AND(YEAR(SpaSek1+8)=KalendoriniaiMetai,MONTH(SpaSek1+8)=10),SpaSek1+8,""))</f>
        <v>44109</v>
      </c>
      <c r="L42" s="24">
        <f>IF(DAY(SpaSek1)=1,IF(AND(YEAR(SpaSek1+2)=KalendoriniaiMetai,MONTH(SpaSek1+2)=10),SpaSek1+2,""),IF(AND(YEAR(SpaSek1+9)=KalendoriniaiMetai,MONTH(SpaSek1+9)=10),SpaSek1+9,""))</f>
        <v>44110</v>
      </c>
      <c r="M42" s="24">
        <f>IF(DAY(SpaSek1)=1,IF(AND(YEAR(SpaSek1+3)=KalendoriniaiMetai,MONTH(SpaSek1+3)=10),SpaSek1+3,""),IF(AND(YEAR(SpaSek1+10)=KalendoriniaiMetai,MONTH(SpaSek1+10)=10),SpaSek1+10,""))</f>
        <v>44111</v>
      </c>
      <c r="N42" s="24">
        <f>IF(DAY(SpaSek1)=1,IF(AND(YEAR(SpaSek1+4)=KalendoriniaiMetai,MONTH(SpaSek1+4)=10),SpaSek1+4,""),IF(AND(YEAR(SpaSek1+11)=KalendoriniaiMetai,MONTH(SpaSek1+11)=10),SpaSek1+11,""))</f>
        <v>44112</v>
      </c>
      <c r="O42" s="24">
        <f>IF(DAY(SpaSek1)=1,IF(AND(YEAR(SpaSek1+5)=KalendoriniaiMetai,MONTH(SpaSek1+5)=10),SpaSek1+5,""),IF(AND(YEAR(SpaSek1+12)=KalendoriniaiMetai,MONTH(SpaSek1+12)=10),SpaSek1+12,""))</f>
        <v>44113</v>
      </c>
      <c r="P42" s="24">
        <f>IF(DAY(SpaSek1)=1,IF(AND(YEAR(SpaSek1+6)=KalendoriniaiMetai,MONTH(SpaSek1+6)=10),SpaSek1+6,""),IF(AND(YEAR(SpaSek1+13)=KalendoriniaiMetai,MONTH(SpaSek1+13)=10),SpaSek1+13,""))</f>
        <v>44114</v>
      </c>
      <c r="Q42" s="24">
        <f>IF(DAY(SpaSek1)=1,IF(AND(YEAR(SpaSek1+7)=KalendoriniaiMetai,MONTH(SpaSek1+7)=10),SpaSek1+7,""),IF(AND(YEAR(SpaSek1+14)=KalendoriniaiMetai,MONTH(SpaSek1+14)=10),SpaSek1+14,""))</f>
        <v>44115</v>
      </c>
      <c r="S42" s="23"/>
      <c r="U42" s="10"/>
      <c r="V42" s="25"/>
      <c r="W42" s="25"/>
    </row>
    <row r="43" spans="1:23" ht="15" customHeight="1" x14ac:dyDescent="0.2">
      <c r="C43" s="24">
        <f>IF(DAY(RgsSek1)=1,IF(AND(YEAR(RgsSek1+8)=KalendoriniaiMetai,MONTH(RgsSek1+8)=9),RgsSek1+8,""),IF(AND(YEAR(RgsSek1+15)=KalendoriniaiMetai,MONTH(RgsSek1+15)=9),RgsSek1+15,""))</f>
        <v>44088</v>
      </c>
      <c r="D43" s="24">
        <f>IF(DAY(RgsSek1)=1,IF(AND(YEAR(RgsSek1+9)=KalendoriniaiMetai,MONTH(RgsSek1+9)=9),RgsSek1+9,""),IF(AND(YEAR(RgsSek1+16)=KalendoriniaiMetai,MONTH(RgsSek1+16)=9),RgsSek1+16,""))</f>
        <v>44089</v>
      </c>
      <c r="E43" s="24">
        <f>IF(DAY(RgsSek1)=1,IF(AND(YEAR(RgsSek1+10)=KalendoriniaiMetai,MONTH(RgsSek1+10)=9),RgsSek1+10,""),IF(AND(YEAR(RgsSek1+17)=KalendoriniaiMetai,MONTH(RgsSek1+17)=9),RgsSek1+17,""))</f>
        <v>44090</v>
      </c>
      <c r="F43" s="24">
        <f>IF(DAY(RgsSek1)=1,IF(AND(YEAR(RgsSek1+11)=KalendoriniaiMetai,MONTH(RgsSek1+11)=9),RgsSek1+11,""),IF(AND(YEAR(RgsSek1+18)=KalendoriniaiMetai,MONTH(RgsSek1+18)=9),RgsSek1+18,""))</f>
        <v>44091</v>
      </c>
      <c r="G43" s="24">
        <f>IF(DAY(RgsSek1)=1,IF(AND(YEAR(RgsSek1+12)=KalendoriniaiMetai,MONTH(RgsSek1+12)=9),RgsSek1+12,""),IF(AND(YEAR(RgsSek1+19)=KalendoriniaiMetai,MONTH(RgsSek1+19)=9),RgsSek1+19,""))</f>
        <v>44092</v>
      </c>
      <c r="H43" s="24">
        <f>IF(DAY(RgsSek1)=1,IF(AND(YEAR(RgsSek1+13)=KalendoriniaiMetai,MONTH(RgsSek1+13)=9),RgsSek1+13,""),IF(AND(YEAR(RgsSek1+20)=KalendoriniaiMetai,MONTH(RgsSek1+20)=9),RgsSek1+20,""))</f>
        <v>44093</v>
      </c>
      <c r="I43" s="24">
        <f>IF(DAY(RgsSek1)=1,IF(AND(YEAR(RgsSek1+14)=KalendoriniaiMetai,MONTH(RgsSek1+14)=9),RgsSek1+14,""),IF(AND(YEAR(RgsSek1+21)=KalendoriniaiMetai,MONTH(RgsSek1+21)=9),RgsSek1+21,""))</f>
        <v>44094</v>
      </c>
      <c r="K43" s="24">
        <f>IF(DAY(SpaSek1)=1,IF(AND(YEAR(SpaSek1+8)=KalendoriniaiMetai,MONTH(SpaSek1+8)=10),SpaSek1+8,""),IF(AND(YEAR(SpaSek1+15)=KalendoriniaiMetai,MONTH(SpaSek1+15)=10),SpaSek1+15,""))</f>
        <v>44116</v>
      </c>
      <c r="L43" s="24">
        <f>IF(DAY(SpaSek1)=1,IF(AND(YEAR(SpaSek1+9)=KalendoriniaiMetai,MONTH(SpaSek1+9)=10),SpaSek1+9,""),IF(AND(YEAR(SpaSek1+16)=KalendoriniaiMetai,MONTH(SpaSek1+16)=10),SpaSek1+16,""))</f>
        <v>44117</v>
      </c>
      <c r="M43" s="24">
        <f>IF(DAY(SpaSek1)=1,IF(AND(YEAR(SpaSek1+10)=KalendoriniaiMetai,MONTH(SpaSek1+10)=10),SpaSek1+10,""),IF(AND(YEAR(SpaSek1+17)=KalendoriniaiMetai,MONTH(SpaSek1+17)=10),SpaSek1+17,""))</f>
        <v>44118</v>
      </c>
      <c r="N43" s="24">
        <f>IF(DAY(SpaSek1)=1,IF(AND(YEAR(SpaSek1+11)=KalendoriniaiMetai,MONTH(SpaSek1+11)=10),SpaSek1+11,""),IF(AND(YEAR(SpaSek1+18)=KalendoriniaiMetai,MONTH(SpaSek1+18)=10),SpaSek1+18,""))</f>
        <v>44119</v>
      </c>
      <c r="O43" s="24">
        <f>IF(DAY(SpaSek1)=1,IF(AND(YEAR(SpaSek1+12)=KalendoriniaiMetai,MONTH(SpaSek1+12)=10),SpaSek1+12,""),IF(AND(YEAR(SpaSek1+19)=KalendoriniaiMetai,MONTH(SpaSek1+19)=10),SpaSek1+19,""))</f>
        <v>44120</v>
      </c>
      <c r="P43" s="24">
        <f>IF(DAY(SpaSek1)=1,IF(AND(YEAR(SpaSek1+13)=KalendoriniaiMetai,MONTH(SpaSek1+13)=10),SpaSek1+13,""),IF(AND(YEAR(SpaSek1+20)=KalendoriniaiMetai,MONTH(SpaSek1+20)=10),SpaSek1+20,""))</f>
        <v>44121</v>
      </c>
      <c r="Q43" s="24">
        <f>IF(DAY(SpaSek1)=1,IF(AND(YEAR(SpaSek1+14)=KalendoriniaiMetai,MONTH(SpaSek1+14)=10),SpaSek1+14,""),IF(AND(YEAR(SpaSek1+21)=KalendoriniaiMetai,MONTH(SpaSek1+21)=10),SpaSek1+21,""))</f>
        <v>44122</v>
      </c>
      <c r="S43" s="23"/>
      <c r="U43" s="3"/>
      <c r="V43" s="25"/>
      <c r="W43" s="25"/>
    </row>
    <row r="44" spans="1:23" ht="15" customHeight="1" x14ac:dyDescent="0.2">
      <c r="A44" s="17" t="s">
        <v>18</v>
      </c>
      <c r="C44" s="24">
        <f>IF(DAY(RgsSek1)=1,IF(AND(YEAR(RgsSek1+15)=KalendoriniaiMetai,MONTH(RgsSek1+15)=9),RgsSek1+15,""),IF(AND(YEAR(RgsSek1+22)=KalendoriniaiMetai,MONTH(RgsSek1+22)=9),RgsSek1+22,""))</f>
        <v>44095</v>
      </c>
      <c r="D44" s="24">
        <f>IF(DAY(RgsSek1)=1,IF(AND(YEAR(RgsSek1+16)=KalendoriniaiMetai,MONTH(RgsSek1+16)=9),RgsSek1+16,""),IF(AND(YEAR(RgsSek1+23)=KalendoriniaiMetai,MONTH(RgsSek1+23)=9),RgsSek1+23,""))</f>
        <v>44096</v>
      </c>
      <c r="E44" s="24">
        <f>IF(DAY(RgsSek1)=1,IF(AND(YEAR(RgsSek1+17)=KalendoriniaiMetai,MONTH(RgsSek1+17)=9),RgsSek1+17,""),IF(AND(YEAR(RgsSek1+24)=KalendoriniaiMetai,MONTH(RgsSek1+24)=9),RgsSek1+24,""))</f>
        <v>44097</v>
      </c>
      <c r="F44" s="24">
        <f>IF(DAY(RgsSek1)=1,IF(AND(YEAR(RgsSek1+18)=KalendoriniaiMetai,MONTH(RgsSek1+18)=9),RgsSek1+18,""),IF(AND(YEAR(RgsSek1+25)=KalendoriniaiMetai,MONTH(RgsSek1+25)=9),RgsSek1+25,""))</f>
        <v>44098</v>
      </c>
      <c r="G44" s="24">
        <f>IF(DAY(RgsSek1)=1,IF(AND(YEAR(RgsSek1+19)=KalendoriniaiMetai,MONTH(RgsSek1+19)=9),RgsSek1+19,""),IF(AND(YEAR(RgsSek1+26)=KalendoriniaiMetai,MONTH(RgsSek1+26)=9),RgsSek1+26,""))</f>
        <v>44099</v>
      </c>
      <c r="H44" s="24">
        <f>IF(DAY(RgsSek1)=1,IF(AND(YEAR(RgsSek1+20)=KalendoriniaiMetai,MONTH(RgsSek1+20)=9),RgsSek1+20,""),IF(AND(YEAR(RgsSek1+27)=KalendoriniaiMetai,MONTH(RgsSek1+27)=9),RgsSek1+27,""))</f>
        <v>44100</v>
      </c>
      <c r="I44" s="24">
        <f>IF(DAY(RgsSek1)=1,IF(AND(YEAR(RgsSek1+21)=KalendoriniaiMetai,MONTH(RgsSek1+21)=9),RgsSek1+21,""),IF(AND(YEAR(RgsSek1+28)=KalendoriniaiMetai,MONTH(RgsSek1+28)=9),RgsSek1+28,""))</f>
        <v>44101</v>
      </c>
      <c r="K44" s="24">
        <f>IF(DAY(SpaSek1)=1,IF(AND(YEAR(SpaSek1+15)=KalendoriniaiMetai,MONTH(SpaSek1+15)=10),SpaSek1+15,""),IF(AND(YEAR(SpaSek1+22)=KalendoriniaiMetai,MONTH(SpaSek1+22)=10),SpaSek1+22,""))</f>
        <v>44123</v>
      </c>
      <c r="L44" s="24">
        <f>IF(DAY(SpaSek1)=1,IF(AND(YEAR(SpaSek1+16)=KalendoriniaiMetai,MONTH(SpaSek1+16)=10),SpaSek1+16,""),IF(AND(YEAR(SpaSek1+23)=KalendoriniaiMetai,MONTH(SpaSek1+23)=10),SpaSek1+23,""))</f>
        <v>44124</v>
      </c>
      <c r="M44" s="24">
        <f>IF(DAY(SpaSek1)=1,IF(AND(YEAR(SpaSek1+17)=KalendoriniaiMetai,MONTH(SpaSek1+17)=10),SpaSek1+17,""),IF(AND(YEAR(SpaSek1+24)=KalendoriniaiMetai,MONTH(SpaSek1+24)=10),SpaSek1+24,""))</f>
        <v>44125</v>
      </c>
      <c r="N44" s="24">
        <f>IF(DAY(SpaSek1)=1,IF(AND(YEAR(SpaSek1+18)=KalendoriniaiMetai,MONTH(SpaSek1+18)=10),SpaSek1+18,""),IF(AND(YEAR(SpaSek1+25)=KalendoriniaiMetai,MONTH(SpaSek1+25)=10),SpaSek1+25,""))</f>
        <v>44126</v>
      </c>
      <c r="O44" s="24">
        <f>IF(DAY(SpaSek1)=1,IF(AND(YEAR(SpaSek1+19)=KalendoriniaiMetai,MONTH(SpaSek1+19)=10),SpaSek1+19,""),IF(AND(YEAR(SpaSek1+26)=KalendoriniaiMetai,MONTH(SpaSek1+26)=10),SpaSek1+26,""))</f>
        <v>44127</v>
      </c>
      <c r="P44" s="24">
        <f>IF(DAY(SpaSek1)=1,IF(AND(YEAR(SpaSek1+20)=KalendoriniaiMetai,MONTH(SpaSek1+20)=10),SpaSek1+20,""),IF(AND(YEAR(SpaSek1+27)=KalendoriniaiMetai,MONTH(SpaSek1+27)=10),SpaSek1+27,""))</f>
        <v>44128</v>
      </c>
      <c r="Q44" s="24">
        <f>IF(DAY(SpaSek1)=1,IF(AND(YEAR(SpaSek1+21)=KalendoriniaiMetai,MONTH(SpaSek1+21)=10),SpaSek1+21,""),IF(AND(YEAR(SpaSek1+28)=KalendoriniaiMetai,MONTH(SpaSek1+28)=10),SpaSek1+28,""))</f>
        <v>44129</v>
      </c>
      <c r="S44" s="23"/>
      <c r="U44" s="8" t="s">
        <v>51</v>
      </c>
      <c r="V44" s="25"/>
      <c r="W44" s="25"/>
    </row>
    <row r="45" spans="1:23" ht="15" customHeight="1" x14ac:dyDescent="0.2">
      <c r="A45" s="17" t="s">
        <v>19</v>
      </c>
      <c r="C45" s="24">
        <f>IF(DAY(RgsSek1)=1,IF(AND(YEAR(RgsSek1+22)=KalendoriniaiMetai,MONTH(RgsSek1+22)=9),RgsSek1+22,""),IF(AND(YEAR(RgsSek1+29)=KalendoriniaiMetai,MONTH(RgsSek1+29)=9),RgsSek1+29,""))</f>
        <v>44102</v>
      </c>
      <c r="D45" s="24">
        <f>IF(DAY(RgsSek1)=1,IF(AND(YEAR(RgsSek1+23)=KalendoriniaiMetai,MONTH(RgsSek1+23)=9),RgsSek1+23,""),IF(AND(YEAR(RgsSek1+30)=KalendoriniaiMetai,MONTH(RgsSek1+30)=9),RgsSek1+30,""))</f>
        <v>44103</v>
      </c>
      <c r="E45" s="24">
        <f>IF(DAY(RgsSek1)=1,IF(AND(YEAR(RgsSek1+24)=KalendoriniaiMetai,MONTH(RgsSek1+24)=9),RgsSek1+24,""),IF(AND(YEAR(RgsSek1+31)=KalendoriniaiMetai,MONTH(RgsSek1+31)=9),RgsSek1+31,""))</f>
        <v>44104</v>
      </c>
      <c r="F45" s="24" t="str">
        <f>IF(DAY(RgsSek1)=1,IF(AND(YEAR(RgsSek1+25)=KalendoriniaiMetai,MONTH(RgsSek1+25)=9),RgsSek1+25,""),IF(AND(YEAR(RgsSek1+32)=KalendoriniaiMetai,MONTH(RgsSek1+32)=9),RgsSek1+32,""))</f>
        <v/>
      </c>
      <c r="G45" s="24" t="str">
        <f>IF(DAY(RgsSek1)=1,IF(AND(YEAR(RgsSek1+26)=KalendoriniaiMetai,MONTH(RgsSek1+26)=9),RgsSek1+26,""),IF(AND(YEAR(RgsSek1+33)=KalendoriniaiMetai,MONTH(RgsSek1+33)=9),RgsSek1+33,""))</f>
        <v/>
      </c>
      <c r="H45" s="24" t="str">
        <f>IF(DAY(RgsSek1)=1,IF(AND(YEAR(RgsSek1+27)=KalendoriniaiMetai,MONTH(RgsSek1+27)=9),RgsSek1+27,""),IF(AND(YEAR(RgsSek1+34)=KalendoriniaiMetai,MONTH(RgsSek1+34)=9),RgsSek1+34,""))</f>
        <v/>
      </c>
      <c r="I45" s="24" t="str">
        <f>IF(DAY(RgsSek1)=1,IF(AND(YEAR(RgsSek1+28)=KalendoriniaiMetai,MONTH(RgsSek1+28)=9),RgsSek1+28,""),IF(AND(YEAR(RgsSek1+35)=KalendoriniaiMetai,MONTH(RgsSek1+35)=9),RgsSek1+35,""))</f>
        <v/>
      </c>
      <c r="K45" s="24">
        <f>IF(DAY(SpaSek1)=1,IF(AND(YEAR(SpaSek1+22)=KalendoriniaiMetai,MONTH(SpaSek1+22)=10),SpaSek1+22,""),IF(AND(YEAR(SpaSek1+29)=KalendoriniaiMetai,MONTH(SpaSek1+29)=10),SpaSek1+29,""))</f>
        <v>44130</v>
      </c>
      <c r="L45" s="24">
        <f>IF(DAY(SpaSek1)=1,IF(AND(YEAR(SpaSek1+23)=KalendoriniaiMetai,MONTH(SpaSek1+23)=10),SpaSek1+23,""),IF(AND(YEAR(SpaSek1+30)=KalendoriniaiMetai,MONTH(SpaSek1+30)=10),SpaSek1+30,""))</f>
        <v>44131</v>
      </c>
      <c r="M45" s="24">
        <f>IF(DAY(SpaSek1)=1,IF(AND(YEAR(SpaSek1+24)=KalendoriniaiMetai,MONTH(SpaSek1+24)=10),SpaSek1+24,""),IF(AND(YEAR(SpaSek1+31)=KalendoriniaiMetai,MONTH(SpaSek1+31)=10),SpaSek1+31,""))</f>
        <v>44132</v>
      </c>
      <c r="N45" s="24">
        <f>IF(DAY(SpaSek1)=1,IF(AND(YEAR(SpaSek1+25)=KalendoriniaiMetai,MONTH(SpaSek1+25)=10),SpaSek1+25,""),IF(AND(YEAR(SpaSek1+32)=KalendoriniaiMetai,MONTH(SpaSek1+32)=10),SpaSek1+32,""))</f>
        <v>44133</v>
      </c>
      <c r="O45" s="24">
        <f>IF(DAY(SpaSek1)=1,IF(AND(YEAR(SpaSek1+26)=KalendoriniaiMetai,MONTH(SpaSek1+26)=10),SpaSek1+26,""),IF(AND(YEAR(SpaSek1+33)=KalendoriniaiMetai,MONTH(SpaSek1+33)=10),SpaSek1+33,""))</f>
        <v>44134</v>
      </c>
      <c r="P45" s="24">
        <f>IF(DAY(SpaSek1)=1,IF(AND(YEAR(SpaSek1+27)=KalendoriniaiMetai,MONTH(SpaSek1+27)=10),SpaSek1+27,""),IF(AND(YEAR(SpaSek1+34)=KalendoriniaiMetai,MONTH(SpaSek1+34)=10),SpaSek1+34,""))</f>
        <v>44135</v>
      </c>
      <c r="Q45" s="24" t="str">
        <f>IF(DAY(SpaSek1)=1,IF(AND(YEAR(SpaSek1+28)=KalendoriniaiMetai,MONTH(SpaSek1+28)=10),SpaSek1+28,""),IF(AND(YEAR(SpaSek1+35)=KalendoriniaiMetai,MONTH(SpaSek1+35)=10),SpaSek1+35,""))</f>
        <v/>
      </c>
      <c r="S45" s="23"/>
      <c r="U45" s="9" t="s">
        <v>52</v>
      </c>
      <c r="V45" s="25"/>
      <c r="W45" s="25"/>
    </row>
    <row r="46" spans="1:23" ht="15" customHeight="1" x14ac:dyDescent="0.2">
      <c r="A46" s="17"/>
      <c r="C46" s="24" t="str">
        <f>IF(DAY(RgsSek1)=1,IF(AND(YEAR(RgsSek1+29)=KalendoriniaiMetai,MONTH(RgsSek1+29)=9),RgsSek1+29,""),IF(AND(YEAR(RgsSek1+36)=KalendoriniaiMetai,MONTH(RgsSek1+36)=9),RgsSek1+36,""))</f>
        <v/>
      </c>
      <c r="D46" s="24" t="str">
        <f>IF(DAY(RgsSek1)=1,IF(AND(YEAR(RgsSek1+30)=KalendoriniaiMetai,MONTH(RgsSek1+30)=9),RgsSek1+30,""),IF(AND(YEAR(RgsSek1+37)=KalendoriniaiMetai,MONTH(RgsSek1+37)=9),RgsSek1+37,""))</f>
        <v/>
      </c>
      <c r="E46" s="24" t="str">
        <f>IF(DAY(RgsSek1)=1,IF(AND(YEAR(RgsSek1+31)=KalendoriniaiMetai,MONTH(RgsSek1+31)=9),RgsSek1+31,""),IF(AND(YEAR(RgsSek1+38)=KalendoriniaiMetai,MONTH(RgsSek1+38)=9),RgsSek1+38,""))</f>
        <v/>
      </c>
      <c r="F46" s="24" t="str">
        <f>IF(DAY(RgsSek1)=1,IF(AND(YEAR(RgsSek1+32)=KalendoriniaiMetai,MONTH(RgsSek1+32)=9),RgsSek1+32,""),IF(AND(YEAR(RgsSek1+39)=KalendoriniaiMetai,MONTH(RgsSek1+39)=9),RgsSek1+39,""))</f>
        <v/>
      </c>
      <c r="G46" s="24" t="str">
        <f>IF(DAY(RgsSek1)=1,IF(AND(YEAR(RgsSek1+33)=KalendoriniaiMetai,MONTH(RgsSek1+33)=9),RgsSek1+33,""),IF(AND(YEAR(RgsSek1+40)=KalendoriniaiMetai,MONTH(RgsSek1+40)=9),RgsSek1+40,""))</f>
        <v/>
      </c>
      <c r="H46" s="24" t="str">
        <f>IF(DAY(RgsSek1)=1,IF(AND(YEAR(RgsSek1+34)=KalendoriniaiMetai,MONTH(RgsSek1+34)=9),RgsSek1+34,""),IF(AND(YEAR(RgsSek1+41)=KalendoriniaiMetai,MONTH(RgsSek1+41)=9),RgsSek1+41,""))</f>
        <v/>
      </c>
      <c r="I46" s="24" t="str">
        <f>IF(DAY(RgsSek1)=1,IF(AND(YEAR(RgsSek1+35)=KalendoriniaiMetai,MONTH(RgsSek1+35)=9),RgsSek1+35,""),IF(AND(YEAR(RgsSek1+42)=KalendoriniaiMetai,MONTH(RgsSek1+42)=9),RgsSek1+42,""))</f>
        <v/>
      </c>
      <c r="K46" s="24" t="str">
        <f>IF(DAY(SpaSek1)=1,IF(AND(YEAR(SpaSek1+29)=KalendoriniaiMetai,MONTH(SpaSek1+29)=10),SpaSek1+29,""),IF(AND(YEAR(SpaSek1+36)=KalendoriniaiMetai,MONTH(SpaSek1+36)=10),SpaSek1+36,""))</f>
        <v/>
      </c>
      <c r="L46" s="24" t="str">
        <f>IF(DAY(SpaSek1)=1,IF(AND(YEAR(SpaSek1+30)=KalendoriniaiMetai,MONTH(SpaSek1+30)=10),SpaSek1+30,""),IF(AND(YEAR(SpaSek1+37)=KalendoriniaiMetai,MONTH(SpaSek1+37)=10),SpaSek1+37,""))</f>
        <v/>
      </c>
      <c r="M46" s="24" t="str">
        <f>IF(DAY(SpaSek1)=1,IF(AND(YEAR(SpaSek1+31)=KalendoriniaiMetai,MONTH(SpaSek1+31)=10),SpaSek1+31,""),IF(AND(YEAR(SpaSek1+38)=KalendoriniaiMetai,MONTH(SpaSek1+38)=10),SpaSek1+38,""))</f>
        <v/>
      </c>
      <c r="N46" s="24" t="str">
        <f>IF(DAY(SpaSek1)=1,IF(AND(YEAR(SpaSek1+32)=KalendoriniaiMetai,MONTH(SpaSek1+32)=10),SpaSek1+32,""),IF(AND(YEAR(SpaSek1+39)=KalendoriniaiMetai,MONTH(SpaSek1+39)=10),SpaSek1+39,""))</f>
        <v/>
      </c>
      <c r="O46" s="24" t="str">
        <f>IF(DAY(SpaSek1)=1,IF(AND(YEAR(SpaSek1+33)=KalendoriniaiMetai,MONTH(SpaSek1+33)=10),SpaSek1+33,""),IF(AND(YEAR(SpaSek1+40)=KalendoriniaiMetai,MONTH(SpaSek1+40)=10),SpaSek1+40,""))</f>
        <v/>
      </c>
      <c r="P46" s="24" t="str">
        <f>IF(DAY(SpaSek1)=1,IF(AND(YEAR(SpaSek1+34)=KalendoriniaiMetai,MONTH(SpaSek1+34)=10),SpaSek1+34,""),IF(AND(YEAR(SpaSek1+41)=KalendoriniaiMetai,MONTH(SpaSek1+41)=10),SpaSek1+41,""))</f>
        <v/>
      </c>
      <c r="Q46" s="24" t="str">
        <f>IF(DAY(SpaSek1)=1,IF(AND(YEAR(SpaSek1+35)=KalendoriniaiMetai,MONTH(SpaSek1+35)=10),SpaSek1+35,""),IF(AND(YEAR(SpaSek1+42)=KalendoriniaiMetai,MONTH(SpaSek1+42)=10),SpaSek1+42,""))</f>
        <v/>
      </c>
      <c r="S46" s="23"/>
      <c r="U46" s="9"/>
      <c r="V46" s="25"/>
      <c r="W46" s="25"/>
    </row>
    <row r="47" spans="1:23" ht="15" customHeight="1" x14ac:dyDescent="0.2">
      <c r="A47" s="17" t="s">
        <v>20</v>
      </c>
      <c r="S47" s="23"/>
      <c r="U47" s="9" t="s">
        <v>53</v>
      </c>
      <c r="V47" s="25"/>
      <c r="W47" s="25"/>
    </row>
    <row r="48" spans="1:23" ht="15" customHeight="1" x14ac:dyDescent="0.2">
      <c r="A48" s="17" t="s">
        <v>21</v>
      </c>
      <c r="C48" s="26" t="s">
        <v>31</v>
      </c>
      <c r="D48" s="26"/>
      <c r="E48" s="26"/>
      <c r="F48" s="26"/>
      <c r="G48" s="26"/>
      <c r="H48" s="26"/>
      <c r="I48" s="26"/>
      <c r="K48" s="26" t="s">
        <v>43</v>
      </c>
      <c r="L48" s="26"/>
      <c r="M48" s="26"/>
      <c r="N48" s="26"/>
      <c r="O48" s="26"/>
      <c r="P48" s="26"/>
      <c r="Q48" s="26"/>
      <c r="S48" s="23"/>
      <c r="U48" s="9" t="s">
        <v>54</v>
      </c>
      <c r="V48" s="25"/>
      <c r="W48" s="25"/>
    </row>
    <row r="49" spans="1:21" ht="15" customHeight="1" x14ac:dyDescent="0.2">
      <c r="A49" s="17" t="s">
        <v>22</v>
      </c>
      <c r="C49" s="11" t="s">
        <v>26</v>
      </c>
      <c r="D49" s="11" t="s">
        <v>32</v>
      </c>
      <c r="E49" s="11" t="s">
        <v>33</v>
      </c>
      <c r="F49" s="11" t="s">
        <v>34</v>
      </c>
      <c r="G49" s="11" t="s">
        <v>35</v>
      </c>
      <c r="H49" s="11" t="s">
        <v>36</v>
      </c>
      <c r="I49" s="11" t="s">
        <v>37</v>
      </c>
      <c r="J49" s="22"/>
      <c r="K49" s="11" t="s">
        <v>26</v>
      </c>
      <c r="L49" s="11" t="s">
        <v>32</v>
      </c>
      <c r="M49" s="11" t="s">
        <v>33</v>
      </c>
      <c r="N49" s="11" t="s">
        <v>34</v>
      </c>
      <c r="O49" s="11" t="s">
        <v>35</v>
      </c>
      <c r="P49" s="11" t="s">
        <v>36</v>
      </c>
      <c r="Q49" s="11" t="s">
        <v>37</v>
      </c>
      <c r="S49" s="23"/>
      <c r="U49" s="9" t="s">
        <v>55</v>
      </c>
    </row>
    <row r="50" spans="1:21" ht="15" customHeight="1" x14ac:dyDescent="0.2">
      <c r="A50" s="17"/>
      <c r="C50" s="24" t="str">
        <f>IF(DAY(LapSek1)=1,"",IF(AND(YEAR(LapSek1+1)=KalendoriniaiMetai,MONTH(LapSek1+1)=11),LapSek1+1,""))</f>
        <v/>
      </c>
      <c r="D50" s="24" t="str">
        <f>IF(DAY(LapSek1)=1,"",IF(AND(YEAR(LapSek1+2)=KalendoriniaiMetai,MONTH(LapSek1+2)=11),LapSek1+2,""))</f>
        <v/>
      </c>
      <c r="E50" s="24" t="str">
        <f>IF(DAY(LapSek1)=1,"",IF(AND(YEAR(LapSek1+3)=KalendoriniaiMetai,MONTH(LapSek1+3)=11),LapSek1+3,""))</f>
        <v/>
      </c>
      <c r="F50" s="24" t="str">
        <f>IF(DAY(LapSek1)=1,"",IF(AND(YEAR(LapSek1+4)=KalendoriniaiMetai,MONTH(LapSek1+4)=11),LapSek1+4,""))</f>
        <v/>
      </c>
      <c r="G50" s="24" t="str">
        <f>IF(DAY(LapSek1)=1,"",IF(AND(YEAR(LapSek1+5)=KalendoriniaiMetai,MONTH(LapSek1+5)=11),LapSek1+5,""))</f>
        <v/>
      </c>
      <c r="H50" s="24" t="str">
        <f>IF(DAY(LapSek1)=1,"",IF(AND(YEAR(LapSek1+6)=KalendoriniaiMetai,MONTH(LapSek1+6)=11),LapSek1+6,""))</f>
        <v/>
      </c>
      <c r="I50" s="24">
        <f>IF(DAY(LapSek1)=1,IF(AND(YEAR(LapSek1)=KalendoriniaiMetai,MONTH(LapSek1)=11),LapSek1,""),IF(AND(YEAR(LapSek1+7)=KalendoriniaiMetai,MONTH(LapSek1+7)=11),LapSek1+7,""))</f>
        <v>44136</v>
      </c>
      <c r="K50" s="24" t="str">
        <f>IF(DAY(GrdSek1)=1,"",IF(AND(YEAR(GrdSek1+1)=KalendoriniaiMetai,MONTH(GrdSek1+1)=12),GrdSek1+1,""))</f>
        <v/>
      </c>
      <c r="L50" s="24">
        <f>IF(DAY(GrdSek1)=1,"",IF(AND(YEAR(GrdSek1+2)=KalendoriniaiMetai,MONTH(GrdSek1+2)=12),GrdSek1+2,""))</f>
        <v>44166</v>
      </c>
      <c r="M50" s="24">
        <f>IF(DAY(GrdSek1)=1,"",IF(AND(YEAR(GrdSek1+3)=KalendoriniaiMetai,MONTH(GrdSek1+3)=12),GrdSek1+3,""))</f>
        <v>44167</v>
      </c>
      <c r="N50" s="24">
        <f>IF(DAY(GrdSek1)=1,"",IF(AND(YEAR(GrdSek1+4)=KalendoriniaiMetai,MONTH(GrdSek1+4)=12),GrdSek1+4,""))</f>
        <v>44168</v>
      </c>
      <c r="O50" s="24">
        <f>IF(DAY(GrdSek1)=1,"",IF(AND(YEAR(GrdSek1+5)=KalendoriniaiMetai,MONTH(GrdSek1+5)=12),GrdSek1+5,""))</f>
        <v>44169</v>
      </c>
      <c r="P50" s="24">
        <f>IF(DAY(GrdSek1)=1,"",IF(AND(YEAR(GrdSek1+6)=KalendoriniaiMetai,MONTH(GrdSek1+6)=12),GrdSek1+6,""))</f>
        <v>44170</v>
      </c>
      <c r="Q50" s="24">
        <f>IF(DAY(GrdSek1)=1,IF(AND(YEAR(GrdSek1)=KalendoriniaiMetai,MONTH(GrdSek1)=12),GrdSek1,""),IF(AND(YEAR(GrdSek1+7)=KalendoriniaiMetai,MONTH(GrdSek1+7)=12),GrdSek1+7,""))</f>
        <v>44171</v>
      </c>
      <c r="S50" s="23"/>
      <c r="U50" s="1"/>
    </row>
    <row r="51" spans="1:21" ht="15" customHeight="1" x14ac:dyDescent="0.2">
      <c r="A51" s="17" t="s">
        <v>23</v>
      </c>
      <c r="C51" s="24">
        <f>IF(DAY(LapSek1)=1,IF(AND(YEAR(LapSek1+1)=KalendoriniaiMetai,MONTH(LapSek1+1)=11),LapSek1+1,""),IF(AND(YEAR(LapSek1+8)=KalendoriniaiMetai,MONTH(LapSek1+8)=11),LapSek1+8,""))</f>
        <v>44137</v>
      </c>
      <c r="D51" s="24">
        <f>IF(DAY(LapSek1)=1,IF(AND(YEAR(LapSek1+2)=KalendoriniaiMetai,MONTH(LapSek1+2)=11),LapSek1+2,""),IF(AND(YEAR(LapSek1+9)=KalendoriniaiMetai,MONTH(LapSek1+9)=11),LapSek1+9,""))</f>
        <v>44138</v>
      </c>
      <c r="E51" s="24">
        <f>IF(DAY(LapSek1)=1,IF(AND(YEAR(LapSek1+3)=KalendoriniaiMetai,MONTH(LapSek1+3)=11),LapSek1+3,""),IF(AND(YEAR(LapSek1+10)=KalendoriniaiMetai,MONTH(LapSek1+10)=11),LapSek1+10,""))</f>
        <v>44139</v>
      </c>
      <c r="F51" s="24">
        <f>IF(DAY(LapSek1)=1,IF(AND(YEAR(LapSek1+4)=KalendoriniaiMetai,MONTH(LapSek1+4)=11),LapSek1+4,""),IF(AND(YEAR(LapSek1+11)=KalendoriniaiMetai,MONTH(LapSek1+11)=11),LapSek1+11,""))</f>
        <v>44140</v>
      </c>
      <c r="G51" s="24">
        <f>IF(DAY(LapSek1)=1,IF(AND(YEAR(LapSek1+5)=KalendoriniaiMetai,MONTH(LapSek1+5)=11),LapSek1+5,""),IF(AND(YEAR(LapSek1+12)=KalendoriniaiMetai,MONTH(LapSek1+12)=11),LapSek1+12,""))</f>
        <v>44141</v>
      </c>
      <c r="H51" s="24">
        <f>IF(DAY(LapSek1)=1,IF(AND(YEAR(LapSek1+6)=KalendoriniaiMetai,MONTH(LapSek1+6)=11),LapSek1+6,""),IF(AND(YEAR(LapSek1+13)=KalendoriniaiMetai,MONTH(LapSek1+13)=11),LapSek1+13,""))</f>
        <v>44142</v>
      </c>
      <c r="I51" s="24">
        <f>IF(DAY(LapSek1)=1,IF(AND(YEAR(LapSek1+7)=KalendoriniaiMetai,MONTH(LapSek1+7)=11),LapSek1+7,""),IF(AND(YEAR(LapSek1+14)=KalendoriniaiMetai,MONTH(LapSek1+14)=11),LapSek1+14,""))</f>
        <v>44143</v>
      </c>
      <c r="K51" s="24">
        <f>IF(DAY(GrdSek1)=1,IF(AND(YEAR(GrdSek1+1)=KalendoriniaiMetai,MONTH(GrdSek1+1)=12),GrdSek1+1,""),IF(AND(YEAR(GrdSek1+8)=KalendoriniaiMetai,MONTH(GrdSek1+8)=12),GrdSek1+8,""))</f>
        <v>44172</v>
      </c>
      <c r="L51" s="24">
        <f>IF(DAY(GrdSek1)=1,IF(AND(YEAR(GrdSek1+2)=KalendoriniaiMetai,MONTH(GrdSek1+2)=12),GrdSek1+2,""),IF(AND(YEAR(GrdSek1+9)=KalendoriniaiMetai,MONTH(GrdSek1+9)=12),GrdSek1+9,""))</f>
        <v>44173</v>
      </c>
      <c r="M51" s="24">
        <f>IF(DAY(GrdSek1)=1,IF(AND(YEAR(GrdSek1+3)=KalendoriniaiMetai,MONTH(GrdSek1+3)=12),GrdSek1+3,""),IF(AND(YEAR(GrdSek1+10)=KalendoriniaiMetai,MONTH(GrdSek1+10)=12),GrdSek1+10,""))</f>
        <v>44174</v>
      </c>
      <c r="N51" s="24">
        <f>IF(DAY(GrdSek1)=1,IF(AND(YEAR(GrdSek1+4)=KalendoriniaiMetai,MONTH(GrdSek1+4)=12),GrdSek1+4,""),IF(AND(YEAR(GrdSek1+11)=KalendoriniaiMetai,MONTH(GrdSek1+11)=12),GrdSek1+11,""))</f>
        <v>44175</v>
      </c>
      <c r="O51" s="24">
        <f>IF(DAY(GrdSek1)=1,IF(AND(YEAR(GrdSek1+5)=KalendoriniaiMetai,MONTH(GrdSek1+5)=12),GrdSek1+5,""),IF(AND(YEAR(GrdSek1+12)=KalendoriniaiMetai,MONTH(GrdSek1+12)=12),GrdSek1+12,""))</f>
        <v>44176</v>
      </c>
      <c r="P51" s="24">
        <f>IF(DAY(GrdSek1)=1,IF(AND(YEAR(GrdSek1+6)=KalendoriniaiMetai,MONTH(GrdSek1+6)=12),GrdSek1+6,""),IF(AND(YEAR(GrdSek1+13)=KalendoriniaiMetai,MONTH(GrdSek1+13)=12),GrdSek1+13,""))</f>
        <v>44177</v>
      </c>
      <c r="Q51" s="24">
        <f>IF(DAY(GrdSek1)=1,IF(AND(YEAR(GrdSek1+7)=KalendoriniaiMetai,MONTH(GrdSek1+7)=12),GrdSek1+7,""),IF(AND(YEAR(GrdSek1+14)=KalendoriniaiMetai,MONTH(GrdSek1+14)=12),GrdSek1+14,""))</f>
        <v>44178</v>
      </c>
      <c r="S51" s="23"/>
      <c r="U51" s="28" t="s">
        <v>56</v>
      </c>
    </row>
    <row r="52" spans="1:21" ht="15" customHeight="1" x14ac:dyDescent="0.2">
      <c r="C52" s="24">
        <f>IF(DAY(LapSek1)=1,IF(AND(YEAR(LapSek1+8)=KalendoriniaiMetai,MONTH(LapSek1+8)=11),LapSek1+8,""),IF(AND(YEAR(LapSek1+15)=KalendoriniaiMetai,MONTH(LapSek1+15)=11),LapSek1+15,""))</f>
        <v>44144</v>
      </c>
      <c r="D52" s="24">
        <f>IF(DAY(LapSek1)=1,IF(AND(YEAR(LapSek1+9)=KalendoriniaiMetai,MONTH(LapSek1+9)=11),LapSek1+9,""),IF(AND(YEAR(LapSek1+16)=KalendoriniaiMetai,MONTH(LapSek1+16)=11),LapSek1+16,""))</f>
        <v>44145</v>
      </c>
      <c r="E52" s="24">
        <f>IF(DAY(LapSek1)=1,IF(AND(YEAR(LapSek1+10)=KalendoriniaiMetai,MONTH(LapSek1+10)=11),LapSek1+10,""),IF(AND(YEAR(LapSek1+17)=KalendoriniaiMetai,MONTH(LapSek1+17)=11),LapSek1+17,""))</f>
        <v>44146</v>
      </c>
      <c r="F52" s="24">
        <f>IF(DAY(LapSek1)=1,IF(AND(YEAR(LapSek1+11)=KalendoriniaiMetai,MONTH(LapSek1+11)=11),LapSek1+11,""),IF(AND(YEAR(LapSek1+18)=KalendoriniaiMetai,MONTH(LapSek1+18)=11),LapSek1+18,""))</f>
        <v>44147</v>
      </c>
      <c r="G52" s="24">
        <f>IF(DAY(LapSek1)=1,IF(AND(YEAR(LapSek1+12)=KalendoriniaiMetai,MONTH(LapSek1+12)=11),LapSek1+12,""),IF(AND(YEAR(LapSek1+19)=KalendoriniaiMetai,MONTH(LapSek1+19)=11),LapSek1+19,""))</f>
        <v>44148</v>
      </c>
      <c r="H52" s="24">
        <f>IF(DAY(LapSek1)=1,IF(AND(YEAR(LapSek1+13)=KalendoriniaiMetai,MONTH(LapSek1+13)=11),LapSek1+13,""),IF(AND(YEAR(LapSek1+20)=KalendoriniaiMetai,MONTH(LapSek1+20)=11),LapSek1+20,""))</f>
        <v>44149</v>
      </c>
      <c r="I52" s="24">
        <f>IF(DAY(LapSek1)=1,IF(AND(YEAR(LapSek1+14)=KalendoriniaiMetai,MONTH(LapSek1+14)=11),LapSek1+14,""),IF(AND(YEAR(LapSek1+21)=KalendoriniaiMetai,MONTH(LapSek1+21)=11),LapSek1+21,""))</f>
        <v>44150</v>
      </c>
      <c r="K52" s="24">
        <f>IF(DAY(GrdSek1)=1,IF(AND(YEAR(GrdSek1+8)=KalendoriniaiMetai,MONTH(GrdSek1+8)=12),GrdSek1+8,""),IF(AND(YEAR(GrdSek1+15)=KalendoriniaiMetai,MONTH(GrdSek1+15)=12),GrdSek1+15,""))</f>
        <v>44179</v>
      </c>
      <c r="L52" s="24">
        <f>IF(DAY(GrdSek1)=1,IF(AND(YEAR(GrdSek1+9)=KalendoriniaiMetai,MONTH(GrdSek1+9)=12),GrdSek1+9,""),IF(AND(YEAR(GrdSek1+16)=KalendoriniaiMetai,MONTH(GrdSek1+16)=12),GrdSek1+16,""))</f>
        <v>44180</v>
      </c>
      <c r="M52" s="24">
        <f>IF(DAY(GrdSek1)=1,IF(AND(YEAR(GrdSek1+10)=KalendoriniaiMetai,MONTH(GrdSek1+10)=12),GrdSek1+10,""),IF(AND(YEAR(GrdSek1+17)=KalendoriniaiMetai,MONTH(GrdSek1+17)=12),GrdSek1+17,""))</f>
        <v>44181</v>
      </c>
      <c r="N52" s="24">
        <f>IF(DAY(GrdSek1)=1,IF(AND(YEAR(GrdSek1+11)=KalendoriniaiMetai,MONTH(GrdSek1+11)=12),GrdSek1+11,""),IF(AND(YEAR(GrdSek1+18)=KalendoriniaiMetai,MONTH(GrdSek1+18)=12),GrdSek1+18,""))</f>
        <v>44182</v>
      </c>
      <c r="O52" s="24">
        <f>IF(DAY(GrdSek1)=1,IF(AND(YEAR(GrdSek1+12)=KalendoriniaiMetai,MONTH(GrdSek1+12)=12),GrdSek1+12,""),IF(AND(YEAR(GrdSek1+19)=KalendoriniaiMetai,MONTH(GrdSek1+19)=12),GrdSek1+19,""))</f>
        <v>44183</v>
      </c>
      <c r="P52" s="24">
        <f>IF(DAY(GrdSek1)=1,IF(AND(YEAR(GrdSek1+13)=KalendoriniaiMetai,MONTH(GrdSek1+13)=12),GrdSek1+13,""),IF(AND(YEAR(GrdSek1+20)=KalendoriniaiMetai,MONTH(GrdSek1+20)=12),GrdSek1+20,""))</f>
        <v>44184</v>
      </c>
      <c r="Q52" s="24">
        <f>IF(DAY(GrdSek1)=1,IF(AND(YEAR(GrdSek1+14)=KalendoriniaiMetai,MONTH(GrdSek1+14)=12),GrdSek1+14,""),IF(AND(YEAR(GrdSek1+21)=KalendoriniaiMetai,MONTH(GrdSek1+21)=12),GrdSek1+21,""))</f>
        <v>44185</v>
      </c>
      <c r="S52" s="23"/>
      <c r="U52" s="28"/>
    </row>
    <row r="53" spans="1:21" ht="15" customHeight="1" x14ac:dyDescent="0.2">
      <c r="C53" s="24">
        <f>IF(DAY(LapSek1)=1,IF(AND(YEAR(LapSek1+15)=KalendoriniaiMetai,MONTH(LapSek1+15)=11),LapSek1+15,""),IF(AND(YEAR(LapSek1+22)=KalendoriniaiMetai,MONTH(LapSek1+22)=11),LapSek1+22,""))</f>
        <v>44151</v>
      </c>
      <c r="D53" s="24">
        <f>IF(DAY(LapSek1)=1,IF(AND(YEAR(LapSek1+16)=KalendoriniaiMetai,MONTH(LapSek1+16)=11),LapSek1+16,""),IF(AND(YEAR(LapSek1+23)=KalendoriniaiMetai,MONTH(LapSek1+23)=11),LapSek1+23,""))</f>
        <v>44152</v>
      </c>
      <c r="E53" s="24">
        <f>IF(DAY(LapSek1)=1,IF(AND(YEAR(LapSek1+17)=KalendoriniaiMetai,MONTH(LapSek1+17)=11),LapSek1+17,""),IF(AND(YEAR(LapSek1+24)=KalendoriniaiMetai,MONTH(LapSek1+24)=11),LapSek1+24,""))</f>
        <v>44153</v>
      </c>
      <c r="F53" s="24">
        <f>IF(DAY(LapSek1)=1,IF(AND(YEAR(LapSek1+18)=KalendoriniaiMetai,MONTH(LapSek1+18)=11),LapSek1+18,""),IF(AND(YEAR(LapSek1+25)=KalendoriniaiMetai,MONTH(LapSek1+25)=11),LapSek1+25,""))</f>
        <v>44154</v>
      </c>
      <c r="G53" s="24">
        <f>IF(DAY(LapSek1)=1,IF(AND(YEAR(LapSek1+19)=KalendoriniaiMetai,MONTH(LapSek1+19)=11),LapSek1+19,""),IF(AND(YEAR(LapSek1+26)=KalendoriniaiMetai,MONTH(LapSek1+26)=11),LapSek1+26,""))</f>
        <v>44155</v>
      </c>
      <c r="H53" s="24">
        <f>IF(DAY(LapSek1)=1,IF(AND(YEAR(LapSek1+20)=KalendoriniaiMetai,MONTH(LapSek1+20)=11),LapSek1+20,""),IF(AND(YEAR(LapSek1+27)=KalendoriniaiMetai,MONTH(LapSek1+27)=11),LapSek1+27,""))</f>
        <v>44156</v>
      </c>
      <c r="I53" s="24">
        <f>IF(DAY(LapSek1)=1,IF(AND(YEAR(LapSek1+21)=KalendoriniaiMetai,MONTH(LapSek1+21)=11),LapSek1+21,""),IF(AND(YEAR(LapSek1+28)=KalendoriniaiMetai,MONTH(LapSek1+28)=11),LapSek1+28,""))</f>
        <v>44157</v>
      </c>
      <c r="K53" s="24">
        <f>IF(DAY(GrdSek1)=1,IF(AND(YEAR(GrdSek1+15)=KalendoriniaiMetai,MONTH(GrdSek1+15)=12),GrdSek1+15,""),IF(AND(YEAR(GrdSek1+22)=KalendoriniaiMetai,MONTH(GrdSek1+22)=12),GrdSek1+22,""))</f>
        <v>44186</v>
      </c>
      <c r="L53" s="24">
        <f>IF(DAY(GrdSek1)=1,IF(AND(YEAR(GrdSek1+16)=KalendoriniaiMetai,MONTH(GrdSek1+16)=12),GrdSek1+16,""),IF(AND(YEAR(GrdSek1+23)=KalendoriniaiMetai,MONTH(GrdSek1+23)=12),GrdSek1+23,""))</f>
        <v>44187</v>
      </c>
      <c r="M53" s="24">
        <f>IF(DAY(GrdSek1)=1,IF(AND(YEAR(GrdSek1+17)=KalendoriniaiMetai,MONTH(GrdSek1+17)=12),GrdSek1+17,""),IF(AND(YEAR(GrdSek1+24)=KalendoriniaiMetai,MONTH(GrdSek1+24)=12),GrdSek1+24,""))</f>
        <v>44188</v>
      </c>
      <c r="N53" s="24">
        <f>IF(DAY(GrdSek1)=1,IF(AND(YEAR(GrdSek1+18)=KalendoriniaiMetai,MONTH(GrdSek1+18)=12),GrdSek1+18,""),IF(AND(YEAR(GrdSek1+25)=KalendoriniaiMetai,MONTH(GrdSek1+25)=12),GrdSek1+25,""))</f>
        <v>44189</v>
      </c>
      <c r="O53" s="24">
        <f>IF(DAY(GrdSek1)=1,IF(AND(YEAR(GrdSek1+19)=KalendoriniaiMetai,MONTH(GrdSek1+19)=12),GrdSek1+19,""),IF(AND(YEAR(GrdSek1+26)=KalendoriniaiMetai,MONTH(GrdSek1+26)=12),GrdSek1+26,""))</f>
        <v>44190</v>
      </c>
      <c r="P53" s="24">
        <f>IF(DAY(GrdSek1)=1,IF(AND(YEAR(GrdSek1+20)=KalendoriniaiMetai,MONTH(GrdSek1+20)=12),GrdSek1+20,""),IF(AND(YEAR(GrdSek1+27)=KalendoriniaiMetai,MONTH(GrdSek1+27)=12),GrdSek1+27,""))</f>
        <v>44191</v>
      </c>
      <c r="Q53" s="24">
        <f>IF(DAY(GrdSek1)=1,IF(AND(YEAR(GrdSek1+21)=KalendoriniaiMetai,MONTH(GrdSek1+21)=12),GrdSek1+21,""),IF(AND(YEAR(GrdSek1+28)=KalendoriniaiMetai,MONTH(GrdSek1+28)=12),GrdSek1+28,""))</f>
        <v>44192</v>
      </c>
      <c r="S53" s="23"/>
      <c r="U53" s="28"/>
    </row>
    <row r="54" spans="1:21" ht="15" customHeight="1" x14ac:dyDescent="0.2">
      <c r="C54" s="24">
        <f>IF(DAY(LapSek1)=1,IF(AND(YEAR(LapSek1+22)=KalendoriniaiMetai,MONTH(LapSek1+22)=11),LapSek1+22,""),IF(AND(YEAR(LapSek1+29)=KalendoriniaiMetai,MONTH(LapSek1+29)=11),LapSek1+29,""))</f>
        <v>44158</v>
      </c>
      <c r="D54" s="24">
        <f>IF(DAY(LapSek1)=1,IF(AND(YEAR(LapSek1+23)=KalendoriniaiMetai,MONTH(LapSek1+23)=11),LapSek1+23,""),IF(AND(YEAR(LapSek1+30)=KalendoriniaiMetai,MONTH(LapSek1+30)=11),LapSek1+30,""))</f>
        <v>44159</v>
      </c>
      <c r="E54" s="24">
        <f>IF(DAY(LapSek1)=1,IF(AND(YEAR(LapSek1+24)=KalendoriniaiMetai,MONTH(LapSek1+24)=11),LapSek1+24,""),IF(AND(YEAR(LapSek1+31)=KalendoriniaiMetai,MONTH(LapSek1+31)=11),LapSek1+31,""))</f>
        <v>44160</v>
      </c>
      <c r="F54" s="24">
        <f>IF(DAY(LapSek1)=1,IF(AND(YEAR(LapSek1+25)=KalendoriniaiMetai,MONTH(LapSek1+25)=11),LapSek1+25,""),IF(AND(YEAR(LapSek1+32)=KalendoriniaiMetai,MONTH(LapSek1+32)=11),LapSek1+32,""))</f>
        <v>44161</v>
      </c>
      <c r="G54" s="24">
        <f>IF(DAY(LapSek1)=1,IF(AND(YEAR(LapSek1+26)=KalendoriniaiMetai,MONTH(LapSek1+26)=11),LapSek1+26,""),IF(AND(YEAR(LapSek1+33)=KalendoriniaiMetai,MONTH(LapSek1+33)=11),LapSek1+33,""))</f>
        <v>44162</v>
      </c>
      <c r="H54" s="24">
        <f>IF(DAY(LapSek1)=1,IF(AND(YEAR(LapSek1+27)=KalendoriniaiMetai,MONTH(LapSek1+27)=11),LapSek1+27,""),IF(AND(YEAR(LapSek1+34)=KalendoriniaiMetai,MONTH(LapSek1+34)=11),LapSek1+34,""))</f>
        <v>44163</v>
      </c>
      <c r="I54" s="24">
        <f>IF(DAY(LapSek1)=1,IF(AND(YEAR(LapSek1+28)=KalendoriniaiMetai,MONTH(LapSek1+28)=11),LapSek1+28,""),IF(AND(YEAR(LapSek1+35)=KalendoriniaiMetai,MONTH(LapSek1+35)=11),LapSek1+35,""))</f>
        <v>44164</v>
      </c>
      <c r="K54" s="24">
        <f>IF(DAY(GrdSek1)=1,IF(AND(YEAR(GrdSek1+22)=KalendoriniaiMetai,MONTH(GrdSek1+22)=12),GrdSek1+22,""),IF(AND(YEAR(GrdSek1+29)=KalendoriniaiMetai,MONTH(GrdSek1+29)=12),GrdSek1+29,""))</f>
        <v>44193</v>
      </c>
      <c r="L54" s="24">
        <f>IF(DAY(GrdSek1)=1,IF(AND(YEAR(GrdSek1+23)=KalendoriniaiMetai,MONTH(GrdSek1+23)=12),GrdSek1+23,""),IF(AND(YEAR(GrdSek1+30)=KalendoriniaiMetai,MONTH(GrdSek1+30)=12),GrdSek1+30,""))</f>
        <v>44194</v>
      </c>
      <c r="M54" s="24">
        <f>IF(DAY(GrdSek1)=1,IF(AND(YEAR(GrdSek1+24)=KalendoriniaiMetai,MONTH(GrdSek1+24)=12),GrdSek1+24,""),IF(AND(YEAR(GrdSek1+31)=KalendoriniaiMetai,MONTH(GrdSek1+31)=12),GrdSek1+31,""))</f>
        <v>44195</v>
      </c>
      <c r="N54" s="24">
        <f>IF(DAY(GrdSek1)=1,IF(AND(YEAR(GrdSek1+25)=KalendoriniaiMetai,MONTH(GrdSek1+25)=12),GrdSek1+25,""),IF(AND(YEAR(GrdSek1+32)=KalendoriniaiMetai,MONTH(GrdSek1+32)=12),GrdSek1+32,""))</f>
        <v>44196</v>
      </c>
      <c r="O54" s="24" t="str">
        <f>IF(DAY(GrdSek1)=1,IF(AND(YEAR(GrdSek1+26)=KalendoriniaiMetai,MONTH(GrdSek1+26)=12),GrdSek1+26,""),IF(AND(YEAR(GrdSek1+33)=KalendoriniaiMetai,MONTH(GrdSek1+33)=12),GrdSek1+33,""))</f>
        <v/>
      </c>
      <c r="P54" s="24" t="str">
        <f>IF(DAY(GrdSek1)=1,IF(AND(YEAR(GrdSek1+27)=KalendoriniaiMetai,MONTH(GrdSek1+27)=12),GrdSek1+27,""),IF(AND(YEAR(GrdSek1+34)=KalendoriniaiMetai,MONTH(GrdSek1+34)=12),GrdSek1+34,""))</f>
        <v/>
      </c>
      <c r="Q54" s="24" t="str">
        <f>IF(DAY(GrdSek1)=1,IF(AND(YEAR(GrdSek1+28)=KalendoriniaiMetai,MONTH(GrdSek1+28)=12),GrdSek1+28,""),IF(AND(YEAR(GrdSek1+35)=KalendoriniaiMetai,MONTH(GrdSek1+35)=12),GrdSek1+35,""))</f>
        <v/>
      </c>
      <c r="S54" s="23"/>
      <c r="U54" s="28"/>
    </row>
    <row r="55" spans="1:21" ht="15" customHeight="1" x14ac:dyDescent="0.2">
      <c r="C55" s="24">
        <f>IF(DAY(LapSek1)=1,IF(AND(YEAR(LapSek1+29)=KalendoriniaiMetai,MONTH(LapSek1+29)=11),LapSek1+29,""),IF(AND(YEAR(LapSek1+36)=KalendoriniaiMetai,MONTH(LapSek1+36)=11),LapSek1+36,""))</f>
        <v>44165</v>
      </c>
      <c r="D55" s="24" t="str">
        <f>IF(DAY(LapSek1)=1,IF(AND(YEAR(LapSek1+30)=KalendoriniaiMetai,MONTH(LapSek1+30)=11),LapSek1+30,""),IF(AND(YEAR(LapSek1+37)=KalendoriniaiMetai,MONTH(LapSek1+37)=11),LapSek1+37,""))</f>
        <v/>
      </c>
      <c r="E55" s="24" t="str">
        <f>IF(DAY(LapSek1)=1,IF(AND(YEAR(LapSek1+31)=KalendoriniaiMetai,MONTH(LapSek1+31)=11),LapSek1+31,""),IF(AND(YEAR(LapSek1+38)=KalendoriniaiMetai,MONTH(LapSek1+38)=11),LapSek1+38,""))</f>
        <v/>
      </c>
      <c r="F55" s="24" t="str">
        <f>IF(DAY(LapSek1)=1,IF(AND(YEAR(LapSek1+32)=KalendoriniaiMetai,MONTH(LapSek1+32)=11),LapSek1+32,""),IF(AND(YEAR(LapSek1+39)=KalendoriniaiMetai,MONTH(LapSek1+39)=11),LapSek1+39,""))</f>
        <v/>
      </c>
      <c r="G55" s="24" t="str">
        <f>IF(DAY(LapSek1)=1,IF(AND(YEAR(LapSek1+33)=KalendoriniaiMetai,MONTH(LapSek1+33)=11),LapSek1+33,""),IF(AND(YEAR(LapSek1+40)=KalendoriniaiMetai,MONTH(LapSek1+40)=11),LapSek1+40,""))</f>
        <v/>
      </c>
      <c r="H55" s="24" t="str">
        <f>IF(DAY(LapSek1)=1,IF(AND(YEAR(LapSek1+34)=KalendoriniaiMetai,MONTH(LapSek1+34)=11),LapSek1+34,""),IF(AND(YEAR(LapSek1+41)=KalendoriniaiMetai,MONTH(LapSek1+41)=11),LapSek1+41,""))</f>
        <v/>
      </c>
      <c r="I55" s="24" t="str">
        <f>IF(DAY(LapSek1)=1,IF(AND(YEAR(LapSek1+35)=KalendoriniaiMetai,MONTH(LapSek1+35)=11),LapSek1+35,""),IF(AND(YEAR(LapSek1+42)=KalendoriniaiMetai,MONTH(LapSek1+42)=11),LapSek1+42,""))</f>
        <v/>
      </c>
      <c r="K55" s="24" t="str">
        <f>IF(DAY(GrdSek1)=1,IF(AND(YEAR(GrdSek1+29)=KalendoriniaiMetai,MONTH(GrdSek1+29)=12),GrdSek1+29,""),IF(AND(YEAR(GrdSek1+36)=KalendoriniaiMetai,MONTH(GrdSek1+36)=12),GrdSek1+36,""))</f>
        <v/>
      </c>
      <c r="L55" s="24" t="str">
        <f>IF(DAY(GrdSek1)=1,IF(AND(YEAR(GrdSek1+30)=KalendoriniaiMetai,MONTH(GrdSek1+30)=12),GrdSek1+30,""),IF(AND(YEAR(GrdSek1+37)=KalendoriniaiMetai,MONTH(GrdSek1+37)=12),GrdSek1+37,""))</f>
        <v/>
      </c>
      <c r="M55" s="24" t="str">
        <f>IF(DAY(GrdSek1)=1,IF(AND(YEAR(GrdSek1+31)=KalendoriniaiMetai,MONTH(GrdSek1+31)=12),GrdSek1+31,""),IF(AND(YEAR(GrdSek1+38)=KalendoriniaiMetai,MONTH(GrdSek1+38)=12),GrdSek1+38,""))</f>
        <v/>
      </c>
      <c r="N55" s="24" t="str">
        <f>IF(DAY(GrdSek1)=1,IF(AND(YEAR(GrdSek1+32)=KalendoriniaiMetai,MONTH(GrdSek1+32)=12),GrdSek1+32,""),IF(AND(YEAR(GrdSek1+39)=KalendoriniaiMetai,MONTH(GrdSek1+39)=12),GrdSek1+39,""))</f>
        <v/>
      </c>
      <c r="O55" s="24" t="str">
        <f>IF(DAY(GrdSek1)=1,IF(AND(YEAR(GrdSek1+33)=KalendoriniaiMetai,MONTH(GrdSek1+33)=12),GrdSek1+33,""),IF(AND(YEAR(GrdSek1+40)=KalendoriniaiMetai,MONTH(GrdSek1+40)=12),GrdSek1+40,""))</f>
        <v/>
      </c>
      <c r="P55" s="24" t="str">
        <f>IF(DAY(GrdSek1)=1,IF(AND(YEAR(GrdSek1+34)=KalendoriniaiMetai,MONTH(GrdSek1+34)=12),GrdSek1+34,""),IF(AND(YEAR(GrdSek1+41)=KalendoriniaiMetai,MONTH(GrdSek1+41)=12),GrdSek1+41,""))</f>
        <v/>
      </c>
      <c r="Q55" s="24" t="str">
        <f>IF(DAY(GrdSek1)=1,IF(AND(YEAR(GrdSek1+35)=KalendoriniaiMetai,MONTH(GrdSek1+35)=12),GrdSek1+35,""),IF(AND(YEAR(GrdSek1+42)=KalendoriniaiMetai,MONTH(GrdSek1+42)=12),GrdSek1+42,""))</f>
        <v/>
      </c>
      <c r="S55" s="23"/>
      <c r="U55" s="28"/>
    </row>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C3:I3"/>
    <mergeCell ref="K3:Q3"/>
    <mergeCell ref="U51:U55"/>
    <mergeCell ref="C39:I39"/>
    <mergeCell ref="K39:Q39"/>
    <mergeCell ref="C48:I48"/>
    <mergeCell ref="K48:Q48"/>
    <mergeCell ref="B2:M2"/>
    <mergeCell ref="V3:W48"/>
    <mergeCell ref="C12:I12"/>
    <mergeCell ref="K12:Q12"/>
    <mergeCell ref="C21:I21"/>
    <mergeCell ref="K21:Q21"/>
    <mergeCell ref="C30:I30"/>
    <mergeCell ref="K30:Q30"/>
  </mergeCells>
  <phoneticPr fontId="5" type="noConversion"/>
  <dataValidations disablePrompts="1" count="1">
    <dataValidation allowBlank="1" showInputMessage="1" showErrorMessage="1" errorTitle="Netinkami metai" error="Įveskite metus nuo 1900 iki 9999 arba naudokite slinkties juostą, kad rastumėte metus." sqref="C1" xr:uid="{00000000-0002-0000-0100-000000000000}"/>
  </dataValidations>
  <printOptions horizontalCentered="1" verticalCentered="1"/>
  <pageMargins left="0.5" right="0.5" top="0.5" bottom="0.5" header="0.3" footer="0.3"/>
  <pageSetup paperSize="9" scale="83"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uktukas">
              <controlPr defaultSize="0" print="0" autoPict="0" altText="Naudodami suktuko mygtuką pakeiskite kalendoriaus metus arba įveskite metus langelyje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3.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Darbalapiai</vt:lpstr>
      </vt:variant>
      <vt:variant>
        <vt:i4>2</vt:i4>
      </vt:variant>
      <vt:variant>
        <vt:lpstr>Įvardytieji diapazonai</vt:lpstr>
      </vt:variant>
      <vt:variant>
        <vt:i4>2</vt:i4>
      </vt:variant>
    </vt:vector>
  </HeadingPairs>
  <TitlesOfParts>
    <vt:vector size="4" baseType="lpstr">
      <vt:lpstr>Pradžia</vt:lpstr>
      <vt:lpstr>Metų kalendorius</vt:lpstr>
      <vt:lpstr>KalendoriniaiMetai</vt:lpstr>
      <vt:lpstr>'Metų kalendorius'!Print_Area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2020-02-19T03:47:47Z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