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/>
  <mc:AlternateContent xmlns:mc="http://schemas.openxmlformats.org/markup-compatibility/2006">
    <mc:Choice Requires="x15">
      <x15ac:absPath xmlns:x15ac="http://schemas.microsoft.com/office/spreadsheetml/2010/11/ac" url="C:\Users\admin\OneDrive - BCS Loc Test 5\WordTech_20190719_Excel_Word_Win32_Q1_P2\04_PreDTP_Done\lt-LT\"/>
    </mc:Choice>
  </mc:AlternateContent>
  <xr:revisionPtr revIDLastSave="0" documentId="13_ncr:3_{C727E54C-CAD2-4DB9-B956-0C61DA90C324}" xr6:coauthVersionLast="43" xr6:coauthVersionMax="43" xr10:uidLastSave="{00000000-0000-0000-0000-000000000000}"/>
  <bookViews>
    <workbookView xWindow="-120" yWindow="-120" windowWidth="28950" windowHeight="13980" tabRatio="686" xr2:uid="{00000000-000D-0000-FFFF-FFFF00000000}"/>
  </bookViews>
  <sheets>
    <sheet name="Sausis" sheetId="4" r:id="rId1"/>
    <sheet name="Vasaris" sheetId="5" r:id="rId2"/>
    <sheet name="Kovas" sheetId="17" r:id="rId3"/>
    <sheet name="Balandis" sheetId="18" r:id="rId4"/>
    <sheet name="Gegužė" sheetId="19" r:id="rId5"/>
    <sheet name="Birželis" sheetId="20" r:id="rId6"/>
    <sheet name="Liepa" sheetId="21" r:id="rId7"/>
    <sheet name="Rugpjūtis" sheetId="22" r:id="rId8"/>
    <sheet name="Rugsėjis" sheetId="23" r:id="rId9"/>
    <sheet name="Spalis" sheetId="24" r:id="rId10"/>
    <sheet name="Lapkritis" sheetId="25" r:id="rId11"/>
    <sheet name="Gruodis" sheetId="15" r:id="rId12"/>
    <sheet name="Darbuotojų vardai" sheetId="16" r:id="rId13"/>
  </sheets>
  <definedNames>
    <definedName name="CalendarYear">Sausis!$AH$4</definedName>
    <definedName name="Employee_Absence_Title">Sausis!$B$1</definedName>
    <definedName name="Key_name">Sausis!$B$2</definedName>
    <definedName name="KeyCustom1">Sausis!$N$2</definedName>
    <definedName name="KeyCustom1Label">Sausis!$O$2</definedName>
    <definedName name="KeyCustom2">Sausis!$R$2</definedName>
    <definedName name="KeyCustom2Label">Sausis!$S$2</definedName>
    <definedName name="KeyPersonal">Sausis!$G$2</definedName>
    <definedName name="KeyPersonalLabel">Sausis!$H$2</definedName>
    <definedName name="KeySick">Sausis!$K$2</definedName>
    <definedName name="KeySickLabel">Sausis!$L$2</definedName>
    <definedName name="KeyVacation">Sausis!$C$2</definedName>
    <definedName name="KeyVacationLabel">Sausis!$D$2</definedName>
    <definedName name="MonthName" localSheetId="3">Balandis!$B$4</definedName>
    <definedName name="MonthName" localSheetId="5">Birželis!$B$4</definedName>
    <definedName name="MonthName" localSheetId="4">Gegužė!$B$4</definedName>
    <definedName name="MonthName" localSheetId="11">Gruodis!$B$4</definedName>
    <definedName name="MonthName" localSheetId="2">Kovas!$B$4</definedName>
    <definedName name="MonthName" localSheetId="10">Lapkritis!$B$4</definedName>
    <definedName name="MonthName" localSheetId="6">Liepa!$B$4</definedName>
    <definedName name="MonthName" localSheetId="7">Rugpjūtis!$B$4</definedName>
    <definedName name="MonthName" localSheetId="8">Rugsėjis!$B$4</definedName>
    <definedName name="MonthName" localSheetId="0">Sausis!$B$4</definedName>
    <definedName name="MonthName" localSheetId="9">Spalis!$B$4</definedName>
    <definedName name="MonthName" localSheetId="1">Vasaris!$B$4</definedName>
    <definedName name="Pavadinimas1">Sausis[[#Headers],[Darbuotojo vardas]]</definedName>
    <definedName name="Pavadinimas10">Spalis[[#Headers],[Darbuotojo vardas]]</definedName>
    <definedName name="Pavadinimas11">Lapkritis[[#Headers],[Darbuotojo vardas]]</definedName>
    <definedName name="Pavadinimas12">Gruodis[[#Headers],[Darbuotojo vardas]]</definedName>
    <definedName name="Pavadinimas2">Vasaris[[#Headers],[Darbuotojo vardas]]</definedName>
    <definedName name="Pavadinimas3">Kovas[[#Headers],[Darbuotojo vardas]]</definedName>
    <definedName name="Pavadinimas4">Balandis[[#Headers],[Darbuotojo vardas]]</definedName>
    <definedName name="Pavadinimas5">Gegužė[[#Headers],[Darbuotojo vardas]]</definedName>
    <definedName name="Pavadinimas6">Birželis[[#Headers],[Darbuotojo vardas]]</definedName>
    <definedName name="Pavadinimas7">Liepa[[#Headers],[Darbuotojo vardas]]</definedName>
    <definedName name="Pavadinimas8">Rugpjūtis[[#Headers],[Darbuotojo vardas]]</definedName>
    <definedName name="Pavadinimas9">Rugsėjis[[#Headers],[Darbuotojo vardas]]</definedName>
    <definedName name="_xlnm.Print_Titles" localSheetId="3">Balandis!$4:$6</definedName>
    <definedName name="_xlnm.Print_Titles" localSheetId="5">Birželis!$4:$6</definedName>
    <definedName name="_xlnm.Print_Titles" localSheetId="4">Gegužė!$4:$6</definedName>
    <definedName name="_xlnm.Print_Titles" localSheetId="11">Gruodis!$4:$6</definedName>
    <definedName name="_xlnm.Print_Titles" localSheetId="2">Kovas!$4:$6</definedName>
    <definedName name="_xlnm.Print_Titles" localSheetId="10">Lapkritis!$4:$6</definedName>
    <definedName name="_xlnm.Print_Titles" localSheetId="6">Liepa!$4:$6</definedName>
    <definedName name="_xlnm.Print_Titles" localSheetId="7">Rugpjūtis!$4:$6</definedName>
    <definedName name="_xlnm.Print_Titles" localSheetId="8">Rugsėjis!$4:$6</definedName>
    <definedName name="_xlnm.Print_Titles" localSheetId="0">Sausis!$4:$6</definedName>
    <definedName name="_xlnm.Print_Titles" localSheetId="9">Spalis!$4:$6</definedName>
    <definedName name="_xlnm.Print_Titles" localSheetId="1">Vasaris!$4:$6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4"/>
  <c r="B12" i="23"/>
  <c r="B12" i="22"/>
  <c r="B12" i="21"/>
  <c r="B12" i="20"/>
  <c r="B12" i="19"/>
  <c r="B12" i="18"/>
  <c r="B12" i="17"/>
  <c r="B12" i="5"/>
  <c r="B12" i="4" l="1"/>
  <c r="B12" i="25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12" i="21" s="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17" l="1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<sst xmlns="http://schemas.openxmlformats.org/spreadsheetml/2006/main" count="643" uniqueCount="65">
  <si>
    <t>Darbuotojų neatvykimo tvarkaraštis</t>
  </si>
  <si>
    <t>Neatvykimo tipo kodas</t>
  </si>
  <si>
    <t>Sausis</t>
  </si>
  <si>
    <t>Darbuotojo vardas</t>
  </si>
  <si>
    <t>1 darbuotojas</t>
  </si>
  <si>
    <t>2 darbuotojas</t>
  </si>
  <si>
    <t>3 darbuotojas</t>
  </si>
  <si>
    <t>4 darbuotojas</t>
  </si>
  <si>
    <t>5 darbuotojas</t>
  </si>
  <si>
    <t>Neatvykimo datos</t>
  </si>
  <si>
    <t>1</t>
  </si>
  <si>
    <t>Atostogos</t>
  </si>
  <si>
    <t>2</t>
  </si>
  <si>
    <t>3</t>
  </si>
  <si>
    <t>4</t>
  </si>
  <si>
    <t>5</t>
  </si>
  <si>
    <t>Asmeninė</t>
  </si>
  <si>
    <t>6</t>
  </si>
  <si>
    <t>7</t>
  </si>
  <si>
    <t>8</t>
  </si>
  <si>
    <t>9</t>
  </si>
  <si>
    <t>Liga</t>
  </si>
  <si>
    <t>10</t>
  </si>
  <si>
    <t>11</t>
  </si>
  <si>
    <t>12</t>
  </si>
  <si>
    <t>1 pasirinktinis</t>
  </si>
  <si>
    <t>13</t>
  </si>
  <si>
    <t>14</t>
  </si>
  <si>
    <t>15</t>
  </si>
  <si>
    <t>16</t>
  </si>
  <si>
    <t>2 pasirinktinis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</si>
  <si>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</si>
  <si>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</si>
  <si>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</si>
  <si>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</si>
  <si>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</si>
  <si>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</si>
  <si>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</si>
  <si>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</si>
  <si>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</si>
  <si>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</si>
  <si>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</si>
  <si>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</si>
  <si>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</si>
  <si>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</si>
  <si>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</si>
  <si>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Įveskite metus:</t>
  </si>
  <si>
    <t>Iš viso dienų</t>
  </si>
  <si>
    <t>Vasaris</t>
  </si>
  <si>
    <t xml:space="preserve"> </t>
  </si>
  <si>
    <t xml:space="preserve">  </t>
  </si>
  <si>
    <t>Kovas</t>
  </si>
  <si>
    <t>Balandis</t>
  </si>
  <si>
    <t>Birželis</t>
  </si>
  <si>
    <t>Liepa</t>
  </si>
  <si>
    <t>Rugpjūtis</t>
  </si>
  <si>
    <t>Rugsėjis</t>
  </si>
  <si>
    <t>Spalis</t>
  </si>
  <si>
    <t>Lapkritis</t>
  </si>
  <si>
    <t>Gruodis</t>
  </si>
  <si>
    <t>Darbuotojų vardai</t>
  </si>
  <si>
    <t>AT</t>
  </si>
  <si>
    <t>AS</t>
  </si>
  <si>
    <t>L</t>
  </si>
  <si>
    <t>Gegužė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</si>
</sst>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 horizontal="left" vertical="center"/>
    </xf>
    <xf numFmtId="0" fontId="7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6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left" vertical="center" indent="2"/>
    </xf>
    <xf numFmtId="0" fontId="4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8" fillId="0" borderId="0">
      <alignment horizontal="center"/>
    </xf>
  </cellStyleXfs>
  <cellXfs count="26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4" fontId="2" fillId="9" borderId="0" xfId="8" applyNumberFormat="1" applyFont="1" applyAlignment="1" applyProtection="1">
      <alignment horizontal="center" vertical="center"/>
    </xf>
    <xf numFmtId="164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6" fillId="2" borderId="0" xfId="3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7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8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7" fillId="0" borderId="0" xfId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6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</cellXfs>
  <cellStyles count="28">
    <cellStyle name="1 antraštė" xfId="2" builtinId="16" customBuiltin="1"/>
    <cellStyle name="2 antraštė" xfId="3" builtinId="17" customBuiltin="1"/>
    <cellStyle name="20% – paryškinimas 1" xfId="15" builtinId="30" customBuiltin="1"/>
    <cellStyle name="20% – paryškinimas 3" xfId="21" builtinId="38" customBuiltin="1"/>
    <cellStyle name="20% – paryškinimas 4" xfId="7" builtinId="42" customBuiltin="1"/>
    <cellStyle name="20% – paryškinimas 6" xfId="11" builtinId="50" customBuiltin="1"/>
    <cellStyle name="3 antraštė" xfId="4" builtinId="18" customBuiltin="1"/>
    <cellStyle name="4 antraštė" xfId="5" builtinId="19" customBuiltin="1"/>
    <cellStyle name="40% – paryškinimas 1" xfId="16" builtinId="31" customBuiltin="1"/>
    <cellStyle name="40% – paryškinimas 2" xfId="19" builtinId="35" customBuiltin="1"/>
    <cellStyle name="40% – paryškinimas 3" xfId="22" builtinId="39" customBuiltin="1"/>
    <cellStyle name="40% – paryškinimas 4" xfId="8" builtinId="43" customBuiltin="1"/>
    <cellStyle name="40% – paryškinimas 5" xfId="24" builtinId="47" customBuiltin="1"/>
    <cellStyle name="40% – paryškinimas 6" xfId="12" builtinId="51" customBuiltin="1"/>
    <cellStyle name="60% – paryškinimas 1" xfId="17" builtinId="32" customBuiltin="1"/>
    <cellStyle name="60% – paryškinimas 3" xfId="23" builtinId="40" customBuiltin="1"/>
    <cellStyle name="60% – paryškinimas 4" xfId="9" builtinId="44" customBuiltin="1"/>
    <cellStyle name="60% – paryškinimas 6" xfId="13" builtinId="52" customBuiltin="1"/>
    <cellStyle name="Darbuotojas" xfId="26" xr:uid="{00000000-0005-0000-0000-000013000000}"/>
    <cellStyle name="Etiketė" xfId="27" xr:uid="{00000000-0005-0000-0000-000018000000}"/>
    <cellStyle name="Įprastas" xfId="0" builtinId="0" customBuiltin="1"/>
    <cellStyle name="Paryškinimas 1" xfId="14" builtinId="29" customBuiltin="1"/>
    <cellStyle name="Paryškinimas 2" xfId="18" builtinId="33" customBuiltin="1"/>
    <cellStyle name="Paryškinimas 3" xfId="20" builtinId="37" customBuiltin="1"/>
    <cellStyle name="Paryškinimas 4" xfId="6" builtinId="41" customBuiltin="1"/>
    <cellStyle name="Paryškinimas 6" xfId="10" builtinId="49" customBuiltin="1"/>
    <cellStyle name="Pavadinimas" xfId="1" builtinId="15" customBuiltin="1"/>
    <cellStyle name="Suma" xfId="25" builtinId="25" customBuiltin="1"/>
  </cellStyles>
  <dxfs count="9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Darbuotojų neatvykimo lentelė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ausis" displayName="Sausis" ref="B6:AH12" totalsRowCount="1" headerRowDxfId="888" dataDxfId="887" totalsRowDxfId="886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Darbuotojo vardas" totalsRowFunction="custom" dataDxfId="885" totalsRowDxfId="884" dataCellStyle="Darbuotojas">
      <totalsRowFormula>MonthName&amp;" bendroji suma"</totalsRowFormula>
    </tableColumn>
    <tableColumn id="2" xr3:uid="{00000000-0010-0000-0000-000002000000}" name="1" totalsRowFunction="custom" dataDxfId="883" totalsRowDxfId="882">
      <totalsRowFormula>SUBTOTAL(103,Sausis!$C$7:$C$11)</totalsRowFormula>
    </tableColumn>
    <tableColumn id="3" xr3:uid="{00000000-0010-0000-0000-000003000000}" name="2" totalsRowFunction="custom" dataDxfId="881" totalsRowDxfId="880">
      <totalsRowFormula>SUBTOTAL(103,Sausis!$D$7:$D$11)</totalsRowFormula>
    </tableColumn>
    <tableColumn id="4" xr3:uid="{00000000-0010-0000-0000-000004000000}" name="3" totalsRowFunction="custom" dataDxfId="879" totalsRowDxfId="878">
      <totalsRowFormula>SUBTOTAL(103,Sausis!$E$7:$E$11)</totalsRowFormula>
    </tableColumn>
    <tableColumn id="5" xr3:uid="{00000000-0010-0000-0000-000005000000}" name="4" totalsRowFunction="custom" dataDxfId="877" totalsRowDxfId="876">
      <totalsRowFormula>SUBTOTAL(103,Sausis!$F$7:$F$11)</totalsRowFormula>
    </tableColumn>
    <tableColumn id="6" xr3:uid="{00000000-0010-0000-0000-000006000000}" name="5" totalsRowFunction="custom" totalsRowDxfId="875">
      <totalsRowFormula>SUBTOTAL(103,Sausis!$G$7:$G$11)</totalsRowFormula>
    </tableColumn>
    <tableColumn id="7" xr3:uid="{00000000-0010-0000-0000-000007000000}" name="6" totalsRowFunction="custom" dataDxfId="874" totalsRowDxfId="873">
      <totalsRowFormula>SUBTOTAL(103,Sausis!$H$7:$H$11)</totalsRowFormula>
    </tableColumn>
    <tableColumn id="8" xr3:uid="{00000000-0010-0000-0000-000008000000}" name="7" totalsRowFunction="custom" dataDxfId="872" totalsRowDxfId="871">
      <totalsRowFormula>SUBTOTAL(103,Sausis!$I$7:$I$11)</totalsRowFormula>
    </tableColumn>
    <tableColumn id="9" xr3:uid="{00000000-0010-0000-0000-000009000000}" name="8" totalsRowFunction="custom" dataDxfId="870" totalsRowDxfId="869">
      <totalsRowFormula>SUBTOTAL(103,Sausis!$J$7:$J$11)</totalsRowFormula>
    </tableColumn>
    <tableColumn id="10" xr3:uid="{00000000-0010-0000-0000-00000A000000}" name="9" totalsRowFunction="custom" dataDxfId="868" totalsRowDxfId="867">
      <totalsRowFormula>SUBTOTAL(103,Sausis!$K$7:$K$11)</totalsRowFormula>
    </tableColumn>
    <tableColumn id="11" xr3:uid="{00000000-0010-0000-0000-00000B000000}" name="10" totalsRowFunction="custom" dataDxfId="866" totalsRowDxfId="865">
      <totalsRowFormula>SUBTOTAL(103,Sausis!$L$7:$L$11)</totalsRowFormula>
    </tableColumn>
    <tableColumn id="12" xr3:uid="{00000000-0010-0000-0000-00000C000000}" name="11" totalsRowFunction="custom" dataDxfId="864" totalsRowDxfId="863">
      <totalsRowFormula>SUBTOTAL(103,Sausis!$M$7:$M$11)</totalsRowFormula>
    </tableColumn>
    <tableColumn id="13" xr3:uid="{00000000-0010-0000-0000-00000D000000}" name="12" totalsRowFunction="custom" dataDxfId="862" totalsRowDxfId="861">
      <totalsRowFormula>SUBTOTAL(103,Sausis!$N$7:$N$11)</totalsRowFormula>
    </tableColumn>
    <tableColumn id="14" xr3:uid="{00000000-0010-0000-0000-00000E000000}" name="13" totalsRowFunction="custom" dataDxfId="860" totalsRowDxfId="859">
      <totalsRowFormula>SUBTOTAL(103,Sausis!$O$7:$O$11)</totalsRowFormula>
    </tableColumn>
    <tableColumn id="15" xr3:uid="{00000000-0010-0000-0000-00000F000000}" name="14" totalsRowFunction="custom" dataDxfId="858" totalsRowDxfId="857">
      <totalsRowFormula>SUBTOTAL(103,Sausis!$P$7:$P$11)</totalsRowFormula>
    </tableColumn>
    <tableColumn id="16" xr3:uid="{00000000-0010-0000-0000-000010000000}" name="15" totalsRowFunction="custom" dataDxfId="856" totalsRowDxfId="855">
      <totalsRowFormula>SUBTOTAL(103,Sausis!$Q$7:$Q$11)</totalsRowFormula>
    </tableColumn>
    <tableColumn id="17" xr3:uid="{00000000-0010-0000-0000-000011000000}" name="16" totalsRowFunction="custom" dataDxfId="854" totalsRowDxfId="853">
      <totalsRowFormula>SUBTOTAL(103,Sausis!$R$7:$R$11)</totalsRowFormula>
    </tableColumn>
    <tableColumn id="18" xr3:uid="{00000000-0010-0000-0000-000012000000}" name="17" totalsRowFunction="custom" dataDxfId="852" totalsRowDxfId="851">
      <totalsRowFormula>SUBTOTAL(103,Sausis!$S$7:$S$11)</totalsRowFormula>
    </tableColumn>
    <tableColumn id="19" xr3:uid="{00000000-0010-0000-0000-000013000000}" name="18" totalsRowFunction="custom" dataDxfId="850" totalsRowDxfId="849">
      <totalsRowFormula>SUBTOTAL(103,Sausis!$T$7:$T$11)</totalsRowFormula>
    </tableColumn>
    <tableColumn id="20" xr3:uid="{00000000-0010-0000-0000-000014000000}" name="19" totalsRowFunction="custom" dataDxfId="848" totalsRowDxfId="847">
      <totalsRowFormula>SUBTOTAL(103,Sausis!$U$7:$U$11)</totalsRowFormula>
    </tableColumn>
    <tableColumn id="21" xr3:uid="{00000000-0010-0000-0000-000015000000}" name="20" totalsRowFunction="custom" dataDxfId="846" totalsRowDxfId="845">
      <totalsRowFormula>SUBTOTAL(103,Sausis!$V$7:$V$11)</totalsRowFormula>
    </tableColumn>
    <tableColumn id="22" xr3:uid="{00000000-0010-0000-0000-000016000000}" name="21" totalsRowFunction="custom" dataDxfId="844" totalsRowDxfId="843">
      <totalsRowFormula>SUBTOTAL(103,Sausis!$W$7:$W$11)</totalsRowFormula>
    </tableColumn>
    <tableColumn id="23" xr3:uid="{00000000-0010-0000-0000-000017000000}" name="22" totalsRowFunction="custom" dataDxfId="842" totalsRowDxfId="841">
      <totalsRowFormula>SUBTOTAL(103,Sausis!$X$7:$X$11)</totalsRowFormula>
    </tableColumn>
    <tableColumn id="24" xr3:uid="{00000000-0010-0000-0000-000018000000}" name="23" totalsRowFunction="custom" dataDxfId="840" totalsRowDxfId="839">
      <totalsRowFormula>SUBTOTAL(103,Sausis!$Y$7:$Y$11)</totalsRowFormula>
    </tableColumn>
    <tableColumn id="25" xr3:uid="{00000000-0010-0000-0000-000019000000}" name="24" totalsRowFunction="custom" dataDxfId="838" totalsRowDxfId="837">
      <totalsRowFormula>SUBTOTAL(103,Sausis!$Z$7:$Z$11)</totalsRowFormula>
    </tableColumn>
    <tableColumn id="26" xr3:uid="{00000000-0010-0000-0000-00001A000000}" name="25" totalsRowFunction="custom" dataDxfId="836" totalsRowDxfId="835">
      <totalsRowFormula>SUBTOTAL(103,Sausis!$AA$7:$AA$11)</totalsRowFormula>
    </tableColumn>
    <tableColumn id="27" xr3:uid="{00000000-0010-0000-0000-00001B000000}" name="26" totalsRowFunction="custom" dataDxfId="834" totalsRowDxfId="833">
      <totalsRowFormula>SUBTOTAL(103,Sausis!$AB$7:$AB$11)</totalsRowFormula>
    </tableColumn>
    <tableColumn id="28" xr3:uid="{00000000-0010-0000-0000-00001C000000}" name="27" totalsRowFunction="custom" dataDxfId="832" totalsRowDxfId="831">
      <totalsRowFormula>SUBTOTAL(103,Sausis!$AC$7:$AC$11)</totalsRowFormula>
    </tableColumn>
    <tableColumn id="29" xr3:uid="{00000000-0010-0000-0000-00001D000000}" name="28" totalsRowFunction="custom" dataDxfId="830" totalsRowDxfId="829">
      <totalsRowFormula>SUBTOTAL(103,Sausis!$AD$7:$AD$11)</totalsRowFormula>
    </tableColumn>
    <tableColumn id="30" xr3:uid="{00000000-0010-0000-0000-00001E000000}" name="29" totalsRowFunction="custom" dataDxfId="828" totalsRowDxfId="827">
      <totalsRowFormula>SUBTOTAL(103,Sausis!$AE$7:$AE$11)</totalsRowFormula>
    </tableColumn>
    <tableColumn id="31" xr3:uid="{00000000-0010-0000-0000-00001F000000}" name="30" totalsRowFunction="custom" dataDxfId="826" totalsRowDxfId="825">
      <totalsRowFormula>SUBTOTAL(103,Sausis!$AF$7:$AF$11)</totalsRowFormula>
    </tableColumn>
    <tableColumn id="32" xr3:uid="{00000000-0010-0000-0000-000020000000}" name="31" totalsRowFunction="custom" dataDxfId="824" totalsRowDxfId="823">
      <totalsRowFormula>SUBTOTAL(103,Sausis!$AG$7:$AG$11)</totalsRowFormula>
    </tableColumn>
    <tableColumn id="33" xr3:uid="{00000000-0010-0000-0000-000021000000}" name="Iš viso dienų" totalsRowFunction="sum" dataDxfId="822" totalsRowDxfId="821">
      <calculatedColumnFormula>COUNTA(Sausis!$C7:$AG7)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Spalis" displayName="Spalis" ref="B6:AH12" totalsRowCount="1" headerRowDxfId="532" dataDxfId="531" totalsRowDxfId="530">
  <tableColumns count="33">
    <tableColumn id="1" xr3:uid="{00000000-0010-0000-0900-000001000000}" name="Darbuotojo vardas" totalsRowFunction="custom" dataDxfId="529" totalsRowDxfId="65" dataCellStyle="Darbuotojas">
      <totalsRowFormula>MonthName&amp;" bendroji suma"</totalsRowFormula>
    </tableColumn>
    <tableColumn id="2" xr3:uid="{00000000-0010-0000-0900-000002000000}" name="1" totalsRowFunction="count" dataDxfId="528" totalsRowDxfId="64"/>
    <tableColumn id="3" xr3:uid="{00000000-0010-0000-0900-000003000000}" name="2" totalsRowFunction="count" dataDxfId="527" totalsRowDxfId="63"/>
    <tableColumn id="4" xr3:uid="{00000000-0010-0000-0900-000004000000}" name="3" totalsRowFunction="count" dataDxfId="526" totalsRowDxfId="62"/>
    <tableColumn id="5" xr3:uid="{00000000-0010-0000-0900-000005000000}" name="4" totalsRowFunction="count" dataDxfId="525" totalsRowDxfId="61"/>
    <tableColumn id="6" xr3:uid="{00000000-0010-0000-0900-000006000000}" name="5" totalsRowFunction="count" dataDxfId="524" totalsRowDxfId="60"/>
    <tableColumn id="7" xr3:uid="{00000000-0010-0000-0900-000007000000}" name="6" totalsRowFunction="count" dataDxfId="523" totalsRowDxfId="59"/>
    <tableColumn id="8" xr3:uid="{00000000-0010-0000-0900-000008000000}" name="7" totalsRowFunction="count" dataDxfId="522" totalsRowDxfId="58"/>
    <tableColumn id="9" xr3:uid="{00000000-0010-0000-0900-000009000000}" name="8" totalsRowFunction="count" dataDxfId="521" totalsRowDxfId="57"/>
    <tableColumn id="10" xr3:uid="{00000000-0010-0000-0900-00000A000000}" name="9" totalsRowFunction="count" dataDxfId="520" totalsRowDxfId="56"/>
    <tableColumn id="11" xr3:uid="{00000000-0010-0000-0900-00000B000000}" name="10" totalsRowFunction="count" dataDxfId="519" totalsRowDxfId="55"/>
    <tableColumn id="12" xr3:uid="{00000000-0010-0000-0900-00000C000000}" name="11" totalsRowFunction="count" dataDxfId="518" totalsRowDxfId="54"/>
    <tableColumn id="13" xr3:uid="{00000000-0010-0000-0900-00000D000000}" name="12" totalsRowFunction="count" dataDxfId="517" totalsRowDxfId="53"/>
    <tableColumn id="14" xr3:uid="{00000000-0010-0000-0900-00000E000000}" name="13" totalsRowFunction="count" dataDxfId="516" totalsRowDxfId="52"/>
    <tableColumn id="15" xr3:uid="{00000000-0010-0000-0900-00000F000000}" name="14" totalsRowFunction="count" dataDxfId="515" totalsRowDxfId="51"/>
    <tableColumn id="16" xr3:uid="{00000000-0010-0000-0900-000010000000}" name="15" totalsRowFunction="count" dataDxfId="514" totalsRowDxfId="50"/>
    <tableColumn id="17" xr3:uid="{00000000-0010-0000-0900-000011000000}" name="16" totalsRowFunction="count" dataDxfId="513" totalsRowDxfId="49"/>
    <tableColumn id="18" xr3:uid="{00000000-0010-0000-0900-000012000000}" name="17" totalsRowFunction="count" dataDxfId="512" totalsRowDxfId="48"/>
    <tableColumn id="19" xr3:uid="{00000000-0010-0000-0900-000013000000}" name="18" totalsRowFunction="count" dataDxfId="511" totalsRowDxfId="47"/>
    <tableColumn id="20" xr3:uid="{00000000-0010-0000-0900-000014000000}" name="19" totalsRowFunction="count" dataDxfId="510" totalsRowDxfId="46"/>
    <tableColumn id="21" xr3:uid="{00000000-0010-0000-0900-000015000000}" name="20" totalsRowFunction="count" dataDxfId="509" totalsRowDxfId="45"/>
    <tableColumn id="22" xr3:uid="{00000000-0010-0000-0900-000016000000}" name="21" totalsRowFunction="count" dataDxfId="508" totalsRowDxfId="44"/>
    <tableColumn id="23" xr3:uid="{00000000-0010-0000-0900-000017000000}" name="22" totalsRowFunction="count" dataDxfId="507" totalsRowDxfId="43"/>
    <tableColumn id="24" xr3:uid="{00000000-0010-0000-0900-000018000000}" name="23" totalsRowFunction="count" dataDxfId="506" totalsRowDxfId="42"/>
    <tableColumn id="25" xr3:uid="{00000000-0010-0000-0900-000019000000}" name="24" totalsRowFunction="count" dataDxfId="505" totalsRowDxfId="41"/>
    <tableColumn id="26" xr3:uid="{00000000-0010-0000-0900-00001A000000}" name="25" totalsRowFunction="count" dataDxfId="504" totalsRowDxfId="40"/>
    <tableColumn id="27" xr3:uid="{00000000-0010-0000-0900-00001B000000}" name="26" totalsRowFunction="count" dataDxfId="503" totalsRowDxfId="39"/>
    <tableColumn id="28" xr3:uid="{00000000-0010-0000-0900-00001C000000}" name="27" totalsRowFunction="count" dataDxfId="502" totalsRowDxfId="38"/>
    <tableColumn id="29" xr3:uid="{00000000-0010-0000-0900-00001D000000}" name="28" totalsRowFunction="count" dataDxfId="501" totalsRowDxfId="37"/>
    <tableColumn id="30" xr3:uid="{00000000-0010-0000-0900-00001E000000}" name="29" totalsRowFunction="count" dataDxfId="500" totalsRowDxfId="36"/>
    <tableColumn id="31" xr3:uid="{00000000-0010-0000-0900-00001F000000}" name="30" totalsRowFunction="count" dataDxfId="499" totalsRowDxfId="35"/>
    <tableColumn id="32" xr3:uid="{00000000-0010-0000-0900-000020000000}" name="31" totalsRowFunction="count" dataDxfId="498" totalsRowDxfId="34"/>
    <tableColumn id="33" xr3:uid="{00000000-0010-0000-0900-000021000000}" name="Iš viso dienų" totalsRowFunction="sum" dataDxfId="497" totalsRowDxfId="33">
      <calculatedColumnFormula>COUNTA(Spalis[[#This Row],[1]:[31]])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Lapkritis" displayName="Lapkritis" ref="B6:AH12" totalsRowCount="1" headerRowDxfId="496" dataDxfId="495" totalsRowDxfId="494">
  <tableColumns count="33">
    <tableColumn id="1" xr3:uid="{00000000-0010-0000-0A00-000001000000}" name="Darbuotojo vardas" totalsRowFunction="custom" dataDxfId="493" totalsRowDxfId="492" dataCellStyle="Darbuotojas">
      <totalsRowFormula>MonthName&amp;" bendroji suma"</totalsRowFormula>
    </tableColumn>
    <tableColumn id="2" xr3:uid="{00000000-0010-0000-0A00-000002000000}" name="1" totalsRowFunction="count" dataDxfId="491" totalsRowDxfId="490"/>
    <tableColumn id="3" xr3:uid="{00000000-0010-0000-0A00-000003000000}" name="2" totalsRowFunction="count" dataDxfId="489" totalsRowDxfId="488"/>
    <tableColumn id="4" xr3:uid="{00000000-0010-0000-0A00-000004000000}" name="3" totalsRowFunction="count" dataDxfId="487" totalsRowDxfId="486"/>
    <tableColumn id="5" xr3:uid="{00000000-0010-0000-0A00-000005000000}" name="4" totalsRowFunction="count" dataDxfId="485" totalsRowDxfId="484"/>
    <tableColumn id="6" xr3:uid="{00000000-0010-0000-0A00-000006000000}" name="5" totalsRowFunction="count" dataDxfId="483" totalsRowDxfId="482"/>
    <tableColumn id="7" xr3:uid="{00000000-0010-0000-0A00-000007000000}" name="6" totalsRowFunction="count" dataDxfId="481" totalsRowDxfId="480"/>
    <tableColumn id="8" xr3:uid="{00000000-0010-0000-0A00-000008000000}" name="7" totalsRowFunction="count" dataDxfId="479" totalsRowDxfId="478"/>
    <tableColumn id="9" xr3:uid="{00000000-0010-0000-0A00-000009000000}" name="8" totalsRowFunction="count" dataDxfId="477" totalsRowDxfId="476"/>
    <tableColumn id="10" xr3:uid="{00000000-0010-0000-0A00-00000A000000}" name="9" totalsRowFunction="count" dataDxfId="475" totalsRowDxfId="474"/>
    <tableColumn id="11" xr3:uid="{00000000-0010-0000-0A00-00000B000000}" name="10" totalsRowFunction="count" dataDxfId="473" totalsRowDxfId="472"/>
    <tableColumn id="12" xr3:uid="{00000000-0010-0000-0A00-00000C000000}" name="11" totalsRowFunction="count" dataDxfId="471" totalsRowDxfId="470"/>
    <tableColumn id="13" xr3:uid="{00000000-0010-0000-0A00-00000D000000}" name="12" totalsRowFunction="count" dataDxfId="469" totalsRowDxfId="468"/>
    <tableColumn id="14" xr3:uid="{00000000-0010-0000-0A00-00000E000000}" name="13" totalsRowFunction="count" dataDxfId="467" totalsRowDxfId="466"/>
    <tableColumn id="15" xr3:uid="{00000000-0010-0000-0A00-00000F000000}" name="14" totalsRowFunction="count" dataDxfId="465" totalsRowDxfId="464"/>
    <tableColumn id="16" xr3:uid="{00000000-0010-0000-0A00-000010000000}" name="15" totalsRowFunction="count" dataDxfId="463" totalsRowDxfId="462"/>
    <tableColumn id="17" xr3:uid="{00000000-0010-0000-0A00-000011000000}" name="16" totalsRowFunction="count" dataDxfId="461" totalsRowDxfId="460"/>
    <tableColumn id="18" xr3:uid="{00000000-0010-0000-0A00-000012000000}" name="17" totalsRowFunction="count" dataDxfId="459" totalsRowDxfId="458"/>
    <tableColumn id="19" xr3:uid="{00000000-0010-0000-0A00-000013000000}" name="18" totalsRowFunction="count" dataDxfId="457" totalsRowDxfId="456"/>
    <tableColumn id="20" xr3:uid="{00000000-0010-0000-0A00-000014000000}" name="19" totalsRowFunction="count" dataDxfId="455" totalsRowDxfId="454"/>
    <tableColumn id="21" xr3:uid="{00000000-0010-0000-0A00-000015000000}" name="20" totalsRowFunction="count" dataDxfId="453" totalsRowDxfId="452"/>
    <tableColumn id="22" xr3:uid="{00000000-0010-0000-0A00-000016000000}" name="21" totalsRowFunction="count" dataDxfId="451" totalsRowDxfId="450"/>
    <tableColumn id="23" xr3:uid="{00000000-0010-0000-0A00-000017000000}" name="22" totalsRowFunction="count" dataDxfId="449" totalsRowDxfId="448"/>
    <tableColumn id="24" xr3:uid="{00000000-0010-0000-0A00-000018000000}" name="23" totalsRowFunction="count" dataDxfId="447" totalsRowDxfId="446"/>
    <tableColumn id="25" xr3:uid="{00000000-0010-0000-0A00-000019000000}" name="24" totalsRowFunction="count" dataDxfId="445" totalsRowDxfId="444"/>
    <tableColumn id="26" xr3:uid="{00000000-0010-0000-0A00-00001A000000}" name="25" totalsRowFunction="count" dataDxfId="443" totalsRowDxfId="442"/>
    <tableColumn id="27" xr3:uid="{00000000-0010-0000-0A00-00001B000000}" name="26" totalsRowFunction="count" dataDxfId="441" totalsRowDxfId="440"/>
    <tableColumn id="28" xr3:uid="{00000000-0010-0000-0A00-00001C000000}" name="27" totalsRowFunction="count" dataDxfId="439" totalsRowDxfId="438"/>
    <tableColumn id="29" xr3:uid="{00000000-0010-0000-0A00-00001D000000}" name="28" totalsRowFunction="count" dataDxfId="437" totalsRowDxfId="436"/>
    <tableColumn id="30" xr3:uid="{00000000-0010-0000-0A00-00001E000000}" name="29" totalsRowFunction="count" dataDxfId="435" totalsRowDxfId="434"/>
    <tableColumn id="31" xr3:uid="{00000000-0010-0000-0A00-00001F000000}" name="30" totalsRowFunction="count" dataDxfId="433" totalsRowDxfId="432"/>
    <tableColumn id="32" xr3:uid="{00000000-0010-0000-0A00-000020000000}" name=" " totalsRowFunction="count" dataDxfId="431" totalsRowDxfId="430"/>
    <tableColumn id="33" xr3:uid="{00000000-0010-0000-0A00-000021000000}" name="Iš viso dienų" totalsRowFunction="sum" dataDxfId="429" totalsRowDxfId="428">
      <calculatedColumnFormula>COUNTA(Lapkritis[[#This Row],[1]:[30]])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Gruodis" displayName="Gruodis" ref="B6:AH12" totalsRowCount="1" headerRowDxfId="427" dataDxfId="426" totalsRowDxfId="425">
  <tableColumns count="33">
    <tableColumn id="1" xr3:uid="{00000000-0010-0000-0B00-000001000000}" name="Darbuotojo vardas" totalsRowFunction="custom" dataDxfId="424" totalsRowDxfId="32" dataCellStyle="Darbuotojas">
      <totalsRowFormula>MonthName&amp;" bendroji suma"</totalsRowFormula>
    </tableColumn>
    <tableColumn id="2" xr3:uid="{00000000-0010-0000-0B00-000002000000}" name="1" totalsRowFunction="count" dataDxfId="423" totalsRowDxfId="31"/>
    <tableColumn id="3" xr3:uid="{00000000-0010-0000-0B00-000003000000}" name="2" totalsRowFunction="count" dataDxfId="422" totalsRowDxfId="30"/>
    <tableColumn id="4" xr3:uid="{00000000-0010-0000-0B00-000004000000}" name="3" totalsRowFunction="count" dataDxfId="421" totalsRowDxfId="29"/>
    <tableColumn id="5" xr3:uid="{00000000-0010-0000-0B00-000005000000}" name="4" totalsRowFunction="count" dataDxfId="420" totalsRowDxfId="28"/>
    <tableColumn id="6" xr3:uid="{00000000-0010-0000-0B00-000006000000}" name="5" totalsRowFunction="count" dataDxfId="419" totalsRowDxfId="27"/>
    <tableColumn id="7" xr3:uid="{00000000-0010-0000-0B00-000007000000}" name="6" totalsRowFunction="count" dataDxfId="418" totalsRowDxfId="26"/>
    <tableColumn id="8" xr3:uid="{00000000-0010-0000-0B00-000008000000}" name="7" totalsRowFunction="count" dataDxfId="417" totalsRowDxfId="25"/>
    <tableColumn id="9" xr3:uid="{00000000-0010-0000-0B00-000009000000}" name="8" totalsRowFunction="count" dataDxfId="416" totalsRowDxfId="24"/>
    <tableColumn id="10" xr3:uid="{00000000-0010-0000-0B00-00000A000000}" name="9" totalsRowFunction="count" dataDxfId="415" totalsRowDxfId="23"/>
    <tableColumn id="11" xr3:uid="{00000000-0010-0000-0B00-00000B000000}" name="10" totalsRowFunction="count" dataDxfId="414" totalsRowDxfId="22"/>
    <tableColumn id="12" xr3:uid="{00000000-0010-0000-0B00-00000C000000}" name="11" totalsRowFunction="count" dataDxfId="413" totalsRowDxfId="21"/>
    <tableColumn id="13" xr3:uid="{00000000-0010-0000-0B00-00000D000000}" name="12" totalsRowFunction="count" dataDxfId="412" totalsRowDxfId="20"/>
    <tableColumn id="14" xr3:uid="{00000000-0010-0000-0B00-00000E000000}" name="13" totalsRowFunction="count" dataDxfId="411" totalsRowDxfId="19"/>
    <tableColumn id="15" xr3:uid="{00000000-0010-0000-0B00-00000F000000}" name="14" totalsRowFunction="count" dataDxfId="410" totalsRowDxfId="18"/>
    <tableColumn id="16" xr3:uid="{00000000-0010-0000-0B00-000010000000}" name="15" totalsRowFunction="count" dataDxfId="409" totalsRowDxfId="17"/>
    <tableColumn id="17" xr3:uid="{00000000-0010-0000-0B00-000011000000}" name="16" totalsRowFunction="count" dataDxfId="408" totalsRowDxfId="16"/>
    <tableColumn id="18" xr3:uid="{00000000-0010-0000-0B00-000012000000}" name="17" totalsRowFunction="count" dataDxfId="407" totalsRowDxfId="15"/>
    <tableColumn id="19" xr3:uid="{00000000-0010-0000-0B00-000013000000}" name="18" totalsRowFunction="count" dataDxfId="406" totalsRowDxfId="14"/>
    <tableColumn id="20" xr3:uid="{00000000-0010-0000-0B00-000014000000}" name="19" totalsRowFunction="count" dataDxfId="405" totalsRowDxfId="13"/>
    <tableColumn id="21" xr3:uid="{00000000-0010-0000-0B00-000015000000}" name="20" totalsRowFunction="count" dataDxfId="404" totalsRowDxfId="12"/>
    <tableColumn id="22" xr3:uid="{00000000-0010-0000-0B00-000016000000}" name="21" totalsRowFunction="count" dataDxfId="403" totalsRowDxfId="11"/>
    <tableColumn id="23" xr3:uid="{00000000-0010-0000-0B00-000017000000}" name="22" totalsRowFunction="count" dataDxfId="402" totalsRowDxfId="10"/>
    <tableColumn id="24" xr3:uid="{00000000-0010-0000-0B00-000018000000}" name="23" totalsRowFunction="count" dataDxfId="401" totalsRowDxfId="9"/>
    <tableColumn id="25" xr3:uid="{00000000-0010-0000-0B00-000019000000}" name="24" totalsRowFunction="count" dataDxfId="400" totalsRowDxfId="8"/>
    <tableColumn id="26" xr3:uid="{00000000-0010-0000-0B00-00001A000000}" name="25" totalsRowFunction="count" dataDxfId="399" totalsRowDxfId="7"/>
    <tableColumn id="27" xr3:uid="{00000000-0010-0000-0B00-00001B000000}" name="26" totalsRowFunction="count" dataDxfId="398" totalsRowDxfId="6"/>
    <tableColumn id="28" xr3:uid="{00000000-0010-0000-0B00-00001C000000}" name="27" totalsRowFunction="count" dataDxfId="397" totalsRowDxfId="5"/>
    <tableColumn id="29" xr3:uid="{00000000-0010-0000-0B00-00001D000000}" name="28" totalsRowFunction="count" dataDxfId="396" totalsRowDxfId="4"/>
    <tableColumn id="30" xr3:uid="{00000000-0010-0000-0B00-00001E000000}" name="29" totalsRowFunction="count" dataDxfId="395" totalsRowDxfId="3"/>
    <tableColumn id="31" xr3:uid="{00000000-0010-0000-0B00-00001F000000}" name="30" totalsRowFunction="count" dataDxfId="394" totalsRowDxfId="2"/>
    <tableColumn id="32" xr3:uid="{00000000-0010-0000-0B00-000020000000}" name="31" totalsRowFunction="count" dataDxfId="393" totalsRowDxfId="1"/>
    <tableColumn id="33" xr3:uid="{00000000-0010-0000-0B00-000021000000}" name="Iš viso dienų" totalsRowFunction="sum" dataDxfId="392" totalsRowDxfId="0">
      <calculatedColumnFormula>COUNTA(Gruodis[[#This Row],[1]:[31]])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Pateikia vardų sąrašą ir kalendoriaus datas, kad įrašytumėte darbuotojų neatvykimus ir konkretų neatvykimo tipą, pvz., V = atostogos, S = liga, P = asmeninis, ir du pasirinktinių įrašų vietos rezervavimo ženklų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DarbuotojoVardas" displayName="DarbuotojoVardas" ref="B3:B8" totalsRowShown="0">
  <autoFilter ref="B3:B8" xr:uid="{00000000-0009-0000-0100-00000D000000}"/>
  <tableColumns count="1">
    <tableColumn id="1" xr3:uid="{00000000-0010-0000-0C00-000001000000}" name="Darbuotojų vardai" dataCellStyle="Darbuotojas"/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Šioje lentelėje įveskite darbuotojų vardus. Šie vardai naudojami kaip parinktys kiekvieno mėnesio neatvykimų tvarkaraščio B stulpelyj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asaris" displayName="Vasaris" ref="B6:AH12" totalsRowCount="1" headerRowDxfId="820" dataDxfId="819" totalsRowDxfId="818">
  <tableColumns count="33">
    <tableColumn id="1" xr3:uid="{00000000-0010-0000-0100-000001000000}" name="Darbuotojo vardas" totalsRowFunction="custom" dataDxfId="817" totalsRowDxfId="391" dataCellStyle="Darbuotojas">
      <totalsRowFormula>MonthName&amp;" bendroji suma"</totalsRowFormula>
    </tableColumn>
    <tableColumn id="2" xr3:uid="{00000000-0010-0000-0100-000002000000}" name="1" totalsRowFunction="count" dataDxfId="816" totalsRowDxfId="390"/>
    <tableColumn id="3" xr3:uid="{00000000-0010-0000-0100-000003000000}" name="2" totalsRowFunction="count" dataDxfId="815" totalsRowDxfId="389"/>
    <tableColumn id="4" xr3:uid="{00000000-0010-0000-0100-000004000000}" name="3" totalsRowFunction="count" dataDxfId="814" totalsRowDxfId="388"/>
    <tableColumn id="5" xr3:uid="{00000000-0010-0000-0100-000005000000}" name="4" totalsRowFunction="count" dataDxfId="813" totalsRowDxfId="387"/>
    <tableColumn id="6" xr3:uid="{00000000-0010-0000-0100-000006000000}" name="5" totalsRowFunction="count" dataDxfId="812" totalsRowDxfId="386"/>
    <tableColumn id="7" xr3:uid="{00000000-0010-0000-0100-000007000000}" name="6" totalsRowFunction="count" dataDxfId="811" totalsRowDxfId="385"/>
    <tableColumn id="8" xr3:uid="{00000000-0010-0000-0100-000008000000}" name="7" totalsRowFunction="count" dataDxfId="810" totalsRowDxfId="384"/>
    <tableColumn id="9" xr3:uid="{00000000-0010-0000-0100-000009000000}" name="8" totalsRowFunction="count" dataDxfId="809" totalsRowDxfId="383"/>
    <tableColumn id="10" xr3:uid="{00000000-0010-0000-0100-00000A000000}" name="9" totalsRowFunction="count" dataDxfId="808" totalsRowDxfId="382"/>
    <tableColumn id="11" xr3:uid="{00000000-0010-0000-0100-00000B000000}" name="10" totalsRowFunction="count" dataDxfId="807" totalsRowDxfId="381"/>
    <tableColumn id="12" xr3:uid="{00000000-0010-0000-0100-00000C000000}" name="11" totalsRowFunction="count" dataDxfId="806" totalsRowDxfId="380"/>
    <tableColumn id="13" xr3:uid="{00000000-0010-0000-0100-00000D000000}" name="12" totalsRowFunction="count" dataDxfId="805" totalsRowDxfId="379"/>
    <tableColumn id="14" xr3:uid="{00000000-0010-0000-0100-00000E000000}" name="13" totalsRowFunction="count" dataDxfId="804" totalsRowDxfId="378"/>
    <tableColumn id="15" xr3:uid="{00000000-0010-0000-0100-00000F000000}" name="14" totalsRowFunction="count" dataDxfId="803" totalsRowDxfId="377"/>
    <tableColumn id="16" xr3:uid="{00000000-0010-0000-0100-000010000000}" name="15" totalsRowFunction="count" dataDxfId="802" totalsRowDxfId="376"/>
    <tableColumn id="17" xr3:uid="{00000000-0010-0000-0100-000011000000}" name="16" totalsRowFunction="count" dataDxfId="801" totalsRowDxfId="375"/>
    <tableColumn id="18" xr3:uid="{00000000-0010-0000-0100-000012000000}" name="17" totalsRowFunction="count" dataDxfId="800" totalsRowDxfId="374"/>
    <tableColumn id="19" xr3:uid="{00000000-0010-0000-0100-000013000000}" name="18" totalsRowFunction="count" dataDxfId="799" totalsRowDxfId="373"/>
    <tableColumn id="20" xr3:uid="{00000000-0010-0000-0100-000014000000}" name="19" totalsRowFunction="count" dataDxfId="798" totalsRowDxfId="372"/>
    <tableColumn id="21" xr3:uid="{00000000-0010-0000-0100-000015000000}" name="20" totalsRowFunction="count" dataDxfId="797" totalsRowDxfId="371"/>
    <tableColumn id="22" xr3:uid="{00000000-0010-0000-0100-000016000000}" name="21" totalsRowFunction="count" dataDxfId="796" totalsRowDxfId="370"/>
    <tableColumn id="23" xr3:uid="{00000000-0010-0000-0100-000017000000}" name="22" totalsRowFunction="count" dataDxfId="795" totalsRowDxfId="369"/>
    <tableColumn id="24" xr3:uid="{00000000-0010-0000-0100-000018000000}" name="23" totalsRowFunction="count" dataDxfId="794" totalsRowDxfId="368"/>
    <tableColumn id="25" xr3:uid="{00000000-0010-0000-0100-000019000000}" name="24" totalsRowFunction="count" dataDxfId="793" totalsRowDxfId="367"/>
    <tableColumn id="26" xr3:uid="{00000000-0010-0000-0100-00001A000000}" name="25" totalsRowFunction="count" dataDxfId="792" totalsRowDxfId="366"/>
    <tableColumn id="27" xr3:uid="{00000000-0010-0000-0100-00001B000000}" name="26" totalsRowFunction="count" dataDxfId="791" totalsRowDxfId="365"/>
    <tableColumn id="28" xr3:uid="{00000000-0010-0000-0100-00001C000000}" name="27" totalsRowFunction="count" dataDxfId="790" totalsRowDxfId="364"/>
    <tableColumn id="29" xr3:uid="{00000000-0010-0000-0100-00001D000000}" name="28" totalsRowFunction="count" dataDxfId="789" totalsRowDxfId="363"/>
    <tableColumn id="30" xr3:uid="{00000000-0010-0000-0100-00001E000000}" name="29" totalsRowFunction="count" dataDxfId="788" totalsRowDxfId="362"/>
    <tableColumn id="31" xr3:uid="{00000000-0010-0000-0100-00001F000000}" name=" " dataDxfId="787" totalsRowDxfId="361"/>
    <tableColumn id="32" xr3:uid="{00000000-0010-0000-0100-000020000000}" name="  " dataDxfId="786" totalsRowDxfId="360"/>
    <tableColumn id="33" xr3:uid="{00000000-0010-0000-0100-000021000000}" name="Iš viso dienų" totalsRowFunction="sum" dataDxfId="785" totalsRowDxfId="359">
      <calculatedColumnFormula>COUNTA(Vasaris[[#This Row],[1]:[29]])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Kovas" displayName="Kovas" ref="B6:AH12" totalsRowCount="1" headerRowDxfId="784" dataDxfId="783" totalsRowDxfId="782">
  <tableColumns count="33">
    <tableColumn id="1" xr3:uid="{00000000-0010-0000-0200-000001000000}" name="Darbuotojo vardas" totalsRowFunction="custom" dataDxfId="781" totalsRowDxfId="358" dataCellStyle="Darbuotojas">
      <totalsRowFormula>MonthName&amp;" bendroji suma"</totalsRowFormula>
    </tableColumn>
    <tableColumn id="2" xr3:uid="{00000000-0010-0000-0200-000002000000}" name="1" totalsRowFunction="count" dataDxfId="780" totalsRowDxfId="357"/>
    <tableColumn id="3" xr3:uid="{00000000-0010-0000-0200-000003000000}" name="2" totalsRowFunction="count" dataDxfId="779" totalsRowDxfId="356"/>
    <tableColumn id="4" xr3:uid="{00000000-0010-0000-0200-000004000000}" name="3" totalsRowFunction="count" dataDxfId="778" totalsRowDxfId="355"/>
    <tableColumn id="5" xr3:uid="{00000000-0010-0000-0200-000005000000}" name="4" totalsRowFunction="count" dataDxfId="777" totalsRowDxfId="354"/>
    <tableColumn id="6" xr3:uid="{00000000-0010-0000-0200-000006000000}" name="5" totalsRowFunction="count" dataDxfId="776" totalsRowDxfId="353"/>
    <tableColumn id="7" xr3:uid="{00000000-0010-0000-0200-000007000000}" name="6" totalsRowFunction="count" dataDxfId="775" totalsRowDxfId="352"/>
    <tableColumn id="8" xr3:uid="{00000000-0010-0000-0200-000008000000}" name="7" totalsRowFunction="count" dataDxfId="774" totalsRowDxfId="351"/>
    <tableColumn id="9" xr3:uid="{00000000-0010-0000-0200-000009000000}" name="8" totalsRowFunction="count" dataDxfId="773" totalsRowDxfId="350"/>
    <tableColumn id="10" xr3:uid="{00000000-0010-0000-0200-00000A000000}" name="9" totalsRowFunction="count" dataDxfId="772" totalsRowDxfId="349"/>
    <tableColumn id="11" xr3:uid="{00000000-0010-0000-0200-00000B000000}" name="10" totalsRowFunction="count" dataDxfId="771" totalsRowDxfId="348"/>
    <tableColumn id="12" xr3:uid="{00000000-0010-0000-0200-00000C000000}" name="11" totalsRowFunction="count" dataDxfId="770" totalsRowDxfId="347"/>
    <tableColumn id="13" xr3:uid="{00000000-0010-0000-0200-00000D000000}" name="12" totalsRowFunction="count" dataDxfId="769" totalsRowDxfId="346"/>
    <tableColumn id="14" xr3:uid="{00000000-0010-0000-0200-00000E000000}" name="13" totalsRowFunction="count" dataDxfId="768" totalsRowDxfId="345"/>
    <tableColumn id="15" xr3:uid="{00000000-0010-0000-0200-00000F000000}" name="14" totalsRowFunction="count" dataDxfId="767" totalsRowDxfId="344"/>
    <tableColumn id="16" xr3:uid="{00000000-0010-0000-0200-000010000000}" name="15" totalsRowFunction="count" dataDxfId="766" totalsRowDxfId="343"/>
    <tableColumn id="17" xr3:uid="{00000000-0010-0000-0200-000011000000}" name="16" totalsRowFunction="count" dataDxfId="765" totalsRowDxfId="342"/>
    <tableColumn id="18" xr3:uid="{00000000-0010-0000-0200-000012000000}" name="17" totalsRowFunction="count" dataDxfId="764" totalsRowDxfId="341"/>
    <tableColumn id="19" xr3:uid="{00000000-0010-0000-0200-000013000000}" name="18" totalsRowFunction="count" dataDxfId="763" totalsRowDxfId="340"/>
    <tableColumn id="20" xr3:uid="{00000000-0010-0000-0200-000014000000}" name="19" totalsRowFunction="count" dataDxfId="762" totalsRowDxfId="339"/>
    <tableColumn id="21" xr3:uid="{00000000-0010-0000-0200-000015000000}" name="20" totalsRowFunction="count" dataDxfId="761" totalsRowDxfId="338"/>
    <tableColumn id="22" xr3:uid="{00000000-0010-0000-0200-000016000000}" name="21" totalsRowFunction="count" dataDxfId="760" totalsRowDxfId="337"/>
    <tableColumn id="23" xr3:uid="{00000000-0010-0000-0200-000017000000}" name="22" totalsRowFunction="count" dataDxfId="759" totalsRowDxfId="336"/>
    <tableColumn id="24" xr3:uid="{00000000-0010-0000-0200-000018000000}" name="23" totalsRowFunction="count" dataDxfId="758" totalsRowDxfId="335"/>
    <tableColumn id="25" xr3:uid="{00000000-0010-0000-0200-000019000000}" name="24" totalsRowFunction="count" dataDxfId="757" totalsRowDxfId="334"/>
    <tableColumn id="26" xr3:uid="{00000000-0010-0000-0200-00001A000000}" name="25" totalsRowFunction="count" dataDxfId="756" totalsRowDxfId="333"/>
    <tableColumn id="27" xr3:uid="{00000000-0010-0000-0200-00001B000000}" name="26" totalsRowFunction="count" dataDxfId="755" totalsRowDxfId="332"/>
    <tableColumn id="28" xr3:uid="{00000000-0010-0000-0200-00001C000000}" name="27" totalsRowFunction="count" dataDxfId="754" totalsRowDxfId="331"/>
    <tableColumn id="29" xr3:uid="{00000000-0010-0000-0200-00001D000000}" name="28" totalsRowFunction="count" dataDxfId="753" totalsRowDxfId="330"/>
    <tableColumn id="30" xr3:uid="{00000000-0010-0000-0200-00001E000000}" name="29" totalsRowFunction="count" dataDxfId="752" totalsRowDxfId="329"/>
    <tableColumn id="31" xr3:uid="{00000000-0010-0000-0200-00001F000000}" name="30" totalsRowFunction="count" dataDxfId="751" totalsRowDxfId="328"/>
    <tableColumn id="32" xr3:uid="{00000000-0010-0000-0200-000020000000}" name="31" totalsRowFunction="count" dataDxfId="750" totalsRowDxfId="327"/>
    <tableColumn id="33" xr3:uid="{00000000-0010-0000-0200-000021000000}" name="Iš viso dienų" totalsRowFunction="sum" dataDxfId="749" totalsRowDxfId="326">
      <calculatedColumnFormula>COUNTA(Kovas[[#This Row],[1]:[31]])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Balandis" displayName="Balandis" ref="B6:AH12" totalsRowCount="1" headerRowDxfId="748" dataDxfId="747" totalsRowDxfId="746">
  <tableColumns count="33">
    <tableColumn id="1" xr3:uid="{00000000-0010-0000-0300-000001000000}" name="Darbuotojo vardas" totalsRowFunction="custom" dataDxfId="745" totalsRowDxfId="263" dataCellStyle="Darbuotojas">
      <totalsRowFormula>MonthName&amp;" bendroji suma"</totalsRowFormula>
    </tableColumn>
    <tableColumn id="2" xr3:uid="{00000000-0010-0000-0300-000002000000}" name="1" totalsRowFunction="count" dataDxfId="744" totalsRowDxfId="262"/>
    <tableColumn id="3" xr3:uid="{00000000-0010-0000-0300-000003000000}" name="2" totalsRowFunction="count" dataDxfId="743" totalsRowDxfId="261"/>
    <tableColumn id="4" xr3:uid="{00000000-0010-0000-0300-000004000000}" name="3" totalsRowFunction="count" dataDxfId="742" totalsRowDxfId="260"/>
    <tableColumn id="5" xr3:uid="{00000000-0010-0000-0300-000005000000}" name="4" totalsRowFunction="count" dataDxfId="741" totalsRowDxfId="259"/>
    <tableColumn id="6" xr3:uid="{00000000-0010-0000-0300-000006000000}" name="5" totalsRowFunction="count" dataDxfId="740" totalsRowDxfId="258"/>
    <tableColumn id="7" xr3:uid="{00000000-0010-0000-0300-000007000000}" name="6" totalsRowFunction="count" dataDxfId="739" totalsRowDxfId="257"/>
    <tableColumn id="8" xr3:uid="{00000000-0010-0000-0300-000008000000}" name="7" totalsRowFunction="count" dataDxfId="738" totalsRowDxfId="256"/>
    <tableColumn id="9" xr3:uid="{00000000-0010-0000-0300-000009000000}" name="8" totalsRowFunction="count" dataDxfId="737" totalsRowDxfId="255"/>
    <tableColumn id="10" xr3:uid="{00000000-0010-0000-0300-00000A000000}" name="9" totalsRowFunction="count" dataDxfId="736" totalsRowDxfId="254"/>
    <tableColumn id="11" xr3:uid="{00000000-0010-0000-0300-00000B000000}" name="10" totalsRowFunction="count" dataDxfId="735" totalsRowDxfId="253"/>
    <tableColumn id="12" xr3:uid="{00000000-0010-0000-0300-00000C000000}" name="11" totalsRowFunction="count" dataDxfId="734" totalsRowDxfId="252"/>
    <tableColumn id="13" xr3:uid="{00000000-0010-0000-0300-00000D000000}" name="12" totalsRowFunction="count" dataDxfId="733" totalsRowDxfId="251"/>
    <tableColumn id="14" xr3:uid="{00000000-0010-0000-0300-00000E000000}" name="13" totalsRowFunction="count" dataDxfId="732" totalsRowDxfId="250"/>
    <tableColumn id="15" xr3:uid="{00000000-0010-0000-0300-00000F000000}" name="14" totalsRowFunction="count" dataDxfId="731" totalsRowDxfId="249"/>
    <tableColumn id="16" xr3:uid="{00000000-0010-0000-0300-000010000000}" name="15" totalsRowFunction="count" dataDxfId="730" totalsRowDxfId="248"/>
    <tableColumn id="17" xr3:uid="{00000000-0010-0000-0300-000011000000}" name="16" totalsRowFunction="count" dataDxfId="729" totalsRowDxfId="247"/>
    <tableColumn id="18" xr3:uid="{00000000-0010-0000-0300-000012000000}" name="17" totalsRowFunction="count" dataDxfId="728" totalsRowDxfId="246"/>
    <tableColumn id="19" xr3:uid="{00000000-0010-0000-0300-000013000000}" name="18" totalsRowFunction="count" dataDxfId="727" totalsRowDxfId="245"/>
    <tableColumn id="20" xr3:uid="{00000000-0010-0000-0300-000014000000}" name="19" totalsRowFunction="count" dataDxfId="726" totalsRowDxfId="244"/>
    <tableColumn id="21" xr3:uid="{00000000-0010-0000-0300-000015000000}" name="20" totalsRowFunction="count" dataDxfId="725" totalsRowDxfId="243"/>
    <tableColumn id="22" xr3:uid="{00000000-0010-0000-0300-000016000000}" name="21" totalsRowFunction="count" dataDxfId="724" totalsRowDxfId="242"/>
    <tableColumn id="23" xr3:uid="{00000000-0010-0000-0300-000017000000}" name="22" totalsRowFunction="count" dataDxfId="723" totalsRowDxfId="241"/>
    <tableColumn id="24" xr3:uid="{00000000-0010-0000-0300-000018000000}" name="23" totalsRowFunction="count" dataDxfId="722" totalsRowDxfId="240"/>
    <tableColumn id="25" xr3:uid="{00000000-0010-0000-0300-000019000000}" name="24" totalsRowFunction="count" dataDxfId="721" totalsRowDxfId="239"/>
    <tableColumn id="26" xr3:uid="{00000000-0010-0000-0300-00001A000000}" name="25" totalsRowFunction="count" dataDxfId="720" totalsRowDxfId="238"/>
    <tableColumn id="27" xr3:uid="{00000000-0010-0000-0300-00001B000000}" name="26" totalsRowFunction="count" dataDxfId="719" totalsRowDxfId="237"/>
    <tableColumn id="28" xr3:uid="{00000000-0010-0000-0300-00001C000000}" name="27" totalsRowFunction="count" dataDxfId="718" totalsRowDxfId="236"/>
    <tableColumn id="29" xr3:uid="{00000000-0010-0000-0300-00001D000000}" name="28" totalsRowFunction="count" dataDxfId="717" totalsRowDxfId="235"/>
    <tableColumn id="30" xr3:uid="{00000000-0010-0000-0300-00001E000000}" name="29" totalsRowFunction="count" dataDxfId="716" totalsRowDxfId="234"/>
    <tableColumn id="31" xr3:uid="{00000000-0010-0000-0300-00001F000000}" name="30" totalsRowFunction="count" dataDxfId="715" totalsRowDxfId="233"/>
    <tableColumn id="32" xr3:uid="{00000000-0010-0000-0300-000020000000}" name=" " totalsRowFunction="custom" dataDxfId="714" totalsRowDxfId="232">
      <totalsRowFormula>SUBTOTAL(103,Balandis[30])</totalsRowFormula>
    </tableColumn>
    <tableColumn id="33" xr3:uid="{00000000-0010-0000-0300-000021000000}" name="Iš viso dienų" totalsRowFunction="sum" dataDxfId="713" totalsRowDxfId="231">
      <calculatedColumnFormula>COUNTA(Balandis[[#This Row],[1]:[30]])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Gegužė" displayName="Gegužė" ref="B6:AH12" totalsRowCount="1" headerRowDxfId="712" dataDxfId="711" totalsRowDxfId="710">
  <tableColumns count="33">
    <tableColumn id="1" xr3:uid="{00000000-0010-0000-0400-000001000000}" name="Darbuotojo vardas" totalsRowFunction="custom" dataDxfId="709" totalsRowDxfId="230" dataCellStyle="Darbuotojas">
      <totalsRowFormula>MonthName&amp;" bendroji suma"</totalsRowFormula>
    </tableColumn>
    <tableColumn id="2" xr3:uid="{00000000-0010-0000-0400-000002000000}" name="1" totalsRowFunction="count" dataDxfId="708" totalsRowDxfId="229"/>
    <tableColumn id="3" xr3:uid="{00000000-0010-0000-0400-000003000000}" name="2" totalsRowFunction="count" dataDxfId="707" totalsRowDxfId="228"/>
    <tableColumn id="4" xr3:uid="{00000000-0010-0000-0400-000004000000}" name="3" totalsRowFunction="count" dataDxfId="706" totalsRowDxfId="227"/>
    <tableColumn id="5" xr3:uid="{00000000-0010-0000-0400-000005000000}" name="4" totalsRowFunction="count" dataDxfId="705" totalsRowDxfId="226"/>
    <tableColumn id="6" xr3:uid="{00000000-0010-0000-0400-000006000000}" name="5" totalsRowFunction="count" dataDxfId="704" totalsRowDxfId="225"/>
    <tableColumn id="7" xr3:uid="{00000000-0010-0000-0400-000007000000}" name="6" totalsRowFunction="count" dataDxfId="703" totalsRowDxfId="224"/>
    <tableColumn id="8" xr3:uid="{00000000-0010-0000-0400-000008000000}" name="7" totalsRowFunction="count" dataDxfId="702" totalsRowDxfId="223"/>
    <tableColumn id="9" xr3:uid="{00000000-0010-0000-0400-000009000000}" name="8" totalsRowFunction="count" dataDxfId="701" totalsRowDxfId="222"/>
    <tableColumn id="10" xr3:uid="{00000000-0010-0000-0400-00000A000000}" name="9" totalsRowFunction="count" dataDxfId="700" totalsRowDxfId="221"/>
    <tableColumn id="11" xr3:uid="{00000000-0010-0000-0400-00000B000000}" name="10" totalsRowFunction="count" dataDxfId="699" totalsRowDxfId="220"/>
    <tableColumn id="12" xr3:uid="{00000000-0010-0000-0400-00000C000000}" name="11" totalsRowFunction="count" dataDxfId="698" totalsRowDxfId="219"/>
    <tableColumn id="13" xr3:uid="{00000000-0010-0000-0400-00000D000000}" name="12" totalsRowFunction="count" dataDxfId="697" totalsRowDxfId="218"/>
    <tableColumn id="14" xr3:uid="{00000000-0010-0000-0400-00000E000000}" name="13" totalsRowFunction="count" dataDxfId="696" totalsRowDxfId="217"/>
    <tableColumn id="15" xr3:uid="{00000000-0010-0000-0400-00000F000000}" name="14" totalsRowFunction="count" dataDxfId="695" totalsRowDxfId="216"/>
    <tableColumn id="16" xr3:uid="{00000000-0010-0000-0400-000010000000}" name="15" totalsRowFunction="count" dataDxfId="694" totalsRowDxfId="215"/>
    <tableColumn id="17" xr3:uid="{00000000-0010-0000-0400-000011000000}" name="16" totalsRowFunction="count" dataDxfId="693" totalsRowDxfId="214"/>
    <tableColumn id="18" xr3:uid="{00000000-0010-0000-0400-000012000000}" name="17" totalsRowFunction="count" dataDxfId="692" totalsRowDxfId="213"/>
    <tableColumn id="19" xr3:uid="{00000000-0010-0000-0400-000013000000}" name="18" totalsRowFunction="count" dataDxfId="691" totalsRowDxfId="212"/>
    <tableColumn id="20" xr3:uid="{00000000-0010-0000-0400-000014000000}" name="19" totalsRowFunction="count" dataDxfId="690" totalsRowDxfId="211"/>
    <tableColumn id="21" xr3:uid="{00000000-0010-0000-0400-000015000000}" name="20" totalsRowFunction="count" dataDxfId="689" totalsRowDxfId="210"/>
    <tableColumn id="22" xr3:uid="{00000000-0010-0000-0400-000016000000}" name="21" totalsRowFunction="count" dataDxfId="688" totalsRowDxfId="209"/>
    <tableColumn id="23" xr3:uid="{00000000-0010-0000-0400-000017000000}" name="22" totalsRowFunction="count" dataDxfId="687" totalsRowDxfId="208"/>
    <tableColumn id="24" xr3:uid="{00000000-0010-0000-0400-000018000000}" name="23" totalsRowFunction="count" dataDxfId="686" totalsRowDxfId="207"/>
    <tableColumn id="25" xr3:uid="{00000000-0010-0000-0400-000019000000}" name="24" totalsRowFunction="count" dataDxfId="685" totalsRowDxfId="206"/>
    <tableColumn id="26" xr3:uid="{00000000-0010-0000-0400-00001A000000}" name="25" totalsRowFunction="count" dataDxfId="684" totalsRowDxfId="205"/>
    <tableColumn id="27" xr3:uid="{00000000-0010-0000-0400-00001B000000}" name="26" totalsRowFunction="count" dataDxfId="683" totalsRowDxfId="204"/>
    <tableColumn id="28" xr3:uid="{00000000-0010-0000-0400-00001C000000}" name="27" totalsRowFunction="count" dataDxfId="682" totalsRowDxfId="203"/>
    <tableColumn id="29" xr3:uid="{00000000-0010-0000-0400-00001D000000}" name="28" totalsRowFunction="count" dataDxfId="681" totalsRowDxfId="202"/>
    <tableColumn id="30" xr3:uid="{00000000-0010-0000-0400-00001E000000}" name="29" totalsRowFunction="count" dataDxfId="680" totalsRowDxfId="201"/>
    <tableColumn id="31" xr3:uid="{00000000-0010-0000-0400-00001F000000}" name="30" totalsRowFunction="count" dataDxfId="679" totalsRowDxfId="200"/>
    <tableColumn id="32" xr3:uid="{00000000-0010-0000-0400-000020000000}" name="31" totalsRowFunction="count" dataDxfId="678" totalsRowDxfId="199"/>
    <tableColumn id="33" xr3:uid="{00000000-0010-0000-0400-000021000000}" name="Iš viso dienų" totalsRowFunction="sum" dataDxfId="677" totalsRowDxfId="198">
      <calculatedColumnFormula>COUNTA(Gegužė[[#This Row],[1]:[31]])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Birželis" displayName="Birželis" ref="B6:AH12" totalsRowCount="1" headerRowDxfId="676" dataDxfId="675" totalsRowDxfId="674">
  <tableColumns count="33">
    <tableColumn id="1" xr3:uid="{00000000-0010-0000-0500-000001000000}" name="Darbuotojo vardas" totalsRowFunction="custom" dataDxfId="673" totalsRowDxfId="197" dataCellStyle="Darbuotojas">
      <totalsRowFormula>MonthName&amp;" bendroji suma"</totalsRowFormula>
    </tableColumn>
    <tableColumn id="2" xr3:uid="{00000000-0010-0000-0500-000002000000}" name="1" totalsRowFunction="count" dataDxfId="672" totalsRowDxfId="196"/>
    <tableColumn id="3" xr3:uid="{00000000-0010-0000-0500-000003000000}" name="2" totalsRowFunction="count" dataDxfId="671" totalsRowDxfId="195"/>
    <tableColumn id="4" xr3:uid="{00000000-0010-0000-0500-000004000000}" name="3" totalsRowFunction="count" dataDxfId="670" totalsRowDxfId="194"/>
    <tableColumn id="5" xr3:uid="{00000000-0010-0000-0500-000005000000}" name="4" totalsRowFunction="count" dataDxfId="669" totalsRowDxfId="193"/>
    <tableColumn id="6" xr3:uid="{00000000-0010-0000-0500-000006000000}" name="5" totalsRowFunction="count" dataDxfId="668" totalsRowDxfId="192"/>
    <tableColumn id="7" xr3:uid="{00000000-0010-0000-0500-000007000000}" name="6" totalsRowFunction="count" dataDxfId="667" totalsRowDxfId="191"/>
    <tableColumn id="8" xr3:uid="{00000000-0010-0000-0500-000008000000}" name="7" totalsRowFunction="count" dataDxfId="666" totalsRowDxfId="190"/>
    <tableColumn id="9" xr3:uid="{00000000-0010-0000-0500-000009000000}" name="8" totalsRowFunction="count" dataDxfId="665" totalsRowDxfId="189"/>
    <tableColumn id="10" xr3:uid="{00000000-0010-0000-0500-00000A000000}" name="9" totalsRowFunction="count" dataDxfId="664" totalsRowDxfId="188"/>
    <tableColumn id="11" xr3:uid="{00000000-0010-0000-0500-00000B000000}" name="10" totalsRowFunction="count" dataDxfId="663" totalsRowDxfId="187"/>
    <tableColumn id="12" xr3:uid="{00000000-0010-0000-0500-00000C000000}" name="11" totalsRowFunction="count" dataDxfId="662" totalsRowDxfId="186"/>
    <tableColumn id="13" xr3:uid="{00000000-0010-0000-0500-00000D000000}" name="12" totalsRowFunction="count" dataDxfId="661" totalsRowDxfId="185"/>
    <tableColumn id="14" xr3:uid="{00000000-0010-0000-0500-00000E000000}" name="13" totalsRowFunction="count" dataDxfId="660" totalsRowDxfId="184"/>
    <tableColumn id="15" xr3:uid="{00000000-0010-0000-0500-00000F000000}" name="14" totalsRowFunction="count" dataDxfId="659" totalsRowDxfId="183"/>
    <tableColumn id="16" xr3:uid="{00000000-0010-0000-0500-000010000000}" name="15" totalsRowFunction="count" dataDxfId="658" totalsRowDxfId="182"/>
    <tableColumn id="17" xr3:uid="{00000000-0010-0000-0500-000011000000}" name="16" totalsRowFunction="count" dataDxfId="657" totalsRowDxfId="181"/>
    <tableColumn id="18" xr3:uid="{00000000-0010-0000-0500-000012000000}" name="17" totalsRowFunction="count" dataDxfId="656" totalsRowDxfId="180"/>
    <tableColumn id="19" xr3:uid="{00000000-0010-0000-0500-000013000000}" name="18" totalsRowFunction="count" dataDxfId="655" totalsRowDxfId="179"/>
    <tableColumn id="20" xr3:uid="{00000000-0010-0000-0500-000014000000}" name="19" totalsRowFunction="count" dataDxfId="654" totalsRowDxfId="178"/>
    <tableColumn id="21" xr3:uid="{00000000-0010-0000-0500-000015000000}" name="20" totalsRowFunction="count" dataDxfId="653" totalsRowDxfId="177"/>
    <tableColumn id="22" xr3:uid="{00000000-0010-0000-0500-000016000000}" name="21" totalsRowFunction="count" dataDxfId="652" totalsRowDxfId="176"/>
    <tableColumn id="23" xr3:uid="{00000000-0010-0000-0500-000017000000}" name="22" totalsRowFunction="count" dataDxfId="651" totalsRowDxfId="175"/>
    <tableColumn id="24" xr3:uid="{00000000-0010-0000-0500-000018000000}" name="23" totalsRowFunction="count" dataDxfId="650" totalsRowDxfId="174"/>
    <tableColumn id="25" xr3:uid="{00000000-0010-0000-0500-000019000000}" name="24" totalsRowFunction="count" dataDxfId="649" totalsRowDxfId="173"/>
    <tableColumn id="26" xr3:uid="{00000000-0010-0000-0500-00001A000000}" name="25" totalsRowFunction="count" dataDxfId="648" totalsRowDxfId="172"/>
    <tableColumn id="27" xr3:uid="{00000000-0010-0000-0500-00001B000000}" name="26" totalsRowFunction="count" dataDxfId="647" totalsRowDxfId="171"/>
    <tableColumn id="28" xr3:uid="{00000000-0010-0000-0500-00001C000000}" name="27" totalsRowFunction="count" dataDxfId="646" totalsRowDxfId="170"/>
    <tableColumn id="29" xr3:uid="{00000000-0010-0000-0500-00001D000000}" name="28" totalsRowFunction="count" dataDxfId="645" totalsRowDxfId="169"/>
    <tableColumn id="30" xr3:uid="{00000000-0010-0000-0500-00001E000000}" name="29" totalsRowFunction="count" dataDxfId="644" totalsRowDxfId="168"/>
    <tableColumn id="31" xr3:uid="{00000000-0010-0000-0500-00001F000000}" name="30" totalsRowFunction="count" dataDxfId="643" totalsRowDxfId="167"/>
    <tableColumn id="32" xr3:uid="{00000000-0010-0000-0500-000020000000}" name=" " totalsRowFunction="count" dataDxfId="642" totalsRowDxfId="166"/>
    <tableColumn id="33" xr3:uid="{00000000-0010-0000-0500-000021000000}" name="Iš viso dienų" totalsRowFunction="sum" dataDxfId="641" totalsRowDxfId="165">
      <calculatedColumnFormula>COUNTA(Birželis[[#This Row],[1]:[30]])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Liepa" displayName="Liepa" ref="B6:AH12" totalsRowCount="1" headerRowDxfId="640" dataDxfId="639" totalsRowDxfId="638">
  <tableColumns count="33">
    <tableColumn id="1" xr3:uid="{00000000-0010-0000-0600-000001000000}" name="Darbuotojo vardas" totalsRowFunction="custom" dataDxfId="637" totalsRowDxfId="164" dataCellStyle="Darbuotojas">
      <totalsRowFormula>MonthName&amp;" bendroji suma"</totalsRowFormula>
    </tableColumn>
    <tableColumn id="2" xr3:uid="{00000000-0010-0000-0600-000002000000}" name="1" totalsRowFunction="count" dataDxfId="636" totalsRowDxfId="163"/>
    <tableColumn id="3" xr3:uid="{00000000-0010-0000-0600-000003000000}" name="2" totalsRowFunction="count" dataDxfId="635" totalsRowDxfId="162"/>
    <tableColumn id="4" xr3:uid="{00000000-0010-0000-0600-000004000000}" name="3" totalsRowFunction="count" dataDxfId="634" totalsRowDxfId="161"/>
    <tableColumn id="5" xr3:uid="{00000000-0010-0000-0600-000005000000}" name="4" totalsRowFunction="count" dataDxfId="633" totalsRowDxfId="160"/>
    <tableColumn id="6" xr3:uid="{00000000-0010-0000-0600-000006000000}" name="5" totalsRowFunction="count" dataDxfId="632" totalsRowDxfId="159"/>
    <tableColumn id="7" xr3:uid="{00000000-0010-0000-0600-000007000000}" name="6" totalsRowFunction="count" dataDxfId="631" totalsRowDxfId="158"/>
    <tableColumn id="8" xr3:uid="{00000000-0010-0000-0600-000008000000}" name="7" totalsRowFunction="count" dataDxfId="630" totalsRowDxfId="157"/>
    <tableColumn id="9" xr3:uid="{00000000-0010-0000-0600-000009000000}" name="8" totalsRowFunction="count" dataDxfId="629" totalsRowDxfId="156"/>
    <tableColumn id="10" xr3:uid="{00000000-0010-0000-0600-00000A000000}" name="9" totalsRowFunction="count" dataDxfId="628" totalsRowDxfId="155"/>
    <tableColumn id="11" xr3:uid="{00000000-0010-0000-0600-00000B000000}" name="10" totalsRowFunction="count" dataDxfId="627" totalsRowDxfId="154"/>
    <tableColumn id="12" xr3:uid="{00000000-0010-0000-0600-00000C000000}" name="11" totalsRowFunction="count" dataDxfId="626" totalsRowDxfId="153"/>
    <tableColumn id="13" xr3:uid="{00000000-0010-0000-0600-00000D000000}" name="12" totalsRowFunction="count" dataDxfId="625" totalsRowDxfId="152"/>
    <tableColumn id="14" xr3:uid="{00000000-0010-0000-0600-00000E000000}" name="13" totalsRowFunction="count" dataDxfId="624" totalsRowDxfId="151"/>
    <tableColumn id="15" xr3:uid="{00000000-0010-0000-0600-00000F000000}" name="14" totalsRowFunction="count" dataDxfId="623" totalsRowDxfId="150"/>
    <tableColumn id="16" xr3:uid="{00000000-0010-0000-0600-000010000000}" name="15" totalsRowFunction="count" dataDxfId="622" totalsRowDxfId="149"/>
    <tableColumn id="17" xr3:uid="{00000000-0010-0000-0600-000011000000}" name="16" totalsRowFunction="count" dataDxfId="621" totalsRowDxfId="148"/>
    <tableColumn id="18" xr3:uid="{00000000-0010-0000-0600-000012000000}" name="17" totalsRowFunction="count" dataDxfId="620" totalsRowDxfId="147"/>
    <tableColumn id="19" xr3:uid="{00000000-0010-0000-0600-000013000000}" name="18" totalsRowFunction="count" dataDxfId="619" totalsRowDxfId="146"/>
    <tableColumn id="20" xr3:uid="{00000000-0010-0000-0600-000014000000}" name="19" totalsRowFunction="count" dataDxfId="618" totalsRowDxfId="145"/>
    <tableColumn id="21" xr3:uid="{00000000-0010-0000-0600-000015000000}" name="20" totalsRowFunction="count" dataDxfId="617" totalsRowDxfId="144"/>
    <tableColumn id="22" xr3:uid="{00000000-0010-0000-0600-000016000000}" name="21" totalsRowFunction="count" dataDxfId="616" totalsRowDxfId="143"/>
    <tableColumn id="23" xr3:uid="{00000000-0010-0000-0600-000017000000}" name="22" totalsRowFunction="count" dataDxfId="615" totalsRowDxfId="142"/>
    <tableColumn id="24" xr3:uid="{00000000-0010-0000-0600-000018000000}" name="23" totalsRowFunction="count" dataDxfId="614" totalsRowDxfId="141"/>
    <tableColumn id="25" xr3:uid="{00000000-0010-0000-0600-000019000000}" name="24" totalsRowFunction="count" dataDxfId="613" totalsRowDxfId="140"/>
    <tableColumn id="26" xr3:uid="{00000000-0010-0000-0600-00001A000000}" name="25" totalsRowFunction="count" dataDxfId="612" totalsRowDxfId="139"/>
    <tableColumn id="27" xr3:uid="{00000000-0010-0000-0600-00001B000000}" name="26" totalsRowFunction="count" dataDxfId="611" totalsRowDxfId="138"/>
    <tableColumn id="28" xr3:uid="{00000000-0010-0000-0600-00001C000000}" name="27" totalsRowFunction="count" dataDxfId="610" totalsRowDxfId="137"/>
    <tableColumn id="29" xr3:uid="{00000000-0010-0000-0600-00001D000000}" name="28" totalsRowFunction="count" dataDxfId="609" totalsRowDxfId="136"/>
    <tableColumn id="30" xr3:uid="{00000000-0010-0000-0600-00001E000000}" name="29" totalsRowFunction="count" dataDxfId="608" totalsRowDxfId="135"/>
    <tableColumn id="31" xr3:uid="{00000000-0010-0000-0600-00001F000000}" name="30" totalsRowFunction="count" dataDxfId="607" totalsRowDxfId="134"/>
    <tableColumn id="32" xr3:uid="{00000000-0010-0000-0600-000020000000}" name="31" totalsRowFunction="count" dataDxfId="606" totalsRowDxfId="133"/>
    <tableColumn id="33" xr3:uid="{00000000-0010-0000-0600-000021000000}" name="Iš viso dienų" totalsRowFunction="sum" dataDxfId="605" totalsRowDxfId="132">
      <calculatedColumnFormula>COUNTA(Liepa[[#This Row],[1]:[31]])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Rugpjūtis" displayName="Rugpjūtis" ref="B6:AH12" totalsRowCount="1" headerRowDxfId="604" dataDxfId="603" totalsRowDxfId="602">
  <tableColumns count="33">
    <tableColumn id="1" xr3:uid="{00000000-0010-0000-0700-000001000000}" name="Darbuotojo vardas" totalsRowFunction="custom" dataDxfId="601" totalsRowDxfId="131" dataCellStyle="Darbuotojas">
      <totalsRowFormula>MonthName&amp;" bendroji suma"</totalsRowFormula>
    </tableColumn>
    <tableColumn id="2" xr3:uid="{00000000-0010-0000-0700-000002000000}" name="1" totalsRowFunction="count" dataDxfId="600" totalsRowDxfId="130"/>
    <tableColumn id="3" xr3:uid="{00000000-0010-0000-0700-000003000000}" name="2" totalsRowFunction="count" dataDxfId="599" totalsRowDxfId="129"/>
    <tableColumn id="4" xr3:uid="{00000000-0010-0000-0700-000004000000}" name="3" totalsRowFunction="count" dataDxfId="598" totalsRowDxfId="128"/>
    <tableColumn id="5" xr3:uid="{00000000-0010-0000-0700-000005000000}" name="4" totalsRowFunction="count" dataDxfId="597" totalsRowDxfId="127"/>
    <tableColumn id="6" xr3:uid="{00000000-0010-0000-0700-000006000000}" name="5" totalsRowFunction="count" dataDxfId="596" totalsRowDxfId="126"/>
    <tableColumn id="7" xr3:uid="{00000000-0010-0000-0700-000007000000}" name="6" totalsRowFunction="count" dataDxfId="595" totalsRowDxfId="125"/>
    <tableColumn id="8" xr3:uid="{00000000-0010-0000-0700-000008000000}" name="7" totalsRowFunction="count" dataDxfId="594" totalsRowDxfId="124"/>
    <tableColumn id="9" xr3:uid="{00000000-0010-0000-0700-000009000000}" name="8" totalsRowFunction="count" dataDxfId="593" totalsRowDxfId="123"/>
    <tableColumn id="10" xr3:uid="{00000000-0010-0000-0700-00000A000000}" name="9" totalsRowFunction="count" dataDxfId="592" totalsRowDxfId="122"/>
    <tableColumn id="11" xr3:uid="{00000000-0010-0000-0700-00000B000000}" name="10" totalsRowFunction="count" dataDxfId="591" totalsRowDxfId="121"/>
    <tableColumn id="12" xr3:uid="{00000000-0010-0000-0700-00000C000000}" name="11" totalsRowFunction="count" dataDxfId="590" totalsRowDxfId="120"/>
    <tableColumn id="13" xr3:uid="{00000000-0010-0000-0700-00000D000000}" name="12" totalsRowFunction="count" dataDxfId="589" totalsRowDxfId="119"/>
    <tableColumn id="14" xr3:uid="{00000000-0010-0000-0700-00000E000000}" name="13" totalsRowFunction="count" dataDxfId="588" totalsRowDxfId="118"/>
    <tableColumn id="15" xr3:uid="{00000000-0010-0000-0700-00000F000000}" name="14" totalsRowFunction="count" dataDxfId="587" totalsRowDxfId="117"/>
    <tableColumn id="16" xr3:uid="{00000000-0010-0000-0700-000010000000}" name="15" totalsRowFunction="count" dataDxfId="586" totalsRowDxfId="116"/>
    <tableColumn id="17" xr3:uid="{00000000-0010-0000-0700-000011000000}" name="16" totalsRowFunction="count" dataDxfId="585" totalsRowDxfId="115"/>
    <tableColumn id="18" xr3:uid="{00000000-0010-0000-0700-000012000000}" name="17" totalsRowFunction="count" dataDxfId="584" totalsRowDxfId="114"/>
    <tableColumn id="19" xr3:uid="{00000000-0010-0000-0700-000013000000}" name="18" totalsRowFunction="count" dataDxfId="583" totalsRowDxfId="113"/>
    <tableColumn id="20" xr3:uid="{00000000-0010-0000-0700-000014000000}" name="19" totalsRowFunction="count" dataDxfId="582" totalsRowDxfId="112"/>
    <tableColumn id="21" xr3:uid="{00000000-0010-0000-0700-000015000000}" name="20" totalsRowFunction="count" dataDxfId="581" totalsRowDxfId="111"/>
    <tableColumn id="22" xr3:uid="{00000000-0010-0000-0700-000016000000}" name="21" totalsRowFunction="count" dataDxfId="580" totalsRowDxfId="110"/>
    <tableColumn id="23" xr3:uid="{00000000-0010-0000-0700-000017000000}" name="22" totalsRowFunction="count" dataDxfId="579" totalsRowDxfId="109"/>
    <tableColumn id="24" xr3:uid="{00000000-0010-0000-0700-000018000000}" name="23" totalsRowFunction="count" dataDxfId="578" totalsRowDxfId="108"/>
    <tableColumn id="25" xr3:uid="{00000000-0010-0000-0700-000019000000}" name="24" totalsRowFunction="count" dataDxfId="577" totalsRowDxfId="107"/>
    <tableColumn id="26" xr3:uid="{00000000-0010-0000-0700-00001A000000}" name="25" totalsRowFunction="count" dataDxfId="576" totalsRowDxfId="106"/>
    <tableColumn id="27" xr3:uid="{00000000-0010-0000-0700-00001B000000}" name="26" totalsRowFunction="count" dataDxfId="575" totalsRowDxfId="105"/>
    <tableColumn id="28" xr3:uid="{00000000-0010-0000-0700-00001C000000}" name="27" totalsRowFunction="count" dataDxfId="574" totalsRowDxfId="104"/>
    <tableColumn id="29" xr3:uid="{00000000-0010-0000-0700-00001D000000}" name="28" totalsRowFunction="count" dataDxfId="573" totalsRowDxfId="103"/>
    <tableColumn id="30" xr3:uid="{00000000-0010-0000-0700-00001E000000}" name="29" totalsRowFunction="count" dataDxfId="572" totalsRowDxfId="102"/>
    <tableColumn id="31" xr3:uid="{00000000-0010-0000-0700-00001F000000}" name="30" totalsRowFunction="count" dataDxfId="571" totalsRowDxfId="101"/>
    <tableColumn id="32" xr3:uid="{00000000-0010-0000-0700-000020000000}" name="31" totalsRowFunction="count" dataDxfId="570" totalsRowDxfId="100"/>
    <tableColumn id="33" xr3:uid="{00000000-0010-0000-0700-000021000000}" name="Iš viso dienų" totalsRowFunction="sum" dataDxfId="569" totalsRowDxfId="99">
      <calculatedColumnFormula>COUNTA(Rugpjūtis[[#This Row],[1]:[31]])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Rugsėjis" displayName="Rugsėjis" ref="B6:AH12" totalsRowCount="1" headerRowDxfId="568" dataDxfId="567" totalsRowDxfId="566">
  <tableColumns count="33">
    <tableColumn id="1" xr3:uid="{00000000-0010-0000-0800-000001000000}" name="Darbuotojo vardas" totalsRowFunction="custom" dataDxfId="565" totalsRowDxfId="98" dataCellStyle="Darbuotojas">
      <totalsRowFormula>MonthName&amp;" bendroji suma"</totalsRowFormula>
    </tableColumn>
    <tableColumn id="2" xr3:uid="{00000000-0010-0000-0800-000002000000}" name="1" totalsRowFunction="count" dataDxfId="564" totalsRowDxfId="97"/>
    <tableColumn id="3" xr3:uid="{00000000-0010-0000-0800-000003000000}" name="2" totalsRowFunction="count" dataDxfId="563" totalsRowDxfId="96"/>
    <tableColumn id="4" xr3:uid="{00000000-0010-0000-0800-000004000000}" name="3" totalsRowFunction="count" dataDxfId="562" totalsRowDxfId="95"/>
    <tableColumn id="5" xr3:uid="{00000000-0010-0000-0800-000005000000}" name="4" totalsRowFunction="count" dataDxfId="561" totalsRowDxfId="94"/>
    <tableColumn id="6" xr3:uid="{00000000-0010-0000-0800-000006000000}" name="5" totalsRowFunction="count" dataDxfId="560" totalsRowDxfId="93"/>
    <tableColumn id="7" xr3:uid="{00000000-0010-0000-0800-000007000000}" name="6" totalsRowFunction="count" dataDxfId="559" totalsRowDxfId="92"/>
    <tableColumn id="8" xr3:uid="{00000000-0010-0000-0800-000008000000}" name="7" totalsRowFunction="count" dataDxfId="558" totalsRowDxfId="91"/>
    <tableColumn id="9" xr3:uid="{00000000-0010-0000-0800-000009000000}" name="8" totalsRowFunction="count" dataDxfId="557" totalsRowDxfId="90"/>
    <tableColumn id="10" xr3:uid="{00000000-0010-0000-0800-00000A000000}" name="9" totalsRowFunction="count" dataDxfId="556" totalsRowDxfId="89"/>
    <tableColumn id="11" xr3:uid="{00000000-0010-0000-0800-00000B000000}" name="10" totalsRowFunction="count" dataDxfId="555" totalsRowDxfId="88"/>
    <tableColumn id="12" xr3:uid="{00000000-0010-0000-0800-00000C000000}" name="11" totalsRowFunction="count" dataDxfId="554" totalsRowDxfId="87"/>
    <tableColumn id="13" xr3:uid="{00000000-0010-0000-0800-00000D000000}" name="12" totalsRowFunction="count" dataDxfId="553" totalsRowDxfId="86"/>
    <tableColumn id="14" xr3:uid="{00000000-0010-0000-0800-00000E000000}" name="13" totalsRowFunction="count" dataDxfId="552" totalsRowDxfId="85"/>
    <tableColumn id="15" xr3:uid="{00000000-0010-0000-0800-00000F000000}" name="14" totalsRowFunction="count" dataDxfId="551" totalsRowDxfId="84"/>
    <tableColumn id="16" xr3:uid="{00000000-0010-0000-0800-000010000000}" name="15" totalsRowFunction="count" dataDxfId="550" totalsRowDxfId="83"/>
    <tableColumn id="17" xr3:uid="{00000000-0010-0000-0800-000011000000}" name="16" totalsRowFunction="count" dataDxfId="549" totalsRowDxfId="82"/>
    <tableColumn id="18" xr3:uid="{00000000-0010-0000-0800-000012000000}" name="17" totalsRowFunction="count" dataDxfId="548" totalsRowDxfId="81"/>
    <tableColumn id="19" xr3:uid="{00000000-0010-0000-0800-000013000000}" name="18" totalsRowFunction="count" dataDxfId="547" totalsRowDxfId="80"/>
    <tableColumn id="20" xr3:uid="{00000000-0010-0000-0800-000014000000}" name="19" totalsRowFunction="count" dataDxfId="546" totalsRowDxfId="79"/>
    <tableColumn id="21" xr3:uid="{00000000-0010-0000-0800-000015000000}" name="20" totalsRowFunction="count" dataDxfId="545" totalsRowDxfId="78"/>
    <tableColumn id="22" xr3:uid="{00000000-0010-0000-0800-000016000000}" name="21" totalsRowFunction="count" dataDxfId="544" totalsRowDxfId="77"/>
    <tableColumn id="23" xr3:uid="{00000000-0010-0000-0800-000017000000}" name="22" totalsRowFunction="count" dataDxfId="543" totalsRowDxfId="76"/>
    <tableColumn id="24" xr3:uid="{00000000-0010-0000-0800-000018000000}" name="23" totalsRowFunction="count" dataDxfId="542" totalsRowDxfId="75"/>
    <tableColumn id="25" xr3:uid="{00000000-0010-0000-0800-000019000000}" name="24" totalsRowFunction="count" dataDxfId="541" totalsRowDxfId="74"/>
    <tableColumn id="26" xr3:uid="{00000000-0010-0000-0800-00001A000000}" name="25" totalsRowFunction="count" dataDxfId="540" totalsRowDxfId="73"/>
    <tableColumn id="27" xr3:uid="{00000000-0010-0000-0800-00001B000000}" name="26" totalsRowFunction="count" dataDxfId="539" totalsRowDxfId="72"/>
    <tableColumn id="28" xr3:uid="{00000000-0010-0000-0800-00001C000000}" name="27" totalsRowFunction="count" dataDxfId="538" totalsRowDxfId="71"/>
    <tableColumn id="29" xr3:uid="{00000000-0010-0000-0800-00001D000000}" name="28" totalsRowFunction="count" dataDxfId="537" totalsRowDxfId="70"/>
    <tableColumn id="30" xr3:uid="{00000000-0010-0000-0800-00001E000000}" name="29" totalsRowFunction="count" dataDxfId="536" totalsRowDxfId="69"/>
    <tableColumn id="31" xr3:uid="{00000000-0010-0000-0800-00001F000000}" name="30" totalsRowFunction="count" dataDxfId="535" totalsRowDxfId="68"/>
    <tableColumn id="32" xr3:uid="{00000000-0010-0000-0800-000020000000}" name=" " totalsRowFunction="count" dataDxfId="534" totalsRowDxfId="67"/>
    <tableColumn id="33" xr3:uid="{00000000-0010-0000-0800-000021000000}" name="Iš viso dienų" totalsRowFunction="sum" dataDxfId="533" totalsRowDxfId="66">
      <calculatedColumnFormula>COUNTA(Rugsėjis[[#This Row],[1]:[30]])</calculatedColumnFormula>
    </tableColumn>
  </tableColumns>
  <tableStyleInfo name="Darbuotojų neatvykimo lentelė" showFirstColumn="1" showLastColumn="1" showRowStripes="1" showColumnStripes="0"/>
  <extLst>
    <ext xmlns:x14="http://schemas.microsoft.com/office/spreadsheetml/2009/9/main" uri="{504A1905-F514-4f6f-8877-14C23A59335A}">
      <x14:table altTextSummary="Įveskite darbuotojų vardus ir neatvykimo datas. Nurodykite neatvykimo tipą naudodami raktus 12 eilutėje: V = atostogos, S = liga, P = asmeninis ir du pasirinktinių įrašų vietos rezervavimo ženklai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1:34" ht="50.1" customHeight="1" x14ac:dyDescent="0.25">
      <c r="A1" s="18"/>
      <c r="B1" s="14" t="s">
        <v>0</v>
      </c>
    </row>
    <row r="2" spans="1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1:34" ht="15" customHeight="1" x14ac:dyDescent="0.25">
      <c r="AH3" s="20" t="s">
        <v>46</v>
      </c>
    </row>
    <row r="4" spans="1:34" ht="30" customHeight="1" x14ac:dyDescent="0.25">
      <c r="B4" s="12" t="s">
        <v>2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v>2019</v>
      </c>
    </row>
    <row r="5" spans="1:34" ht="15" customHeight="1" x14ac:dyDescent="0.25">
      <c r="B5" s="12"/>
      <c r="C5" s="2" t="str">
        <f>TEXT(WEEKDAY(DATE(CalendarYear,1,1),1),"aaa")</f>
        <v>an</v>
      </c>
      <c r="D5" s="2" t="str">
        <f>TEXT(WEEKDAY(DATE(CalendarYear,1,2),1),"aaa")</f>
        <v>tr</v>
      </c>
      <c r="E5" s="2" t="str">
        <f>TEXT(WEEKDAY(DATE(CalendarYear,1,3),1),"aaa")</f>
        <v>kt</v>
      </c>
      <c r="F5" s="2" t="str">
        <f>TEXT(WEEKDAY(DATE(CalendarYear,1,4),1),"aaa")</f>
        <v>pn</v>
      </c>
      <c r="G5" s="2" t="str">
        <f>TEXT(WEEKDAY(DATE(CalendarYear,1,5),1),"aaa")</f>
        <v>št</v>
      </c>
      <c r="H5" s="2" t="str">
        <f>TEXT(WEEKDAY(DATE(CalendarYear,1,6),1),"aaa")</f>
        <v>sk</v>
      </c>
      <c r="I5" s="2" t="str">
        <f>TEXT(WEEKDAY(DATE(CalendarYear,1,7),1),"aaa")</f>
        <v>pr</v>
      </c>
      <c r="J5" s="2" t="str">
        <f>TEXT(WEEKDAY(DATE(CalendarYear,1,8),1),"aaa")</f>
        <v>an</v>
      </c>
      <c r="K5" s="2" t="str">
        <f>TEXT(WEEKDAY(DATE(CalendarYear,1,9),1),"aaa")</f>
        <v>tr</v>
      </c>
      <c r="L5" s="2" t="str">
        <f>TEXT(WEEKDAY(DATE(CalendarYear,1,10),1),"aaa")</f>
        <v>kt</v>
      </c>
      <c r="M5" s="2" t="str">
        <f>TEXT(WEEKDAY(DATE(CalendarYear,1,11),1),"aaa")</f>
        <v>pn</v>
      </c>
      <c r="N5" s="2" t="str">
        <f>TEXT(WEEKDAY(DATE(CalendarYear,1,12),1),"aaa")</f>
        <v>št</v>
      </c>
      <c r="O5" s="2" t="str">
        <f>TEXT(WEEKDAY(DATE(CalendarYear,1,13),1),"aaa")</f>
        <v>sk</v>
      </c>
      <c r="P5" s="2" t="str">
        <f>TEXT(WEEKDAY(DATE(CalendarYear,1,14),1),"aaa")</f>
        <v>pr</v>
      </c>
      <c r="Q5" s="2" t="str">
        <f>TEXT(WEEKDAY(DATE(CalendarYear,1,15),1),"aaa")</f>
        <v>an</v>
      </c>
      <c r="R5" s="2" t="str">
        <f>TEXT(WEEKDAY(DATE(CalendarYear,1,16),1),"aaa")</f>
        <v>tr</v>
      </c>
      <c r="S5" s="2" t="str">
        <f>TEXT(WEEKDAY(DATE(CalendarYear,1,17),1),"aaa")</f>
        <v>kt</v>
      </c>
      <c r="T5" s="2" t="str">
        <f>TEXT(WEEKDAY(DATE(CalendarYear,1,18),1),"aaa")</f>
        <v>pn</v>
      </c>
      <c r="U5" s="2" t="str">
        <f>TEXT(WEEKDAY(DATE(CalendarYear,1,19),1),"aaa")</f>
        <v>št</v>
      </c>
      <c r="V5" s="2" t="str">
        <f>TEXT(WEEKDAY(DATE(CalendarYear,1,20),1),"aaa")</f>
        <v>sk</v>
      </c>
      <c r="W5" s="2" t="str">
        <f>TEXT(WEEKDAY(DATE(CalendarYear,1,21),1),"aaa")</f>
        <v>pr</v>
      </c>
      <c r="X5" s="2" t="str">
        <f>TEXT(WEEKDAY(DATE(CalendarYear,1,22),1),"aaa")</f>
        <v>an</v>
      </c>
      <c r="Y5" s="2" t="str">
        <f>TEXT(WEEKDAY(DATE(CalendarYear,1,23),1),"aaa")</f>
        <v>tr</v>
      </c>
      <c r="Z5" s="2" t="str">
        <f>TEXT(WEEKDAY(DATE(CalendarYear,1,24),1),"aaa")</f>
        <v>kt</v>
      </c>
      <c r="AA5" s="2" t="str">
        <f>TEXT(WEEKDAY(DATE(CalendarYear,1,25),1),"aaa")</f>
        <v>pn</v>
      </c>
      <c r="AB5" s="2" t="str">
        <f>TEXT(WEEKDAY(DATE(CalendarYear,1,26),1),"aaa")</f>
        <v>št</v>
      </c>
      <c r="AC5" s="2" t="str">
        <f>TEXT(WEEKDAY(DATE(CalendarYear,1,27),1),"aaa")</f>
        <v>sk</v>
      </c>
      <c r="AD5" s="2" t="str">
        <f>TEXT(WEEKDAY(DATE(CalendarYear,1,28),1),"aaa")</f>
        <v>pr</v>
      </c>
      <c r="AE5" s="2" t="str">
        <f>TEXT(WEEKDAY(DATE(CalendarYear,1,29),1),"aaa")</f>
        <v>an</v>
      </c>
      <c r="AF5" s="2" t="str">
        <f>TEXT(WEEKDAY(DATE(CalendarYear,1,30),1),"aaa")</f>
        <v>tr</v>
      </c>
      <c r="AG5" s="2" t="str">
        <f>TEXT(WEEKDAY(DATE(CalendarYear,1,31),1),"aaa")</f>
        <v>kt</v>
      </c>
      <c r="AH5" s="12"/>
    </row>
    <row r="6" spans="1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1:34" ht="30" customHeight="1" x14ac:dyDescent="0.25">
      <c r="B7" s="9" t="s">
        <v>4</v>
      </c>
      <c r="C7" s="3"/>
      <c r="D7" s="3"/>
      <c r="E7" s="3" t="s">
        <v>61</v>
      </c>
      <c r="F7" s="3" t="s">
        <v>61</v>
      </c>
      <c r="G7" s="3" t="s">
        <v>61</v>
      </c>
      <c r="H7" s="3" t="s">
        <v>61</v>
      </c>
      <c r="I7" s="3"/>
      <c r="J7" s="3"/>
      <c r="K7" s="3"/>
      <c r="L7" s="3"/>
      <c r="M7" s="3"/>
      <c r="N7" s="3"/>
      <c r="O7" s="3" t="s">
        <v>61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COUNTA(Sausis!$C7:$AG7)</f>
        <v>5</v>
      </c>
    </row>
    <row r="8" spans="1:34" ht="30" customHeight="1" x14ac:dyDescent="0.25">
      <c r="B8" s="9" t="s">
        <v>5</v>
      </c>
      <c r="C8" s="3"/>
      <c r="D8" s="3"/>
      <c r="E8" s="3"/>
      <c r="F8" s="3"/>
      <c r="G8" s="3" t="s">
        <v>63</v>
      </c>
      <c r="H8" s="3" t="s">
        <v>63</v>
      </c>
      <c r="I8" s="3"/>
      <c r="J8" s="3"/>
      <c r="K8" s="3"/>
      <c r="L8" s="3"/>
      <c r="M8" s="3" t="s">
        <v>62</v>
      </c>
      <c r="N8" s="3"/>
      <c r="O8" s="3"/>
      <c r="P8" s="3"/>
      <c r="Q8" s="3"/>
      <c r="R8" s="3"/>
      <c r="S8" s="3"/>
      <c r="T8" s="3"/>
      <c r="U8" s="3"/>
      <c r="V8" s="3" t="s">
        <v>63</v>
      </c>
      <c r="W8" s="3"/>
      <c r="X8" s="3"/>
      <c r="Y8" s="3"/>
      <c r="Z8" s="3"/>
      <c r="AA8" s="3" t="s">
        <v>61</v>
      </c>
      <c r="AB8" s="3" t="s">
        <v>61</v>
      </c>
      <c r="AC8" s="3" t="s">
        <v>61</v>
      </c>
      <c r="AD8" s="3"/>
      <c r="AE8" s="3"/>
      <c r="AF8" s="3"/>
      <c r="AG8" s="3"/>
      <c r="AH8" s="10">
        <f>COUNTA(Sausis!$C8:$AG8)</f>
        <v>7</v>
      </c>
    </row>
    <row r="9" spans="1:34" ht="30" customHeight="1" x14ac:dyDescent="0.25">
      <c r="B9" s="9" t="s">
        <v>6</v>
      </c>
      <c r="C9" s="3"/>
      <c r="D9" s="3"/>
      <c r="E9" s="3" t="s">
        <v>62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63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63</v>
      </c>
      <c r="AF9" s="3"/>
      <c r="AG9" s="3"/>
      <c r="AH9" s="10">
        <f>COUNTA(Sausis!$C9:$AG9)</f>
        <v>3</v>
      </c>
    </row>
    <row r="10" spans="1:34" ht="30" customHeight="1" x14ac:dyDescent="0.25">
      <c r="B10" s="9" t="s">
        <v>7</v>
      </c>
      <c r="C10" s="3"/>
      <c r="D10" s="3"/>
      <c r="E10" s="3"/>
      <c r="F10" s="3"/>
      <c r="G10" s="3"/>
      <c r="H10" s="3"/>
      <c r="I10" s="3" t="s">
        <v>62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61</v>
      </c>
      <c r="V10" s="3" t="s">
        <v>61</v>
      </c>
      <c r="W10" s="3" t="s">
        <v>61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COUNTA(Sausis!$C10:$AG10)</f>
        <v>4</v>
      </c>
    </row>
    <row r="11" spans="1:34" ht="30" customHeight="1" x14ac:dyDescent="0.25">
      <c r="B11" s="9" t="s">
        <v>8</v>
      </c>
      <c r="C11" s="3"/>
      <c r="D11" s="3"/>
      <c r="E11" s="3"/>
      <c r="F11" s="3" t="s">
        <v>63</v>
      </c>
      <c r="G11" s="3" t="s">
        <v>61</v>
      </c>
      <c r="H11" s="3" t="s">
        <v>61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63</v>
      </c>
      <c r="T11" s="3"/>
      <c r="U11" s="3"/>
      <c r="V11" s="3"/>
      <c r="W11" s="3"/>
      <c r="X11" s="3"/>
      <c r="Y11" s="3"/>
      <c r="Z11" s="3" t="s">
        <v>63</v>
      </c>
      <c r="AA11" s="3"/>
      <c r="AB11" s="3"/>
      <c r="AC11" s="3"/>
      <c r="AD11" s="3"/>
      <c r="AE11" s="3"/>
      <c r="AF11" s="3"/>
      <c r="AG11" s="3" t="s">
        <v>61</v>
      </c>
      <c r="AH11" s="10">
        <f>COUNTA(Sausis!$C11:$AG11)</f>
        <v>6</v>
      </c>
    </row>
    <row r="12" spans="1:34" ht="30" customHeight="1" x14ac:dyDescent="0.25">
      <c r="B12" s="21" t="str">
        <f>MonthName&amp;" bendroji suma"</f>
        <v>Sausis bendroji suma</v>
      </c>
      <c r="C12" s="13">
        <f>SUBTOTAL(103,Sausis!$C$7:$C$11)</f>
        <v>0</v>
      </c>
      <c r="D12" s="13">
        <f>SUBTOTAL(103,Sausis!$D$7:$D$11)</f>
        <v>0</v>
      </c>
      <c r="E12" s="13">
        <f>SUBTOTAL(103,Sausis!$E$7:$E$11)</f>
        <v>2</v>
      </c>
      <c r="F12" s="13">
        <f>SUBTOTAL(103,Sausis!$F$7:$F$11)</f>
        <v>2</v>
      </c>
      <c r="G12" s="13">
        <f>SUBTOTAL(103,Sausis!$G$7:$G$11)</f>
        <v>3</v>
      </c>
      <c r="H12" s="13">
        <f>SUBTOTAL(103,Sausis!$H$7:$H$11)</f>
        <v>3</v>
      </c>
      <c r="I12" s="13">
        <f>SUBTOTAL(103,Sausis!$I$7:$I$11)</f>
        <v>1</v>
      </c>
      <c r="J12" s="13">
        <f>SUBTOTAL(103,Sausis!$J$7:$J$11)</f>
        <v>0</v>
      </c>
      <c r="K12" s="13">
        <f>SUBTOTAL(103,Sausis!$K$7:$K$11)</f>
        <v>0</v>
      </c>
      <c r="L12" s="13">
        <f>SUBTOTAL(103,Sausis!$L$7:$L$11)</f>
        <v>0</v>
      </c>
      <c r="M12" s="13">
        <f>SUBTOTAL(103,Sausis!$M$7:$M$11)</f>
        <v>1</v>
      </c>
      <c r="N12" s="13">
        <f>SUBTOTAL(103,Sausis!$N$7:$N$11)</f>
        <v>0</v>
      </c>
      <c r="O12" s="13">
        <f>SUBTOTAL(103,Sausis!$O$7:$O$11)</f>
        <v>1</v>
      </c>
      <c r="P12" s="13">
        <f>SUBTOTAL(103,Sausis!$P$7:$P$11)</f>
        <v>1</v>
      </c>
      <c r="Q12" s="13">
        <f>SUBTOTAL(103,Sausis!$Q$7:$Q$11)</f>
        <v>0</v>
      </c>
      <c r="R12" s="13">
        <f>SUBTOTAL(103,Sausis!$R$7:$R$11)</f>
        <v>0</v>
      </c>
      <c r="S12" s="13">
        <f>SUBTOTAL(103,Sausis!$S$7:$S$11)</f>
        <v>1</v>
      </c>
      <c r="T12" s="13">
        <f>SUBTOTAL(103,Sausis!$T$7:$T$11)</f>
        <v>0</v>
      </c>
      <c r="U12" s="13">
        <f>SUBTOTAL(103,Sausis!$U$7:$U$11)</f>
        <v>1</v>
      </c>
      <c r="V12" s="13">
        <f>SUBTOTAL(103,Sausis!$V$7:$V$11)</f>
        <v>2</v>
      </c>
      <c r="W12" s="13">
        <f>SUBTOTAL(103,Sausis!$W$7:$W$11)</f>
        <v>1</v>
      </c>
      <c r="X12" s="13">
        <f>SUBTOTAL(103,Sausis!$X$7:$X$11)</f>
        <v>0</v>
      </c>
      <c r="Y12" s="13">
        <f>SUBTOTAL(103,Sausis!$Y$7:$Y$11)</f>
        <v>0</v>
      </c>
      <c r="Z12" s="13">
        <f>SUBTOTAL(103,Sausis!$Z$7:$Z$11)</f>
        <v>1</v>
      </c>
      <c r="AA12" s="13">
        <f>SUBTOTAL(103,Sausis!$AA$7:$AA$11)</f>
        <v>1</v>
      </c>
      <c r="AB12" s="13">
        <f>SUBTOTAL(103,Sausis!$AB$7:$AB$11)</f>
        <v>1</v>
      </c>
      <c r="AC12" s="13">
        <f>SUBTOTAL(103,Sausis!$AC$7:$AC$11)</f>
        <v>1</v>
      </c>
      <c r="AD12" s="13">
        <f>SUBTOTAL(103,Sausis!$AD$7:$AD$11)</f>
        <v>0</v>
      </c>
      <c r="AE12" s="13">
        <f>SUBTOTAL(103,Sausis!$AE$7:$AE$11)</f>
        <v>1</v>
      </c>
      <c r="AF12" s="13">
        <f>SUBTOTAL(103,Sausis!$AF$7:$AF$11)</f>
        <v>0</v>
      </c>
      <c r="AG12" s="13">
        <f>SUBTOTAL(103,Sausis!$AG$7:$AG$11)</f>
        <v>1</v>
      </c>
      <c r="AH12" s="13">
        <f>SUBTOTAL(109,Sausis[Iš viso dienų])</f>
        <v>25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  <cfRule type="expression" dxfId="325" priority="6" stopIfTrue="1">
      <formula>C7=KeyCustom2</formula>
    </cfRule>
    <cfRule type="expression" dxfId="324" priority="7" stopIfTrue="1">
      <formula>C7=KeyCustom1</formula>
    </cfRule>
    <cfRule type="expression" dxfId="323" priority="8" stopIfTrue="1">
      <formula>C7=KeySick</formula>
    </cfRule>
    <cfRule type="expression" dxfId="322" priority="9" stopIfTrue="1">
      <formula>C7=KeyPersonal</formula>
    </cfRule>
    <cfRule type="expression" dxfId="321" priority="10" stopIfTrue="1">
      <formula>C7=KeyVacation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Šiame langelyje įveskite metus" sqref="AH4" xr:uid="{00000000-0002-0000-0000-000000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000-000001000000}"/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000-000002000000}"/>
    <dataValidation allowBlank="1" showInputMessage="1" showErrorMessage="1" prompt="Mėnesio šiokiadieniai šioje eilutėje automatiškai atnaujinami pagal į AH4 įvestus metus. Kiekviena mėnesio diena yra stulpelis, kuriame galite nurodyti, kad darbuotojas neatvyko, ir neatvykimo tipą." sqref="C5" xr:uid="{00000000-0002-0000-0000-000003000000}"/>
    <dataValidation allowBlank="1" showInputMessage="1" showErrorMessage="1" prompt="Automatiškai skaičiuoja bendrą skaičių dienų, kai darbuotojas šį mėnesį neatvyko" sqref="AH6" xr:uid="{00000000-0002-0000-0000-000004000000}"/>
    <dataValidation allowBlank="1" showInputMessage="1" showErrorMessage="1" prompt="Šiame langelyje yra darbalapio pavadinimas. Atnaujinkite pavadinimą ir keitimai bus automatiškai atlikti visuose darbalapiuose" sqref="B1" xr:uid="{00000000-0002-0000-0000-000005000000}"/>
    <dataValidation allowBlank="1" showInputMessage="1" showErrorMessage="1" prompt="Šio neatvykimų tvarkaraščio mėnuo. Atnaujinkite metus AH4 langelyje. Paskutiniame lentelės langelyje stebėkite bendrąsias sumas pagal mėnesį. Įveskite darbuotojų vardus lentelės B stulpelyje" sqref="B4" xr:uid="{00000000-0002-0000-0000-000006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000-000007000000}"/>
    <dataValidation allowBlank="1" showInputMessage="1" showErrorMessage="1" prompt="Raidė „AT“ rodo neatvykimą dėl atostogų" sqref="C2" xr:uid="{00000000-0002-0000-0000-000008000000}"/>
    <dataValidation allowBlank="1" showInputMessage="1" showErrorMessage="1" prompt="Raidė „AS“ rodo neatvykimą dėl asmeninių priežasčių" sqref="G2" xr:uid="{00000000-0002-0000-0000-000009000000}"/>
    <dataValidation allowBlank="1" showInputMessage="1" showErrorMessage="1" prompt="Raidė „L“ rodo neatvykimą dėl ligos" sqref="K2" xr:uid="{00000000-0002-0000-0000-00000A000000}"/>
    <dataValidation allowBlank="1" showInputMessage="1" showErrorMessage="1" prompt="Įveskite raidę ir tinkinkite žymą dešinėje, kad įtrauktumėte kitą pagrindinį elementą" sqref="N2 R2" xr:uid="{00000000-0002-0000-0000-00000B000000}"/>
    <dataValidation allowBlank="1" showInputMessage="1" showErrorMessage="1" prompt="Įveskite žymą, apibūdinančią pasirinktinį kodą kairėje" sqref="O2:Q2 S2:U2" xr:uid="{00000000-0002-0000-0000-00000C000000}"/>
    <dataValidation allowBlank="1" showInputMessage="1" showErrorMessage="1" prompt="Darbuotojo neatvykimo tvarkaraštyje stebimas darbuotojo neatvykimas dienomis kiekvieną mėnesį. Yra 13 darbalapių, 12 mėnesių ir paskutinis darbuotojų vardų. Šiame darbalapyje sekite neatvykimus sausį" sqref="A1" xr:uid="{00000000-0002-0000-0000-00000D000000}"/>
    <dataValidation allowBlank="1" showInputMessage="1" showErrorMessage="1" prompt="Toliau esančiame langelyje įveskite metus" sqref="AH3" xr:uid="{00000000-0002-0000-0000-00000E000000}"/>
  </dataValidations>
  <printOptions horizontalCentered="1"/>
  <pageMargins left="0.25" right="0.25" top="0.75" bottom="0.75" header="0.3" footer="0.3"/>
  <pageSetup paperSize="9" scale="7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TEXT(WEEKDAY(DATE(CalendarYear,10,1),1),"aaa")</f>
        <v>an</v>
      </c>
      <c r="D5" s="2" t="str">
        <f>TEXT(WEEKDAY(DATE(CalendarYear,10,2),1),"aaa")</f>
        <v>tr</v>
      </c>
      <c r="E5" s="2" t="str">
        <f>TEXT(WEEKDAY(DATE(CalendarYear,10,3),1),"aaa")</f>
        <v>kt</v>
      </c>
      <c r="F5" s="2" t="str">
        <f>TEXT(WEEKDAY(DATE(CalendarYear,10,4),1),"aaa")</f>
        <v>pn</v>
      </c>
      <c r="G5" s="2" t="str">
        <f>TEXT(WEEKDAY(DATE(CalendarYear,10,5),1),"aaa")</f>
        <v>št</v>
      </c>
      <c r="H5" s="2" t="str">
        <f>TEXT(WEEKDAY(DATE(CalendarYear,10,6),1),"aaa")</f>
        <v>sk</v>
      </c>
      <c r="I5" s="2" t="str">
        <f>TEXT(WEEKDAY(DATE(CalendarYear,10,7),1),"aaa")</f>
        <v>pr</v>
      </c>
      <c r="J5" s="2" t="str">
        <f>TEXT(WEEKDAY(DATE(CalendarYear,10,8),1),"aaa")</f>
        <v>an</v>
      </c>
      <c r="K5" s="2" t="str">
        <f>TEXT(WEEKDAY(DATE(CalendarYear,10,9),1),"aaa")</f>
        <v>tr</v>
      </c>
      <c r="L5" s="2" t="str">
        <f>TEXT(WEEKDAY(DATE(CalendarYear,10,10),1),"aaa")</f>
        <v>kt</v>
      </c>
      <c r="M5" s="2" t="str">
        <f>TEXT(WEEKDAY(DATE(CalendarYear,10,11),1),"aaa")</f>
        <v>pn</v>
      </c>
      <c r="N5" s="2" t="str">
        <f>TEXT(WEEKDAY(DATE(CalendarYear,10,12),1),"aaa")</f>
        <v>št</v>
      </c>
      <c r="O5" s="2" t="str">
        <f>TEXT(WEEKDAY(DATE(CalendarYear,10,13),1),"aaa")</f>
        <v>sk</v>
      </c>
      <c r="P5" s="2" t="str">
        <f>TEXT(WEEKDAY(DATE(CalendarYear,10,14),1),"aaa")</f>
        <v>pr</v>
      </c>
      <c r="Q5" s="2" t="str">
        <f>TEXT(WEEKDAY(DATE(CalendarYear,10,15),1),"aaa")</f>
        <v>an</v>
      </c>
      <c r="R5" s="2" t="str">
        <f>TEXT(WEEKDAY(DATE(CalendarYear,10,16),1),"aaa")</f>
        <v>tr</v>
      </c>
      <c r="S5" s="2" t="str">
        <f>TEXT(WEEKDAY(DATE(CalendarYear,10,17),1),"aaa")</f>
        <v>kt</v>
      </c>
      <c r="T5" s="2" t="str">
        <f>TEXT(WEEKDAY(DATE(CalendarYear,10,18),1),"aaa")</f>
        <v>pn</v>
      </c>
      <c r="U5" s="2" t="str">
        <f>TEXT(WEEKDAY(DATE(CalendarYear,10,19),1),"aaa")</f>
        <v>št</v>
      </c>
      <c r="V5" s="2" t="str">
        <f>TEXT(WEEKDAY(DATE(CalendarYear,10,20),1),"aaa")</f>
        <v>sk</v>
      </c>
      <c r="W5" s="2" t="str">
        <f>TEXT(WEEKDAY(DATE(CalendarYear,10,21),1),"aaa")</f>
        <v>pr</v>
      </c>
      <c r="X5" s="2" t="str">
        <f>TEXT(WEEKDAY(DATE(CalendarYear,10,22),1),"aaa")</f>
        <v>an</v>
      </c>
      <c r="Y5" s="2" t="str">
        <f>TEXT(WEEKDAY(DATE(CalendarYear,10,23),1),"aaa")</f>
        <v>tr</v>
      </c>
      <c r="Z5" s="2" t="str">
        <f>TEXT(WEEKDAY(DATE(CalendarYear,10,24),1),"aaa")</f>
        <v>kt</v>
      </c>
      <c r="AA5" s="2" t="str">
        <f>TEXT(WEEKDAY(DATE(CalendarYear,10,25),1),"aaa")</f>
        <v>pn</v>
      </c>
      <c r="AB5" s="2" t="str">
        <f>TEXT(WEEKDAY(DATE(CalendarYear,10,26),1),"aaa")</f>
        <v>št</v>
      </c>
      <c r="AC5" s="2" t="str">
        <f>TEXT(WEEKDAY(DATE(CalendarYear,10,27),1),"aaa")</f>
        <v>sk</v>
      </c>
      <c r="AD5" s="2" t="str">
        <f>TEXT(WEEKDAY(DATE(CalendarYear,10,28),1),"aaa")</f>
        <v>pr</v>
      </c>
      <c r="AE5" s="2" t="str">
        <f>TEXT(WEEKDAY(DATE(CalendarYear,10,29),1),"aaa")</f>
        <v>an</v>
      </c>
      <c r="AF5" s="2" t="str">
        <f>TEXT(WEEKDAY(DATE(CalendarYear,10,30),1),"aaa")</f>
        <v>tr</v>
      </c>
      <c r="AG5" s="2" t="str">
        <f>TEXT(WEEKDAY(DATE(CalendarYear,10,31),1),"aaa")</f>
        <v>kt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COUNTA(Spalis[[#This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COUNTA(Spalis[[#This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COUNTA(Spalis[[#This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COUNTA(Spalis[[#This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COUNTA(Spalis[[#This Row],[1]:[31]])</f>
        <v>0</v>
      </c>
    </row>
    <row r="12" spans="2:34" ht="30" customHeight="1" x14ac:dyDescent="0.25">
      <c r="B12" s="21" t="str">
        <f>MonthName&amp;" bendroji suma"</f>
        <v>Spalis bendroji suma</v>
      </c>
      <c r="C12" s="13">
        <f>SUBTOTAL(103,Spalis[1])</f>
        <v>0</v>
      </c>
      <c r="D12" s="13">
        <f>SUBTOTAL(103,Spalis[2])</f>
        <v>0</v>
      </c>
      <c r="E12" s="13">
        <f>SUBTOTAL(103,Spalis[3])</f>
        <v>0</v>
      </c>
      <c r="F12" s="13">
        <f>SUBTOTAL(103,Spalis[4])</f>
        <v>0</v>
      </c>
      <c r="G12" s="13">
        <f>SUBTOTAL(103,Spalis[5])</f>
        <v>0</v>
      </c>
      <c r="H12" s="13">
        <f>SUBTOTAL(103,Spalis[6])</f>
        <v>0</v>
      </c>
      <c r="I12" s="13">
        <f>SUBTOTAL(103,Spalis[7])</f>
        <v>0</v>
      </c>
      <c r="J12" s="13">
        <f>SUBTOTAL(103,Spalis[8])</f>
        <v>0</v>
      </c>
      <c r="K12" s="13">
        <f>SUBTOTAL(103,Spalis[9])</f>
        <v>0</v>
      </c>
      <c r="L12" s="13">
        <f>SUBTOTAL(103,Spalis[10])</f>
        <v>0</v>
      </c>
      <c r="M12" s="13">
        <f>SUBTOTAL(103,Spalis[11])</f>
        <v>0</v>
      </c>
      <c r="N12" s="13">
        <f>SUBTOTAL(103,Spalis[12])</f>
        <v>0</v>
      </c>
      <c r="O12" s="13">
        <f>SUBTOTAL(103,Spalis[13])</f>
        <v>0</v>
      </c>
      <c r="P12" s="13">
        <f>SUBTOTAL(103,Spalis[14])</f>
        <v>0</v>
      </c>
      <c r="Q12" s="13">
        <f>SUBTOTAL(103,Spalis[15])</f>
        <v>0</v>
      </c>
      <c r="R12" s="13">
        <f>SUBTOTAL(103,Spalis[16])</f>
        <v>0</v>
      </c>
      <c r="S12" s="13">
        <f>SUBTOTAL(103,Spalis[17])</f>
        <v>0</v>
      </c>
      <c r="T12" s="13">
        <f>SUBTOTAL(103,Spalis[18])</f>
        <v>0</v>
      </c>
      <c r="U12" s="13">
        <f>SUBTOTAL(103,Spalis[19])</f>
        <v>0</v>
      </c>
      <c r="V12" s="13">
        <f>SUBTOTAL(103,Spalis[20])</f>
        <v>0</v>
      </c>
      <c r="W12" s="13">
        <f>SUBTOTAL(103,Spalis[21])</f>
        <v>0</v>
      </c>
      <c r="X12" s="13">
        <f>SUBTOTAL(103,Spalis[22])</f>
        <v>0</v>
      </c>
      <c r="Y12" s="13">
        <f>SUBTOTAL(103,Spalis[23])</f>
        <v>0</v>
      </c>
      <c r="Z12" s="13">
        <f>SUBTOTAL(103,Spalis[24])</f>
        <v>0</v>
      </c>
      <c r="AA12" s="13">
        <f>SUBTOTAL(103,Spalis[25])</f>
        <v>0</v>
      </c>
      <c r="AB12" s="13">
        <f>SUBTOTAL(103,Spalis[26])</f>
        <v>0</v>
      </c>
      <c r="AC12" s="13">
        <f>SUBTOTAL(103,Spalis[27])</f>
        <v>0</v>
      </c>
      <c r="AD12" s="13">
        <f>SUBTOTAL(103,Spalis[28])</f>
        <v>0</v>
      </c>
      <c r="AE12" s="13">
        <f>SUBTOTAL(103,Spalis[29])</f>
        <v>0</v>
      </c>
      <c r="AF12" s="13">
        <f>SUBTOTAL(103,Spalis[30])</f>
        <v>0</v>
      </c>
      <c r="AG12" s="13">
        <f>SUBTOTAL(103,Spalis[31])</f>
        <v>0</v>
      </c>
      <c r="AH12" s="13">
        <f>SUBTOTAL(109,Spalis[Iš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78" priority="2" stopIfTrue="1">
      <formula>C7=KeyCustom2</formula>
    </cfRule>
    <cfRule type="expression" dxfId="277" priority="3" stopIfTrue="1">
      <formula>C7=KeyCustom1</formula>
    </cfRule>
    <cfRule type="expression" dxfId="276" priority="4" stopIfTrue="1">
      <formula>C7=KeySick</formula>
    </cfRule>
    <cfRule type="expression" dxfId="275" priority="5" stopIfTrue="1">
      <formula>C7=KeyPersonal</formula>
    </cfRule>
    <cfRule type="expression" dxfId="27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900-000000000000}"/>
    <dataValidation allowBlank="1" showInputMessage="1" showErrorMessage="1" prompt="Metai automatiškai atnaujinami pagal sausio darbalapyje įvestus metus." sqref="AH4" xr:uid="{00000000-0002-0000-0900-000001000000}"/>
    <dataValidation allowBlank="1" showInputMessage="1" showErrorMessage="1" prompt="Automatiškai skaičiuoja šiame stulpelyje bendrą skaičių dienų, kai darbuotojas šį mėnesį neatvyko" sqref="AH6" xr:uid="{00000000-0002-0000-0900-000002000000}"/>
    <dataValidation allowBlank="1" showInputMessage="1" showErrorMessage="1" prompt="Šiame darbalapyje sekite neatvykimus spalį" sqref="A1" xr:uid="{00000000-0002-0000-0900-000003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900-000004000000}"/>
    <dataValidation allowBlank="1" showInputMessage="1" showErrorMessage="1" prompt="Šiame langelyje yra automatiškai atnaujinamas pavadinimas. Jei norite keisti pavadinimą, atnaujinkite B1 langelį sausio darbalapyje" sqref="B1" xr:uid="{00000000-0002-0000-0900-000005000000}"/>
    <dataValidation allowBlank="1" showInputMessage="1" showErrorMessage="1" prompt="Raidė „AT“ rodo neatvykimą dėl atostogų" sqref="C2" xr:uid="{00000000-0002-0000-0900-000006000000}"/>
    <dataValidation allowBlank="1" showInputMessage="1" showErrorMessage="1" prompt="Raidė „AS“ rodo neatvykimą dėl asmeninių priežasčių" sqref="G2" xr:uid="{00000000-0002-0000-0900-000007000000}"/>
    <dataValidation allowBlank="1" showInputMessage="1" showErrorMessage="1" prompt="Raidė „L“ rodo neatvykimą dėl ligos" sqref="K2" xr:uid="{00000000-0002-0000-0900-000008000000}"/>
    <dataValidation allowBlank="1" showInputMessage="1" showErrorMessage="1" prompt="Įveskite raidę ir tinkinkite žymą dešinėje, kad įtrauktumėte kitą pagrindinį elementą" sqref="N2 R2" xr:uid="{00000000-0002-0000-0900-000009000000}"/>
    <dataValidation allowBlank="1" showInputMessage="1" showErrorMessage="1" prompt="Įveskite žymą, apibūdinančią pasirinktinį kodą kairėje" sqref="O2:Q2 S2:U2" xr:uid="{00000000-0002-0000-0900-00000A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900-00000B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900-00000C000000}"/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9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TEXT(WEEKDAY(DATE(CalendarYear,11,1),1),"aaa")</f>
        <v>pn</v>
      </c>
      <c r="D5" s="2" t="str">
        <f>TEXT(WEEKDAY(DATE(CalendarYear,11,2),1),"aaa")</f>
        <v>št</v>
      </c>
      <c r="E5" s="2" t="str">
        <f>TEXT(WEEKDAY(DATE(CalendarYear,11,3),1),"aaa")</f>
        <v>sk</v>
      </c>
      <c r="F5" s="2" t="str">
        <f>TEXT(WEEKDAY(DATE(CalendarYear,11,4),1),"aaa")</f>
        <v>pr</v>
      </c>
      <c r="G5" s="2" t="str">
        <f>TEXT(WEEKDAY(DATE(CalendarYear,11,5),1),"aaa")</f>
        <v>an</v>
      </c>
      <c r="H5" s="2" t="str">
        <f>TEXT(WEEKDAY(DATE(CalendarYear,11,6),1),"aaa")</f>
        <v>tr</v>
      </c>
      <c r="I5" s="2" t="str">
        <f>TEXT(WEEKDAY(DATE(CalendarYear,11,7),1),"aaa")</f>
        <v>kt</v>
      </c>
      <c r="J5" s="2" t="str">
        <f>TEXT(WEEKDAY(DATE(CalendarYear,11,8),1),"aaa")</f>
        <v>pn</v>
      </c>
      <c r="K5" s="2" t="str">
        <f>TEXT(WEEKDAY(DATE(CalendarYear,11,9),1),"aaa")</f>
        <v>št</v>
      </c>
      <c r="L5" s="2" t="str">
        <f>TEXT(WEEKDAY(DATE(CalendarYear,11,10),1),"aaa")</f>
        <v>sk</v>
      </c>
      <c r="M5" s="2" t="str">
        <f>TEXT(WEEKDAY(DATE(CalendarYear,11,11),1),"aaa")</f>
        <v>pr</v>
      </c>
      <c r="N5" s="2" t="str">
        <f>TEXT(WEEKDAY(DATE(CalendarYear,11,12),1),"aaa")</f>
        <v>an</v>
      </c>
      <c r="O5" s="2" t="str">
        <f>TEXT(WEEKDAY(DATE(CalendarYear,11,13),1),"aaa")</f>
        <v>tr</v>
      </c>
      <c r="P5" s="2" t="str">
        <f>TEXT(WEEKDAY(DATE(CalendarYear,11,14),1),"aaa")</f>
        <v>kt</v>
      </c>
      <c r="Q5" s="2" t="str">
        <f>TEXT(WEEKDAY(DATE(CalendarYear,11,15),1),"aaa")</f>
        <v>pn</v>
      </c>
      <c r="R5" s="2" t="str">
        <f>TEXT(WEEKDAY(DATE(CalendarYear,11,16),1),"aaa")</f>
        <v>št</v>
      </c>
      <c r="S5" s="2" t="str">
        <f>TEXT(WEEKDAY(DATE(CalendarYear,11,17),1),"aaa")</f>
        <v>sk</v>
      </c>
      <c r="T5" s="2" t="str">
        <f>TEXT(WEEKDAY(DATE(CalendarYear,11,18),1),"aaa")</f>
        <v>pr</v>
      </c>
      <c r="U5" s="2" t="str">
        <f>TEXT(WEEKDAY(DATE(CalendarYear,11,19),1),"aaa")</f>
        <v>an</v>
      </c>
      <c r="V5" s="2" t="str">
        <f>TEXT(WEEKDAY(DATE(CalendarYear,11,20),1),"aaa")</f>
        <v>tr</v>
      </c>
      <c r="W5" s="2" t="str">
        <f>TEXT(WEEKDAY(DATE(CalendarYear,11,21),1),"aaa")</f>
        <v>kt</v>
      </c>
      <c r="X5" s="2" t="str">
        <f>TEXT(WEEKDAY(DATE(CalendarYear,11,22),1),"aaa")</f>
        <v>pn</v>
      </c>
      <c r="Y5" s="2" t="str">
        <f>TEXT(WEEKDAY(DATE(CalendarYear,11,23),1),"aaa")</f>
        <v>št</v>
      </c>
      <c r="Z5" s="2" t="str">
        <f>TEXT(WEEKDAY(DATE(CalendarYear,11,24),1),"aaa")</f>
        <v>sk</v>
      </c>
      <c r="AA5" s="2" t="str">
        <f>TEXT(WEEKDAY(DATE(CalendarYear,11,25),1),"aaa")</f>
        <v>pr</v>
      </c>
      <c r="AB5" s="2" t="str">
        <f>TEXT(WEEKDAY(DATE(CalendarYear,11,26),1),"aaa")</f>
        <v>an</v>
      </c>
      <c r="AC5" s="2" t="str">
        <f>TEXT(WEEKDAY(DATE(CalendarYear,11,27),1),"aaa")</f>
        <v>tr</v>
      </c>
      <c r="AD5" s="2" t="str">
        <f>TEXT(WEEKDAY(DATE(CalendarYear,11,28),1),"aaa")</f>
        <v>kt</v>
      </c>
      <c r="AE5" s="2" t="str">
        <f>TEXT(WEEKDAY(DATE(CalendarYear,11,29),1),"aaa")</f>
        <v>pn</v>
      </c>
      <c r="AF5" s="2" t="str">
        <f>TEXT(WEEKDAY(DATE(CalendarYear,11,30),1),"aaa")</f>
        <v>št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COUNTA(Lapkritis[[#This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COUNTA(Lapkritis[[#This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COUNTA(Lapkritis[[#This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COUNTA(Lapkritis[[#This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COUNTA(Lapkritis[[#This Row],[1]:[30]])</f>
        <v>0</v>
      </c>
    </row>
    <row r="12" spans="2:34" ht="30" customHeight="1" x14ac:dyDescent="0.25">
      <c r="B12" s="21" t="str">
        <f>MonthName&amp;" bendroji suma"</f>
        <v>Lapkritis bendroji suma</v>
      </c>
      <c r="C12" s="13">
        <f>SUBTOTAL(103,Lapkritis[1])</f>
        <v>0</v>
      </c>
      <c r="D12" s="13">
        <f>SUBTOTAL(103,Lapkritis[2])</f>
        <v>0</v>
      </c>
      <c r="E12" s="13">
        <f>SUBTOTAL(103,Lapkritis[3])</f>
        <v>0</v>
      </c>
      <c r="F12" s="13">
        <f>SUBTOTAL(103,Lapkritis[4])</f>
        <v>0</v>
      </c>
      <c r="G12" s="13">
        <f>SUBTOTAL(103,Lapkritis[5])</f>
        <v>0</v>
      </c>
      <c r="H12" s="13">
        <f>SUBTOTAL(103,Lapkritis[6])</f>
        <v>0</v>
      </c>
      <c r="I12" s="13">
        <f>SUBTOTAL(103,Lapkritis[7])</f>
        <v>0</v>
      </c>
      <c r="J12" s="13">
        <f>SUBTOTAL(103,Lapkritis[8])</f>
        <v>0</v>
      </c>
      <c r="K12" s="13">
        <f>SUBTOTAL(103,Lapkritis[9])</f>
        <v>0</v>
      </c>
      <c r="L12" s="13">
        <f>SUBTOTAL(103,Lapkritis[10])</f>
        <v>0</v>
      </c>
      <c r="M12" s="13">
        <f>SUBTOTAL(103,Lapkritis[11])</f>
        <v>0</v>
      </c>
      <c r="N12" s="13">
        <f>SUBTOTAL(103,Lapkritis[12])</f>
        <v>0</v>
      </c>
      <c r="O12" s="13">
        <f>SUBTOTAL(103,Lapkritis[13])</f>
        <v>0</v>
      </c>
      <c r="P12" s="13">
        <f>SUBTOTAL(103,Lapkritis[14])</f>
        <v>0</v>
      </c>
      <c r="Q12" s="13">
        <f>SUBTOTAL(103,Lapkritis[15])</f>
        <v>0</v>
      </c>
      <c r="R12" s="13">
        <f>SUBTOTAL(103,Lapkritis[16])</f>
        <v>0</v>
      </c>
      <c r="S12" s="13">
        <f>SUBTOTAL(103,Lapkritis[17])</f>
        <v>0</v>
      </c>
      <c r="T12" s="13">
        <f>SUBTOTAL(103,Lapkritis[18])</f>
        <v>0</v>
      </c>
      <c r="U12" s="13">
        <f>SUBTOTAL(103,Lapkritis[19])</f>
        <v>0</v>
      </c>
      <c r="V12" s="13">
        <f>SUBTOTAL(103,Lapkritis[20])</f>
        <v>0</v>
      </c>
      <c r="W12" s="13">
        <f>SUBTOTAL(103,Lapkritis[21])</f>
        <v>0</v>
      </c>
      <c r="X12" s="13">
        <f>SUBTOTAL(103,Lapkritis[22])</f>
        <v>0</v>
      </c>
      <c r="Y12" s="13">
        <f>SUBTOTAL(103,Lapkritis[23])</f>
        <v>0</v>
      </c>
      <c r="Z12" s="13">
        <f>SUBTOTAL(103,Lapkritis[24])</f>
        <v>0</v>
      </c>
      <c r="AA12" s="13">
        <f>SUBTOTAL(103,Lapkritis[25])</f>
        <v>0</v>
      </c>
      <c r="AB12" s="13">
        <f>SUBTOTAL(103,Lapkritis[26])</f>
        <v>0</v>
      </c>
      <c r="AC12" s="13">
        <f>SUBTOTAL(103,Lapkritis[27])</f>
        <v>0</v>
      </c>
      <c r="AD12" s="13">
        <f>SUBTOTAL(103,Lapkritis[28])</f>
        <v>0</v>
      </c>
      <c r="AE12" s="13">
        <f>SUBTOTAL(103,Lapkritis[29])</f>
        <v>0</v>
      </c>
      <c r="AF12" s="13">
        <f>SUBTOTAL(103,Lapkritis[30])</f>
        <v>0</v>
      </c>
      <c r="AG12" s="13">
        <f>SUBTOTAL(103,Lapkritis[[ ]])</f>
        <v>0</v>
      </c>
      <c r="AH12" s="13">
        <f>SUBTOTAL(109,Lapkritis[Iš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73" priority="2" stopIfTrue="1">
      <formula>C7=KeyCustom2</formula>
    </cfRule>
    <cfRule type="expression" dxfId="272" priority="3" stopIfTrue="1">
      <formula>C7=KeyCustom1</formula>
    </cfRule>
    <cfRule type="expression" dxfId="271" priority="4" stopIfTrue="1">
      <formula>C7=KeySick</formula>
    </cfRule>
    <cfRule type="expression" dxfId="270" priority="5" stopIfTrue="1">
      <formula>C7=KeyPersonal</formula>
    </cfRule>
    <cfRule type="expression" dxfId="269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A00-000000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A00-000001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A00-000002000000}"/>
    <dataValidation allowBlank="1" showInputMessage="1" showErrorMessage="1" prompt="Įveskite žymą, apibūdinančią pasirinktinį kodą kairėje" sqref="O2:Q2 S2:U2" xr:uid="{00000000-0002-0000-0A00-000003000000}"/>
    <dataValidation allowBlank="1" showInputMessage="1" showErrorMessage="1" prompt="Įveskite raidę ir tinkinkite žymą dešinėje, kad įtrauktumėte kitą pagrindinį elementą" sqref="N2 R2" xr:uid="{00000000-0002-0000-0A00-000004000000}"/>
    <dataValidation allowBlank="1" showInputMessage="1" showErrorMessage="1" prompt="Raidė „L“ rodo neatvykimą dėl ligos" sqref="K2" xr:uid="{00000000-0002-0000-0A00-000005000000}"/>
    <dataValidation allowBlank="1" showInputMessage="1" showErrorMessage="1" prompt="Raidė „AS“ rodo neatvykimą dėl asmeninių priežasčių" sqref="G2" xr:uid="{00000000-0002-0000-0A00-000006000000}"/>
    <dataValidation allowBlank="1" showInputMessage="1" showErrorMessage="1" prompt="Raidė „AT“ rodo neatvykimą dėl atostogų" sqref="C2" xr:uid="{00000000-0002-0000-0A00-000007000000}"/>
    <dataValidation allowBlank="1" showInputMessage="1" showErrorMessage="1" prompt="Šiame langelyje yra automatiškai atnaujinamas pavadinimas. Jei norite keisti pavadinimą, atnaujinkite B1 langelį sausio darbalapyje" sqref="B1" xr:uid="{00000000-0002-0000-0A00-000008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A00-000009000000}"/>
    <dataValidation allowBlank="1" showInputMessage="1" showErrorMessage="1" prompt="Šiame darbalapyje sekite neatvykimus lapkritį" sqref="A1" xr:uid="{00000000-0002-0000-0A00-00000A000000}"/>
    <dataValidation allowBlank="1" showInputMessage="1" showErrorMessage="1" prompt="Automatiškai skaičiuoja šiame stulpelyje bendrą skaičių dienų, kai darbuotojas šį mėnesį neatvyko" sqref="AH6" xr:uid="{00000000-0002-0000-0A00-00000B000000}"/>
    <dataValidation allowBlank="1" showInputMessage="1" showErrorMessage="1" prompt="Metai automatiškai atnaujinami pagal sausio darbalapyje įvestus metus." sqref="AH4" xr:uid="{00000000-0002-0000-0A00-00000C000000}"/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A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TEXT(WEEKDAY(DATE(CalendarYear,12,1),1),"aaa")</f>
        <v>sk</v>
      </c>
      <c r="D5" s="2" t="str">
        <f>TEXT(WEEKDAY(DATE(CalendarYear,12,2),1),"aaa")</f>
        <v>pr</v>
      </c>
      <c r="E5" s="2" t="str">
        <f>TEXT(WEEKDAY(DATE(CalendarYear,12,3),1),"aaa")</f>
        <v>an</v>
      </c>
      <c r="F5" s="2" t="str">
        <f>TEXT(WEEKDAY(DATE(CalendarYear,12,4),1),"aaa")</f>
        <v>tr</v>
      </c>
      <c r="G5" s="2" t="str">
        <f>TEXT(WEEKDAY(DATE(CalendarYear,12,5),1),"aaa")</f>
        <v>kt</v>
      </c>
      <c r="H5" s="2" t="str">
        <f>TEXT(WEEKDAY(DATE(CalendarYear,12,6),1),"aaa")</f>
        <v>pn</v>
      </c>
      <c r="I5" s="2" t="str">
        <f>TEXT(WEEKDAY(DATE(CalendarYear,12,7),1),"aaa")</f>
        <v>št</v>
      </c>
      <c r="J5" s="2" t="str">
        <f>TEXT(WEEKDAY(DATE(CalendarYear,12,8),1),"aaa")</f>
        <v>sk</v>
      </c>
      <c r="K5" s="2" t="str">
        <f>TEXT(WEEKDAY(DATE(CalendarYear,12,9),1),"aaa")</f>
        <v>pr</v>
      </c>
      <c r="L5" s="2" t="str">
        <f>TEXT(WEEKDAY(DATE(CalendarYear,12,10),1),"aaa")</f>
        <v>an</v>
      </c>
      <c r="M5" s="2" t="str">
        <f>TEXT(WEEKDAY(DATE(CalendarYear,12,11),1),"aaa")</f>
        <v>tr</v>
      </c>
      <c r="N5" s="2" t="str">
        <f>TEXT(WEEKDAY(DATE(CalendarYear,12,12),1),"aaa")</f>
        <v>kt</v>
      </c>
      <c r="O5" s="2" t="str">
        <f>TEXT(WEEKDAY(DATE(CalendarYear,12,13),1),"aaa")</f>
        <v>pn</v>
      </c>
      <c r="P5" s="2" t="str">
        <f>TEXT(WEEKDAY(DATE(CalendarYear,12,14),1),"aaa")</f>
        <v>št</v>
      </c>
      <c r="Q5" s="2" t="str">
        <f>TEXT(WEEKDAY(DATE(CalendarYear,12,15),1),"aaa")</f>
        <v>sk</v>
      </c>
      <c r="R5" s="2" t="str">
        <f>TEXT(WEEKDAY(DATE(CalendarYear,12,16),1),"aaa")</f>
        <v>pr</v>
      </c>
      <c r="S5" s="2" t="str">
        <f>TEXT(WEEKDAY(DATE(CalendarYear,12,17),1),"aaa")</f>
        <v>an</v>
      </c>
      <c r="T5" s="2" t="str">
        <f>TEXT(WEEKDAY(DATE(CalendarYear,12,18),1),"aaa")</f>
        <v>tr</v>
      </c>
      <c r="U5" s="2" t="str">
        <f>TEXT(WEEKDAY(DATE(CalendarYear,12,19),1),"aaa")</f>
        <v>kt</v>
      </c>
      <c r="V5" s="2" t="str">
        <f>TEXT(WEEKDAY(DATE(CalendarYear,12,20),1),"aaa")</f>
        <v>pn</v>
      </c>
      <c r="W5" s="2" t="str">
        <f>TEXT(WEEKDAY(DATE(CalendarYear,12,21),1),"aaa")</f>
        <v>št</v>
      </c>
      <c r="X5" s="2" t="str">
        <f>TEXT(WEEKDAY(DATE(CalendarYear,12,22),1),"aaa")</f>
        <v>sk</v>
      </c>
      <c r="Y5" s="2" t="str">
        <f>TEXT(WEEKDAY(DATE(CalendarYear,12,23),1),"aaa")</f>
        <v>pr</v>
      </c>
      <c r="Z5" s="2" t="str">
        <f>TEXT(WEEKDAY(DATE(CalendarYear,12,24),1),"aaa")</f>
        <v>an</v>
      </c>
      <c r="AA5" s="2" t="str">
        <f>TEXT(WEEKDAY(DATE(CalendarYear,12,25),1),"aaa")</f>
        <v>tr</v>
      </c>
      <c r="AB5" s="2" t="str">
        <f>TEXT(WEEKDAY(DATE(CalendarYear,12,26),1),"aaa")</f>
        <v>kt</v>
      </c>
      <c r="AC5" s="2" t="str">
        <f>TEXT(WEEKDAY(DATE(CalendarYear,12,27),1),"aaa")</f>
        <v>pn</v>
      </c>
      <c r="AD5" s="2" t="str">
        <f>TEXT(WEEKDAY(DATE(CalendarYear,12,28),1),"aaa")</f>
        <v>št</v>
      </c>
      <c r="AE5" s="2" t="str">
        <f>TEXT(WEEKDAY(DATE(CalendarYear,12,29),1),"aaa")</f>
        <v>sk</v>
      </c>
      <c r="AF5" s="2" t="str">
        <f>TEXT(WEEKDAY(DATE(CalendarYear,12,30),1),"aaa")</f>
        <v>pr</v>
      </c>
      <c r="AG5" s="2" t="str">
        <f>TEXT(WEEKDAY(DATE(CalendarYear,12,31),1),"aaa")</f>
        <v>an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COUNTA(Gruodis[[#This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COUNTA(Gruodis[[#This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COUNTA(Gruodis[[#This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COUNTA(Gruodis[[#This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COUNTA(Gruodis[[#This Row],[1]:[31]])</f>
        <v>0</v>
      </c>
    </row>
    <row r="12" spans="2:34" ht="30" customHeight="1" x14ac:dyDescent="0.25">
      <c r="B12" s="21" t="str">
        <f>MonthName&amp;" bendroji suma"</f>
        <v>Gruodis bendroji suma</v>
      </c>
      <c r="C12" s="13">
        <f>SUBTOTAL(103,Gruodis[1])</f>
        <v>0</v>
      </c>
      <c r="D12" s="13">
        <f>SUBTOTAL(103,Gruodis[2])</f>
        <v>0</v>
      </c>
      <c r="E12" s="13">
        <f>SUBTOTAL(103,Gruodis[3])</f>
        <v>0</v>
      </c>
      <c r="F12" s="13">
        <f>SUBTOTAL(103,Gruodis[4])</f>
        <v>0</v>
      </c>
      <c r="G12" s="13">
        <f>SUBTOTAL(103,Gruodis[5])</f>
        <v>0</v>
      </c>
      <c r="H12" s="13">
        <f>SUBTOTAL(103,Gruodis[6])</f>
        <v>0</v>
      </c>
      <c r="I12" s="13">
        <f>SUBTOTAL(103,Gruodis[7])</f>
        <v>0</v>
      </c>
      <c r="J12" s="13">
        <f>SUBTOTAL(103,Gruodis[8])</f>
        <v>0</v>
      </c>
      <c r="K12" s="13">
        <f>SUBTOTAL(103,Gruodis[9])</f>
        <v>0</v>
      </c>
      <c r="L12" s="13">
        <f>SUBTOTAL(103,Gruodis[10])</f>
        <v>0</v>
      </c>
      <c r="M12" s="13">
        <f>SUBTOTAL(103,Gruodis[11])</f>
        <v>0</v>
      </c>
      <c r="N12" s="13">
        <f>SUBTOTAL(103,Gruodis[12])</f>
        <v>0</v>
      </c>
      <c r="O12" s="13">
        <f>SUBTOTAL(103,Gruodis[13])</f>
        <v>0</v>
      </c>
      <c r="P12" s="13">
        <f>SUBTOTAL(103,Gruodis[14])</f>
        <v>0</v>
      </c>
      <c r="Q12" s="13">
        <f>SUBTOTAL(103,Gruodis[15])</f>
        <v>0</v>
      </c>
      <c r="R12" s="13">
        <f>SUBTOTAL(103,Gruodis[16])</f>
        <v>0</v>
      </c>
      <c r="S12" s="13">
        <f>SUBTOTAL(103,Gruodis[17])</f>
        <v>0</v>
      </c>
      <c r="T12" s="13">
        <f>SUBTOTAL(103,Gruodis[18])</f>
        <v>0</v>
      </c>
      <c r="U12" s="13">
        <f>SUBTOTAL(103,Gruodis[19])</f>
        <v>0</v>
      </c>
      <c r="V12" s="13">
        <f>SUBTOTAL(103,Gruodis[20])</f>
        <v>0</v>
      </c>
      <c r="W12" s="13">
        <f>SUBTOTAL(103,Gruodis[21])</f>
        <v>0</v>
      </c>
      <c r="X12" s="13">
        <f>SUBTOTAL(103,Gruodis[22])</f>
        <v>0</v>
      </c>
      <c r="Y12" s="13">
        <f>SUBTOTAL(103,Gruodis[23])</f>
        <v>0</v>
      </c>
      <c r="Z12" s="13">
        <f>SUBTOTAL(103,Gruodis[24])</f>
        <v>0</v>
      </c>
      <c r="AA12" s="13">
        <f>SUBTOTAL(103,Gruodis[25])</f>
        <v>0</v>
      </c>
      <c r="AB12" s="13">
        <f>SUBTOTAL(103,Gruodis[26])</f>
        <v>0</v>
      </c>
      <c r="AC12" s="13">
        <f>SUBTOTAL(103,Gruodis[27])</f>
        <v>0</v>
      </c>
      <c r="AD12" s="13">
        <f>SUBTOTAL(103,Gruodis[28])</f>
        <v>0</v>
      </c>
      <c r="AE12" s="13">
        <f>SUBTOTAL(103,Gruodis[29])</f>
        <v>0</v>
      </c>
      <c r="AF12" s="13">
        <f>SUBTOTAL(103,Gruodis[30])</f>
        <v>0</v>
      </c>
      <c r="AG12" s="13">
        <f>SUBTOTAL(103,Gruodis[31])</f>
        <v>0</v>
      </c>
      <c r="AH12" s="13">
        <f>SUBTOTAL(109,Gruodis[Iš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68" priority="2" stopIfTrue="1">
      <formula>C7=KeyCustom2</formula>
    </cfRule>
    <cfRule type="expression" dxfId="267" priority="3" stopIfTrue="1">
      <formula>C7=KeyCustom1</formula>
    </cfRule>
    <cfRule type="expression" dxfId="266" priority="4" stopIfTrue="1">
      <formula>C7=KeySick</formula>
    </cfRule>
    <cfRule type="expression" dxfId="265" priority="5" stopIfTrue="1">
      <formula>C7=KeyPersonal</formula>
    </cfRule>
    <cfRule type="expression" dxfId="264" priority="6" stopIfTrue="1">
      <formula>C7=KeyVacation</formula>
    </cfRule>
  </conditionalFormatting>
  <conditionalFormatting sqref="AH7:AH11">
    <cfRule type="dataBar" priority="30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Metai automatiškai atnaujinami pagal sausio darbalapyje įvestus metus." sqref="AH4" xr:uid="{00000000-0002-0000-0B00-000000000000}"/>
    <dataValidation allowBlank="1" showInputMessage="1" showErrorMessage="1" prompt="Automatiškai skaičiuoja šiame stulpelyje bendrą skaičių dienų, kai darbuotojas šį mėnesį neatvyko" sqref="AH6" xr:uid="{00000000-0002-0000-0B00-000001000000}"/>
    <dataValidation allowBlank="1" showInputMessage="1" showErrorMessage="1" prompt="Šiame darbalapyje sekite neatvykimus gruodį" sqref="A1" xr:uid="{00000000-0002-0000-0B00-000002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B00-000003000000}"/>
    <dataValidation allowBlank="1" showInputMessage="1" showErrorMessage="1" prompt="Šiame langelyje yra automatiškai atnaujinamas pavadinimas. Jei norite keisti pavadinimą, atnaujinkite B1 langelį sausio darbalapyje" sqref="B1" xr:uid="{00000000-0002-0000-0B00-000004000000}"/>
    <dataValidation allowBlank="1" showInputMessage="1" showErrorMessage="1" prompt="Raidė „AT“ rodo neatvykimą dėl atostogų" sqref="C2" xr:uid="{00000000-0002-0000-0B00-000005000000}"/>
    <dataValidation allowBlank="1" showInputMessage="1" showErrorMessage="1" prompt="Raidė „AS“ rodo neatvykimą dėl asmeninių priežasčių" sqref="G2" xr:uid="{00000000-0002-0000-0B00-000006000000}"/>
    <dataValidation allowBlank="1" showInputMessage="1" showErrorMessage="1" prompt="Raidė „L“ rodo neatvykimą dėl ligos" sqref="K2" xr:uid="{00000000-0002-0000-0B00-000007000000}"/>
    <dataValidation allowBlank="1" showInputMessage="1" showErrorMessage="1" prompt="Įveskite raidę ir tinkinkite žymą dešinėje, kad įtrauktumėte kitą pagrindinį elementą" sqref="N2 R2" xr:uid="{00000000-0002-0000-0B00-000008000000}"/>
    <dataValidation allowBlank="1" showInputMessage="1" showErrorMessage="1" prompt="Įveskite žymą, apibūdinančią pasirinktinį kodą kairėje" sqref="O2:Q2 S2:U2" xr:uid="{00000000-0002-0000-0B00-000009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B00-00000A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B00-00000B000000}"/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B00-00000C000000}"/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B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  <pageSetUpPr fitToPage="1"/>
  </sheetPr>
  <dimension ref="B1:B8"/>
  <sheetViews>
    <sheetView showGridLines="0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2.7109375" customWidth="1"/>
  </cols>
  <sheetData>
    <row r="1" spans="2:2" ht="50.1" customHeight="1" x14ac:dyDescent="0.25">
      <c r="B1" s="22" t="s">
        <v>60</v>
      </c>
    </row>
    <row r="2" spans="2:2" ht="15" customHeight="1" x14ac:dyDescent="0.25"/>
    <row r="3" spans="2:2" ht="30" customHeight="1" x14ac:dyDescent="0.25">
      <c r="B3" t="s">
        <v>60</v>
      </c>
    </row>
    <row r="4" spans="2:2" ht="30" customHeight="1" x14ac:dyDescent="0.25">
      <c r="B4" s="1" t="s">
        <v>4</v>
      </c>
    </row>
    <row r="5" spans="2:2" ht="30" customHeight="1" x14ac:dyDescent="0.25">
      <c r="B5" s="1" t="s">
        <v>5</v>
      </c>
    </row>
    <row r="6" spans="2:2" ht="30" customHeight="1" x14ac:dyDescent="0.25">
      <c r="B6" s="1" t="s">
        <v>6</v>
      </c>
    </row>
    <row r="7" spans="2:2" ht="30" customHeight="1" x14ac:dyDescent="0.25">
      <c r="B7" s="1" t="s">
        <v>7</v>
      </c>
    </row>
    <row r="8" spans="2:2" ht="30" customHeight="1" x14ac:dyDescent="0.25">
      <c r="B8" s="1" t="s">
        <v>8</v>
      </c>
    </row>
  </sheetData>
  <dataValidations count="3">
    <dataValidation allowBlank="1" showInputMessage="1" showErrorMessage="1" prompt="Darbuotojų vardų antraštė" sqref="B1" xr:uid="{00000000-0002-0000-0C00-000000000000}"/>
    <dataValidation allowBlank="1" showInputMessage="1" showErrorMessage="1" prompt="Šio darbalapio darbuotojų vardų lentelėje įveskite darbuotojų vardus. Šie vardai naudojami kaip parinktys kiekvieno mėnesio neatvykimų lentelės B stulpelyje" sqref="A1" xr:uid="{00000000-0002-0000-0C00-000001000000}"/>
    <dataValidation allowBlank="1" showInputMessage="1" showErrorMessage="1" prompt="Šiame stulpelyje įveskite darbuotojų vardus" sqref="B3" xr:uid="{00000000-0002-0000-0C00-000002000000}"/>
  </dataValidations>
  <printOptions horizontalCentered="1"/>
  <pageMargins left="0.25" right="0.25" top="0.75" bottom="0.75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/>
    </row>
    <row r="4" spans="2:34" ht="30" customHeight="1" x14ac:dyDescent="0.25">
      <c r="B4" s="12" t="s">
        <v>48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TEXT(WEEKDAY(DATE(CalendarYear,2,1),1),"aaa")</f>
        <v>pn</v>
      </c>
      <c r="D5" s="2" t="str">
        <f>TEXT(WEEKDAY(DATE(CalendarYear,2,2),1),"aaa")</f>
        <v>št</v>
      </c>
      <c r="E5" s="2" t="str">
        <f>TEXT(WEEKDAY(DATE(CalendarYear,2,3),1),"aaa")</f>
        <v>sk</v>
      </c>
      <c r="F5" s="2" t="str">
        <f>TEXT(WEEKDAY(DATE(CalendarYear,2,4),1),"aaa")</f>
        <v>pr</v>
      </c>
      <c r="G5" s="2" t="str">
        <f>TEXT(WEEKDAY(DATE(CalendarYear,2,5),1),"aaa")</f>
        <v>an</v>
      </c>
      <c r="H5" s="2" t="str">
        <f>TEXT(WEEKDAY(DATE(CalendarYear,2,6),1),"aaa")</f>
        <v>tr</v>
      </c>
      <c r="I5" s="2" t="str">
        <f>TEXT(WEEKDAY(DATE(CalendarYear,2,7),1),"aaa")</f>
        <v>kt</v>
      </c>
      <c r="J5" s="2" t="str">
        <f>TEXT(WEEKDAY(DATE(CalendarYear,2,8),1),"aaa")</f>
        <v>pn</v>
      </c>
      <c r="K5" s="2" t="str">
        <f>TEXT(WEEKDAY(DATE(CalendarYear,2,9),1),"aaa")</f>
        <v>št</v>
      </c>
      <c r="L5" s="2" t="str">
        <f>TEXT(WEEKDAY(DATE(CalendarYear,2,10),1),"aaa")</f>
        <v>sk</v>
      </c>
      <c r="M5" s="2" t="str">
        <f>TEXT(WEEKDAY(DATE(CalendarYear,2,11),1),"aaa")</f>
        <v>pr</v>
      </c>
      <c r="N5" s="2" t="str">
        <f>TEXT(WEEKDAY(DATE(CalendarYear,2,12),1),"aaa")</f>
        <v>an</v>
      </c>
      <c r="O5" s="2" t="str">
        <f>TEXT(WEEKDAY(DATE(CalendarYear,2,13),1),"aaa")</f>
        <v>tr</v>
      </c>
      <c r="P5" s="2" t="str">
        <f>TEXT(WEEKDAY(DATE(CalendarYear,2,14),1),"aaa")</f>
        <v>kt</v>
      </c>
      <c r="Q5" s="2" t="str">
        <f>TEXT(WEEKDAY(DATE(CalendarYear,2,15),1),"aaa")</f>
        <v>pn</v>
      </c>
      <c r="R5" s="2" t="str">
        <f>TEXT(WEEKDAY(DATE(CalendarYear,2,16),1),"aaa")</f>
        <v>št</v>
      </c>
      <c r="S5" s="2" t="str">
        <f>TEXT(WEEKDAY(DATE(CalendarYear,2,17),1),"aaa")</f>
        <v>sk</v>
      </c>
      <c r="T5" s="2" t="str">
        <f>TEXT(WEEKDAY(DATE(CalendarYear,2,18),1),"aaa")</f>
        <v>pr</v>
      </c>
      <c r="U5" s="2" t="str">
        <f>TEXT(WEEKDAY(DATE(CalendarYear,2,19),1),"aaa")</f>
        <v>an</v>
      </c>
      <c r="V5" s="2" t="str">
        <f>TEXT(WEEKDAY(DATE(CalendarYear,2,20),1),"aaa")</f>
        <v>tr</v>
      </c>
      <c r="W5" s="2" t="str">
        <f>TEXT(WEEKDAY(DATE(CalendarYear,2,21),1),"aaa")</f>
        <v>kt</v>
      </c>
      <c r="X5" s="2" t="str">
        <f>TEXT(WEEKDAY(DATE(CalendarYear,2,22),1),"aaa")</f>
        <v>pn</v>
      </c>
      <c r="Y5" s="2" t="str">
        <f>TEXT(WEEKDAY(DATE(CalendarYear,2,23),1),"aaa")</f>
        <v>št</v>
      </c>
      <c r="Z5" s="2" t="str">
        <f>TEXT(WEEKDAY(DATE(CalendarYear,2,24),1),"aaa")</f>
        <v>sk</v>
      </c>
      <c r="AA5" s="2" t="str">
        <f>TEXT(WEEKDAY(DATE(CalendarYear,2,25),1),"aaa")</f>
        <v>pr</v>
      </c>
      <c r="AB5" s="2" t="str">
        <f>TEXT(WEEKDAY(DATE(CalendarYear,2,26),1),"aaa")</f>
        <v>an</v>
      </c>
      <c r="AC5" s="2" t="str">
        <f>TEXT(WEEKDAY(DATE(CalendarYear,2,27),1),"aaa")</f>
        <v>tr</v>
      </c>
      <c r="AD5" s="2" t="str">
        <f>TEXT(WEEKDAY(DATE(CalendarYear,2,28),1),"aaa")</f>
        <v>kt</v>
      </c>
      <c r="AE5" s="2" t="str">
        <f>TEXT(WEEKDAY(DATE(CalendarYear,2,29),1),"aaa")</f>
        <v>pn</v>
      </c>
      <c r="AF5" s="2"/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49</v>
      </c>
      <c r="AG6" s="3" t="s">
        <v>50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 t="s">
        <v>61</v>
      </c>
      <c r="F7" s="3" t="s">
        <v>61</v>
      </c>
      <c r="G7" s="3" t="s">
        <v>61</v>
      </c>
      <c r="H7" s="3" t="s">
        <v>61</v>
      </c>
      <c r="I7" s="3"/>
      <c r="J7" s="3"/>
      <c r="K7" s="3"/>
      <c r="L7" s="3"/>
      <c r="M7" s="3"/>
      <c r="N7" s="3"/>
      <c r="O7" s="3" t="s">
        <v>61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COUNTA(Vasaris[[#This Row],[1]:[29]])</f>
        <v>5</v>
      </c>
    </row>
    <row r="8" spans="2:34" ht="30" customHeight="1" x14ac:dyDescent="0.25">
      <c r="B8" s="17" t="s">
        <v>5</v>
      </c>
      <c r="C8" s="3"/>
      <c r="D8" s="3"/>
      <c r="E8" s="3"/>
      <c r="F8" s="3"/>
      <c r="G8" s="3" t="s">
        <v>63</v>
      </c>
      <c r="H8" s="3" t="s">
        <v>63</v>
      </c>
      <c r="I8" s="3"/>
      <c r="J8" s="3"/>
      <c r="K8" s="3"/>
      <c r="L8" s="3"/>
      <c r="M8" s="3" t="s">
        <v>62</v>
      </c>
      <c r="N8" s="3"/>
      <c r="O8" s="3"/>
      <c r="P8" s="3"/>
      <c r="Q8" s="3"/>
      <c r="R8" s="3"/>
      <c r="S8" s="3"/>
      <c r="T8" s="3"/>
      <c r="U8" s="3"/>
      <c r="V8" s="3" t="s">
        <v>63</v>
      </c>
      <c r="W8" s="3"/>
      <c r="X8" s="3"/>
      <c r="Y8" s="3"/>
      <c r="Z8" s="3"/>
      <c r="AA8" s="3" t="s">
        <v>61</v>
      </c>
      <c r="AB8" s="3" t="s">
        <v>61</v>
      </c>
      <c r="AC8" s="3" t="s">
        <v>61</v>
      </c>
      <c r="AD8" s="3"/>
      <c r="AE8" s="3"/>
      <c r="AF8" s="3"/>
      <c r="AG8" s="3"/>
      <c r="AH8" s="10">
        <f>COUNTA(Vasaris[[#This Row],[1]:[29]])</f>
        <v>7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COUNTA(Vasaris[[#This Row],[1]:[29]])</f>
        <v>0</v>
      </c>
    </row>
    <row r="10" spans="2:34" ht="30" customHeight="1" x14ac:dyDescent="0.25">
      <c r="B10" s="17" t="s">
        <v>7</v>
      </c>
      <c r="C10" s="3"/>
      <c r="D10" s="3"/>
      <c r="E10" s="3" t="s">
        <v>63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63</v>
      </c>
      <c r="Q10" s="3"/>
      <c r="R10" s="3"/>
      <c r="S10" s="3"/>
      <c r="T10" s="3" t="s">
        <v>62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63</v>
      </c>
      <c r="AE10" s="3"/>
      <c r="AF10" s="3"/>
      <c r="AG10" s="3"/>
      <c r="AH10" s="10">
        <f>COUNTA(Vasaris[[#This Row],[1]:[29]])</f>
        <v>4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 t="s">
        <v>61</v>
      </c>
      <c r="K11" s="3" t="s">
        <v>61</v>
      </c>
      <c r="L11" s="3" t="s">
        <v>61</v>
      </c>
      <c r="M11" s="3" t="s">
        <v>61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63</v>
      </c>
      <c r="AA11" s="3"/>
      <c r="AB11" s="3"/>
      <c r="AC11" s="3"/>
      <c r="AD11" s="3"/>
      <c r="AE11" s="3"/>
      <c r="AF11" s="3"/>
      <c r="AG11" s="3"/>
      <c r="AH11" s="10">
        <f>COUNTA(Vasaris[[#This Row],[1]:[29]])</f>
        <v>5</v>
      </c>
    </row>
    <row r="12" spans="2:34" ht="30" customHeight="1" x14ac:dyDescent="0.25">
      <c r="B12" s="21" t="str">
        <f>MonthName&amp;" bendroji suma"</f>
        <v>Vasaris bendroji suma</v>
      </c>
      <c r="C12" s="13">
        <f>SUBTOTAL(103,Vasaris[1])</f>
        <v>0</v>
      </c>
      <c r="D12" s="13">
        <f>SUBTOTAL(103,Vasaris[2])</f>
        <v>0</v>
      </c>
      <c r="E12" s="13">
        <f>SUBTOTAL(103,Vasaris[3])</f>
        <v>2</v>
      </c>
      <c r="F12" s="13">
        <f>SUBTOTAL(103,Vasaris[4])</f>
        <v>1</v>
      </c>
      <c r="G12" s="13">
        <f>SUBTOTAL(103,Vasaris[5])</f>
        <v>2</v>
      </c>
      <c r="H12" s="13">
        <f>SUBTOTAL(103,Vasaris[6])</f>
        <v>2</v>
      </c>
      <c r="I12" s="13">
        <f>SUBTOTAL(103,Vasaris[7])</f>
        <v>0</v>
      </c>
      <c r="J12" s="13">
        <f>SUBTOTAL(103,Vasaris[8])</f>
        <v>1</v>
      </c>
      <c r="K12" s="13">
        <f>SUBTOTAL(103,Vasaris[9])</f>
        <v>1</v>
      </c>
      <c r="L12" s="13">
        <f>SUBTOTAL(103,Vasaris[10])</f>
        <v>1</v>
      </c>
      <c r="M12" s="13">
        <f>SUBTOTAL(103,Vasaris[11])</f>
        <v>2</v>
      </c>
      <c r="N12" s="13">
        <f>SUBTOTAL(103,Vasaris[12])</f>
        <v>0</v>
      </c>
      <c r="O12" s="13">
        <f>SUBTOTAL(103,Vasaris[13])</f>
        <v>1</v>
      </c>
      <c r="P12" s="13">
        <f>SUBTOTAL(103,Vasaris[14])</f>
        <v>1</v>
      </c>
      <c r="Q12" s="13">
        <f>SUBTOTAL(103,Vasaris[15])</f>
        <v>0</v>
      </c>
      <c r="R12" s="13">
        <f>SUBTOTAL(103,Vasaris[16])</f>
        <v>0</v>
      </c>
      <c r="S12" s="13">
        <f>SUBTOTAL(103,Vasaris[17])</f>
        <v>0</v>
      </c>
      <c r="T12" s="13">
        <f>SUBTOTAL(103,Vasaris[18])</f>
        <v>1</v>
      </c>
      <c r="U12" s="13">
        <f>SUBTOTAL(103,Vasaris[19])</f>
        <v>0</v>
      </c>
      <c r="V12" s="13">
        <f>SUBTOTAL(103,Vasaris[20])</f>
        <v>1</v>
      </c>
      <c r="W12" s="13">
        <f>SUBTOTAL(103,Vasaris[21])</f>
        <v>0</v>
      </c>
      <c r="X12" s="13">
        <f>SUBTOTAL(103,Vasaris[22])</f>
        <v>0</v>
      </c>
      <c r="Y12" s="13">
        <f>SUBTOTAL(103,Vasaris[23])</f>
        <v>0</v>
      </c>
      <c r="Z12" s="13">
        <f>SUBTOTAL(103,Vasaris[24])</f>
        <v>1</v>
      </c>
      <c r="AA12" s="13">
        <f>SUBTOTAL(103,Vasaris[25])</f>
        <v>1</v>
      </c>
      <c r="AB12" s="13">
        <f>SUBTOTAL(103,Vasaris[26])</f>
        <v>1</v>
      </c>
      <c r="AC12" s="13">
        <f>SUBTOTAL(103,Vasaris[27])</f>
        <v>1</v>
      </c>
      <c r="AD12" s="13">
        <f>SUBTOTAL(103,Vasaris[28])</f>
        <v>1</v>
      </c>
      <c r="AE12" s="13">
        <f>SUBTOTAL(103,Vasaris[29])</f>
        <v>0</v>
      </c>
      <c r="AF12" s="13"/>
      <c r="AG12" s="13"/>
      <c r="AH12" s="13">
        <f>SUBTOTAL(109,Vasaris[Iš viso dienų])</f>
        <v>21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AE6">
    <cfRule type="expression" dxfId="320" priority="16">
      <formula>MONTH(DATE(CalendarYear,2,29))&lt;&gt;2</formula>
    </cfRule>
  </conditionalFormatting>
  <conditionalFormatting sqref="AE5">
    <cfRule type="expression" dxfId="319" priority="15">
      <formula>MONTH(DATE(CalendarYear,2,29))&lt;&gt;2</formula>
    </cfRule>
  </conditionalFormatting>
  <conditionalFormatting sqref="C7:AG11">
    <cfRule type="expression" priority="2" stopIfTrue="1">
      <formula>C7=""</formula>
    </cfRule>
    <cfRule type="expression" dxfId="318" priority="3" stopIfTrue="1">
      <formula>C7=KeyCustom2</formula>
    </cfRule>
  </conditionalFormatting>
  <conditionalFormatting sqref="C7:AG11">
    <cfRule type="expression" dxfId="317" priority="5" stopIfTrue="1">
      <formula>C7=KeyCustom1</formula>
    </cfRule>
    <cfRule type="expression" dxfId="316" priority="6" stopIfTrue="1">
      <formula>C7=KeySick</formula>
    </cfRule>
    <cfRule type="expression" dxfId="315" priority="7" stopIfTrue="1">
      <formula>C7=KeyPersonal</formula>
    </cfRule>
    <cfRule type="expression" dxfId="314" priority="8" stopIfTrue="1">
      <formula>C7=KeyVacation</formula>
    </cfRule>
  </conditionalFormatting>
  <conditionalFormatting sqref="AH7:AH11">
    <cfRule type="dataBar" priority="153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Metai automatiškai atnaujinami pagal sausio darbalapyje įvestus metus." sqref="AH4" xr:uid="{00000000-0002-0000-0100-000000000000}"/>
    <dataValidation allowBlank="1" showInputMessage="1" showErrorMessage="1" prompt="Šiame darbalapyje sekite neatvykimus vasarį" sqref="A1" xr:uid="{00000000-0002-0000-0100-000001000000}"/>
    <dataValidation allowBlank="1" showInputMessage="1" showErrorMessage="1" prompt="Automatiškai skaičiuoja šiame stulpelyje bendrą skaičių dienų, kai darbuotojas šį mėnesį neatvyko" sqref="AH6" xr:uid="{00000000-0002-0000-0100-000002000000}"/>
    <dataValidation allowBlank="1" showInputMessage="1" showErrorMessage="1" prompt="Šiame langelyje yra automatiškai atnaujinamas pavadinimas. Jei norite keisti pavadinimą, atnaujinkite B1 langelį sausio darbalapyje" sqref="B1" xr:uid="{00000000-0002-0000-0100-000003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100-000004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100-000005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100-000006000000}"/>
    <dataValidation allowBlank="1" showInputMessage="1" showErrorMessage="1" prompt="Įveskite žymą, apibūdinančią pasirinktinį kodą kairėje" sqref="O2:Q2 S2:U2" xr:uid="{00000000-0002-0000-0100-000007000000}"/>
    <dataValidation allowBlank="1" showInputMessage="1" showErrorMessage="1" prompt="Įveskite raidę ir tinkinkite žymą dešinėje, kad įtrauktumėte kitą pagrindinį elementą" sqref="N2 R2" xr:uid="{00000000-0002-0000-0100-000008000000}"/>
    <dataValidation allowBlank="1" showInputMessage="1" showErrorMessage="1" prompt="Raidė „L“ rodo neatvykimą dėl ligos" sqref="K2" xr:uid="{00000000-0002-0000-0100-000009000000}"/>
    <dataValidation allowBlank="1" showInputMessage="1" showErrorMessage="1" prompt="Raidė „AS“ rodo neatvykimą dėl asmeninių priežasčių" sqref="G2" xr:uid="{00000000-0002-0000-0100-00000A000000}"/>
    <dataValidation allowBlank="1" showInputMessage="1" showErrorMessage="1" prompt="Raidė „AT“ rodo neatvykimą dėl atostogų" sqref="C2" xr:uid="{00000000-0002-0000-0100-00000B000000}"/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100-00000C000000}"/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1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51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TEXT(WEEKDAY(DATE(CalendarYear,3,1),1),"aaa")</f>
        <v>pn</v>
      </c>
      <c r="D5" s="2" t="str">
        <f>TEXT(WEEKDAY(DATE(CalendarYear,3,2),1),"aaa")</f>
        <v>št</v>
      </c>
      <c r="E5" s="2" t="str">
        <f>TEXT(WEEKDAY(DATE(CalendarYear,3,3),1),"aaa")</f>
        <v>sk</v>
      </c>
      <c r="F5" s="2" t="str">
        <f>TEXT(WEEKDAY(DATE(CalendarYear,3,4),1),"aaa")</f>
        <v>pr</v>
      </c>
      <c r="G5" s="2" t="str">
        <f>TEXT(WEEKDAY(DATE(CalendarYear,3,5),1),"aaa")</f>
        <v>an</v>
      </c>
      <c r="H5" s="2" t="str">
        <f>TEXT(WEEKDAY(DATE(CalendarYear,3,6),1),"aaa")</f>
        <v>tr</v>
      </c>
      <c r="I5" s="2" t="str">
        <f>TEXT(WEEKDAY(DATE(CalendarYear,3,7),1),"aaa")</f>
        <v>kt</v>
      </c>
      <c r="J5" s="2" t="str">
        <f>TEXT(WEEKDAY(DATE(CalendarYear,3,8),1),"aaa")</f>
        <v>pn</v>
      </c>
      <c r="K5" s="2" t="str">
        <f>TEXT(WEEKDAY(DATE(CalendarYear,3,9),1),"aaa")</f>
        <v>št</v>
      </c>
      <c r="L5" s="2" t="str">
        <f>TEXT(WEEKDAY(DATE(CalendarYear,3,10),1),"aaa")</f>
        <v>sk</v>
      </c>
      <c r="M5" s="2" t="str">
        <f>TEXT(WEEKDAY(DATE(CalendarYear,3,11),1),"aaa")</f>
        <v>pr</v>
      </c>
      <c r="N5" s="2" t="str">
        <f>TEXT(WEEKDAY(DATE(CalendarYear,3,12),1),"aaa")</f>
        <v>an</v>
      </c>
      <c r="O5" s="2" t="str">
        <f>TEXT(WEEKDAY(DATE(CalendarYear,3,13),1),"aaa")</f>
        <v>tr</v>
      </c>
      <c r="P5" s="2" t="str">
        <f>TEXT(WEEKDAY(DATE(CalendarYear,3,14),1),"aaa")</f>
        <v>kt</v>
      </c>
      <c r="Q5" s="2" t="str">
        <f>TEXT(WEEKDAY(DATE(CalendarYear,3,15),1),"aaa")</f>
        <v>pn</v>
      </c>
      <c r="R5" s="2" t="str">
        <f>TEXT(WEEKDAY(DATE(CalendarYear,3,16),1),"aaa")</f>
        <v>št</v>
      </c>
      <c r="S5" s="2" t="str">
        <f>TEXT(WEEKDAY(DATE(CalendarYear,3,17),1),"aaa")</f>
        <v>sk</v>
      </c>
      <c r="T5" s="2" t="str">
        <f>TEXT(WEEKDAY(DATE(CalendarYear,3,18),1),"aaa")</f>
        <v>pr</v>
      </c>
      <c r="U5" s="2" t="str">
        <f>TEXT(WEEKDAY(DATE(CalendarYear,3,19),1),"aaa")</f>
        <v>an</v>
      </c>
      <c r="V5" s="2" t="str">
        <f>TEXT(WEEKDAY(DATE(CalendarYear,3,20),1),"aaa")</f>
        <v>tr</v>
      </c>
      <c r="W5" s="2" t="str">
        <f>TEXT(WEEKDAY(DATE(CalendarYear,3,21),1),"aaa")</f>
        <v>kt</v>
      </c>
      <c r="X5" s="2" t="str">
        <f>TEXT(WEEKDAY(DATE(CalendarYear,3,22),1),"aaa")</f>
        <v>pn</v>
      </c>
      <c r="Y5" s="2" t="str">
        <f>TEXT(WEEKDAY(DATE(CalendarYear,3,23),1),"aaa")</f>
        <v>št</v>
      </c>
      <c r="Z5" s="2" t="str">
        <f>TEXT(WEEKDAY(DATE(CalendarYear,3,24),1),"aaa")</f>
        <v>sk</v>
      </c>
      <c r="AA5" s="2" t="str">
        <f>TEXT(WEEKDAY(DATE(CalendarYear,3,25),1),"aaa")</f>
        <v>pr</v>
      </c>
      <c r="AB5" s="2" t="str">
        <f>TEXT(WEEKDAY(DATE(CalendarYear,3,26),1),"aaa")</f>
        <v>an</v>
      </c>
      <c r="AC5" s="2" t="str">
        <f>TEXT(WEEKDAY(DATE(CalendarYear,3,27),1),"aaa")</f>
        <v>tr</v>
      </c>
      <c r="AD5" s="2" t="str">
        <f>TEXT(WEEKDAY(DATE(CalendarYear,3,28),1),"aaa")</f>
        <v>kt</v>
      </c>
      <c r="AE5" s="2" t="str">
        <f>TEXT(WEEKDAY(DATE(CalendarYear,3,29),1),"aaa")</f>
        <v>pn</v>
      </c>
      <c r="AF5" s="2" t="str">
        <f>TEXT(WEEKDAY(DATE(CalendarYear,3,30),1),"aaa")</f>
        <v>št</v>
      </c>
      <c r="AG5" s="2" t="str">
        <f>TEXT(WEEKDAY(DATE(CalendarYear,3,31),1),"aaa")</f>
        <v>sk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COUNTA(Kovas[[#This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COUNTA(Kovas[[#This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COUNTA(Kovas[[#This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COUNTA(Kovas[[#This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COUNTA(Kovas[[#This Row],[1]:[31]])</f>
        <v>0</v>
      </c>
    </row>
    <row r="12" spans="2:34" ht="30" customHeight="1" x14ac:dyDescent="0.25">
      <c r="B12" s="21" t="str">
        <f>MonthName&amp;" bendroji suma"</f>
        <v>Kovas bendroji suma</v>
      </c>
      <c r="C12" s="13">
        <f>SUBTOTAL(103,Kovas[1])</f>
        <v>0</v>
      </c>
      <c r="D12" s="13">
        <f>SUBTOTAL(103,Kovas[2])</f>
        <v>0</v>
      </c>
      <c r="E12" s="13">
        <f>SUBTOTAL(103,Kovas[3])</f>
        <v>0</v>
      </c>
      <c r="F12" s="13">
        <f>SUBTOTAL(103,Kovas[4])</f>
        <v>0</v>
      </c>
      <c r="G12" s="13">
        <f>SUBTOTAL(103,Kovas[5])</f>
        <v>0</v>
      </c>
      <c r="H12" s="13">
        <f>SUBTOTAL(103,Kovas[6])</f>
        <v>0</v>
      </c>
      <c r="I12" s="13">
        <f>SUBTOTAL(103,Kovas[7])</f>
        <v>0</v>
      </c>
      <c r="J12" s="13">
        <f>SUBTOTAL(103,Kovas[8])</f>
        <v>0</v>
      </c>
      <c r="K12" s="13">
        <f>SUBTOTAL(103,Kovas[9])</f>
        <v>0</v>
      </c>
      <c r="L12" s="13">
        <f>SUBTOTAL(103,Kovas[10])</f>
        <v>0</v>
      </c>
      <c r="M12" s="13">
        <f>SUBTOTAL(103,Kovas[11])</f>
        <v>0</v>
      </c>
      <c r="N12" s="13">
        <f>SUBTOTAL(103,Kovas[12])</f>
        <v>0</v>
      </c>
      <c r="O12" s="13">
        <f>SUBTOTAL(103,Kovas[13])</f>
        <v>0</v>
      </c>
      <c r="P12" s="13">
        <f>SUBTOTAL(103,Kovas[14])</f>
        <v>0</v>
      </c>
      <c r="Q12" s="13">
        <f>SUBTOTAL(103,Kovas[15])</f>
        <v>0</v>
      </c>
      <c r="R12" s="13">
        <f>SUBTOTAL(103,Kovas[16])</f>
        <v>0</v>
      </c>
      <c r="S12" s="13">
        <f>SUBTOTAL(103,Kovas[17])</f>
        <v>0</v>
      </c>
      <c r="T12" s="13">
        <f>SUBTOTAL(103,Kovas[18])</f>
        <v>0</v>
      </c>
      <c r="U12" s="13">
        <f>SUBTOTAL(103,Kovas[19])</f>
        <v>0</v>
      </c>
      <c r="V12" s="13">
        <f>SUBTOTAL(103,Kovas[20])</f>
        <v>0</v>
      </c>
      <c r="W12" s="13">
        <f>SUBTOTAL(103,Kovas[21])</f>
        <v>0</v>
      </c>
      <c r="X12" s="13">
        <f>SUBTOTAL(103,Kovas[22])</f>
        <v>0</v>
      </c>
      <c r="Y12" s="13">
        <f>SUBTOTAL(103,Kovas[23])</f>
        <v>0</v>
      </c>
      <c r="Z12" s="13">
        <f>SUBTOTAL(103,Kovas[24])</f>
        <v>0</v>
      </c>
      <c r="AA12" s="13">
        <f>SUBTOTAL(103,Kovas[25])</f>
        <v>0</v>
      </c>
      <c r="AB12" s="13">
        <f>SUBTOTAL(103,Kovas[26])</f>
        <v>0</v>
      </c>
      <c r="AC12" s="13">
        <f>SUBTOTAL(103,Kovas[27])</f>
        <v>0</v>
      </c>
      <c r="AD12" s="13">
        <f>SUBTOTAL(103,Kovas[28])</f>
        <v>0</v>
      </c>
      <c r="AE12" s="13">
        <f>SUBTOTAL(103,Kovas[29])</f>
        <v>0</v>
      </c>
      <c r="AF12" s="13">
        <f>SUBTOTAL(103,Kovas[30])</f>
        <v>0</v>
      </c>
      <c r="AG12" s="13">
        <f>SUBTOTAL(103,Kovas[31])</f>
        <v>0</v>
      </c>
      <c r="AH12" s="13">
        <f>SUBTOTAL(109,Kovas[Iš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13" priority="2" stopIfTrue="1">
      <formula>C7=KeyCustom2</formula>
    </cfRule>
    <cfRule type="expression" dxfId="312" priority="3" stopIfTrue="1">
      <formula>C7=KeyCustom1</formula>
    </cfRule>
    <cfRule type="expression" dxfId="311" priority="4" stopIfTrue="1">
      <formula>C7=KeySick</formula>
    </cfRule>
    <cfRule type="expression" dxfId="310" priority="5" stopIfTrue="1">
      <formula>C7=KeyPersonal</formula>
    </cfRule>
    <cfRule type="expression" dxfId="309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200-000000000000}"/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200-000001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200-000002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200-000003000000}"/>
    <dataValidation allowBlank="1" showInputMessage="1" showErrorMessage="1" prompt="Įveskite žymą, apibūdinančią pasirinktinį kodą kairėje" sqref="O2:Q2 S2:U2" xr:uid="{00000000-0002-0000-0200-000004000000}"/>
    <dataValidation allowBlank="1" showInputMessage="1" showErrorMessage="1" prompt="Įveskite raidę ir tinkinkite žymą dešinėje, kad įtrauktumėte kitą pagrindinį elementą" sqref="N2 R2" xr:uid="{00000000-0002-0000-0200-000005000000}"/>
    <dataValidation allowBlank="1" showInputMessage="1" showErrorMessage="1" prompt="Raidė „L“ rodo neatvykimą dėl ligos" sqref="K2" xr:uid="{00000000-0002-0000-0200-000006000000}"/>
    <dataValidation allowBlank="1" showInputMessage="1" showErrorMessage="1" prompt="Raidė „AS“ rodo neatvykimą dėl asmeninių priežasčių" sqref="G2" xr:uid="{00000000-0002-0000-0200-000007000000}"/>
    <dataValidation allowBlank="1" showInputMessage="1" showErrorMessage="1" prompt="Raidė „AT“ rodo neatvykimą dėl atostogų" sqref="C2" xr:uid="{00000000-0002-0000-0200-000008000000}"/>
    <dataValidation allowBlank="1" showInputMessage="1" showErrorMessage="1" prompt="Šiame langelyje yra automatiškai atnaujinamas pavadinimas. Jei norite keisti pavadinimą, atnaujinkite B1 langelį sausio darbalapyje" sqref="B1" xr:uid="{00000000-0002-0000-0200-000009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200-00000A000000}"/>
    <dataValidation allowBlank="1" showInputMessage="1" showErrorMessage="1" prompt="Šiame darbalapyje sekite neatvykimus kovą" sqref="A1" xr:uid="{00000000-0002-0000-0200-00000B000000}"/>
    <dataValidation allowBlank="1" showInputMessage="1" showErrorMessage="1" prompt="Automatiškai skaičiuoja šiame stulpelyje bendrą skaičių dienų, kai darbuotojas šį mėnesį neatvyko" sqref="AH6" xr:uid="{00000000-0002-0000-0200-00000C000000}"/>
    <dataValidation allowBlank="1" showInputMessage="1" showErrorMessage="1" prompt="Metai automatiškai atnaujinami pagal sausio darbalapyje įvestus metus." sqref="AH4" xr:uid="{00000000-0002-0000-02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52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TEXT(WEEKDAY(DATE(CalendarYear,4,1),1),"aaa")</f>
        <v>pr</v>
      </c>
      <c r="D5" s="2" t="str">
        <f>TEXT(WEEKDAY(DATE(CalendarYear,4,2),1),"aaa")</f>
        <v>an</v>
      </c>
      <c r="E5" s="2" t="str">
        <f>TEXT(WEEKDAY(DATE(CalendarYear,4,3),1),"aaa")</f>
        <v>tr</v>
      </c>
      <c r="F5" s="2" t="str">
        <f>TEXT(WEEKDAY(DATE(CalendarYear,4,4),1),"aaa")</f>
        <v>kt</v>
      </c>
      <c r="G5" s="2" t="str">
        <f>TEXT(WEEKDAY(DATE(CalendarYear,4,5),1),"aaa")</f>
        <v>pn</v>
      </c>
      <c r="H5" s="2" t="str">
        <f>TEXT(WEEKDAY(DATE(CalendarYear,4,6),1),"aaa")</f>
        <v>št</v>
      </c>
      <c r="I5" s="2" t="str">
        <f>TEXT(WEEKDAY(DATE(CalendarYear,4,7),1),"aaa")</f>
        <v>sk</v>
      </c>
      <c r="J5" s="2" t="str">
        <f>TEXT(WEEKDAY(DATE(CalendarYear,4,8),1),"aaa")</f>
        <v>pr</v>
      </c>
      <c r="K5" s="2" t="str">
        <f>TEXT(WEEKDAY(DATE(CalendarYear,4,9),1),"aaa")</f>
        <v>an</v>
      </c>
      <c r="L5" s="2" t="str">
        <f>TEXT(WEEKDAY(DATE(CalendarYear,4,10),1),"aaa")</f>
        <v>tr</v>
      </c>
      <c r="M5" s="2" t="str">
        <f>TEXT(WEEKDAY(DATE(CalendarYear,4,11),1),"aaa")</f>
        <v>kt</v>
      </c>
      <c r="N5" s="2" t="str">
        <f>TEXT(WEEKDAY(DATE(CalendarYear,4,12),1),"aaa")</f>
        <v>pn</v>
      </c>
      <c r="O5" s="2" t="str">
        <f>TEXT(WEEKDAY(DATE(CalendarYear,4,13),1),"aaa")</f>
        <v>št</v>
      </c>
      <c r="P5" s="2" t="str">
        <f>TEXT(WEEKDAY(DATE(CalendarYear,4,14),1),"aaa")</f>
        <v>sk</v>
      </c>
      <c r="Q5" s="2" t="str">
        <f>TEXT(WEEKDAY(DATE(CalendarYear,4,15),1),"aaa")</f>
        <v>pr</v>
      </c>
      <c r="R5" s="2" t="str">
        <f>TEXT(WEEKDAY(DATE(CalendarYear,4,16),1),"aaa")</f>
        <v>an</v>
      </c>
      <c r="S5" s="2" t="str">
        <f>TEXT(WEEKDAY(DATE(CalendarYear,4,17),1),"aaa")</f>
        <v>tr</v>
      </c>
      <c r="T5" s="2" t="str">
        <f>TEXT(WEEKDAY(DATE(CalendarYear,4,18),1),"aaa")</f>
        <v>kt</v>
      </c>
      <c r="U5" s="2" t="str">
        <f>TEXT(WEEKDAY(DATE(CalendarYear,4,19),1),"aaa")</f>
        <v>pn</v>
      </c>
      <c r="V5" s="2" t="str">
        <f>TEXT(WEEKDAY(DATE(CalendarYear,4,20),1),"aaa")</f>
        <v>št</v>
      </c>
      <c r="W5" s="2" t="str">
        <f>TEXT(WEEKDAY(DATE(CalendarYear,4,21),1),"aaa")</f>
        <v>sk</v>
      </c>
      <c r="X5" s="2" t="str">
        <f>TEXT(WEEKDAY(DATE(CalendarYear,4,22),1),"aaa")</f>
        <v>pr</v>
      </c>
      <c r="Y5" s="2" t="str">
        <f>TEXT(WEEKDAY(DATE(CalendarYear,4,23),1),"aaa")</f>
        <v>an</v>
      </c>
      <c r="Z5" s="2" t="str">
        <f>TEXT(WEEKDAY(DATE(CalendarYear,4,24),1),"aaa")</f>
        <v>tr</v>
      </c>
      <c r="AA5" s="2" t="str">
        <f>TEXT(WEEKDAY(DATE(CalendarYear,4,25),1),"aaa")</f>
        <v>kt</v>
      </c>
      <c r="AB5" s="2" t="str">
        <f>TEXT(WEEKDAY(DATE(CalendarYear,4,26),1),"aaa")</f>
        <v>pn</v>
      </c>
      <c r="AC5" s="2" t="str">
        <f>TEXT(WEEKDAY(DATE(CalendarYear,4,27),1),"aaa")</f>
        <v>št</v>
      </c>
      <c r="AD5" s="2" t="str">
        <f>TEXT(WEEKDAY(DATE(CalendarYear,4,28),1),"aaa")</f>
        <v>sk</v>
      </c>
      <c r="AE5" s="2" t="str">
        <f>TEXT(WEEKDAY(DATE(CalendarYear,4,29),1),"aaa")</f>
        <v>pr</v>
      </c>
      <c r="AF5" s="2" t="str">
        <f>TEXT(WEEKDAY(DATE(CalendarYear,4,30),1),"aaa")</f>
        <v>an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23" t="s">
        <v>49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COUNTA(Balandis[[#This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COUNTA(Balandis[[#This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COUNTA(Balandis[[#This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COUNTA(Balandis[[#This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COUNTA(Balandis[[#This Row],[1]:[30]])</f>
        <v>0</v>
      </c>
    </row>
    <row r="12" spans="2:34" ht="30" customHeight="1" x14ac:dyDescent="0.25">
      <c r="B12" s="21" t="str">
        <f>MonthName&amp;" bendroji suma"</f>
        <v>Balandis bendroji suma</v>
      </c>
      <c r="C12" s="13">
        <f>SUBTOTAL(103,Balandis[1])</f>
        <v>0</v>
      </c>
      <c r="D12" s="13">
        <f>SUBTOTAL(103,Balandis[2])</f>
        <v>0</v>
      </c>
      <c r="E12" s="13">
        <f>SUBTOTAL(103,Balandis[3])</f>
        <v>0</v>
      </c>
      <c r="F12" s="13">
        <f>SUBTOTAL(103,Balandis[4])</f>
        <v>0</v>
      </c>
      <c r="G12" s="13">
        <f>SUBTOTAL(103,Balandis[5])</f>
        <v>0</v>
      </c>
      <c r="H12" s="13">
        <f>SUBTOTAL(103,Balandis[6])</f>
        <v>0</v>
      </c>
      <c r="I12" s="13">
        <f>SUBTOTAL(103,Balandis[7])</f>
        <v>0</v>
      </c>
      <c r="J12" s="13">
        <f>SUBTOTAL(103,Balandis[8])</f>
        <v>0</v>
      </c>
      <c r="K12" s="13">
        <f>SUBTOTAL(103,Balandis[9])</f>
        <v>0</v>
      </c>
      <c r="L12" s="13">
        <f>SUBTOTAL(103,Balandis[10])</f>
        <v>0</v>
      </c>
      <c r="M12" s="13">
        <f>SUBTOTAL(103,Balandis[11])</f>
        <v>0</v>
      </c>
      <c r="N12" s="13">
        <f>SUBTOTAL(103,Balandis[12])</f>
        <v>0</v>
      </c>
      <c r="O12" s="13">
        <f>SUBTOTAL(103,Balandis[13])</f>
        <v>0</v>
      </c>
      <c r="P12" s="13">
        <f>SUBTOTAL(103,Balandis[14])</f>
        <v>0</v>
      </c>
      <c r="Q12" s="13">
        <f>SUBTOTAL(103,Balandis[15])</f>
        <v>0</v>
      </c>
      <c r="R12" s="13">
        <f>SUBTOTAL(103,Balandis[16])</f>
        <v>0</v>
      </c>
      <c r="S12" s="13">
        <f>SUBTOTAL(103,Balandis[17])</f>
        <v>0</v>
      </c>
      <c r="T12" s="13">
        <f>SUBTOTAL(103,Balandis[18])</f>
        <v>0</v>
      </c>
      <c r="U12" s="13">
        <f>SUBTOTAL(103,Balandis[19])</f>
        <v>0</v>
      </c>
      <c r="V12" s="13">
        <f>SUBTOTAL(103,Balandis[20])</f>
        <v>0</v>
      </c>
      <c r="W12" s="13">
        <f>SUBTOTAL(103,Balandis[21])</f>
        <v>0</v>
      </c>
      <c r="X12" s="13">
        <f>SUBTOTAL(103,Balandis[22])</f>
        <v>0</v>
      </c>
      <c r="Y12" s="13">
        <f>SUBTOTAL(103,Balandis[23])</f>
        <v>0</v>
      </c>
      <c r="Z12" s="13">
        <f>SUBTOTAL(103,Balandis[24])</f>
        <v>0</v>
      </c>
      <c r="AA12" s="13">
        <f>SUBTOTAL(103,Balandis[25])</f>
        <v>0</v>
      </c>
      <c r="AB12" s="13">
        <f>SUBTOTAL(103,Balandis[26])</f>
        <v>0</v>
      </c>
      <c r="AC12" s="13">
        <f>SUBTOTAL(103,Balandis[27])</f>
        <v>0</v>
      </c>
      <c r="AD12" s="13">
        <f>SUBTOTAL(103,Balandis[28])</f>
        <v>0</v>
      </c>
      <c r="AE12" s="13">
        <f>SUBTOTAL(103,Balandis[29])</f>
        <v>0</v>
      </c>
      <c r="AF12" s="13">
        <f>SUBTOTAL(103,Balandis[30])</f>
        <v>0</v>
      </c>
      <c r="AG12" s="13">
        <f>SUBTOTAL(103,Balandis[30])</f>
        <v>0</v>
      </c>
      <c r="AH12" s="13">
        <f>SUBTOTAL(109,Balandis[Iš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08" priority="2" stopIfTrue="1">
      <formula>C7=KeyCustom2</formula>
    </cfRule>
    <cfRule type="expression" dxfId="307" priority="3" stopIfTrue="1">
      <formula>C7=KeyCustom1</formula>
    </cfRule>
    <cfRule type="expression" dxfId="306" priority="4" stopIfTrue="1">
      <formula>C7=KeySick</formula>
    </cfRule>
    <cfRule type="expression" dxfId="305" priority="5" stopIfTrue="1">
      <formula>C7=KeyPersonal</formula>
    </cfRule>
    <cfRule type="expression" dxfId="30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Metai automatiškai atnaujinami pagal sausio darbalapyje įvestus metus." sqref="AH4" xr:uid="{00000000-0002-0000-0300-000000000000}"/>
    <dataValidation allowBlank="1" showInputMessage="1" showErrorMessage="1" prompt="Automatiškai skaičiuoja šiame stulpelyje bendrą skaičių dienų, kai darbuotojas šį mėnesį neatvyko" sqref="AH6" xr:uid="{00000000-0002-0000-0300-000001000000}"/>
    <dataValidation allowBlank="1" showInputMessage="1" showErrorMessage="1" prompt="Šiame darbalapyje sekite neatvykimus balandį" sqref="A1" xr:uid="{00000000-0002-0000-0300-000002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300-000003000000}"/>
    <dataValidation allowBlank="1" showInputMessage="1" showErrorMessage="1" prompt="Šiame langelyje yra automatiškai atnaujinamas pavadinimas. Jei norite keisti pavadinimą, atnaujinkite B1 langelį sausio darbalapyje" sqref="B1" xr:uid="{00000000-0002-0000-0300-000004000000}"/>
    <dataValidation allowBlank="1" showInputMessage="1" showErrorMessage="1" prompt="Raidė „AT“ rodo neatvykimą dėl atostogų" sqref="C2" xr:uid="{00000000-0002-0000-0300-000005000000}"/>
    <dataValidation allowBlank="1" showInputMessage="1" showErrorMessage="1" prompt="Raidė „AS“ rodo neatvykimą dėl asmeninių priežasčių" sqref="G2" xr:uid="{00000000-0002-0000-0300-000006000000}"/>
    <dataValidation allowBlank="1" showInputMessage="1" showErrorMessage="1" prompt="Raidė „L“ rodo neatvykimą dėl ligos" sqref="K2" xr:uid="{00000000-0002-0000-0300-000007000000}"/>
    <dataValidation allowBlank="1" showInputMessage="1" showErrorMessage="1" prompt="Įveskite raidę ir tinkinkite žymą dešinėje, kad įtrauktumėte kitą pagrindinį elementą" sqref="N2 R2" xr:uid="{00000000-0002-0000-0300-000008000000}"/>
    <dataValidation allowBlank="1" showInputMessage="1" showErrorMessage="1" prompt="Įveskite žymą, apibūdinančią pasirinktinį kodą kairėje" sqref="O2:Q2 S2:U2" xr:uid="{00000000-0002-0000-0300-000009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300-00000A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300-00000B000000}"/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300-00000C000000}"/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3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64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TEXT(WEEKDAY(DATE(CalendarYear,5,1),1),"aaa")</f>
        <v>tr</v>
      </c>
      <c r="D5" s="2" t="str">
        <f>TEXT(WEEKDAY(DATE(CalendarYear,5,2),1),"aaa")</f>
        <v>kt</v>
      </c>
      <c r="E5" s="2" t="str">
        <f>TEXT(WEEKDAY(DATE(CalendarYear,5,3),1),"aaa")</f>
        <v>pn</v>
      </c>
      <c r="F5" s="2" t="str">
        <f>TEXT(WEEKDAY(DATE(CalendarYear,5,4),1),"aaa")</f>
        <v>št</v>
      </c>
      <c r="G5" s="2" t="str">
        <f>TEXT(WEEKDAY(DATE(CalendarYear,5,5),1),"aaa")</f>
        <v>sk</v>
      </c>
      <c r="H5" s="2" t="str">
        <f>TEXT(WEEKDAY(DATE(CalendarYear,5,6),1),"aaa")</f>
        <v>pr</v>
      </c>
      <c r="I5" s="2" t="str">
        <f>TEXT(WEEKDAY(DATE(CalendarYear,5,7),1),"aaa")</f>
        <v>an</v>
      </c>
      <c r="J5" s="2" t="str">
        <f>TEXT(WEEKDAY(DATE(CalendarYear,5,8),1),"aaa")</f>
        <v>tr</v>
      </c>
      <c r="K5" s="2" t="str">
        <f>TEXT(WEEKDAY(DATE(CalendarYear,5,9),1),"aaa")</f>
        <v>kt</v>
      </c>
      <c r="L5" s="2" t="str">
        <f>TEXT(WEEKDAY(DATE(CalendarYear,5,10),1),"aaa")</f>
        <v>pn</v>
      </c>
      <c r="M5" s="2" t="str">
        <f>TEXT(WEEKDAY(DATE(CalendarYear,5,11),1),"aaa")</f>
        <v>št</v>
      </c>
      <c r="N5" s="2" t="str">
        <f>TEXT(WEEKDAY(DATE(CalendarYear,5,12),1),"aaa")</f>
        <v>sk</v>
      </c>
      <c r="O5" s="2" t="str">
        <f>TEXT(WEEKDAY(DATE(CalendarYear,5,13),1),"aaa")</f>
        <v>pr</v>
      </c>
      <c r="P5" s="2" t="str">
        <f>TEXT(WEEKDAY(DATE(CalendarYear,5,14),1),"aaa")</f>
        <v>an</v>
      </c>
      <c r="Q5" s="2" t="str">
        <f>TEXT(WEEKDAY(DATE(CalendarYear,5,15),1),"aaa")</f>
        <v>tr</v>
      </c>
      <c r="R5" s="2" t="str">
        <f>TEXT(WEEKDAY(DATE(CalendarYear,5,16),1),"aaa")</f>
        <v>kt</v>
      </c>
      <c r="S5" s="2" t="str">
        <f>TEXT(WEEKDAY(DATE(CalendarYear,5,17),1),"aaa")</f>
        <v>pn</v>
      </c>
      <c r="T5" s="2" t="str">
        <f>TEXT(WEEKDAY(DATE(CalendarYear,5,18),1),"aaa")</f>
        <v>št</v>
      </c>
      <c r="U5" s="2" t="str">
        <f>TEXT(WEEKDAY(DATE(CalendarYear,5,19),1),"aaa")</f>
        <v>sk</v>
      </c>
      <c r="V5" s="2" t="str">
        <f>TEXT(WEEKDAY(DATE(CalendarYear,5,20),1),"aaa")</f>
        <v>pr</v>
      </c>
      <c r="W5" s="2" t="str">
        <f>TEXT(WEEKDAY(DATE(CalendarYear,5,21),1),"aaa")</f>
        <v>an</v>
      </c>
      <c r="X5" s="2" t="str">
        <f>TEXT(WEEKDAY(DATE(CalendarYear,5,22),1),"aaa")</f>
        <v>tr</v>
      </c>
      <c r="Y5" s="2" t="str">
        <f>TEXT(WEEKDAY(DATE(CalendarYear,5,23),1),"aaa")</f>
        <v>kt</v>
      </c>
      <c r="Z5" s="2" t="str">
        <f>TEXT(WEEKDAY(DATE(CalendarYear,5,24),1),"aaa")</f>
        <v>pn</v>
      </c>
      <c r="AA5" s="2" t="str">
        <f>TEXT(WEEKDAY(DATE(CalendarYear,5,25),1),"aaa")</f>
        <v>št</v>
      </c>
      <c r="AB5" s="2" t="str">
        <f>TEXT(WEEKDAY(DATE(CalendarYear,5,26),1),"aaa")</f>
        <v>sk</v>
      </c>
      <c r="AC5" s="2" t="str">
        <f>TEXT(WEEKDAY(DATE(CalendarYear,5,27),1),"aaa")</f>
        <v>pr</v>
      </c>
      <c r="AD5" s="2" t="str">
        <f>TEXT(WEEKDAY(DATE(CalendarYear,5,28),1),"aaa")</f>
        <v>an</v>
      </c>
      <c r="AE5" s="2" t="str">
        <f>TEXT(WEEKDAY(DATE(CalendarYear,5,29),1),"aaa")</f>
        <v>tr</v>
      </c>
      <c r="AF5" s="2" t="str">
        <f>TEXT(WEEKDAY(DATE(CalendarYear,5,30),1),"aaa")</f>
        <v>kt</v>
      </c>
      <c r="AG5" s="2" t="str">
        <f>TEXT(WEEKDAY(DATE(CalendarYear,5,31),1),"aaa")</f>
        <v>pn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COUNTA(Gegužė[[#This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COUNTA(Gegužė[[#This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COUNTA(Gegužė[[#This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COUNTA(Gegužė[[#This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COUNTA(Gegužė[[#This Row],[1]:[31]])</f>
        <v>0</v>
      </c>
    </row>
    <row r="12" spans="2:34" ht="30" customHeight="1" x14ac:dyDescent="0.25">
      <c r="B12" s="21" t="str">
        <f>MonthName&amp;" bendroji suma"</f>
        <v>Gegužė bendroji suma</v>
      </c>
      <c r="C12" s="13">
        <f>SUBTOTAL(103,Gegužė[1])</f>
        <v>0</v>
      </c>
      <c r="D12" s="13">
        <f>SUBTOTAL(103,Gegužė[2])</f>
        <v>0</v>
      </c>
      <c r="E12" s="13">
        <f>SUBTOTAL(103,Gegužė[3])</f>
        <v>0</v>
      </c>
      <c r="F12" s="13">
        <f>SUBTOTAL(103,Gegužė[4])</f>
        <v>0</v>
      </c>
      <c r="G12" s="13">
        <f>SUBTOTAL(103,Gegužė[5])</f>
        <v>0</v>
      </c>
      <c r="H12" s="13">
        <f>SUBTOTAL(103,Gegužė[6])</f>
        <v>0</v>
      </c>
      <c r="I12" s="13">
        <f>SUBTOTAL(103,Gegužė[7])</f>
        <v>0</v>
      </c>
      <c r="J12" s="13">
        <f>SUBTOTAL(103,Gegužė[8])</f>
        <v>0</v>
      </c>
      <c r="K12" s="13">
        <f>SUBTOTAL(103,Gegužė[9])</f>
        <v>0</v>
      </c>
      <c r="L12" s="13">
        <f>SUBTOTAL(103,Gegužė[10])</f>
        <v>0</v>
      </c>
      <c r="M12" s="13">
        <f>SUBTOTAL(103,Gegužė[11])</f>
        <v>0</v>
      </c>
      <c r="N12" s="13">
        <f>SUBTOTAL(103,Gegužė[12])</f>
        <v>0</v>
      </c>
      <c r="O12" s="13">
        <f>SUBTOTAL(103,Gegužė[13])</f>
        <v>0</v>
      </c>
      <c r="P12" s="13">
        <f>SUBTOTAL(103,Gegužė[14])</f>
        <v>0</v>
      </c>
      <c r="Q12" s="13">
        <f>SUBTOTAL(103,Gegužė[15])</f>
        <v>0</v>
      </c>
      <c r="R12" s="13">
        <f>SUBTOTAL(103,Gegužė[16])</f>
        <v>0</v>
      </c>
      <c r="S12" s="13">
        <f>SUBTOTAL(103,Gegužė[17])</f>
        <v>0</v>
      </c>
      <c r="T12" s="13">
        <f>SUBTOTAL(103,Gegužė[18])</f>
        <v>0</v>
      </c>
      <c r="U12" s="13">
        <f>SUBTOTAL(103,Gegužė[19])</f>
        <v>0</v>
      </c>
      <c r="V12" s="13">
        <f>SUBTOTAL(103,Gegužė[20])</f>
        <v>0</v>
      </c>
      <c r="W12" s="13">
        <f>SUBTOTAL(103,Gegužė[21])</f>
        <v>0</v>
      </c>
      <c r="X12" s="13">
        <f>SUBTOTAL(103,Gegužė[22])</f>
        <v>0</v>
      </c>
      <c r="Y12" s="13">
        <f>SUBTOTAL(103,Gegužė[23])</f>
        <v>0</v>
      </c>
      <c r="Z12" s="13">
        <f>SUBTOTAL(103,Gegužė[24])</f>
        <v>0</v>
      </c>
      <c r="AA12" s="13">
        <f>SUBTOTAL(103,Gegužė[25])</f>
        <v>0</v>
      </c>
      <c r="AB12" s="13">
        <f>SUBTOTAL(103,Gegužė[26])</f>
        <v>0</v>
      </c>
      <c r="AC12" s="13">
        <f>SUBTOTAL(103,Gegužė[27])</f>
        <v>0</v>
      </c>
      <c r="AD12" s="13">
        <f>SUBTOTAL(103,Gegužė[28])</f>
        <v>0</v>
      </c>
      <c r="AE12" s="13">
        <f>SUBTOTAL(103,Gegužė[29])</f>
        <v>0</v>
      </c>
      <c r="AF12" s="13">
        <f>SUBTOTAL(103,Gegužė[30])</f>
        <v>0</v>
      </c>
      <c r="AG12" s="13">
        <f>SUBTOTAL(103,Gegužė[31])</f>
        <v>0</v>
      </c>
      <c r="AH12" s="13">
        <f>SUBTOTAL(109,Gegužė[Iš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03" priority="2" stopIfTrue="1">
      <formula>C7=KeyCustom2</formula>
    </cfRule>
    <cfRule type="expression" dxfId="302" priority="3" stopIfTrue="1">
      <formula>C7=KeyCustom1</formula>
    </cfRule>
    <cfRule type="expression" dxfId="301" priority="4" stopIfTrue="1">
      <formula>C7=KeySick</formula>
    </cfRule>
    <cfRule type="expression" dxfId="300" priority="5" stopIfTrue="1">
      <formula>C7=KeyPersonal</formula>
    </cfRule>
    <cfRule type="expression" dxfId="299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400-000000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400-000001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400-000002000000}"/>
    <dataValidation allowBlank="1" showInputMessage="1" showErrorMessage="1" prompt="Įveskite žymą, apibūdinančią pasirinktinį kodą kairėje" sqref="O2:Q2 S2:U2" xr:uid="{00000000-0002-0000-0400-000003000000}"/>
    <dataValidation allowBlank="1" showInputMessage="1" showErrorMessage="1" prompt="Įveskite raidę ir tinkinkite žymą dešinėje, kad įtrauktumėte kitą pagrindinį elementą" sqref="N2 R2" xr:uid="{00000000-0002-0000-0400-000004000000}"/>
    <dataValidation allowBlank="1" showInputMessage="1" showErrorMessage="1" prompt="Raidė „L“ rodo neatvykimą dėl ligos" sqref="K2" xr:uid="{00000000-0002-0000-0400-000005000000}"/>
    <dataValidation allowBlank="1" showInputMessage="1" showErrorMessage="1" prompt="Raidė „AS“ rodo neatvykimą dėl asmeninių priežasčių" sqref="G2" xr:uid="{00000000-0002-0000-0400-000006000000}"/>
    <dataValidation allowBlank="1" showInputMessage="1" showErrorMessage="1" prompt="Raidė „AT“ rodo neatvykimą dėl atostogų" sqref="C2" xr:uid="{00000000-0002-0000-0400-000007000000}"/>
    <dataValidation allowBlank="1" showInputMessage="1" showErrorMessage="1" prompt="Šiame langelyje yra automatiškai atnaujinamas pavadinimas. Jei norite keisti pavadinimą, atnaujinkite B1 langelį sausio darbalapyje" sqref="B1" xr:uid="{00000000-0002-0000-0400-000008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400-000009000000}"/>
    <dataValidation allowBlank="1" showInputMessage="1" showErrorMessage="1" prompt="Šiame darbalapyje sekite neatvykimus gegužę" sqref="A1" xr:uid="{00000000-0002-0000-0400-00000A000000}"/>
    <dataValidation allowBlank="1" showInputMessage="1" showErrorMessage="1" prompt="Automatiškai skaičiuoja šiame stulpelyje bendrą skaičių dienų, kai darbuotojas šį mėnesį neatvyko" sqref="AH6" xr:uid="{00000000-0002-0000-0400-00000B000000}"/>
    <dataValidation allowBlank="1" showInputMessage="1" showErrorMessage="1" prompt="Metai automatiškai atnaujinami pagal sausio darbalapyje įvestus metus." sqref="AH4" xr:uid="{00000000-0002-0000-0400-00000C000000}"/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4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53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TEXT(WEEKDAY(DATE(CalendarYear,6,1),1),"aaa")</f>
        <v>št</v>
      </c>
      <c r="D5" s="2" t="str">
        <f>TEXT(WEEKDAY(DATE(CalendarYear,6,2),1),"aaa")</f>
        <v>sk</v>
      </c>
      <c r="E5" s="2" t="str">
        <f>TEXT(WEEKDAY(DATE(CalendarYear,6,3),1),"aaa")</f>
        <v>pr</v>
      </c>
      <c r="F5" s="2" t="str">
        <f>TEXT(WEEKDAY(DATE(CalendarYear,6,4),1),"aaa")</f>
        <v>an</v>
      </c>
      <c r="G5" s="2" t="str">
        <f>TEXT(WEEKDAY(DATE(CalendarYear,6,5),1),"aaa")</f>
        <v>tr</v>
      </c>
      <c r="H5" s="2" t="str">
        <f>TEXT(WEEKDAY(DATE(CalendarYear,6,6),1),"aaa")</f>
        <v>kt</v>
      </c>
      <c r="I5" s="2" t="str">
        <f>TEXT(WEEKDAY(DATE(CalendarYear,6,7),1),"aaa")</f>
        <v>pn</v>
      </c>
      <c r="J5" s="2" t="str">
        <f>TEXT(WEEKDAY(DATE(CalendarYear,6,8),1),"aaa")</f>
        <v>št</v>
      </c>
      <c r="K5" s="2" t="str">
        <f>TEXT(WEEKDAY(DATE(CalendarYear,6,9),1),"aaa")</f>
        <v>sk</v>
      </c>
      <c r="L5" s="2" t="str">
        <f>TEXT(WEEKDAY(DATE(CalendarYear,6,10),1),"aaa")</f>
        <v>pr</v>
      </c>
      <c r="M5" s="2" t="str">
        <f>TEXT(WEEKDAY(DATE(CalendarYear,6,11),1),"aaa")</f>
        <v>an</v>
      </c>
      <c r="N5" s="2" t="str">
        <f>TEXT(WEEKDAY(DATE(CalendarYear,6,12),1),"aaa")</f>
        <v>tr</v>
      </c>
      <c r="O5" s="2" t="str">
        <f>TEXT(WEEKDAY(DATE(CalendarYear,6,13),1),"aaa")</f>
        <v>kt</v>
      </c>
      <c r="P5" s="2" t="str">
        <f>TEXT(WEEKDAY(DATE(CalendarYear,6,14),1),"aaa")</f>
        <v>pn</v>
      </c>
      <c r="Q5" s="2" t="str">
        <f>TEXT(WEEKDAY(DATE(CalendarYear,6,15),1),"aaa")</f>
        <v>št</v>
      </c>
      <c r="R5" s="2" t="str">
        <f>TEXT(WEEKDAY(DATE(CalendarYear,6,16),1),"aaa")</f>
        <v>sk</v>
      </c>
      <c r="S5" s="2" t="str">
        <f>TEXT(WEEKDAY(DATE(CalendarYear,6,17),1),"aaa")</f>
        <v>pr</v>
      </c>
      <c r="T5" s="2" t="str">
        <f>TEXT(WEEKDAY(DATE(CalendarYear,6,18),1),"aaa")</f>
        <v>an</v>
      </c>
      <c r="U5" s="2" t="str">
        <f>TEXT(WEEKDAY(DATE(CalendarYear,6,19),1),"aaa")</f>
        <v>tr</v>
      </c>
      <c r="V5" s="2" t="str">
        <f>TEXT(WEEKDAY(DATE(CalendarYear,6,20),1),"aaa")</f>
        <v>kt</v>
      </c>
      <c r="W5" s="2" t="str">
        <f>TEXT(WEEKDAY(DATE(CalendarYear,6,21),1),"aaa")</f>
        <v>pn</v>
      </c>
      <c r="X5" s="2" t="str">
        <f>TEXT(WEEKDAY(DATE(CalendarYear,6,22),1),"aaa")</f>
        <v>št</v>
      </c>
      <c r="Y5" s="2" t="str">
        <f>TEXT(WEEKDAY(DATE(CalendarYear,6,23),1),"aaa")</f>
        <v>sk</v>
      </c>
      <c r="Z5" s="2" t="str">
        <f>TEXT(WEEKDAY(DATE(CalendarYear,6,24),1),"aaa")</f>
        <v>pr</v>
      </c>
      <c r="AA5" s="2" t="str">
        <f>TEXT(WEEKDAY(DATE(CalendarYear,6,25),1),"aaa")</f>
        <v>an</v>
      </c>
      <c r="AB5" s="2" t="str">
        <f>TEXT(WEEKDAY(DATE(CalendarYear,6,26),1),"aaa")</f>
        <v>tr</v>
      </c>
      <c r="AC5" s="2" t="str">
        <f>TEXT(WEEKDAY(DATE(CalendarYear,6,27),1),"aaa")</f>
        <v>kt</v>
      </c>
      <c r="AD5" s="2" t="str">
        <f>TEXT(WEEKDAY(DATE(CalendarYear,6,28),1),"aaa")</f>
        <v>pn</v>
      </c>
      <c r="AE5" s="2" t="str">
        <f>TEXT(WEEKDAY(DATE(CalendarYear,6,29),1),"aaa")</f>
        <v>št</v>
      </c>
      <c r="AF5" s="2" t="str">
        <f>TEXT(WEEKDAY(DATE(CalendarYear,6,30),1),"aaa")</f>
        <v>sk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COUNTA(Birželis[[#This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COUNTA(Birželis[[#This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COUNTA(Birželis[[#This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COUNTA(Birželis[[#This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COUNTA(Birželis[[#This Row],[1]:[30]])</f>
        <v>0</v>
      </c>
    </row>
    <row r="12" spans="2:34" ht="30" customHeight="1" x14ac:dyDescent="0.25">
      <c r="B12" s="21" t="str">
        <f>MonthName&amp;" bendroji suma"</f>
        <v>Birželis bendroji suma</v>
      </c>
      <c r="C12" s="13">
        <f>SUBTOTAL(103,Birželis[1])</f>
        <v>0</v>
      </c>
      <c r="D12" s="13">
        <f>SUBTOTAL(103,Birželis[2])</f>
        <v>0</v>
      </c>
      <c r="E12" s="13">
        <f>SUBTOTAL(103,Birželis[3])</f>
        <v>0</v>
      </c>
      <c r="F12" s="13">
        <f>SUBTOTAL(103,Birželis[4])</f>
        <v>0</v>
      </c>
      <c r="G12" s="13">
        <f>SUBTOTAL(103,Birželis[5])</f>
        <v>0</v>
      </c>
      <c r="H12" s="13">
        <f>SUBTOTAL(103,Birželis[6])</f>
        <v>0</v>
      </c>
      <c r="I12" s="13">
        <f>SUBTOTAL(103,Birželis[7])</f>
        <v>0</v>
      </c>
      <c r="J12" s="13">
        <f>SUBTOTAL(103,Birželis[8])</f>
        <v>0</v>
      </c>
      <c r="K12" s="13">
        <f>SUBTOTAL(103,Birželis[9])</f>
        <v>0</v>
      </c>
      <c r="L12" s="13">
        <f>SUBTOTAL(103,Birželis[10])</f>
        <v>0</v>
      </c>
      <c r="M12" s="13">
        <f>SUBTOTAL(103,Birželis[11])</f>
        <v>0</v>
      </c>
      <c r="N12" s="13">
        <f>SUBTOTAL(103,Birželis[12])</f>
        <v>0</v>
      </c>
      <c r="O12" s="13">
        <f>SUBTOTAL(103,Birželis[13])</f>
        <v>0</v>
      </c>
      <c r="P12" s="13">
        <f>SUBTOTAL(103,Birželis[14])</f>
        <v>0</v>
      </c>
      <c r="Q12" s="13">
        <f>SUBTOTAL(103,Birželis[15])</f>
        <v>0</v>
      </c>
      <c r="R12" s="13">
        <f>SUBTOTAL(103,Birželis[16])</f>
        <v>0</v>
      </c>
      <c r="S12" s="13">
        <f>SUBTOTAL(103,Birželis[17])</f>
        <v>0</v>
      </c>
      <c r="T12" s="13">
        <f>SUBTOTAL(103,Birželis[18])</f>
        <v>0</v>
      </c>
      <c r="U12" s="13">
        <f>SUBTOTAL(103,Birželis[19])</f>
        <v>0</v>
      </c>
      <c r="V12" s="13">
        <f>SUBTOTAL(103,Birželis[20])</f>
        <v>0</v>
      </c>
      <c r="W12" s="13">
        <f>SUBTOTAL(103,Birželis[21])</f>
        <v>0</v>
      </c>
      <c r="X12" s="13">
        <f>SUBTOTAL(103,Birželis[22])</f>
        <v>0</v>
      </c>
      <c r="Y12" s="13">
        <f>SUBTOTAL(103,Birželis[23])</f>
        <v>0</v>
      </c>
      <c r="Z12" s="13">
        <f>SUBTOTAL(103,Birželis[24])</f>
        <v>0</v>
      </c>
      <c r="AA12" s="13">
        <f>SUBTOTAL(103,Birželis[25])</f>
        <v>0</v>
      </c>
      <c r="AB12" s="13">
        <f>SUBTOTAL(103,Birželis[26])</f>
        <v>0</v>
      </c>
      <c r="AC12" s="13">
        <f>SUBTOTAL(103,Birželis[27])</f>
        <v>0</v>
      </c>
      <c r="AD12" s="13">
        <f>SUBTOTAL(103,Birželis[28])</f>
        <v>0</v>
      </c>
      <c r="AE12" s="13">
        <f>SUBTOTAL(103,Birželis[29])</f>
        <v>0</v>
      </c>
      <c r="AF12" s="13">
        <f>SUBTOTAL(103,Birželis[30])</f>
        <v>0</v>
      </c>
      <c r="AG12" s="13">
        <f>SUBTOTAL(103,Birželis[[ ]])</f>
        <v>0</v>
      </c>
      <c r="AH12" s="13">
        <f>SUBTOTAL(109,Birželis[Iš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98" priority="2" stopIfTrue="1">
      <formula>C7=KeyCustom2</formula>
    </cfRule>
    <cfRule type="expression" dxfId="297" priority="3" stopIfTrue="1">
      <formula>C7=KeyCustom1</formula>
    </cfRule>
    <cfRule type="expression" dxfId="296" priority="4" stopIfTrue="1">
      <formula>C7=KeySick</formula>
    </cfRule>
    <cfRule type="expression" dxfId="295" priority="5" stopIfTrue="1">
      <formula>C7=KeyPersonal</formula>
    </cfRule>
    <cfRule type="expression" dxfId="29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500-000000000000}"/>
    <dataValidation allowBlank="1" showInputMessage="1" showErrorMessage="1" prompt="Metai automatiškai atnaujinami pagal sausio darbalapyje įvestus metus." sqref="AH4" xr:uid="{00000000-0002-0000-0500-000001000000}"/>
    <dataValidation allowBlank="1" showInputMessage="1" showErrorMessage="1" prompt="Automatiškai skaičiuoja šiame stulpelyje bendrą skaičių dienų, kai darbuotojas šį mėnesį neatvyko" sqref="AH6" xr:uid="{00000000-0002-0000-0500-000002000000}"/>
    <dataValidation allowBlank="1" showInputMessage="1" showErrorMessage="1" prompt="Šiame darbalapyje sekite neatvykimus birželį" sqref="A1" xr:uid="{00000000-0002-0000-0500-000003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500-000004000000}"/>
    <dataValidation allowBlank="1" showInputMessage="1" showErrorMessage="1" prompt="Šiame langelyje yra automatiškai atnaujinamas pavadinimas. Jei norite keisti pavadinimą, atnaujinkite B1 langelį sausio darbalapyje" sqref="B1" xr:uid="{00000000-0002-0000-0500-000005000000}"/>
    <dataValidation allowBlank="1" showInputMessage="1" showErrorMessage="1" prompt="Raidė „AT“ rodo neatvykimą dėl atostogų" sqref="C2" xr:uid="{00000000-0002-0000-0500-000006000000}"/>
    <dataValidation allowBlank="1" showInputMessage="1" showErrorMessage="1" prompt="Raidė „AS“ rodo neatvykimą dėl asmeninių priežasčių" sqref="G2" xr:uid="{00000000-0002-0000-0500-000007000000}"/>
    <dataValidation allowBlank="1" showInputMessage="1" showErrorMessage="1" prompt="Raidė „L“ rodo neatvykimą dėl ligos" sqref="K2" xr:uid="{00000000-0002-0000-0500-000008000000}"/>
    <dataValidation allowBlank="1" showInputMessage="1" showErrorMessage="1" prompt="Įveskite raidę ir tinkinkite žymą dešinėje, kad įtrauktumėte kitą pagrindinį elementą" sqref="N2 R2" xr:uid="{00000000-0002-0000-0500-000009000000}"/>
    <dataValidation allowBlank="1" showInputMessage="1" showErrorMessage="1" prompt="Įveskite žymą, apibūdinančią pasirinktinį kodą kairėje" sqref="O2:Q2 S2:U2" xr:uid="{00000000-0002-0000-0500-00000A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500-00000B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500-00000C000000}"/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5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TEXT(WEEKDAY(DATE(CalendarYear,7,1),1),"aaa")</f>
        <v>pr</v>
      </c>
      <c r="D5" s="2" t="str">
        <f>TEXT(WEEKDAY(DATE(CalendarYear,7,2),1),"aaa")</f>
        <v>an</v>
      </c>
      <c r="E5" s="2" t="str">
        <f>TEXT(WEEKDAY(DATE(CalendarYear,7,3),1),"aaa")</f>
        <v>tr</v>
      </c>
      <c r="F5" s="2" t="str">
        <f>TEXT(WEEKDAY(DATE(CalendarYear,7,4),1),"aaa")</f>
        <v>kt</v>
      </c>
      <c r="G5" s="2" t="str">
        <f>TEXT(WEEKDAY(DATE(CalendarYear,7,5),1),"aaa")</f>
        <v>pn</v>
      </c>
      <c r="H5" s="2" t="str">
        <f>TEXT(WEEKDAY(DATE(CalendarYear,7,6),1),"aaa")</f>
        <v>št</v>
      </c>
      <c r="I5" s="2" t="str">
        <f>TEXT(WEEKDAY(DATE(CalendarYear,7,7),1),"aaa")</f>
        <v>sk</v>
      </c>
      <c r="J5" s="2" t="str">
        <f>TEXT(WEEKDAY(DATE(CalendarYear,7,8),1),"aaa")</f>
        <v>pr</v>
      </c>
      <c r="K5" s="2" t="str">
        <f>TEXT(WEEKDAY(DATE(CalendarYear,7,9),1),"aaa")</f>
        <v>an</v>
      </c>
      <c r="L5" s="2" t="str">
        <f>TEXT(WEEKDAY(DATE(CalendarYear,7,10),1),"aaa")</f>
        <v>tr</v>
      </c>
      <c r="M5" s="2" t="str">
        <f>TEXT(WEEKDAY(DATE(CalendarYear,7,11),1),"aaa")</f>
        <v>kt</v>
      </c>
      <c r="N5" s="2" t="str">
        <f>TEXT(WEEKDAY(DATE(CalendarYear,7,12),1),"aaa")</f>
        <v>pn</v>
      </c>
      <c r="O5" s="2" t="str">
        <f>TEXT(WEEKDAY(DATE(CalendarYear,7,13),1),"aaa")</f>
        <v>št</v>
      </c>
      <c r="P5" s="2" t="str">
        <f>TEXT(WEEKDAY(DATE(CalendarYear,7,14),1),"aaa")</f>
        <v>sk</v>
      </c>
      <c r="Q5" s="2" t="str">
        <f>TEXT(WEEKDAY(DATE(CalendarYear,7,15),1),"aaa")</f>
        <v>pr</v>
      </c>
      <c r="R5" s="2" t="str">
        <f>TEXT(WEEKDAY(DATE(CalendarYear,7,16),1),"aaa")</f>
        <v>an</v>
      </c>
      <c r="S5" s="2" t="str">
        <f>TEXT(WEEKDAY(DATE(CalendarYear,7,17),1),"aaa")</f>
        <v>tr</v>
      </c>
      <c r="T5" s="2" t="str">
        <f>TEXT(WEEKDAY(DATE(CalendarYear,7,18),1),"aaa")</f>
        <v>kt</v>
      </c>
      <c r="U5" s="2" t="str">
        <f>TEXT(WEEKDAY(DATE(CalendarYear,7,19),1),"aaa")</f>
        <v>pn</v>
      </c>
      <c r="V5" s="2" t="str">
        <f>TEXT(WEEKDAY(DATE(CalendarYear,7,20),1),"aaa")</f>
        <v>št</v>
      </c>
      <c r="W5" s="2" t="str">
        <f>TEXT(WEEKDAY(DATE(CalendarYear,7,21),1),"aaa")</f>
        <v>sk</v>
      </c>
      <c r="X5" s="2" t="str">
        <f>TEXT(WEEKDAY(DATE(CalendarYear,7,22),1),"aaa")</f>
        <v>pr</v>
      </c>
      <c r="Y5" s="2" t="str">
        <f>TEXT(WEEKDAY(DATE(CalendarYear,7,23),1),"aaa")</f>
        <v>an</v>
      </c>
      <c r="Z5" s="2" t="str">
        <f>TEXT(WEEKDAY(DATE(CalendarYear,7,24),1),"aaa")</f>
        <v>tr</v>
      </c>
      <c r="AA5" s="2" t="str">
        <f>TEXT(WEEKDAY(DATE(CalendarYear,7,25),1),"aaa")</f>
        <v>kt</v>
      </c>
      <c r="AB5" s="2" t="str">
        <f>TEXT(WEEKDAY(DATE(CalendarYear,7,26),1),"aaa")</f>
        <v>pn</v>
      </c>
      <c r="AC5" s="2" t="str">
        <f>TEXT(WEEKDAY(DATE(CalendarYear,7,27),1),"aaa")</f>
        <v>št</v>
      </c>
      <c r="AD5" s="2" t="str">
        <f>TEXT(WEEKDAY(DATE(CalendarYear,7,28),1),"aaa")</f>
        <v>sk</v>
      </c>
      <c r="AE5" s="2" t="str">
        <f>TEXT(WEEKDAY(DATE(CalendarYear,7,29),1),"aaa")</f>
        <v>pr</v>
      </c>
      <c r="AF5" s="2" t="str">
        <f>TEXT(WEEKDAY(DATE(CalendarYear,7,30),1),"aaa")</f>
        <v>an</v>
      </c>
      <c r="AG5" s="2" t="str">
        <f>TEXT(WEEKDAY(DATE(CalendarYear,7,31),1),"aaa")</f>
        <v>tr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COUNTA(Liepa[[#This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COUNTA(Liepa[[#This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COUNTA(Liepa[[#This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COUNTA(Liepa[[#This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COUNTA(Liepa[[#This Row],[1]:[31]])</f>
        <v>0</v>
      </c>
    </row>
    <row r="12" spans="2:34" ht="30" customHeight="1" x14ac:dyDescent="0.25">
      <c r="B12" s="21" t="str">
        <f>MonthName&amp;" bendroji suma"</f>
        <v>Liepa bendroji suma</v>
      </c>
      <c r="C12" s="13">
        <f>SUBTOTAL(103,Liepa[1])</f>
        <v>0</v>
      </c>
      <c r="D12" s="13">
        <f>SUBTOTAL(103,Liepa[2])</f>
        <v>0</v>
      </c>
      <c r="E12" s="13">
        <f>SUBTOTAL(103,Liepa[3])</f>
        <v>0</v>
      </c>
      <c r="F12" s="13">
        <f>SUBTOTAL(103,Liepa[4])</f>
        <v>0</v>
      </c>
      <c r="G12" s="13">
        <f>SUBTOTAL(103,Liepa[5])</f>
        <v>0</v>
      </c>
      <c r="H12" s="13">
        <f>SUBTOTAL(103,Liepa[6])</f>
        <v>0</v>
      </c>
      <c r="I12" s="13">
        <f>SUBTOTAL(103,Liepa[7])</f>
        <v>0</v>
      </c>
      <c r="J12" s="13">
        <f>SUBTOTAL(103,Liepa[8])</f>
        <v>0</v>
      </c>
      <c r="K12" s="13">
        <f>SUBTOTAL(103,Liepa[9])</f>
        <v>0</v>
      </c>
      <c r="L12" s="13">
        <f>SUBTOTAL(103,Liepa[10])</f>
        <v>0</v>
      </c>
      <c r="M12" s="13">
        <f>SUBTOTAL(103,Liepa[11])</f>
        <v>0</v>
      </c>
      <c r="N12" s="13">
        <f>SUBTOTAL(103,Liepa[12])</f>
        <v>0</v>
      </c>
      <c r="O12" s="13">
        <f>SUBTOTAL(103,Liepa[13])</f>
        <v>0</v>
      </c>
      <c r="P12" s="13">
        <f>SUBTOTAL(103,Liepa[14])</f>
        <v>0</v>
      </c>
      <c r="Q12" s="13">
        <f>SUBTOTAL(103,Liepa[15])</f>
        <v>0</v>
      </c>
      <c r="R12" s="13">
        <f>SUBTOTAL(103,Liepa[16])</f>
        <v>0</v>
      </c>
      <c r="S12" s="13">
        <f>SUBTOTAL(103,Liepa[17])</f>
        <v>0</v>
      </c>
      <c r="T12" s="13">
        <f>SUBTOTAL(103,Liepa[18])</f>
        <v>0</v>
      </c>
      <c r="U12" s="13">
        <f>SUBTOTAL(103,Liepa[19])</f>
        <v>0</v>
      </c>
      <c r="V12" s="13">
        <f>SUBTOTAL(103,Liepa[20])</f>
        <v>0</v>
      </c>
      <c r="W12" s="13">
        <f>SUBTOTAL(103,Liepa[21])</f>
        <v>0</v>
      </c>
      <c r="X12" s="13">
        <f>SUBTOTAL(103,Liepa[22])</f>
        <v>0</v>
      </c>
      <c r="Y12" s="13">
        <f>SUBTOTAL(103,Liepa[23])</f>
        <v>0</v>
      </c>
      <c r="Z12" s="13">
        <f>SUBTOTAL(103,Liepa[24])</f>
        <v>0</v>
      </c>
      <c r="AA12" s="13">
        <f>SUBTOTAL(103,Liepa[25])</f>
        <v>0</v>
      </c>
      <c r="AB12" s="13">
        <f>SUBTOTAL(103,Liepa[26])</f>
        <v>0</v>
      </c>
      <c r="AC12" s="13">
        <f>SUBTOTAL(103,Liepa[27])</f>
        <v>0</v>
      </c>
      <c r="AD12" s="13">
        <f>SUBTOTAL(103,Liepa[28])</f>
        <v>0</v>
      </c>
      <c r="AE12" s="13">
        <f>SUBTOTAL(103,Liepa[29])</f>
        <v>0</v>
      </c>
      <c r="AF12" s="13">
        <f>SUBTOTAL(103,Liepa[30])</f>
        <v>0</v>
      </c>
      <c r="AG12" s="13">
        <f>SUBTOTAL(103,Liepa[31])</f>
        <v>0</v>
      </c>
      <c r="AH12" s="13">
        <f>SUBTOTAL(109,Liepa[Iš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93" priority="2" stopIfTrue="1">
      <formula>C7=KeyCustom2</formula>
    </cfRule>
    <cfRule type="expression" dxfId="292" priority="3" stopIfTrue="1">
      <formula>C7=KeyCustom1</formula>
    </cfRule>
    <cfRule type="expression" dxfId="291" priority="4" stopIfTrue="1">
      <formula>C7=KeySick</formula>
    </cfRule>
    <cfRule type="expression" dxfId="290" priority="5" stopIfTrue="1">
      <formula>C7=KeyPersonal</formula>
    </cfRule>
    <cfRule type="expression" dxfId="289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600-000000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600-000001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600-000002000000}"/>
    <dataValidation allowBlank="1" showInputMessage="1" showErrorMessage="1" prompt="Įveskite žymą, apibūdinančią pasirinktinį kodą kairėje" sqref="O2:Q2 S2:U2" xr:uid="{00000000-0002-0000-0600-000003000000}"/>
    <dataValidation allowBlank="1" showInputMessage="1" showErrorMessage="1" prompt="Įveskite raidę ir tinkinkite žymą dešinėje, kad įtrauktumėte kitą pagrindinį elementą" sqref="N2 R2" xr:uid="{00000000-0002-0000-0600-000004000000}"/>
    <dataValidation allowBlank="1" showInputMessage="1" showErrorMessage="1" prompt="Raidė „L“ rodo neatvykimą dėl ligos" sqref="K2" xr:uid="{00000000-0002-0000-0600-000005000000}"/>
    <dataValidation allowBlank="1" showInputMessage="1" showErrorMessage="1" prompt="Raidė „AS“ rodo neatvykimą dėl asmeninių priežasčių" sqref="G2" xr:uid="{00000000-0002-0000-0600-000006000000}"/>
    <dataValidation allowBlank="1" showInputMessage="1" showErrorMessage="1" prompt="Raidė „AT“ rodo neatvykimą dėl atostogų" sqref="C2" xr:uid="{00000000-0002-0000-0600-000007000000}"/>
    <dataValidation allowBlank="1" showInputMessage="1" showErrorMessage="1" prompt="Šiame langelyje yra automatiškai atnaujinamas pavadinimas. Jei norite keisti pavadinimą, atnaujinkite B1 langelį sausio darbalapyje" sqref="B1" xr:uid="{00000000-0002-0000-0600-000008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600-000009000000}"/>
    <dataValidation allowBlank="1" showInputMessage="1" showErrorMessage="1" prompt="Šiame darbalapyje sekite neatvykimus liepą" sqref="A1" xr:uid="{00000000-0002-0000-0600-00000A000000}"/>
    <dataValidation allowBlank="1" showInputMessage="1" showErrorMessage="1" prompt="Automatiškai skaičiuoja šiame stulpelyje bendrą skaičių dienų, kai darbuotojas šį mėnesį neatvyko" sqref="AH6" xr:uid="{00000000-0002-0000-0600-00000B000000}"/>
    <dataValidation allowBlank="1" showInputMessage="1" showErrorMessage="1" prompt="Metai automatiškai atnaujinami pagal sausio darbalapyje įvestus metus." sqref="AH4" xr:uid="{00000000-0002-0000-0600-00000C000000}"/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6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TEXT(WEEKDAY(DATE(CalendarYear,8,1),1),"aaa")</f>
        <v>kt</v>
      </c>
      <c r="D5" s="2" t="str">
        <f>TEXT(WEEKDAY(DATE(CalendarYear,8,2),1),"aaa")</f>
        <v>pn</v>
      </c>
      <c r="E5" s="2" t="str">
        <f>TEXT(WEEKDAY(DATE(CalendarYear,8,3),1),"aaa")</f>
        <v>št</v>
      </c>
      <c r="F5" s="2" t="str">
        <f>TEXT(WEEKDAY(DATE(CalendarYear,8,4),1),"aaa")</f>
        <v>sk</v>
      </c>
      <c r="G5" s="2" t="str">
        <f>TEXT(WEEKDAY(DATE(CalendarYear,8,5),1),"aaa")</f>
        <v>pr</v>
      </c>
      <c r="H5" s="2" t="str">
        <f>TEXT(WEEKDAY(DATE(CalendarYear,8,6),1),"aaa")</f>
        <v>an</v>
      </c>
      <c r="I5" s="2" t="str">
        <f>TEXT(WEEKDAY(DATE(CalendarYear,8,7),1),"aaa")</f>
        <v>tr</v>
      </c>
      <c r="J5" s="2" t="str">
        <f>TEXT(WEEKDAY(DATE(CalendarYear,8,8),1),"aaa")</f>
        <v>kt</v>
      </c>
      <c r="K5" s="2" t="str">
        <f>TEXT(WEEKDAY(DATE(CalendarYear,8,9),1),"aaa")</f>
        <v>pn</v>
      </c>
      <c r="L5" s="2" t="str">
        <f>TEXT(WEEKDAY(DATE(CalendarYear,8,10),1),"aaa")</f>
        <v>št</v>
      </c>
      <c r="M5" s="2" t="str">
        <f>TEXT(WEEKDAY(DATE(CalendarYear,8,11),1),"aaa")</f>
        <v>sk</v>
      </c>
      <c r="N5" s="2" t="str">
        <f>TEXT(WEEKDAY(DATE(CalendarYear,8,12),1),"aaa")</f>
        <v>pr</v>
      </c>
      <c r="O5" s="2" t="str">
        <f>TEXT(WEEKDAY(DATE(CalendarYear,8,13),1),"aaa")</f>
        <v>an</v>
      </c>
      <c r="P5" s="2" t="str">
        <f>TEXT(WEEKDAY(DATE(CalendarYear,8,14),1),"aaa")</f>
        <v>tr</v>
      </c>
      <c r="Q5" s="2" t="str">
        <f>TEXT(WEEKDAY(DATE(CalendarYear,8,15),1),"aaa")</f>
        <v>kt</v>
      </c>
      <c r="R5" s="2" t="str">
        <f>TEXT(WEEKDAY(DATE(CalendarYear,8,16),1),"aaa")</f>
        <v>pn</v>
      </c>
      <c r="S5" s="2" t="str">
        <f>TEXT(WEEKDAY(DATE(CalendarYear,8,17),1),"aaa")</f>
        <v>št</v>
      </c>
      <c r="T5" s="2" t="str">
        <f>TEXT(WEEKDAY(DATE(CalendarYear,8,18),1),"aaa")</f>
        <v>sk</v>
      </c>
      <c r="U5" s="2" t="str">
        <f>TEXT(WEEKDAY(DATE(CalendarYear,8,19),1),"aaa")</f>
        <v>pr</v>
      </c>
      <c r="V5" s="2" t="str">
        <f>TEXT(WEEKDAY(DATE(CalendarYear,8,20),1),"aaa")</f>
        <v>an</v>
      </c>
      <c r="W5" s="2" t="str">
        <f>TEXT(WEEKDAY(DATE(CalendarYear,8,21),1),"aaa")</f>
        <v>tr</v>
      </c>
      <c r="X5" s="2" t="str">
        <f>TEXT(WEEKDAY(DATE(CalendarYear,8,22),1),"aaa")</f>
        <v>kt</v>
      </c>
      <c r="Y5" s="2" t="str">
        <f>TEXT(WEEKDAY(DATE(CalendarYear,8,23),1),"aaa")</f>
        <v>pn</v>
      </c>
      <c r="Z5" s="2" t="str">
        <f>TEXT(WEEKDAY(DATE(CalendarYear,8,24),1),"aaa")</f>
        <v>št</v>
      </c>
      <c r="AA5" s="2" t="str">
        <f>TEXT(WEEKDAY(DATE(CalendarYear,8,25),1),"aaa")</f>
        <v>sk</v>
      </c>
      <c r="AB5" s="2" t="str">
        <f>TEXT(WEEKDAY(DATE(CalendarYear,8,26),1),"aaa")</f>
        <v>pr</v>
      </c>
      <c r="AC5" s="2" t="str">
        <f>TEXT(WEEKDAY(DATE(CalendarYear,8,27),1),"aaa")</f>
        <v>an</v>
      </c>
      <c r="AD5" s="2" t="str">
        <f>TEXT(WEEKDAY(DATE(CalendarYear,8,28),1),"aaa")</f>
        <v>tr</v>
      </c>
      <c r="AE5" s="2" t="str">
        <f>TEXT(WEEKDAY(DATE(CalendarYear,8,29),1),"aaa")</f>
        <v>kt</v>
      </c>
      <c r="AF5" s="2" t="str">
        <f>TEXT(WEEKDAY(DATE(CalendarYear,8,30),1),"aaa")</f>
        <v>pn</v>
      </c>
      <c r="AG5" s="2" t="str">
        <f>TEXT(WEEKDAY(DATE(CalendarYear,8,31),1),"aaa")</f>
        <v>št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COUNTA(Rugpjūtis[[#This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COUNTA(Rugpjūtis[[#This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COUNTA(Rugpjūtis[[#This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COUNTA(Rugpjūtis[[#This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COUNTA(Rugpjūtis[[#This Row],[1]:[31]])</f>
        <v>0</v>
      </c>
    </row>
    <row r="12" spans="2:34" ht="30" customHeight="1" x14ac:dyDescent="0.25">
      <c r="B12" s="21" t="str">
        <f>MonthName&amp;" bendroji suma"</f>
        <v>Rugpjūtis bendroji suma</v>
      </c>
      <c r="C12" s="13">
        <f>SUBTOTAL(103,Rugpjūtis[1])</f>
        <v>0</v>
      </c>
      <c r="D12" s="13">
        <f>SUBTOTAL(103,Rugpjūtis[2])</f>
        <v>0</v>
      </c>
      <c r="E12" s="13">
        <f>SUBTOTAL(103,Rugpjūtis[3])</f>
        <v>0</v>
      </c>
      <c r="F12" s="13">
        <f>SUBTOTAL(103,Rugpjūtis[4])</f>
        <v>0</v>
      </c>
      <c r="G12" s="13">
        <f>SUBTOTAL(103,Rugpjūtis[5])</f>
        <v>0</v>
      </c>
      <c r="H12" s="13">
        <f>SUBTOTAL(103,Rugpjūtis[6])</f>
        <v>0</v>
      </c>
      <c r="I12" s="13">
        <f>SUBTOTAL(103,Rugpjūtis[7])</f>
        <v>0</v>
      </c>
      <c r="J12" s="13">
        <f>SUBTOTAL(103,Rugpjūtis[8])</f>
        <v>0</v>
      </c>
      <c r="K12" s="13">
        <f>SUBTOTAL(103,Rugpjūtis[9])</f>
        <v>0</v>
      </c>
      <c r="L12" s="13">
        <f>SUBTOTAL(103,Rugpjūtis[10])</f>
        <v>0</v>
      </c>
      <c r="M12" s="13">
        <f>SUBTOTAL(103,Rugpjūtis[11])</f>
        <v>0</v>
      </c>
      <c r="N12" s="13">
        <f>SUBTOTAL(103,Rugpjūtis[12])</f>
        <v>0</v>
      </c>
      <c r="O12" s="13">
        <f>SUBTOTAL(103,Rugpjūtis[13])</f>
        <v>0</v>
      </c>
      <c r="P12" s="13">
        <f>SUBTOTAL(103,Rugpjūtis[14])</f>
        <v>0</v>
      </c>
      <c r="Q12" s="13">
        <f>SUBTOTAL(103,Rugpjūtis[15])</f>
        <v>0</v>
      </c>
      <c r="R12" s="13">
        <f>SUBTOTAL(103,Rugpjūtis[16])</f>
        <v>0</v>
      </c>
      <c r="S12" s="13">
        <f>SUBTOTAL(103,Rugpjūtis[17])</f>
        <v>0</v>
      </c>
      <c r="T12" s="13">
        <f>SUBTOTAL(103,Rugpjūtis[18])</f>
        <v>0</v>
      </c>
      <c r="U12" s="13">
        <f>SUBTOTAL(103,Rugpjūtis[19])</f>
        <v>0</v>
      </c>
      <c r="V12" s="13">
        <f>SUBTOTAL(103,Rugpjūtis[20])</f>
        <v>0</v>
      </c>
      <c r="W12" s="13">
        <f>SUBTOTAL(103,Rugpjūtis[21])</f>
        <v>0</v>
      </c>
      <c r="X12" s="13">
        <f>SUBTOTAL(103,Rugpjūtis[22])</f>
        <v>0</v>
      </c>
      <c r="Y12" s="13">
        <f>SUBTOTAL(103,Rugpjūtis[23])</f>
        <v>0</v>
      </c>
      <c r="Z12" s="13">
        <f>SUBTOTAL(103,Rugpjūtis[24])</f>
        <v>0</v>
      </c>
      <c r="AA12" s="13">
        <f>SUBTOTAL(103,Rugpjūtis[25])</f>
        <v>0</v>
      </c>
      <c r="AB12" s="13">
        <f>SUBTOTAL(103,Rugpjūtis[26])</f>
        <v>0</v>
      </c>
      <c r="AC12" s="13">
        <f>SUBTOTAL(103,Rugpjūtis[27])</f>
        <v>0</v>
      </c>
      <c r="AD12" s="13">
        <f>SUBTOTAL(103,Rugpjūtis[28])</f>
        <v>0</v>
      </c>
      <c r="AE12" s="13">
        <f>SUBTOTAL(103,Rugpjūtis[29])</f>
        <v>0</v>
      </c>
      <c r="AF12" s="13">
        <f>SUBTOTAL(103,Rugpjūtis[30])</f>
        <v>0</v>
      </c>
      <c r="AG12" s="13">
        <f>SUBTOTAL(103,Rugpjūtis[31])</f>
        <v>0</v>
      </c>
      <c r="AH12" s="13">
        <f>SUBTOTAL(109,Rugpjūtis[Iš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88" priority="2" stopIfTrue="1">
      <formula>C7=KeyCustom2</formula>
    </cfRule>
    <cfRule type="expression" dxfId="287" priority="3" stopIfTrue="1">
      <formula>C7=KeyCustom1</formula>
    </cfRule>
    <cfRule type="expression" dxfId="286" priority="4" stopIfTrue="1">
      <formula>C7=KeySick</formula>
    </cfRule>
    <cfRule type="expression" dxfId="285" priority="5" stopIfTrue="1">
      <formula>C7=KeyPersonal</formula>
    </cfRule>
    <cfRule type="expression" dxfId="28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700-000000000000}"/>
    <dataValidation allowBlank="1" showInputMessage="1" showErrorMessage="1" prompt="Metai automatiškai atnaujinami pagal sausio darbalapyje įvestus metus." sqref="AH4" xr:uid="{00000000-0002-0000-0700-000001000000}"/>
    <dataValidation allowBlank="1" showInputMessage="1" showErrorMessage="1" prompt="Automatiškai skaičiuoja šiame stulpelyje bendrą skaičių dienų, kai darbuotojas šį mėnesį neatvyko" sqref="AH6" xr:uid="{00000000-0002-0000-0700-000002000000}"/>
    <dataValidation allowBlank="1" showInputMessage="1" showErrorMessage="1" prompt="Šiame darbalapyje sekite neatvykimus rugpjūtį" sqref="A1" xr:uid="{00000000-0002-0000-0700-000003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700-000004000000}"/>
    <dataValidation allowBlank="1" showInputMessage="1" showErrorMessage="1" prompt="Šiame langelyje yra automatiškai atnaujinamas pavadinimas. Jei norite keisti pavadinimą, atnaujinkite B1 langelį sausio darbalapyje" sqref="B1" xr:uid="{00000000-0002-0000-0700-000005000000}"/>
    <dataValidation allowBlank="1" showInputMessage="1" showErrorMessage="1" prompt="Raidė „AT“ rodo neatvykimą dėl atostogų" sqref="C2" xr:uid="{00000000-0002-0000-0700-000006000000}"/>
    <dataValidation allowBlank="1" showInputMessage="1" showErrorMessage="1" prompt="Raidė „AS“ rodo neatvykimą dėl asmeninių priežasčių" sqref="G2" xr:uid="{00000000-0002-0000-0700-000007000000}"/>
    <dataValidation allowBlank="1" showInputMessage="1" showErrorMessage="1" prompt="Raidė „L“ rodo neatvykimą dėl ligos" sqref="K2" xr:uid="{00000000-0002-0000-0700-000008000000}"/>
    <dataValidation allowBlank="1" showInputMessage="1" showErrorMessage="1" prompt="Įveskite raidę ir tinkinkite žymą dešinėje, kad įtrauktumėte kitą pagrindinį elementą" sqref="N2 R2" xr:uid="{00000000-0002-0000-0700-000009000000}"/>
    <dataValidation allowBlank="1" showInputMessage="1" showErrorMessage="1" prompt="Įveskite žymą, apibūdinančią pasirinktinį kodą kairėje" sqref="O2:Q2 S2:U2" xr:uid="{00000000-0002-0000-0700-00000A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700-00000B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700-00000C000000}"/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7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'Darbuotojų vardai'!$B$4:$B$8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5" style="11" customWidth="1"/>
    <col min="35" max="35" width="2.7109375" customWidth="1"/>
  </cols>
  <sheetData>
    <row r="1" spans="2:34" ht="50.1" customHeight="1" x14ac:dyDescent="0.25">
      <c r="B1" s="14" t="str">
        <f>Employee_Absence_Title</f>
        <v>Darbuotojų neatvykimo tvarkaraštis</v>
      </c>
    </row>
    <row r="2" spans="2:34" ht="15" customHeight="1" x14ac:dyDescent="0.25">
      <c r="B2" s="19" t="s">
        <v>1</v>
      </c>
      <c r="C2" s="4" t="s">
        <v>61</v>
      </c>
      <c r="D2" s="25" t="s">
        <v>11</v>
      </c>
      <c r="E2" s="25"/>
      <c r="F2" s="25"/>
      <c r="G2" s="5" t="s">
        <v>62</v>
      </c>
      <c r="H2" s="25" t="s">
        <v>16</v>
      </c>
      <c r="I2" s="25"/>
      <c r="J2" s="25"/>
      <c r="K2" s="6" t="s">
        <v>63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4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CalendarYear</f>
        <v>2019</v>
      </c>
    </row>
    <row r="5" spans="2:34" ht="15" customHeight="1" x14ac:dyDescent="0.25">
      <c r="B5" s="12"/>
      <c r="C5" s="2" t="str">
        <f>TEXT(WEEKDAY(DATE(CalendarYear,9,1),1),"aaa")</f>
        <v>sk</v>
      </c>
      <c r="D5" s="2" t="str">
        <f>TEXT(WEEKDAY(DATE(CalendarYear,9,2),1),"aaa")</f>
        <v>pr</v>
      </c>
      <c r="E5" s="2" t="str">
        <f>TEXT(WEEKDAY(DATE(CalendarYear,9,3),1),"aaa")</f>
        <v>an</v>
      </c>
      <c r="F5" s="2" t="str">
        <f>TEXT(WEEKDAY(DATE(CalendarYear,9,4),1),"aaa")</f>
        <v>tr</v>
      </c>
      <c r="G5" s="2" t="str">
        <f>TEXT(WEEKDAY(DATE(CalendarYear,9,5),1),"aaa")</f>
        <v>kt</v>
      </c>
      <c r="H5" s="2" t="str">
        <f>TEXT(WEEKDAY(DATE(CalendarYear,9,6),1),"aaa")</f>
        <v>pn</v>
      </c>
      <c r="I5" s="2" t="str">
        <f>TEXT(WEEKDAY(DATE(CalendarYear,9,7),1),"aaa")</f>
        <v>št</v>
      </c>
      <c r="J5" s="2" t="str">
        <f>TEXT(WEEKDAY(DATE(CalendarYear,9,8),1),"aaa")</f>
        <v>sk</v>
      </c>
      <c r="K5" s="2" t="str">
        <f>TEXT(WEEKDAY(DATE(CalendarYear,9,9),1),"aaa")</f>
        <v>pr</v>
      </c>
      <c r="L5" s="2" t="str">
        <f>TEXT(WEEKDAY(DATE(CalendarYear,9,10),1),"aaa")</f>
        <v>an</v>
      </c>
      <c r="M5" s="2" t="str">
        <f>TEXT(WEEKDAY(DATE(CalendarYear,9,11),1),"aaa")</f>
        <v>tr</v>
      </c>
      <c r="N5" s="2" t="str">
        <f>TEXT(WEEKDAY(DATE(CalendarYear,9,12),1),"aaa")</f>
        <v>kt</v>
      </c>
      <c r="O5" s="2" t="str">
        <f>TEXT(WEEKDAY(DATE(CalendarYear,9,13),1),"aaa")</f>
        <v>pn</v>
      </c>
      <c r="P5" s="2" t="str">
        <f>TEXT(WEEKDAY(DATE(CalendarYear,9,14),1),"aaa")</f>
        <v>št</v>
      </c>
      <c r="Q5" s="2" t="str">
        <f>TEXT(WEEKDAY(DATE(CalendarYear,9,15),1),"aaa")</f>
        <v>sk</v>
      </c>
      <c r="R5" s="2" t="str">
        <f>TEXT(WEEKDAY(DATE(CalendarYear,9,16),1),"aaa")</f>
        <v>pr</v>
      </c>
      <c r="S5" s="2" t="str">
        <f>TEXT(WEEKDAY(DATE(CalendarYear,9,17),1),"aaa")</f>
        <v>an</v>
      </c>
      <c r="T5" s="2" t="str">
        <f>TEXT(WEEKDAY(DATE(CalendarYear,9,18),1),"aaa")</f>
        <v>tr</v>
      </c>
      <c r="U5" s="2" t="str">
        <f>TEXT(WEEKDAY(DATE(CalendarYear,9,19),1),"aaa")</f>
        <v>kt</v>
      </c>
      <c r="V5" s="2" t="str">
        <f>TEXT(WEEKDAY(DATE(CalendarYear,9,20),1),"aaa")</f>
        <v>pn</v>
      </c>
      <c r="W5" s="2" t="str">
        <f>TEXT(WEEKDAY(DATE(CalendarYear,9,21),1),"aaa")</f>
        <v>št</v>
      </c>
      <c r="X5" s="2" t="str">
        <f>TEXT(WEEKDAY(DATE(CalendarYear,9,22),1),"aaa")</f>
        <v>sk</v>
      </c>
      <c r="Y5" s="2" t="str">
        <f>TEXT(WEEKDAY(DATE(CalendarYear,9,23),1),"aaa")</f>
        <v>pr</v>
      </c>
      <c r="Z5" s="2" t="str">
        <f>TEXT(WEEKDAY(DATE(CalendarYear,9,24),1),"aaa")</f>
        <v>an</v>
      </c>
      <c r="AA5" s="2" t="str">
        <f>TEXT(WEEKDAY(DATE(CalendarYear,9,25),1),"aaa")</f>
        <v>tr</v>
      </c>
      <c r="AB5" s="2" t="str">
        <f>TEXT(WEEKDAY(DATE(CalendarYear,9,26),1),"aaa")</f>
        <v>kt</v>
      </c>
      <c r="AC5" s="2" t="str">
        <f>TEXT(WEEKDAY(DATE(CalendarYear,9,27),1),"aaa")</f>
        <v>pn</v>
      </c>
      <c r="AD5" s="2" t="str">
        <f>TEXT(WEEKDAY(DATE(CalendarYear,9,28),1),"aaa")</f>
        <v>št</v>
      </c>
      <c r="AE5" s="2" t="str">
        <f>TEXT(WEEKDAY(DATE(CalendarYear,9,29),1),"aaa")</f>
        <v>sk</v>
      </c>
      <c r="AF5" s="2" t="str">
        <f>TEXT(WEEKDAY(DATE(CalendarYear,9,30),1),"aaa")</f>
        <v>pr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COUNTA(Rugsėjis[[#This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COUNTA(Rugsėjis[[#This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COUNTA(Rugsėjis[[#This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COUNTA(Rugsėjis[[#This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COUNTA(Rugsėjis[[#This Row],[1]:[30]])</f>
        <v>0</v>
      </c>
    </row>
    <row r="12" spans="2:34" ht="30" customHeight="1" x14ac:dyDescent="0.25">
      <c r="B12" s="21" t="str">
        <f>MonthName&amp;" bendroji suma"</f>
        <v>Rugsėjis bendroji suma</v>
      </c>
      <c r="C12" s="13">
        <f>SUBTOTAL(103,Rugsėjis[1])</f>
        <v>0</v>
      </c>
      <c r="D12" s="13">
        <f>SUBTOTAL(103,Rugsėjis[2])</f>
        <v>0</v>
      </c>
      <c r="E12" s="13">
        <f>SUBTOTAL(103,Rugsėjis[3])</f>
        <v>0</v>
      </c>
      <c r="F12" s="13">
        <f>SUBTOTAL(103,Rugsėjis[4])</f>
        <v>0</v>
      </c>
      <c r="G12" s="13">
        <f>SUBTOTAL(103,Rugsėjis[5])</f>
        <v>0</v>
      </c>
      <c r="H12" s="13">
        <f>SUBTOTAL(103,Rugsėjis[6])</f>
        <v>0</v>
      </c>
      <c r="I12" s="13">
        <f>SUBTOTAL(103,Rugsėjis[7])</f>
        <v>0</v>
      </c>
      <c r="J12" s="13">
        <f>SUBTOTAL(103,Rugsėjis[8])</f>
        <v>0</v>
      </c>
      <c r="K12" s="13">
        <f>SUBTOTAL(103,Rugsėjis[9])</f>
        <v>0</v>
      </c>
      <c r="L12" s="13">
        <f>SUBTOTAL(103,Rugsėjis[10])</f>
        <v>0</v>
      </c>
      <c r="M12" s="13">
        <f>SUBTOTAL(103,Rugsėjis[11])</f>
        <v>0</v>
      </c>
      <c r="N12" s="13">
        <f>SUBTOTAL(103,Rugsėjis[12])</f>
        <v>0</v>
      </c>
      <c r="O12" s="13">
        <f>SUBTOTAL(103,Rugsėjis[13])</f>
        <v>0</v>
      </c>
      <c r="P12" s="13">
        <f>SUBTOTAL(103,Rugsėjis[14])</f>
        <v>0</v>
      </c>
      <c r="Q12" s="13">
        <f>SUBTOTAL(103,Rugsėjis[15])</f>
        <v>0</v>
      </c>
      <c r="R12" s="13">
        <f>SUBTOTAL(103,Rugsėjis[16])</f>
        <v>0</v>
      </c>
      <c r="S12" s="13">
        <f>SUBTOTAL(103,Rugsėjis[17])</f>
        <v>0</v>
      </c>
      <c r="T12" s="13">
        <f>SUBTOTAL(103,Rugsėjis[18])</f>
        <v>0</v>
      </c>
      <c r="U12" s="13">
        <f>SUBTOTAL(103,Rugsėjis[19])</f>
        <v>0</v>
      </c>
      <c r="V12" s="13">
        <f>SUBTOTAL(103,Rugsėjis[20])</f>
        <v>0</v>
      </c>
      <c r="W12" s="13">
        <f>SUBTOTAL(103,Rugsėjis[21])</f>
        <v>0</v>
      </c>
      <c r="X12" s="13">
        <f>SUBTOTAL(103,Rugsėjis[22])</f>
        <v>0</v>
      </c>
      <c r="Y12" s="13">
        <f>SUBTOTAL(103,Rugsėjis[23])</f>
        <v>0</v>
      </c>
      <c r="Z12" s="13">
        <f>SUBTOTAL(103,Rugsėjis[24])</f>
        <v>0</v>
      </c>
      <c r="AA12" s="13">
        <f>SUBTOTAL(103,Rugsėjis[25])</f>
        <v>0</v>
      </c>
      <c r="AB12" s="13">
        <f>SUBTOTAL(103,Rugsėjis[26])</f>
        <v>0</v>
      </c>
      <c r="AC12" s="13">
        <f>SUBTOTAL(103,Rugsėjis[27])</f>
        <v>0</v>
      </c>
      <c r="AD12" s="13">
        <f>SUBTOTAL(103,Rugsėjis[28])</f>
        <v>0</v>
      </c>
      <c r="AE12" s="13">
        <f>SUBTOTAL(103,Rugsėjis[29])</f>
        <v>0</v>
      </c>
      <c r="AF12" s="13">
        <f>SUBTOTAL(103,Rugsėjis[30])</f>
        <v>0</v>
      </c>
      <c r="AG12" s="13">
        <f>SUBTOTAL(103,Rugsėjis[[ ]])</f>
        <v>0</v>
      </c>
      <c r="AH12" s="13">
        <f>SUBTOTAL(109,Rugsėjis[Iš viso dienų])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83" priority="2" stopIfTrue="1">
      <formula>C7=KeyCustom2</formula>
    </cfRule>
    <cfRule type="expression" dxfId="282" priority="3" stopIfTrue="1">
      <formula>C7=KeyCustom1</formula>
    </cfRule>
    <cfRule type="expression" dxfId="281" priority="4" stopIfTrue="1">
      <formula>C7=KeySick</formula>
    </cfRule>
    <cfRule type="expression" dxfId="280" priority="5" stopIfTrue="1">
      <formula>C7=KeyPersonal</formula>
    </cfRule>
    <cfRule type="expression" dxfId="279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Mėnesio dienos šioje eilutėje generuojamos automatiškai. Kiekviename stulpelyje įveskite visas mėnesio dienas, kai darbuotojas neatvyko, ir neatvykimo tipą. Tuščias laukas reiškia, kad neatvykimo nėra" sqref="C6" xr:uid="{00000000-0002-0000-0800-000000000000}"/>
    <dataValidation allowBlank="1" showInputMessage="1" showErrorMessage="1" prompt="Šiame langelyje yra šio neatvykimo tvarkaraščio mėnesio pavadinimas. Šio mėnesio bendrosios sumos yra paskutiniame lentelės langelyje. Pasirinkite darbuotojų vardus lentelės B stulpelyje" sqref="B4" xr:uid="{00000000-0002-0000-0800-000001000000}"/>
    <dataValidation allowBlank="1" showInputMessage="1" showErrorMessage="1" prompt="Ši eilutė apibrėžia lentelėje naudojamus raktus: C2 langelyje – atostogos, G2 – asmeninis ir K2 – nedarbingumas. N2 ir R2 langeliai yra tinkinami" sqref="B2" xr:uid="{00000000-0002-0000-0800-000002000000}"/>
    <dataValidation allowBlank="1" showInputMessage="1" showErrorMessage="1" prompt="Įveskite žymą, apibūdinančią pasirinktinį kodą kairėje" sqref="O2:Q2 S2:U2" xr:uid="{00000000-0002-0000-0800-000003000000}"/>
    <dataValidation allowBlank="1" showInputMessage="1" showErrorMessage="1" prompt="Įveskite raidę ir tinkinkite žymą dešinėje, kad įtrauktumėte kitą pagrindinį elementą" sqref="N2 R2" xr:uid="{00000000-0002-0000-0800-000004000000}"/>
    <dataValidation allowBlank="1" showInputMessage="1" showErrorMessage="1" prompt="Raidė „L“ rodo neatvykimą dėl ligos" sqref="K2" xr:uid="{00000000-0002-0000-0800-000005000000}"/>
    <dataValidation allowBlank="1" showInputMessage="1" showErrorMessage="1" prompt="Raidė „AS“ rodo neatvykimą dėl asmeninių priežasčių" sqref="G2" xr:uid="{00000000-0002-0000-0800-000006000000}"/>
    <dataValidation allowBlank="1" showInputMessage="1" showErrorMessage="1" prompt="Raidė „AT“ rodo neatvykimą dėl atostogų" sqref="C2" xr:uid="{00000000-0002-0000-0800-000007000000}"/>
    <dataValidation allowBlank="1" showInputMessage="1" showErrorMessage="1" prompt="Šiame langelyje yra automatiškai atnaujinamas pavadinimas. Jei norite keisti pavadinimą, atnaujinkite B1 langelį sausio darbalapyje" sqref="B1" xr:uid="{00000000-0002-0000-0800-000008000000}"/>
    <dataValidation errorStyle="warning" allowBlank="1" showInputMessage="1" showErrorMessage="1" error="Sąraše pasirinkite vardą. Pasirinkite ATŠAUKTI, paspauskite ALT + RODYKLĖ ŽEMYN, tada ENTER, kad pasirinktumėte vardą" prompt="Darbuotojų vardų darbalapyje įveskite darbuotojų vardus, tada šiame stulpelyje esančiame sąraše pasirinkite vieną iš šių vardų. Paspauskite ALT + RODYKLĖ ŽEMYN, tada ENTER, kad pasirinktumėte vardą" sqref="B6" xr:uid="{00000000-0002-0000-0800-000009000000}"/>
    <dataValidation allowBlank="1" showInputMessage="1" showErrorMessage="1" prompt="Šiame darbalapyje sekite neatvykimus rugsėjį" sqref="A1" xr:uid="{00000000-0002-0000-0800-00000A000000}"/>
    <dataValidation allowBlank="1" showInputMessage="1" showErrorMessage="1" prompt="Automatiškai skaičiuoja šiame stulpelyje bendrą skaičių dienų, kai darbuotojas šį mėnesį neatvyko" sqref="AH6" xr:uid="{00000000-0002-0000-0800-00000B000000}"/>
    <dataValidation allowBlank="1" showInputMessage="1" showErrorMessage="1" prompt="Metai automatiškai atnaujinami pagal sausio darbalapyje įvestus metus." sqref="AH4" xr:uid="{00000000-0002-0000-0800-00000C000000}"/>
    <dataValidation allowBlank="1" showInputMessage="1" showErrorMessage="1" prompt="Mėnesio šiokiadieniai šioje eilutėje automatiškai atnaujinami pagal AH4 nurodytus metus. Kiekviena mėnesio diena yra stulpelis, kuriame galite nurodyti, kad darbuotojas neatvyko, ir neatvykimo tipą." sqref="C5" xr:uid="{00000000-0002-0000-0800-00000D000000}"/>
  </dataValidations>
  <printOptions horizontalCentered="1"/>
  <pageMargins left="0.25" right="0.25" top="0.75" bottom="0.75" header="0.3" footer="0.3"/>
  <pageSetup paperSize="9" scale="74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'Darbuotojų vardai'!$B$4:$B$8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13</vt:i4>
      </vt:variant>
      <vt:variant>
        <vt:lpstr>Įvardytieji diapazonai</vt:lpstr>
      </vt:variant>
      <vt:variant>
        <vt:i4>49</vt:i4>
      </vt:variant>
    </vt:vector>
  </HeadingPairs>
  <TitlesOfParts>
    <vt:vector size="62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  <vt:lpstr>Darbuotojų vardai</vt:lpstr>
      <vt:lpstr>CalendarYear</vt:lpstr>
      <vt:lpstr>Employee_Absence_Title</vt:lpstr>
      <vt:lpstr>Key_name</vt:lpstr>
      <vt:lpstr>KeyCustom1</vt:lpstr>
      <vt:lpstr>KeyCustom1Label</vt:lpstr>
      <vt:lpstr>KeyCustom2</vt:lpstr>
      <vt:lpstr>KeyCustom2Label</vt:lpstr>
      <vt:lpstr>KeyPersonal</vt:lpstr>
      <vt:lpstr>KeyPersonalLabel</vt:lpstr>
      <vt:lpstr>KeySick</vt:lpstr>
      <vt:lpstr>KeySickLabel</vt:lpstr>
      <vt:lpstr>KeyVacation</vt:lpstr>
      <vt:lpstr>KeyVacationLabel</vt:lpstr>
      <vt:lpstr>Balandis!MonthName</vt:lpstr>
      <vt:lpstr>Birželis!MonthName</vt:lpstr>
      <vt:lpstr>Gegužė!MonthName</vt:lpstr>
      <vt:lpstr>Gruodis!MonthName</vt:lpstr>
      <vt:lpstr>Kovas!MonthName</vt:lpstr>
      <vt:lpstr>Lapkritis!MonthName</vt:lpstr>
      <vt:lpstr>Liepa!MonthName</vt:lpstr>
      <vt:lpstr>Rugpjūtis!MonthName</vt:lpstr>
      <vt:lpstr>Rugsėjis!MonthName</vt:lpstr>
      <vt:lpstr>Sausis!MonthName</vt:lpstr>
      <vt:lpstr>Spalis!MonthName</vt:lpstr>
      <vt:lpstr>Vasaris!MonthName</vt:lpstr>
      <vt:lpstr>Pavadinimas1</vt:lpstr>
      <vt:lpstr>Pavadinimas10</vt:lpstr>
      <vt:lpstr>Pavadinimas11</vt:lpstr>
      <vt:lpstr>Pavadinimas12</vt:lpstr>
      <vt:lpstr>Pavadinimas2</vt:lpstr>
      <vt:lpstr>Pavadinimas3</vt:lpstr>
      <vt:lpstr>Pavadinimas4</vt:lpstr>
      <vt:lpstr>Pavadinimas5</vt:lpstr>
      <vt:lpstr>Pavadinimas6</vt:lpstr>
      <vt:lpstr>Pavadinimas7</vt:lpstr>
      <vt:lpstr>Pavadinimas8</vt:lpstr>
      <vt:lpstr>Pavadinimas9</vt:lpstr>
      <vt:lpstr>Balandis!Print_Titles</vt:lpstr>
      <vt:lpstr>Birželis!Print_Titles</vt:lpstr>
      <vt:lpstr>Gegužė!Print_Titles</vt:lpstr>
      <vt:lpstr>Gruodis!Print_Titles</vt:lpstr>
      <vt:lpstr>Kovas!Print_Titles</vt:lpstr>
      <vt:lpstr>Lapkritis!Print_Titles</vt:lpstr>
      <vt:lpstr>Liepa!Print_Titles</vt:lpstr>
      <vt:lpstr>Rugpjūtis!Print_Titles</vt:lpstr>
      <vt:lpstr>Rugsėjis!Print_Titles</vt:lpstr>
      <vt:lpstr>Sausis!Print_Titles</vt:lpstr>
      <vt:lpstr>Spalis!Print_Titles</vt:lpstr>
      <vt:lpstr>Vasaris!Print_Titles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2016-12-06T04:52:27Z</dcterms:created>
  <dcterms:modified xsi:type="dcterms:W3CDTF">2019-07-25T05:17:27Z</dcterms:modified>
</cp:coreProperties>
</file>