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760" windowHeight="12780"/>
  </bookViews>
  <sheets>
    <sheet name="Бағыттауыш" sheetId="4" r:id="rId1"/>
    <sheet name="Жылдық ақша ағыны" sheetId="1" r:id="rId2"/>
    <sheet name="Ай сайынғы ақша ағыны" sheetId="2" r:id="rId3"/>
    <sheet name="Күнделікті ақша ағыны" sheetId="3" r:id="rId4"/>
  </sheets>
  <definedNames>
    <definedName name="AnnualCashFlowToDate">Кіріскестесі[[#Totals],[Жыл сайынғы]]-Шығындаркестесі[[#Totals],[Жыл сайынғы]]-tblDiscretionary[[#Totals],[Жыл сайынғы]]-tblSavings[[#Totals],[Жыл сайынғы]]</definedName>
    <definedName name="DailyCashFlow">SUM(tblDailyTotals[Күнделікті])</definedName>
    <definedName name="MonthlyCashFlowToDate">tblMontly[[#Totals],[Барлығы]]</definedName>
    <definedName name="Басыпшығару_Бөлігі" localSheetId="2">'Ай сайынғы ақша ағыны'!$B$4:$Q$49</definedName>
  </definedNames>
  <calcPr calcId="152511"/>
</workbook>
</file>

<file path=xl/calcChain.xml><?xml version="1.0" encoding="utf-8"?>
<calcChain xmlns="http://schemas.openxmlformats.org/spreadsheetml/2006/main">
  <c r="O26" i="1" l="1"/>
  <c r="K26" i="1"/>
  <c r="G26" i="1"/>
  <c r="C26" i="1"/>
  <c r="F6" i="3" l="1"/>
  <c r="F7" i="3"/>
  <c r="F8" i="3"/>
  <c r="F9" i="3"/>
  <c r="E6" i="3"/>
  <c r="E7" i="3"/>
  <c r="E8" i="3"/>
  <c r="E9" i="3"/>
  <c r="D6" i="3"/>
  <c r="D7" i="3"/>
  <c r="D8" i="3"/>
  <c r="D9" i="3"/>
  <c r="F56" i="3" l="1"/>
  <c r="E56" i="3"/>
  <c r="D56"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P49" i="2"/>
  <c r="O49" i="2"/>
  <c r="N49" i="2"/>
  <c r="M49" i="2"/>
  <c r="L49" i="2"/>
  <c r="K49" i="2"/>
  <c r="J49" i="2"/>
  <c r="I49" i="2"/>
  <c r="H49" i="2"/>
  <c r="G49" i="2"/>
  <c r="F49" i="2"/>
  <c r="E49" i="2"/>
  <c r="D49"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C6" i="1"/>
  <c r="O6" i="1"/>
  <c r="K6" i="1"/>
  <c r="G6" i="1"/>
  <c r="O35" i="1"/>
  <c r="K41" i="1"/>
  <c r="G48" i="1"/>
  <c r="C36" i="1"/>
  <c r="P35" i="1"/>
  <c r="L41" i="1"/>
  <c r="H48" i="1"/>
  <c r="D36" i="1"/>
  <c r="P30" i="1"/>
  <c r="P31" i="1"/>
  <c r="P32" i="1"/>
  <c r="P33" i="1"/>
  <c r="P34" i="1"/>
  <c r="L30" i="1"/>
  <c r="L31" i="1"/>
  <c r="L32" i="1"/>
  <c r="L33" i="1"/>
  <c r="L34" i="1"/>
  <c r="L35" i="1"/>
  <c r="L36" i="1"/>
  <c r="L37" i="1"/>
  <c r="L38" i="1"/>
  <c r="L39" i="1"/>
  <c r="L40" i="1"/>
  <c r="H30" i="1"/>
  <c r="H31" i="1"/>
  <c r="H32" i="1"/>
  <c r="H33" i="1"/>
  <c r="H34" i="1"/>
  <c r="H35" i="1"/>
  <c r="H36" i="1"/>
  <c r="H37" i="1"/>
  <c r="H38" i="1"/>
  <c r="H39" i="1"/>
  <c r="H40" i="1"/>
  <c r="H41" i="1"/>
  <c r="H42" i="1"/>
  <c r="H43" i="1"/>
  <c r="H44" i="1"/>
  <c r="H45" i="1"/>
  <c r="H46" i="1"/>
  <c r="H47" i="1"/>
  <c r="D30" i="1"/>
  <c r="D31" i="1"/>
  <c r="D32" i="1"/>
  <c r="D33" i="1"/>
  <c r="D34" i="1"/>
  <c r="D35" i="1"/>
  <c r="B2" i="3" l="1"/>
  <c r="B2" i="1"/>
  <c r="B2" i="2"/>
</calcChain>
</file>

<file path=xl/sharedStrings.xml><?xml version="1.0" encoding="utf-8"?>
<sst xmlns="http://schemas.openxmlformats.org/spreadsheetml/2006/main" count="286" uniqueCount="84">
  <si>
    <t>Пайда</t>
  </si>
  <si>
    <t>Жалақы</t>
  </si>
  <si>
    <t>Комиссия/бонус</t>
  </si>
  <si>
    <t>Басқа 2</t>
  </si>
  <si>
    <t>Басқа 1</t>
  </si>
  <si>
    <t>Жыл сайынғы</t>
  </si>
  <si>
    <t>Ай сайынғы</t>
  </si>
  <si>
    <t>Шығындар</t>
  </si>
  <si>
    <t>Федералдық/SS/Медициналық күтім</t>
  </si>
  <si>
    <t>Мемлекеттік кіріс салығы</t>
  </si>
  <si>
    <t>Көлік салығы/төлемдер</t>
  </si>
  <si>
    <t>Кепіл/Несие</t>
  </si>
  <si>
    <t>Көлік төлемдері</t>
  </si>
  <si>
    <t>Сақтандыру</t>
  </si>
  <si>
    <t>Электр ток</t>
  </si>
  <si>
    <t>Газ</t>
  </si>
  <si>
    <t>Су</t>
  </si>
  <si>
    <t>Құбыр</t>
  </si>
  <si>
    <t>Қалдық</t>
  </si>
  <si>
    <t>Телефон</t>
  </si>
  <si>
    <t>Интернет</t>
  </si>
  <si>
    <t>Өмір/Мүмкінсіздік төлемдері</t>
  </si>
  <si>
    <t>Тамақ</t>
  </si>
  <si>
    <t>Киім</t>
  </si>
  <si>
    <t>Медициналық/Тіс/Rx</t>
  </si>
  <si>
    <t>Басқа 3</t>
  </si>
  <si>
    <t>Барлығы</t>
  </si>
  <si>
    <t>Тәуелсіз шығындар</t>
  </si>
  <si>
    <t>Түскі ас</t>
  </si>
  <si>
    <t>Сыйлықтар</t>
  </si>
  <si>
    <t>Сапар</t>
  </si>
  <si>
    <t>Ойын-сауық</t>
  </si>
  <si>
    <t>Жеке күтім</t>
  </si>
  <si>
    <t>Сатып алу</t>
  </si>
  <si>
    <t>Қайырымдылық</t>
  </si>
  <si>
    <t>Клуб/Мүшеліктер</t>
  </si>
  <si>
    <t>Үй жетілдірулері</t>
  </si>
  <si>
    <t>Басқа 4</t>
  </si>
  <si>
    <t>Сақтаулар</t>
  </si>
  <si>
    <t>Қолма қол ақшаны сақтау</t>
  </si>
  <si>
    <t>401(к)/т.б.</t>
  </si>
  <si>
    <t>Сақтауларды/Салымдарды есептеу</t>
  </si>
  <si>
    <t>Күнделікті</t>
  </si>
  <si>
    <t>Автобус</t>
  </si>
  <si>
    <t>Түрі</t>
  </si>
  <si>
    <t>Сипаттама</t>
  </si>
  <si>
    <t>Мамыр</t>
  </si>
  <si>
    <t>Тәуелсіз</t>
  </si>
  <si>
    <t>ҚОРЫТЫНДЫ</t>
  </si>
  <si>
    <t xml:space="preserve"> </t>
  </si>
  <si>
    <t>ЖЕКЕ АҚША АҒЫНЫ</t>
  </si>
  <si>
    <t>Жылдық ақша ағыны</t>
  </si>
  <si>
    <t>Ай сайынғы ақша ағыны</t>
  </si>
  <si>
    <t>Күнделікті ақша ағыны</t>
  </si>
  <si>
    <t>КІРІС ЖИЫНТЫҒЫ</t>
  </si>
  <si>
    <t>ШЫҒЫНДАР ЖИЫНТЫҒЫ</t>
  </si>
  <si>
    <t>ТӘУЕЛСІЗ ШЫҒЫНДАР ЖИЫНТЫҒЫ</t>
  </si>
  <si>
    <t>САҚТАУЛАР ЖИЫНТЫҒЫ</t>
  </si>
  <si>
    <t>Бұл жыл сайынғы бағалау. Белгіленген ай сайынғы мәндермен жылдық көлемдерді қарауды қаласаңыз, осы жұмыс парағын қолданыңыз
Кестелерге күнделікті элементтерді қосуды қаласаңыз, олардың жылдық көлемін/мәнін бағалап, мәнді жылдық бағанына орналастырыңыз.</t>
  </si>
  <si>
    <t>Жалпы жылдық:</t>
  </si>
  <si>
    <t>Сақтаулар/Салымдар</t>
  </si>
  <si>
    <t>Жалпы айлық:</t>
  </si>
  <si>
    <t>ЕСКЕРТПЕ: Кестеге күнделікті элементтерді қосуды қаласаңыз, айлық көлемді/мәнді бағалап, сәйкес ай бағанына қойыңыз.</t>
  </si>
  <si>
    <t>Қаң</t>
  </si>
  <si>
    <t>Ақп</t>
  </si>
  <si>
    <t>Нау</t>
  </si>
  <si>
    <t>Сәу</t>
  </si>
  <si>
    <t>Мау</t>
  </si>
  <si>
    <t>Шіл</t>
  </si>
  <si>
    <t>Там</t>
  </si>
  <si>
    <t>Қыр</t>
  </si>
  <si>
    <t>Қаз</t>
  </si>
  <si>
    <t>Қар</t>
  </si>
  <si>
    <t>Жел</t>
  </si>
  <si>
    <t>КҮНДЕЛІКТІ ЖИЫНТЫҚ</t>
  </si>
  <si>
    <t>Күнделікті орындалатын қолма қол ақша ағынының бағаланған мөлшерін енгізіңіз және бағаланған ай сайынғы және жыл сайынғы қорытындыларды қарап шығыңыз. Ай немесе жыл курсы бойынша күнделікті ақша жұмсау дағдысының маңыздылығын алу үшін осыны қолданыңыз.</t>
  </si>
  <si>
    <t>Әр түрлі аймақтар бойынша жылдық қолма қол ақша мөлшерін енгізіңіз. Ай сайынғы үзілісті және әр нәрсенің салыстырылу жолын және жылдық және айлық фигуралардың төменгі жолындағы ең маңызды элементті қараңыз.</t>
  </si>
  <si>
    <t>Ай сайын орындалатын ай сайынғы қолма қол ақша ағынын енгізіңіз немесе әрбір айға арналған әрбір жыл үшін жобаланған ақша ағынын қарау үшін қалған айларды бағалаңыз.</t>
  </si>
  <si>
    <r>
      <t xml:space="preserve">Осы жұмыс кітабында </t>
    </r>
    <r>
      <rPr>
        <b/>
        <sz val="14"/>
        <color theme="3" tint="0.249977111117893"/>
        <rFont val="Calibri"/>
        <family val="2"/>
        <scheme val="minor"/>
      </rPr>
      <t>жылдық</t>
    </r>
    <r>
      <rPr>
        <sz val="14"/>
        <color theme="3" tint="0.499984740745262"/>
        <rFont val="Calibri"/>
        <family val="2"/>
        <scheme val="minor"/>
      </rPr>
      <t xml:space="preserve">, </t>
    </r>
    <r>
      <rPr>
        <b/>
        <sz val="14"/>
        <color theme="3" tint="0.249977111117893"/>
        <rFont val="Calibri"/>
        <family val="2"/>
        <scheme val="minor"/>
      </rPr>
      <t>айлық</t>
    </r>
    <r>
      <rPr>
        <sz val="14"/>
        <color theme="3" tint="0.499984740745262"/>
        <rFont val="Calibri"/>
        <family val="2"/>
        <scheme val="minor"/>
      </rPr>
      <t xml:space="preserve"> және </t>
    </r>
    <r>
      <rPr>
        <b/>
        <sz val="14"/>
        <color theme="3" tint="0.249977111117893"/>
        <rFont val="Calibri"/>
        <family val="2"/>
        <scheme val="minor"/>
      </rPr>
      <t>күнделікті</t>
    </r>
    <r>
      <rPr>
        <sz val="14"/>
        <color theme="3" tint="0.499984740745262"/>
        <rFont val="Calibri"/>
        <family val="2"/>
        <scheme val="minor"/>
      </rPr>
      <t xml:space="preserve"> ақша ағынының жұмыс парақтары бар. Сіз үшін өте жақсы жұмыс істейтін ақша ағыны түрін таңдаңыз немесе жеке ақша ағынында ішкі мәнді алуға көмектесу үшін барлығын қолданыңыз.</t>
    </r>
  </si>
  <si>
    <t>Ай сайынғы</t>
  </si>
  <si>
    <t>Жыл сайынғы</t>
  </si>
  <si>
    <t>Жыл сайынғы</t>
  </si>
  <si>
    <t>Су/Құбыр</t>
  </si>
  <si>
    <t>ЕСКЕРІМ: Күнделікті элементтер үшін айлық көлемді/мәнді бағалап, сол мәнді сәйкес ай бағанына орналастырыңыз.</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</si>
</sst>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Т&quot;* #,##0.00_-;\-&quot;Т&quot;* #,##0.00_-;_-&quot;Т&quot;* &quot;-&quot;??_-;_-@_-"/>
    <numFmt numFmtId="165" formatCode="&quot;$&quot;#,##0.00_);\(&quot;$&quot;#,##0.00\)"/>
    <numFmt numFmtId="166" formatCode="&quot;$&quot;#,##0.00"/>
    <numFmt numFmtId="167" formatCode="_)@"/>
    <numFmt numFmtId="168" formatCode="&quot;Т&quot;#,##0.00"/>
  </numFmts>
  <fonts count="14" x14ac:knownFonts="1">
    <font>
      <sz val="10"/>
      <name val="Calibri"/>
      <family val="2"/>
      <scheme val="minor"/>
    </font>
    <font>
      <b/>
      <sz val="14"/>
      <color theme="0"/>
      <name val="Calibri"/>
      <family val="2"/>
      <scheme val="major"/>
    </font>
    <font>
      <sz val="14"/>
      <color theme="3" tint="0.499984740745262"/>
      <name val="Calibri"/>
      <family val="2"/>
      <scheme val="minor"/>
    </font>
    <font>
      <sz val="11"/>
      <color theme="3" tint="0.24994659260841701"/>
      <name val="Calibri"/>
      <family val="2"/>
      <scheme val="minor"/>
    </font>
    <font>
      <b/>
      <sz val="16"/>
      <color theme="3" tint="0.749961851863155"/>
      <name val="Calibri"/>
      <family val="2"/>
      <scheme val="minor"/>
    </font>
    <font>
      <b/>
      <sz val="24"/>
      <color theme="5" tint="-0.24994659260841701"/>
      <name val="Calibri"/>
      <family val="2"/>
      <scheme val="major"/>
    </font>
    <font>
      <sz val="10"/>
      <color theme="3" tint="0.249977111117893"/>
      <name val="Calibri"/>
      <family val="2"/>
      <scheme val="minor"/>
    </font>
    <font>
      <b/>
      <sz val="14"/>
      <color theme="3" tint="0.24994659260841701"/>
      <name val="Calibri"/>
      <family val="2"/>
      <scheme val="major"/>
    </font>
    <font>
      <b/>
      <sz val="11"/>
      <color theme="3" tint="0.24994659260841701"/>
      <name val="Calibri"/>
      <family val="2"/>
      <scheme val="major"/>
    </font>
    <font>
      <b/>
      <sz val="14"/>
      <color theme="3" tint="0.249977111117893"/>
      <name val="Calibri"/>
      <family val="2"/>
      <scheme val="minor"/>
    </font>
    <font>
      <b/>
      <sz val="12"/>
      <color theme="3" tint="0.24994659260841701"/>
      <name val="Calibri"/>
      <family val="2"/>
      <scheme val="major"/>
    </font>
    <font>
      <sz val="36"/>
      <color theme="3" tint="0.24994659260841701"/>
      <name val="Calibri"/>
      <family val="2"/>
      <scheme val="major"/>
    </font>
    <font>
      <sz val="10"/>
      <name val="Calibri"/>
      <family val="2"/>
      <scheme val="minor"/>
    </font>
    <font>
      <sz val="10"/>
      <color theme="3" tint="0.24994659260841701"/>
      <name val="Calibri"/>
      <family val="2"/>
      <scheme val="minor"/>
    </font>
  </fonts>
  <fills count="13">
    <fill>
      <patternFill patternType="none"/>
    </fill>
    <fill>
      <patternFill patternType="gray125"/>
    </fill>
    <fill>
      <patternFill patternType="solid">
        <fgColor theme="4" tint="-0.24994659260841701"/>
        <bgColor indexed="64"/>
      </patternFill>
    </fill>
    <fill>
      <patternFill patternType="solid">
        <fgColor theme="3" tint="0.24994659260841701"/>
        <bgColor indexed="64"/>
      </patternFill>
    </fill>
    <fill>
      <patternFill patternType="solid">
        <fgColor theme="5"/>
        <bgColor indexed="64"/>
      </patternFill>
    </fill>
    <fill>
      <patternFill patternType="solid">
        <fgColor theme="3" tint="0.74996185186315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s>
  <borders count="6">
    <border>
      <left/>
      <right/>
      <top/>
      <bottom/>
      <diagonal/>
    </border>
    <border>
      <left/>
      <right/>
      <top/>
      <bottom style="medium">
        <color theme="3" tint="0.749961851863155"/>
      </bottom>
      <diagonal/>
    </border>
    <border>
      <left/>
      <right/>
      <top/>
      <bottom style="dashed">
        <color theme="3" tint="0.499984740745262"/>
      </bottom>
      <diagonal/>
    </border>
    <border>
      <left/>
      <right/>
      <top/>
      <bottom style="thin">
        <color theme="3" tint="0.24994659260841701"/>
      </bottom>
      <diagonal/>
    </border>
    <border>
      <left/>
      <right/>
      <top/>
      <bottom style="medium">
        <color theme="3" tint="0.24994659260841701"/>
      </bottom>
      <diagonal/>
    </border>
    <border>
      <left/>
      <right/>
      <top style="dashed">
        <color theme="3" tint="0.499984740745262"/>
      </top>
      <bottom/>
      <diagonal/>
    </border>
  </borders>
  <cellStyleXfs count="7">
    <xf numFmtId="0" fontId="0" fillId="9" borderId="0">
      <alignment vertical="center"/>
    </xf>
    <xf numFmtId="0" fontId="4" fillId="3" borderId="0" applyNumberFormat="0" applyProtection="0">
      <alignment vertical="center"/>
    </xf>
    <xf numFmtId="0" fontId="5" fillId="3" borderId="0" applyNumberFormat="0" applyFill="0" applyProtection="0">
      <alignment horizontal="left" vertical="center"/>
    </xf>
    <xf numFmtId="0" fontId="7" fillId="0" borderId="3" applyNumberFormat="0" applyFill="0" applyProtection="0">
      <alignment vertical="center"/>
    </xf>
    <xf numFmtId="0" fontId="8" fillId="0" borderId="2" applyNumberFormat="0" applyFill="0" applyProtection="0">
      <alignment vertical="center"/>
    </xf>
    <xf numFmtId="0" fontId="10" fillId="7" borderId="4" applyNumberFormat="0" applyProtection="0">
      <alignment horizontal="left" vertical="center" indent="1"/>
    </xf>
    <xf numFmtId="0" fontId="11" fillId="9" borderId="0" applyNumberFormat="0" applyBorder="0" applyAlignment="0" applyProtection="0"/>
  </cellStyleXfs>
  <cellXfs count="59">
    <xf numFmtId="0" fontId="0" fillId="9" borderId="0" xfId="0">
      <alignment vertical="center"/>
    </xf>
    <xf numFmtId="0" fontId="1" fillId="3" borderId="0" xfId="0" applyFont="1" applyFill="1" applyAlignment="1">
      <alignment horizontal="left" vertical="center" indent="1"/>
    </xf>
    <xf numFmtId="0" fontId="1" fillId="2" borderId="0" xfId="0" applyFont="1" applyFill="1" applyAlignment="1">
      <alignment horizontal="left" vertical="center" indent="1"/>
    </xf>
    <xf numFmtId="0" fontId="1" fillId="4" borderId="0" xfId="0" applyFont="1" applyFill="1" applyAlignment="1">
      <alignment horizontal="left" vertical="center" indent="1"/>
    </xf>
    <xf numFmtId="0" fontId="1" fillId="5" borderId="0" xfId="0" applyFont="1" applyFill="1" applyAlignment="1">
      <alignment horizontal="left" vertical="center" indent="1"/>
    </xf>
    <xf numFmtId="0" fontId="0" fillId="3" borderId="0" xfId="0" applyFill="1">
      <alignment vertical="center"/>
    </xf>
    <xf numFmtId="0" fontId="0" fillId="9" borderId="1" xfId="0" applyBorder="1">
      <alignment vertical="center"/>
    </xf>
    <xf numFmtId="0" fontId="3" fillId="5" borderId="0" xfId="0" applyFont="1" applyFill="1" applyAlignment="1">
      <alignment horizontal="left" vertical="top" wrapText="1" indent="1"/>
    </xf>
    <xf numFmtId="0" fontId="4" fillId="3" borderId="0" xfId="1" applyFill="1">
      <alignment vertical="center"/>
    </xf>
    <xf numFmtId="0" fontId="7" fillId="8" borderId="3" xfId="3" applyFill="1">
      <alignment vertical="center"/>
    </xf>
    <xf numFmtId="0" fontId="8" fillId="8" borderId="2" xfId="4" applyFill="1">
      <alignment vertical="center"/>
    </xf>
    <xf numFmtId="166" fontId="8" fillId="8" borderId="2" xfId="4" applyNumberFormat="1" applyFill="1" applyAlignment="1">
      <alignment horizontal="right" vertical="center"/>
    </xf>
    <xf numFmtId="0" fontId="0" fillId="8" borderId="0" xfId="0" applyFill="1">
      <alignment vertical="center"/>
    </xf>
    <xf numFmtId="0" fontId="11" fillId="9" borderId="0" xfId="6"/>
    <xf numFmtId="0" fontId="7" fillId="8" borderId="3" xfId="3" applyFill="1" applyAlignment="1">
      <alignment horizontal="left" vertical="center" indent="1"/>
    </xf>
    <xf numFmtId="0" fontId="8" fillId="8" borderId="2" xfId="4" applyFill="1" applyAlignment="1">
      <alignment horizontal="left" vertical="center" indent="1"/>
    </xf>
    <xf numFmtId="0" fontId="0" fillId="9" borderId="0" xfId="0" applyFont="1" applyFill="1" applyBorder="1" applyAlignment="1">
      <alignment horizontal="right"/>
    </xf>
    <xf numFmtId="0" fontId="0" fillId="9" borderId="0" xfId="0" applyFont="1" applyFill="1" applyBorder="1" applyAlignment="1">
      <alignment vertical="center"/>
    </xf>
    <xf numFmtId="0" fontId="1" fillId="10" borderId="0" xfId="0" applyFont="1" applyFill="1" applyAlignment="1">
      <alignment horizontal="left" vertical="center" indent="1"/>
    </xf>
    <xf numFmtId="0" fontId="3" fillId="10" borderId="0" xfId="0" applyFont="1" applyFill="1" applyAlignment="1">
      <alignment horizontal="left" vertical="top" wrapText="1" indent="1"/>
    </xf>
    <xf numFmtId="0" fontId="1" fillId="11" borderId="0" xfId="0" applyFont="1" applyFill="1" applyAlignment="1">
      <alignment horizontal="left" vertical="center" indent="1"/>
    </xf>
    <xf numFmtId="0" fontId="3" fillId="11" borderId="0" xfId="0" applyFont="1" applyFill="1" applyAlignment="1">
      <alignment horizontal="left" vertical="top" wrapText="1" indent="1"/>
    </xf>
    <xf numFmtId="165" fontId="0" fillId="9" borderId="0" xfId="0" applyNumberFormat="1" applyFont="1" applyFill="1" applyBorder="1" applyAlignment="1">
      <alignment horizontal="right" vertical="center"/>
    </xf>
    <xf numFmtId="167" fontId="0" fillId="9" borderId="0" xfId="0" applyNumberFormat="1" applyFont="1" applyFill="1" applyBorder="1" applyAlignment="1"/>
    <xf numFmtId="167" fontId="0" fillId="9" borderId="0" xfId="0" applyNumberFormat="1" applyFont="1" applyFill="1" applyBorder="1" applyAlignment="1">
      <alignment vertical="center"/>
    </xf>
    <xf numFmtId="0" fontId="8" fillId="8" borderId="0" xfId="4" applyFill="1" applyBorder="1">
      <alignment vertical="center"/>
    </xf>
    <xf numFmtId="166" fontId="8" fillId="8" borderId="0" xfId="4" applyNumberFormat="1" applyFill="1" applyBorder="1" applyAlignment="1">
      <alignment horizontal="right" vertical="center"/>
    </xf>
    <xf numFmtId="0" fontId="0" fillId="9" borderId="0" xfId="0" applyBorder="1">
      <alignment vertical="center"/>
    </xf>
    <xf numFmtId="0" fontId="8" fillId="8" borderId="2" xfId="4" applyNumberFormat="1" applyFill="1" applyAlignment="1">
      <alignment horizontal="left" vertical="center" indent="1"/>
    </xf>
    <xf numFmtId="167" fontId="0" fillId="9" borderId="0" xfId="0" applyNumberFormat="1" applyFont="1" applyFill="1" applyBorder="1">
      <alignment vertical="center"/>
    </xf>
    <xf numFmtId="0" fontId="0" fillId="9" borderId="0" xfId="0" applyFont="1" applyFill="1" applyBorder="1">
      <alignment vertical="center"/>
    </xf>
    <xf numFmtId="167" fontId="0" fillId="9" borderId="0" xfId="0" applyNumberFormat="1" applyFont="1" applyFill="1" applyBorder="1" applyAlignment="1">
      <alignment horizontal="left" vertical="center"/>
    </xf>
    <xf numFmtId="167" fontId="0" fillId="9" borderId="0" xfId="0" applyNumberFormat="1" applyFont="1" applyFill="1" applyBorder="1" applyAlignment="1">
      <alignment horizontal="left"/>
    </xf>
    <xf numFmtId="167" fontId="0" fillId="9" borderId="0" xfId="0" applyNumberFormat="1">
      <alignment vertical="center"/>
    </xf>
    <xf numFmtId="167" fontId="0" fillId="9" borderId="0" xfId="0" applyNumberFormat="1" applyAlignment="1">
      <alignment horizontal="left"/>
    </xf>
    <xf numFmtId="167" fontId="0" fillId="9" borderId="0" xfId="0" applyNumberFormat="1" applyFont="1" applyFill="1" applyAlignment="1">
      <alignment vertical="center"/>
    </xf>
    <xf numFmtId="164" fontId="5" fillId="6" borderId="0" xfId="2" applyNumberFormat="1" applyFill="1" applyAlignment="1">
      <alignment vertical="center"/>
    </xf>
    <xf numFmtId="167" fontId="13" fillId="12" borderId="0" xfId="0" applyNumberFormat="1" applyFont="1" applyFill="1" applyBorder="1" applyAlignment="1">
      <alignment horizontal="left" vertical="center"/>
    </xf>
    <xf numFmtId="0" fontId="13" fillId="12" borderId="0" xfId="0" applyFont="1" applyFill="1" applyBorder="1" applyAlignment="1">
      <alignment vertical="center"/>
    </xf>
    <xf numFmtId="0" fontId="13" fillId="12" borderId="0" xfId="0" applyFont="1" applyFill="1" applyBorder="1" applyAlignment="1">
      <alignment horizontal="right" vertical="center"/>
    </xf>
    <xf numFmtId="167" fontId="13" fillId="12" borderId="5" xfId="0" applyNumberFormat="1" applyFont="1" applyFill="1" applyBorder="1" applyAlignment="1">
      <alignment horizontal="left" vertical="center"/>
    </xf>
    <xf numFmtId="0" fontId="13" fillId="12" borderId="5" xfId="0" applyFont="1" applyFill="1" applyBorder="1" applyAlignment="1">
      <alignment vertical="center"/>
    </xf>
    <xf numFmtId="167" fontId="10" fillId="12" borderId="0" xfId="5" applyNumberFormat="1" applyFill="1" applyBorder="1" applyAlignment="1">
      <alignment horizontal="left" vertical="center"/>
    </xf>
    <xf numFmtId="0" fontId="10" fillId="12" borderId="0" xfId="5" applyFill="1" applyBorder="1">
      <alignment horizontal="left" vertical="center" indent="1"/>
    </xf>
    <xf numFmtId="168" fontId="0" fillId="9" borderId="0" xfId="0" applyNumberFormat="1" applyFont="1" applyFill="1" applyBorder="1" applyAlignment="1">
      <alignment horizontal="right" vertical="center"/>
    </xf>
    <xf numFmtId="168" fontId="12" fillId="9" borderId="0" xfId="0" applyNumberFormat="1" applyFont="1" applyFill="1" applyBorder="1" applyAlignment="1">
      <alignment horizontal="right" vertical="center"/>
    </xf>
    <xf numFmtId="168" fontId="0" fillId="9" borderId="0" xfId="0" applyNumberFormat="1" applyFont="1" applyFill="1" applyBorder="1">
      <alignment vertical="center"/>
    </xf>
    <xf numFmtId="168" fontId="0" fillId="9" borderId="0" xfId="0" applyNumberFormat="1">
      <alignment vertical="center"/>
    </xf>
    <xf numFmtId="168" fontId="13" fillId="12" borderId="5" xfId="0" applyNumberFormat="1" applyFont="1" applyFill="1" applyBorder="1" applyAlignment="1">
      <alignment vertical="center"/>
    </xf>
    <xf numFmtId="168" fontId="13" fillId="12" borderId="0" xfId="0" applyNumberFormat="1" applyFont="1" applyFill="1" applyBorder="1" applyAlignment="1">
      <alignment vertical="center"/>
    </xf>
    <xf numFmtId="0" fontId="2" fillId="9" borderId="0" xfId="0" applyFont="1" applyAlignment="1">
      <alignment wrapText="1"/>
    </xf>
    <xf numFmtId="168" fontId="8" fillId="8" borderId="2" xfId="4" applyNumberFormat="1" applyFill="1" applyAlignment="1">
      <alignment horizontal="right" vertical="center"/>
    </xf>
    <xf numFmtId="0" fontId="6" fillId="9" borderId="0" xfId="0" applyFont="1" applyAlignment="1">
      <alignment horizontal="right" vertical="center" wrapText="1"/>
    </xf>
    <xf numFmtId="0" fontId="6" fillId="9" borderId="0" xfId="0" applyFont="1" applyAlignment="1">
      <alignment horizontal="right" vertical="center"/>
    </xf>
    <xf numFmtId="0" fontId="0" fillId="8" borderId="0" xfId="0" applyFill="1" applyAlignment="1">
      <alignment horizontal="center"/>
    </xf>
    <xf numFmtId="164" fontId="5" fillId="6" borderId="0" xfId="2" applyNumberFormat="1" applyFill="1" applyAlignment="1">
      <alignment horizontal="left" vertical="center"/>
    </xf>
    <xf numFmtId="0" fontId="0" fillId="9" borderId="0" xfId="0" applyAlignment="1">
      <alignment horizontal="center"/>
    </xf>
    <xf numFmtId="166" fontId="0" fillId="12" borderId="0" xfId="0" applyNumberFormat="1" applyFont="1" applyFill="1" applyBorder="1" applyAlignment="1"/>
    <xf numFmtId="164" fontId="5" fillId="6" borderId="0" xfId="2" applyNumberFormat="1" applyFill="1" applyAlignment="1">
      <alignment horizontal="center" vertical="center"/>
    </xf>
  </cellXfs>
  <cellStyles count="7">
    <cellStyle name="Heading 5" xfId="5"/>
    <cellStyle name="Nadpis 1" xfId="1" builtinId="16" customBuiltin="1"/>
    <cellStyle name="Nadpis 2" xfId="2" builtinId="17" customBuiltin="1"/>
    <cellStyle name="Nadpis 3" xfId="3" builtinId="18" customBuiltin="1"/>
    <cellStyle name="Nadpis 4" xfId="4" builtinId="19" customBuiltin="1"/>
    <cellStyle name="Normálna" xfId="0" builtinId="0" customBuiltin="1"/>
    <cellStyle name="Titul" xfId="6" builtinId="15" customBuiltin="1"/>
  </cellStyles>
  <dxfs count="101">
    <dxf>
      <font>
        <b val="0"/>
        <i val="0"/>
        <strike val="0"/>
        <condense val="0"/>
        <extend val="0"/>
        <outline val="0"/>
        <shadow val="0"/>
        <u val="none"/>
        <vertAlign val="baseline"/>
        <sz val="10"/>
        <color theme="3" tint="0.24994659260841701"/>
        <name val="Calibri"/>
        <scheme val="minor"/>
      </font>
      <numFmt numFmtId="168" formatCode="&quot;Т&quot;#,##0.00"/>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3" tint="0.24994659260841701"/>
        <name val="Calibri"/>
        <scheme val="minor"/>
      </font>
      <numFmt numFmtId="168" formatCode="&quot;Т&quot;#,##0.00"/>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3" tint="0.24994659260841701"/>
        <name val="Calibri"/>
        <scheme val="minor"/>
      </font>
      <numFmt numFmtId="168" formatCode="&quot;Т&quot;#,##0.00"/>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3" tint="0.24994659260841701"/>
        <name val="Calibri"/>
        <scheme val="minor"/>
      </font>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3" tint="0.24994659260841701"/>
        <name val="Calibri"/>
        <scheme val="minor"/>
      </font>
      <numFmt numFmtId="167" formatCode="_)@"/>
      <fill>
        <patternFill patternType="solid">
          <fgColor indexed="64"/>
          <bgColor theme="4" tint="0.79998168889431442"/>
        </patternFill>
      </fill>
      <alignment horizontal="left" vertical="center" textRotation="0" wrapText="0" indent="0" justifyLastLine="0" shrinkToFit="0" readingOrder="0"/>
    </dxf>
    <dxf>
      <border outline="0">
        <top style="medium">
          <color theme="3" tint="0.24994659260841701"/>
        </top>
      </border>
    </dxf>
    <dxf>
      <font>
        <b val="0"/>
        <i val="0"/>
        <strike val="0"/>
        <condense val="0"/>
        <extend val="0"/>
        <outline val="0"/>
        <shadow val="0"/>
        <u val="none"/>
        <vertAlign val="baseline"/>
        <sz val="10"/>
        <color theme="3" tint="0.24994659260841701"/>
        <name val="Calibri"/>
        <scheme val="minor"/>
      </font>
      <fill>
        <patternFill patternType="solid">
          <fgColor indexed="64"/>
          <bgColor theme="4"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3" tint="0.24994659260841701"/>
        <name val="Calibri"/>
        <scheme val="minor"/>
      </font>
      <fill>
        <patternFill patternType="solid">
          <fgColor indexed="64"/>
          <bgColor theme="4" tint="0.79998168889431442"/>
        </patternFill>
      </fill>
      <alignment horizontal="right" vertical="center" textRotation="0" wrapText="0" indent="0" justifyLastLine="0" shrinkToFit="0" readingOrder="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7" formatCode="_)@"/>
      <alignment horizontal="left" vertical="bottom" textRotation="0" wrapText="0" indent="0" justifyLastLine="0" shrinkToFit="0" readingOrder="0"/>
    </dxf>
    <dxf>
      <numFmt numFmtId="167" formatCode="_)@"/>
      <alignment horizontal="left" vertical="bottom" textRotation="0" wrapText="0" relativeIndent="-1"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4" formatCode="_-&quot;Т&quot;* #,##0.00_-;\-&quot;Т&quot;* #,##0.00_-;_-&quot;Т&quot;* &quot;-&quot;??_-;_-@_-"/>
    </dxf>
    <dxf>
      <numFmt numFmtId="168" formatCode="&quot;Т&quot;#,##0.00"/>
    </dxf>
    <dxf>
      <numFmt numFmtId="167" formatCode="_)@"/>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10"/>
        <color auto="1"/>
        <name val="Calibri"/>
        <scheme val="minor"/>
      </font>
      <numFmt numFmtId="164" formatCode="_-&quot;Т&quot;* #,##0.00_-;\-&quot;Т&quot;* #,##0.00_-;_-&quot;Т&quot;* &quot;-&quot;??_-;_-@_-"/>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8" formatCode="&quot;Т&quot;#,##0.00"/>
    </dxf>
    <dxf>
      <font>
        <b val="0"/>
        <i val="0"/>
        <strike val="0"/>
        <condense val="0"/>
        <extend val="0"/>
        <outline val="0"/>
        <shadow val="0"/>
        <u val="none"/>
        <vertAlign val="baseline"/>
        <sz val="10"/>
        <color auto="1"/>
        <name val="Calibri"/>
        <scheme val="minor"/>
      </font>
      <numFmt numFmtId="164" formatCode="_-&quot;Т&quot;* #,##0.00_-;\-&quot;Т&quot;* #,##0.00_-;_-&quot;Т&quot;* &quot;-&quot;??_-;_-@_-"/>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8" formatCode="&quot;Т&quot;#,##0.00"/>
    </dxf>
    <dxf>
      <font>
        <b val="0"/>
        <i val="0"/>
        <strike val="0"/>
        <condense val="0"/>
        <extend val="0"/>
        <outline val="0"/>
        <shadow val="0"/>
        <u val="none"/>
        <vertAlign val="baseline"/>
        <sz val="10"/>
        <color auto="1"/>
        <name val="Calibri"/>
        <scheme val="minor"/>
      </font>
      <numFmt numFmtId="167" formatCode="_)@"/>
      <fill>
        <patternFill patternType="solid">
          <fgColor indexed="64"/>
          <bgColor theme="2"/>
        </patternFill>
      </fill>
      <alignment horizontal="general" vertical="center" textRotation="0" wrapText="0" indent="0" justifyLastLine="0" shrinkToFit="0" readingOrder="0"/>
    </dxf>
    <dxf>
      <numFmt numFmtId="167" formatCode="_)@"/>
    </dxf>
    <dxf>
      <font>
        <b val="0"/>
        <i val="0"/>
        <strike val="0"/>
        <condense val="0"/>
        <extend val="0"/>
        <outline val="0"/>
        <shadow val="0"/>
        <u val="none"/>
        <vertAlign val="baseline"/>
        <sz val="10"/>
        <color auto="1"/>
        <name val="Calibri"/>
        <scheme val="minor"/>
      </font>
      <numFmt numFmtId="164" formatCode="_-&quot;Т&quot;* #,##0.00_-;\-&quot;Т&quot;* #,##0.00_-;_-&quot;Т&quot;* &quot;-&quot;??_-;_-@_-"/>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8" formatCode="&quot;Т&quot;#,##0.00"/>
    </dxf>
    <dxf>
      <font>
        <b val="0"/>
        <i val="0"/>
        <strike val="0"/>
        <condense val="0"/>
        <extend val="0"/>
        <outline val="0"/>
        <shadow val="0"/>
        <u val="none"/>
        <vertAlign val="baseline"/>
        <sz val="10"/>
        <color auto="1"/>
        <name val="Calibri"/>
        <scheme val="minor"/>
      </font>
      <numFmt numFmtId="164" formatCode="_-&quot;Т&quot;* #,##0.00_-;\-&quot;Т&quot;* #,##0.00_-;_-&quot;Т&quot;* &quot;-&quot;??_-;_-@_-"/>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8" formatCode="&quot;Т&quot;#,##0.00"/>
    </dxf>
    <dxf>
      <font>
        <b val="0"/>
        <i val="0"/>
        <strike val="0"/>
        <condense val="0"/>
        <extend val="0"/>
        <outline val="0"/>
        <shadow val="0"/>
        <u val="none"/>
        <vertAlign val="baseline"/>
        <sz val="10"/>
        <color auto="1"/>
        <name val="Calibri"/>
        <scheme val="minor"/>
      </font>
      <numFmt numFmtId="167" formatCode="_)@"/>
      <fill>
        <patternFill patternType="solid">
          <fgColor indexed="64"/>
          <bgColor theme="2"/>
        </patternFill>
      </fill>
      <alignment horizontal="general" vertical="center" textRotation="0" wrapText="0" indent="0" justifyLastLine="0" shrinkToFit="0" readingOrder="0"/>
    </dxf>
    <dxf>
      <numFmt numFmtId="167" formatCode="_)@"/>
    </dxf>
    <dxf>
      <font>
        <b val="0"/>
        <i val="0"/>
        <strike val="0"/>
        <condense val="0"/>
        <extend val="0"/>
        <outline val="0"/>
        <shadow val="0"/>
        <u val="none"/>
        <vertAlign val="baseline"/>
        <sz val="10"/>
        <color auto="1"/>
        <name val="Calibri"/>
        <scheme val="minor"/>
      </font>
      <numFmt numFmtId="164" formatCode="_-&quot;Т&quot;* #,##0.00_-;\-&quot;Т&quot;* #,##0.00_-;_-&quot;Т&quot;* &quot;-&quot;??_-;_-@_-"/>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8" formatCode="&quot;Т&quot;#,##0.00"/>
    </dxf>
    <dxf>
      <font>
        <b val="0"/>
        <i val="0"/>
        <strike val="0"/>
        <condense val="0"/>
        <extend val="0"/>
        <outline val="0"/>
        <shadow val="0"/>
        <u val="none"/>
        <vertAlign val="baseline"/>
        <sz val="10"/>
        <color auto="1"/>
        <name val="Calibri"/>
        <scheme val="minor"/>
      </font>
      <numFmt numFmtId="164" formatCode="_-&quot;Т&quot;* #,##0.00_-;\-&quot;Т&quot;* #,##0.00_-;_-&quot;Т&quot;* &quot;-&quot;??_-;_-@_-"/>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8" formatCode="&quot;Т&quot;#,##0.00"/>
    </dxf>
    <dxf>
      <font>
        <b val="0"/>
        <i val="0"/>
        <strike val="0"/>
        <condense val="0"/>
        <extend val="0"/>
        <outline val="0"/>
        <shadow val="0"/>
        <u val="none"/>
        <vertAlign val="baseline"/>
        <sz val="10"/>
        <color auto="1"/>
        <name val="Calibri"/>
        <scheme val="minor"/>
      </font>
      <numFmt numFmtId="167"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7" formatCode="_)@"/>
    </dxf>
    <dxf>
      <font>
        <b val="0"/>
        <i val="0"/>
        <strike val="0"/>
        <condense val="0"/>
        <extend val="0"/>
        <outline val="0"/>
        <shadow val="0"/>
        <u val="none"/>
        <vertAlign val="baseline"/>
        <sz val="10"/>
        <color auto="1"/>
        <name val="Calibri"/>
        <scheme val="minor"/>
      </font>
      <numFmt numFmtId="164" formatCode="_-&quot;Т&quot;* #,##0.00_-;\-&quot;Т&quot;* #,##0.00_-;_-&quot;Т&quot;* &quot;-&quot;??_-;_-@_-"/>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8" formatCode="&quot;Т&quot;#,##0.00"/>
    </dxf>
    <dxf>
      <font>
        <b val="0"/>
        <i val="0"/>
        <strike val="0"/>
        <condense val="0"/>
        <extend val="0"/>
        <outline val="0"/>
        <shadow val="0"/>
        <u val="none"/>
        <vertAlign val="baseline"/>
        <sz val="10"/>
        <color auto="1"/>
        <name val="Calibri"/>
        <scheme val="minor"/>
      </font>
      <numFmt numFmtId="164" formatCode="_-&quot;Т&quot;* #,##0.00_-;\-&quot;Т&quot;* #,##0.00_-;_-&quot;Т&quot;* &quot;-&quot;??_-;_-@_-"/>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8" formatCode="&quot;Т&quot;#,##0.00"/>
    </dxf>
    <dxf>
      <font>
        <b val="0"/>
        <i val="0"/>
        <strike val="0"/>
        <condense val="0"/>
        <extend val="0"/>
        <outline val="0"/>
        <shadow val="0"/>
        <u val="none"/>
        <vertAlign val="baseline"/>
        <sz val="10"/>
        <color auto="1"/>
        <name val="Calibri"/>
        <scheme val="minor"/>
      </font>
      <numFmt numFmtId="167" formatCode="_)@"/>
      <fill>
        <patternFill patternType="solid">
          <fgColor indexed="64"/>
          <bgColor theme="2"/>
        </patternFill>
      </fill>
      <alignment horizontal="general" vertical="center" textRotation="0" wrapText="0" indent="0" justifyLastLine="0" shrinkToFit="0" readingOrder="0"/>
    </dxf>
    <dxf>
      <numFmt numFmtId="167" formatCode="_)@"/>
    </dxf>
    <dxf>
      <fill>
        <patternFill>
          <bgColor theme="2"/>
        </patternFill>
      </fill>
    </dxf>
    <dxf>
      <font>
        <b val="0"/>
        <i val="0"/>
        <color theme="3" tint="0.24994659260841701"/>
      </font>
      <fill>
        <patternFill>
          <bgColor theme="0"/>
        </patternFill>
      </fill>
      <border diagonalUp="0" diagonalDown="0">
        <left/>
        <right/>
        <top/>
        <bottom/>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fill>
        <patternFill patternType="solid">
          <bgColor theme="0"/>
        </patternFill>
      </fill>
      <border diagonalUp="0" diagonalDown="0">
        <left/>
        <right/>
        <top/>
        <bottom/>
        <vertical/>
        <horizontal/>
      </border>
    </dxf>
    <dxf>
      <font>
        <b val="0"/>
        <i val="0"/>
        <color theme="3" tint="0.24994659260841701"/>
      </font>
      <fill>
        <patternFill>
          <bgColor theme="4" tint="0.59996337778862885"/>
        </patternFill>
      </fill>
      <border diagonalUp="0" diagonalDown="0">
        <left/>
        <right/>
        <top style="medium">
          <color theme="3" tint="0.499984740745262"/>
        </top>
        <bottom/>
        <vertical/>
        <horizontal/>
      </border>
    </dxf>
    <dxf>
      <font>
        <b val="0"/>
        <i val="0"/>
        <color theme="3" tint="0.24994659260841701"/>
      </font>
      <fill>
        <patternFill patternType="solid">
          <fgColor indexed="64"/>
          <bgColor theme="4" tint="0.59996337778862885"/>
        </patternFill>
      </fill>
      <border diagonalUp="0" diagonalDown="0">
        <left/>
        <right/>
        <top/>
        <bottom style="dashed">
          <color theme="3" tint="0.499984740745262"/>
        </bottom>
        <vertical/>
        <horizontal/>
      </border>
    </dxf>
    <dxf>
      <font>
        <b val="0"/>
        <i val="0"/>
        <color theme="3" tint="0.24994659260841701"/>
      </font>
      <fill>
        <patternFill patternType="solid">
          <bgColor theme="4" tint="0.59996337778862885"/>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749961851863155"/>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749961851863155"/>
        </bottom>
        <vertical/>
        <horizontal/>
      </border>
    </dxf>
    <dxf>
      <font>
        <b val="0"/>
        <i val="0"/>
        <color theme="3" tint="0.24994659260841701"/>
      </font>
      <fill>
        <patternFill>
          <bgColor theme="3" tint="0.89996032593768116"/>
        </patternFill>
      </fill>
      <border diagonalUp="0" diagonalDown="0">
        <left/>
        <right/>
        <top/>
        <bottom/>
        <vertical/>
        <horizontal/>
      </border>
    </dxf>
  </dxfs>
  <tableStyles count="4" defaultTableStyle="Personal Cash Flow Statement" defaultPivotStyle="PivotStyleLight15">
    <tableStyle name="Personal Cash Flow Statement" pivot="0" count="9">
      <tableStyleElement type="wholeTable" dxfId="100"/>
      <tableStyleElement type="headerRow" dxfId="99"/>
      <tableStyleElement type="totalRow" dxfId="98"/>
      <tableStyleElement type="firstColumn" dxfId="97"/>
      <tableStyleElement type="lastColumn" dxfId="96"/>
      <tableStyleElement type="firstHeaderCell" dxfId="95"/>
      <tableStyleElement type="lastHeaderCell" dxfId="94"/>
      <tableStyleElement type="firstTotalCell" dxfId="93"/>
      <tableStyleElement type="lastTotalCell" dxfId="92"/>
    </tableStyle>
    <tableStyle name="Personal Cash Flow Statement 2" pivot="0" count="5">
      <tableStyleElement type="wholeTable" dxfId="91"/>
      <tableStyleElement type="headerRow" dxfId="90"/>
      <tableStyleElement type="totalRow" dxfId="89"/>
      <tableStyleElement type="firstRowStripe" dxfId="88"/>
      <tableStyleElement type="secondRowStripe" dxfId="87"/>
    </tableStyle>
    <tableStyle name="Personal Cash Flow Statement 3" pivot="0" count="3">
      <tableStyleElement type="wholeTable" dxfId="86"/>
      <tableStyleElement type="headerRow" dxfId="85"/>
      <tableStyleElement type="totalRow" dxfId="84"/>
    </tableStyle>
    <tableStyle name="Personal Cash Flow Statement 4" pivot="0" count="5">
      <tableStyleElement type="wholeTable" dxfId="83"/>
      <tableStyleElement type="headerRow" dxfId="82"/>
      <tableStyleElement type="totalRow" dxfId="81"/>
      <tableStyleElement type="firstRowStripe" dxfId="80"/>
      <tableStyleElement type="secondRowStripe" dxfId="7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'Жылдық ақша ағыны'!$G$29</c:f>
              <c:strCache>
                <c:ptCount val="1"/>
                <c:pt idx="0">
                  <c:v>Жыл сайынғы</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dPt>
          <c:dPt>
            <c:idx val="1"/>
            <c:bubble3D val="0"/>
            <c:spPr>
              <a:solidFill>
                <a:schemeClr val="accent2"/>
              </a:solidFill>
              <a:ln w="38100">
                <a:solidFill>
                  <a:schemeClr val="accent5">
                    <a:lumMod val="20000"/>
                    <a:lumOff val="80000"/>
                  </a:schemeClr>
                </a:solidFill>
              </a:ln>
              <a:effectLst/>
            </c:spPr>
          </c:dPt>
          <c:dPt>
            <c:idx val="2"/>
            <c:bubble3D val="0"/>
            <c:spPr>
              <a:solidFill>
                <a:schemeClr val="accent3"/>
              </a:solidFill>
              <a:ln w="38100">
                <a:solidFill>
                  <a:schemeClr val="accent5">
                    <a:lumMod val="20000"/>
                    <a:lumOff val="80000"/>
                  </a:schemeClr>
                </a:solidFill>
              </a:ln>
              <a:effectLst/>
            </c:spPr>
          </c:dPt>
          <c:dPt>
            <c:idx val="3"/>
            <c:bubble3D val="0"/>
            <c:spPr>
              <a:solidFill>
                <a:schemeClr val="accent4"/>
              </a:solidFill>
              <a:ln w="38100">
                <a:solidFill>
                  <a:schemeClr val="accent5">
                    <a:lumMod val="20000"/>
                    <a:lumOff val="80000"/>
                  </a:schemeClr>
                </a:solidFill>
              </a:ln>
              <a:effectLst/>
            </c:spPr>
          </c:dPt>
          <c:dPt>
            <c:idx val="4"/>
            <c:bubble3D val="0"/>
            <c:spPr>
              <a:solidFill>
                <a:schemeClr val="accent5"/>
              </a:solidFill>
              <a:ln w="38100">
                <a:solidFill>
                  <a:schemeClr val="accent5">
                    <a:lumMod val="20000"/>
                    <a:lumOff val="80000"/>
                  </a:schemeClr>
                </a:solidFill>
              </a:ln>
              <a:effectLst/>
            </c:spPr>
          </c:dPt>
          <c:dPt>
            <c:idx val="5"/>
            <c:bubble3D val="0"/>
            <c:spPr>
              <a:solidFill>
                <a:schemeClr val="accent6"/>
              </a:solidFill>
              <a:ln w="38100">
                <a:solidFill>
                  <a:schemeClr val="accent5">
                    <a:lumMod val="20000"/>
                    <a:lumOff val="80000"/>
                  </a:schemeClr>
                </a:solidFill>
              </a:ln>
              <a:effectLst/>
            </c:spPr>
          </c:dPt>
          <c:dPt>
            <c:idx val="6"/>
            <c:bubble3D val="0"/>
            <c:spPr>
              <a:solidFill>
                <a:schemeClr val="accent1">
                  <a:lumMod val="60000"/>
                </a:schemeClr>
              </a:solidFill>
              <a:ln w="38100">
                <a:solidFill>
                  <a:schemeClr val="accent5">
                    <a:lumMod val="20000"/>
                    <a:lumOff val="80000"/>
                  </a:schemeClr>
                </a:solidFill>
              </a:ln>
              <a:effectLst/>
            </c:spPr>
          </c:dPt>
          <c:dPt>
            <c:idx val="7"/>
            <c:bubble3D val="0"/>
            <c:spPr>
              <a:solidFill>
                <a:schemeClr val="accent2">
                  <a:lumMod val="60000"/>
                </a:schemeClr>
              </a:solidFill>
              <a:ln w="38100">
                <a:solidFill>
                  <a:schemeClr val="accent5">
                    <a:lumMod val="20000"/>
                    <a:lumOff val="80000"/>
                  </a:schemeClr>
                </a:solidFill>
              </a:ln>
              <a:effectLst/>
            </c:spPr>
          </c:dPt>
          <c:dPt>
            <c:idx val="8"/>
            <c:bubble3D val="0"/>
            <c:spPr>
              <a:solidFill>
                <a:schemeClr val="accent3">
                  <a:lumMod val="60000"/>
                </a:schemeClr>
              </a:solidFill>
              <a:ln w="38100">
                <a:solidFill>
                  <a:schemeClr val="accent5">
                    <a:lumMod val="20000"/>
                    <a:lumOff val="80000"/>
                  </a:schemeClr>
                </a:solidFill>
              </a:ln>
              <a:effectLst/>
            </c:spPr>
          </c:dPt>
          <c:dPt>
            <c:idx val="9"/>
            <c:bubble3D val="0"/>
            <c:spPr>
              <a:solidFill>
                <a:schemeClr val="accent4">
                  <a:lumMod val="60000"/>
                </a:schemeClr>
              </a:solidFill>
              <a:ln w="38100">
                <a:solidFill>
                  <a:schemeClr val="accent5">
                    <a:lumMod val="20000"/>
                    <a:lumOff val="80000"/>
                  </a:schemeClr>
                </a:solidFill>
              </a:ln>
              <a:effectLst/>
            </c:spPr>
          </c:dPt>
          <c:dPt>
            <c:idx val="10"/>
            <c:bubble3D val="0"/>
            <c:spPr>
              <a:solidFill>
                <a:schemeClr val="accent5">
                  <a:lumMod val="60000"/>
                </a:schemeClr>
              </a:solidFill>
              <a:ln w="38100">
                <a:solidFill>
                  <a:schemeClr val="accent5">
                    <a:lumMod val="20000"/>
                    <a:lumOff val="80000"/>
                  </a:schemeClr>
                </a:solidFill>
              </a:ln>
              <a:effectLst/>
            </c:spPr>
          </c:dPt>
          <c:dPt>
            <c:idx val="11"/>
            <c:bubble3D val="0"/>
            <c:spPr>
              <a:solidFill>
                <a:schemeClr val="accent6">
                  <a:lumMod val="60000"/>
                </a:schemeClr>
              </a:solidFill>
              <a:ln w="38100">
                <a:solidFill>
                  <a:schemeClr val="accent5">
                    <a:lumMod val="20000"/>
                    <a:lumOff val="80000"/>
                  </a:schemeClr>
                </a:solidFill>
              </a:ln>
              <a:effectLst/>
            </c:spPr>
          </c:dPt>
          <c:dPt>
            <c:idx val="12"/>
            <c:bubble3D val="0"/>
            <c:spPr>
              <a:solidFill>
                <a:schemeClr val="accent1">
                  <a:lumMod val="80000"/>
                  <a:lumOff val="20000"/>
                </a:schemeClr>
              </a:solidFill>
              <a:ln w="38100">
                <a:solidFill>
                  <a:schemeClr val="accent5">
                    <a:lumMod val="20000"/>
                    <a:lumOff val="80000"/>
                  </a:schemeClr>
                </a:solidFill>
              </a:ln>
              <a:effectLst/>
            </c:spPr>
          </c:dPt>
          <c:dPt>
            <c:idx val="13"/>
            <c:bubble3D val="0"/>
            <c:spPr>
              <a:solidFill>
                <a:schemeClr val="accent2">
                  <a:lumMod val="80000"/>
                  <a:lumOff val="20000"/>
                </a:schemeClr>
              </a:solidFill>
              <a:ln w="38100">
                <a:solidFill>
                  <a:schemeClr val="accent5">
                    <a:lumMod val="20000"/>
                    <a:lumOff val="80000"/>
                  </a:schemeClr>
                </a:solidFill>
              </a:ln>
              <a:effectLst/>
            </c:spPr>
          </c:dPt>
          <c:dPt>
            <c:idx val="14"/>
            <c:bubble3D val="0"/>
            <c:spPr>
              <a:solidFill>
                <a:schemeClr val="accent3">
                  <a:lumMod val="80000"/>
                  <a:lumOff val="20000"/>
                </a:schemeClr>
              </a:solidFill>
              <a:ln w="38100">
                <a:solidFill>
                  <a:schemeClr val="accent5">
                    <a:lumMod val="20000"/>
                    <a:lumOff val="80000"/>
                  </a:schemeClr>
                </a:solidFill>
              </a:ln>
              <a:effectLst/>
            </c:spPr>
          </c:dPt>
          <c:dPt>
            <c:idx val="15"/>
            <c:bubble3D val="0"/>
            <c:spPr>
              <a:solidFill>
                <a:schemeClr val="accent4">
                  <a:lumMod val="80000"/>
                  <a:lumOff val="20000"/>
                </a:schemeClr>
              </a:solidFill>
              <a:ln w="38100">
                <a:solidFill>
                  <a:schemeClr val="accent5">
                    <a:lumMod val="20000"/>
                    <a:lumOff val="80000"/>
                  </a:schemeClr>
                </a:solidFill>
              </a:ln>
              <a:effectLst/>
            </c:spPr>
          </c:dPt>
          <c:dPt>
            <c:idx val="16"/>
            <c:bubble3D val="0"/>
            <c:spPr>
              <a:solidFill>
                <a:schemeClr val="accent5">
                  <a:lumMod val="80000"/>
                  <a:lumOff val="20000"/>
                </a:schemeClr>
              </a:solidFill>
              <a:ln w="38100">
                <a:solidFill>
                  <a:schemeClr val="accent5">
                    <a:lumMod val="20000"/>
                    <a:lumOff val="80000"/>
                  </a:schemeClr>
                </a:solidFill>
              </a:ln>
              <a:effectLst/>
            </c:spPr>
          </c:dPt>
          <c:dPt>
            <c:idx val="17"/>
            <c:bubble3D val="0"/>
            <c:spPr>
              <a:solidFill>
                <a:schemeClr val="accent6">
                  <a:lumMod val="80000"/>
                  <a:lumOff val="20000"/>
                </a:schemeClr>
              </a:solidFill>
              <a:ln w="38100">
                <a:solidFill>
                  <a:schemeClr val="accent5">
                    <a:lumMod val="20000"/>
                    <a:lumOff val="80000"/>
                  </a:schemeClr>
                </a:solidFill>
              </a:ln>
              <a:effectLst/>
            </c:spPr>
          </c:dPt>
          <c:dPt>
            <c:idx val="18"/>
            <c:bubble3D val="0"/>
            <c:spPr>
              <a:solidFill>
                <a:schemeClr val="accent1">
                  <a:lumMod val="80000"/>
                </a:schemeClr>
              </a:solidFill>
              <a:ln w="38100">
                <a:solidFill>
                  <a:schemeClr val="accent5">
                    <a:lumMod val="20000"/>
                    <a:lumOff val="80000"/>
                  </a:schemeClr>
                </a:solidFill>
              </a:ln>
              <a:effectLst/>
            </c:spPr>
          </c:dPt>
          <c:dPt>
            <c:idx val="19"/>
            <c:bubble3D val="0"/>
            <c:spPr>
              <a:solidFill>
                <a:schemeClr val="accent2">
                  <a:lumMod val="80000"/>
                </a:schemeClr>
              </a:solidFill>
              <a:ln w="38100">
                <a:solidFill>
                  <a:schemeClr val="accent5">
                    <a:lumMod val="20000"/>
                    <a:lumOff val="80000"/>
                  </a:schemeClr>
                </a:solidFill>
              </a:ln>
              <a:effectLst/>
            </c:spPr>
          </c:dPt>
          <c:dPt>
            <c:idx val="20"/>
            <c:bubble3D val="0"/>
            <c:spPr>
              <a:solidFill>
                <a:schemeClr val="accent3">
                  <a:lumMod val="80000"/>
                </a:schemeClr>
              </a:solidFill>
              <a:ln w="38100">
                <a:solidFill>
                  <a:schemeClr val="accent5">
                    <a:lumMod val="20000"/>
                    <a:lumOff val="80000"/>
                  </a:schemeClr>
                </a:solidFill>
              </a:ln>
              <a:effectLst/>
            </c:spPr>
          </c:dPt>
          <c:cat>
            <c:strRef>
              <c:f>'Жылдық ақша ағыны'!$F$30:$F$47</c:f>
              <c:strCache>
                <c:ptCount val="18"/>
                <c:pt idx="0">
                  <c:v>Федералдық/SS/Медициналық күтім</c:v>
                </c:pt>
                <c:pt idx="1">
                  <c:v>Мемлекеттік кіріс салығы</c:v>
                </c:pt>
                <c:pt idx="2">
                  <c:v>Көлік салығы/төлемдер</c:v>
                </c:pt>
                <c:pt idx="3">
                  <c:v>Көлік төлемдері</c:v>
                </c:pt>
                <c:pt idx="4">
                  <c:v>Кепіл/Несие</c:v>
                </c:pt>
                <c:pt idx="5">
                  <c:v>Сақтандыру</c:v>
                </c:pt>
                <c:pt idx="6">
                  <c:v>Электр ток</c:v>
                </c:pt>
                <c:pt idx="7">
                  <c:v>Газ</c:v>
                </c:pt>
                <c:pt idx="8">
                  <c:v>Су/Құбыр</c:v>
                </c:pt>
                <c:pt idx="9">
                  <c:v>Қалдық</c:v>
                </c:pt>
                <c:pt idx="10">
                  <c:v>Телефон</c:v>
                </c:pt>
                <c:pt idx="11">
                  <c:v>Интернет</c:v>
                </c:pt>
                <c:pt idx="12">
                  <c:v>Өмір/Мүмкінсіздік төлемдері</c:v>
                </c:pt>
                <c:pt idx="13">
                  <c:v>Тамақ</c:v>
                </c:pt>
                <c:pt idx="14">
                  <c:v>Киім</c:v>
                </c:pt>
                <c:pt idx="15">
                  <c:v>Медициналық/Тіс/Rx</c:v>
                </c:pt>
                <c:pt idx="16">
                  <c:v>Басқа 1</c:v>
                </c:pt>
                <c:pt idx="17">
                  <c:v>Басқа 2</c:v>
                </c:pt>
              </c:strCache>
            </c:strRef>
          </c:cat>
          <c:val>
            <c:numRef>
              <c:f>'Жылдық ақша ағыны'!$G$30:$G$47</c:f>
              <c:numCache>
                <c:formatCode>"Т"#\ ##0.00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0"/>
          <c:y val="1.9493177387914229E-2"/>
          <c:w val="1"/>
          <c:h val="0.488551211800279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pl-PL"/>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'Жылдық ақша ағыны'!$C$29</c:f>
              <c:strCache>
                <c:ptCount val="1"/>
                <c:pt idx="0">
                  <c:v>Жыл сайынғы</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dPt>
          <c:dPt>
            <c:idx val="1"/>
            <c:bubble3D val="0"/>
            <c:spPr>
              <a:solidFill>
                <a:schemeClr val="accent2"/>
              </a:solidFill>
              <a:ln w="38100">
                <a:solidFill>
                  <a:schemeClr val="accent5">
                    <a:lumMod val="20000"/>
                    <a:lumOff val="80000"/>
                  </a:schemeClr>
                </a:solidFill>
              </a:ln>
              <a:effectLst/>
            </c:spPr>
          </c:dPt>
          <c:dPt>
            <c:idx val="2"/>
            <c:bubble3D val="0"/>
            <c:spPr>
              <a:solidFill>
                <a:schemeClr val="accent3"/>
              </a:solidFill>
              <a:ln w="38100">
                <a:solidFill>
                  <a:schemeClr val="accent5">
                    <a:lumMod val="20000"/>
                    <a:lumOff val="80000"/>
                  </a:schemeClr>
                </a:solidFill>
              </a:ln>
              <a:effectLst/>
            </c:spPr>
          </c:dPt>
          <c:dPt>
            <c:idx val="3"/>
            <c:bubble3D val="0"/>
            <c:spPr>
              <a:solidFill>
                <a:schemeClr val="accent4"/>
              </a:solidFill>
              <a:ln w="38100">
                <a:solidFill>
                  <a:schemeClr val="accent5">
                    <a:lumMod val="20000"/>
                    <a:lumOff val="80000"/>
                  </a:schemeClr>
                </a:solidFill>
              </a:ln>
              <a:effectLst/>
            </c:spPr>
          </c:dPt>
          <c:dPt>
            <c:idx val="4"/>
            <c:bubble3D val="0"/>
            <c:spPr>
              <a:solidFill>
                <a:schemeClr val="accent5"/>
              </a:solidFill>
              <a:ln w="38100">
                <a:solidFill>
                  <a:schemeClr val="accent5">
                    <a:lumMod val="20000"/>
                    <a:lumOff val="80000"/>
                  </a:schemeClr>
                </a:solidFill>
              </a:ln>
              <a:effectLst/>
            </c:spPr>
          </c:dPt>
          <c:dPt>
            <c:idx val="5"/>
            <c:bubble3D val="0"/>
            <c:spPr>
              <a:solidFill>
                <a:schemeClr val="accent6"/>
              </a:solidFill>
              <a:ln w="38100">
                <a:solidFill>
                  <a:schemeClr val="accent5">
                    <a:lumMod val="20000"/>
                    <a:lumOff val="80000"/>
                  </a:schemeClr>
                </a:solidFill>
              </a:ln>
              <a:effectLst/>
            </c:spPr>
          </c:dPt>
          <c:cat>
            <c:strRef>
              <c:f>'Жылдық ақша ағыны'!$B$30:$B$35</c:f>
              <c:strCache>
                <c:ptCount val="6"/>
                <c:pt idx="0">
                  <c:v>Жалақы</c:v>
                </c:pt>
                <c:pt idx="1">
                  <c:v>Комиссия/бонус</c:v>
                </c:pt>
                <c:pt idx="2">
                  <c:v>Басқа 1</c:v>
                </c:pt>
                <c:pt idx="3">
                  <c:v>Басқа 2</c:v>
                </c:pt>
                <c:pt idx="4">
                  <c:v>Басқа 3</c:v>
                </c:pt>
                <c:pt idx="5">
                  <c:v>Басқа 4</c:v>
                </c:pt>
              </c:strCache>
            </c:strRef>
          </c:cat>
          <c:val>
            <c:numRef>
              <c:f>'Жылдық ақша ағыны'!$C$30:$C$35</c:f>
              <c:numCache>
                <c:formatCode>"Т"#\ ##0.00</c:formatCode>
                <c:ptCount val="6"/>
                <c:pt idx="0">
                  <c:v>90000</c:v>
                </c:pt>
                <c:pt idx="1">
                  <c:v>5000</c:v>
                </c:pt>
                <c:pt idx="2">
                  <c:v>30000</c:v>
                </c:pt>
              </c:numCache>
            </c:numRef>
          </c:val>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3.3970276008492568E-2"/>
          <c:y val="1.6244314489928524E-2"/>
          <c:w val="0.92065198856512365"/>
          <c:h val="0.15960154103544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pl-PL"/>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pl-PL"/>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'Жылдық ақша ағыны'!$K$29</c:f>
              <c:strCache>
                <c:ptCount val="1"/>
                <c:pt idx="0">
                  <c:v>Жыл сайынғы</c:v>
                </c:pt>
              </c:strCache>
            </c:strRef>
          </c:tx>
          <c:spPr>
            <a:ln w="38100">
              <a:solidFill>
                <a:schemeClr val="accent5">
                  <a:lumMod val="20000"/>
                  <a:lumOff val="80000"/>
                </a:schemeClr>
              </a:solidFill>
            </a:ln>
          </c:spPr>
          <c:cat>
            <c:strRef>
              <c:f>'Жылдық ақша ағыны'!$J$30:$J$40</c:f>
              <c:strCache>
                <c:ptCount val="11"/>
                <c:pt idx="0">
                  <c:v>Түскі ас</c:v>
                </c:pt>
                <c:pt idx="1">
                  <c:v>Сыйлықтар</c:v>
                </c:pt>
                <c:pt idx="2">
                  <c:v>Сапар</c:v>
                </c:pt>
                <c:pt idx="3">
                  <c:v>Ойын-сауық</c:v>
                </c:pt>
                <c:pt idx="4">
                  <c:v>Жеке күтім</c:v>
                </c:pt>
                <c:pt idx="5">
                  <c:v>Сатып алу</c:v>
                </c:pt>
                <c:pt idx="6">
                  <c:v>Қайырымдылық</c:v>
                </c:pt>
                <c:pt idx="7">
                  <c:v>Клуб/Мүшеліктер</c:v>
                </c:pt>
                <c:pt idx="8">
                  <c:v>Үй жетілдірулері</c:v>
                </c:pt>
                <c:pt idx="9">
                  <c:v>Басқа 1</c:v>
                </c:pt>
                <c:pt idx="10">
                  <c:v>Басқа 2</c:v>
                </c:pt>
              </c:strCache>
            </c:strRef>
          </c:cat>
          <c:val>
            <c:numRef>
              <c:f>'Жылдық ақша ағыны'!$K$30:$K$40</c:f>
              <c:numCache>
                <c:formatCode>"Т"#\ ##0.00</c:formatCode>
                <c:ptCount val="11"/>
                <c:pt idx="0">
                  <c:v>1200</c:v>
                </c:pt>
                <c:pt idx="1">
                  <c:v>600</c:v>
                </c:pt>
                <c:pt idx="2">
                  <c:v>2250</c:v>
                </c:pt>
                <c:pt idx="3">
                  <c:v>1200</c:v>
                </c:pt>
                <c:pt idx="4">
                  <c:v>300</c:v>
                </c:pt>
                <c:pt idx="5">
                  <c:v>2000</c:v>
                </c:pt>
                <c:pt idx="6">
                  <c:v>600</c:v>
                </c:pt>
                <c:pt idx="7">
                  <c:v>300</c:v>
                </c:pt>
                <c:pt idx="8">
                  <c:v>4800</c:v>
                </c:pt>
              </c:numCache>
            </c:numRef>
          </c:val>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328126966585317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'Жылдық ақша ағыны'!$O$29</c:f>
              <c:strCache>
                <c:ptCount val="1"/>
                <c:pt idx="0">
                  <c:v>Жыл сайынғы</c:v>
                </c:pt>
              </c:strCache>
            </c:strRef>
          </c:tx>
          <c:spPr>
            <a:ln w="38100">
              <a:solidFill>
                <a:schemeClr val="accent5">
                  <a:lumMod val="20000"/>
                  <a:lumOff val="80000"/>
                </a:schemeClr>
              </a:solidFill>
            </a:ln>
          </c:spPr>
          <c:cat>
            <c:strRef>
              <c:f>'Жылдық ақша ағыны'!$N$30:$N$34</c:f>
              <c:strCache>
                <c:ptCount val="5"/>
                <c:pt idx="0">
                  <c:v>Қолма қол ақшаны сақтау</c:v>
                </c:pt>
                <c:pt idx="1">
                  <c:v>401(к)/т.б.</c:v>
                </c:pt>
                <c:pt idx="2">
                  <c:v>Сақтаулар/Салымдар</c:v>
                </c:pt>
                <c:pt idx="3">
                  <c:v>Басқа 1</c:v>
                </c:pt>
                <c:pt idx="4">
                  <c:v>Басқа 2</c:v>
                </c:pt>
              </c:strCache>
            </c:strRef>
          </c:cat>
          <c:val>
            <c:numRef>
              <c:f>'Жылдық ақша ағыны'!$O$30:$O$34</c:f>
              <c:numCache>
                <c:formatCode>"Т"#\ ##0.00</c:formatCode>
                <c:ptCount val="5"/>
                <c:pt idx="0">
                  <c:v>5000</c:v>
                </c:pt>
                <c:pt idx="1">
                  <c:v>12000</c:v>
                </c:pt>
                <c:pt idx="2">
                  <c:v>6000</c:v>
                </c:pt>
              </c:numCache>
            </c:numRef>
          </c:val>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7.4102679840179191E-3"/>
          <c:y val="9.7465886939571145E-3"/>
          <c:w val="0.98834344751492054"/>
          <c:h val="0.1713734248131264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1040;&#1081; &#1089;&#1072;&#1081;&#1099;&#1085;&#1171;&#1099; &#1072;&#1179;&#1096;&#1072; &#1072;&#1171;&#1099;&#1085;&#1099;'!A1"/><Relationship Id="rId2" Type="http://schemas.openxmlformats.org/officeDocument/2006/relationships/hyperlink" Target="#'&#1046;&#1099;&#1083;&#1076;&#1099;&#1179; &#1072;&#1179;&#1096;&#1072; &#1072;&#1171;&#1099;&#1085;&#1099;'!A1"/><Relationship Id="rId1" Type="http://schemas.openxmlformats.org/officeDocument/2006/relationships/hyperlink" Target="#&#1041;&#1072;&#1171;&#1099;&#1090;&#1090;&#1072;&#1091;&#1099;&#1096;!A1"/><Relationship Id="rId4" Type="http://schemas.openxmlformats.org/officeDocument/2006/relationships/hyperlink" Target="#'&#1050;&#1199;&#1085;&#1076;&#1077;&#1083;&#1110;&#1082;&#1090;&#1110; &#1072;&#1179;&#1096;&#1072; &#1072;&#1171;&#1099;&#1085;&#1099;'!A1"/></Relationships>
</file>

<file path=xl/drawings/_rels/drawing2.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hyperlink" Target="#'&#1040;&#1081; &#1089;&#1072;&#1081;&#1099;&#1085;&#1171;&#1099; &#1072;&#1179;&#1096;&#1072; &#1072;&#1171;&#1099;&#1085;&#1099;'!A1"/><Relationship Id="rId7" Type="http://schemas.openxmlformats.org/officeDocument/2006/relationships/chart" Target="../charts/chart3.xml"/><Relationship Id="rId2" Type="http://schemas.openxmlformats.org/officeDocument/2006/relationships/hyperlink" Target="#'&#1046;&#1099;&#1083;&#1076;&#1099;&#1179; &#1072;&#1179;&#1096;&#1072; &#1072;&#1171;&#1099;&#1085;&#1099;'!A1"/><Relationship Id="rId1" Type="http://schemas.openxmlformats.org/officeDocument/2006/relationships/hyperlink" Target="#&#1041;&#1072;&#1171;&#1099;&#1090;&#1090;&#1072;&#1091;&#1099;&#1096;!A1"/><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hyperlink" Target="#'&#1050;&#1199;&#1085;&#1076;&#1077;&#1083;&#1110;&#1082;&#1090;&#1110; &#1072;&#1179;&#1096;&#1072; &#1072;&#1171;&#1099;&#1085;&#1099;'!A1"/></Relationships>
</file>

<file path=xl/drawings/_rels/drawing3.xml.rels><?xml version="1.0" encoding="UTF-8" standalone="yes"?>
<Relationships xmlns="http://schemas.openxmlformats.org/package/2006/relationships"><Relationship Id="rId3" Type="http://schemas.openxmlformats.org/officeDocument/2006/relationships/hyperlink" Target="#'&#1040;&#1081; &#1089;&#1072;&#1081;&#1099;&#1085;&#1171;&#1099; &#1072;&#1179;&#1096;&#1072; &#1072;&#1171;&#1099;&#1085;&#1099;'!A1"/><Relationship Id="rId2" Type="http://schemas.openxmlformats.org/officeDocument/2006/relationships/hyperlink" Target="#'&#1046;&#1099;&#1083;&#1076;&#1099;&#1179; &#1072;&#1179;&#1096;&#1072; &#1072;&#1171;&#1099;&#1085;&#1099;'!A1"/><Relationship Id="rId1" Type="http://schemas.openxmlformats.org/officeDocument/2006/relationships/hyperlink" Target="#&#1041;&#1072;&#1171;&#1099;&#1090;&#1090;&#1072;&#1091;&#1099;&#1096;!A1"/><Relationship Id="rId4" Type="http://schemas.openxmlformats.org/officeDocument/2006/relationships/hyperlink" Target="#'&#1050;&#1199;&#1085;&#1076;&#1077;&#1083;&#1110;&#1082;&#1090;&#1110; &#1072;&#1179;&#1096;&#1072; &#1072;&#1171;&#1099;&#1085;&#1099;'!A1"/></Relationships>
</file>

<file path=xl/drawings/_rels/drawing4.xml.rels><?xml version="1.0" encoding="UTF-8" standalone="yes"?>
<Relationships xmlns="http://schemas.openxmlformats.org/package/2006/relationships"><Relationship Id="rId3" Type="http://schemas.openxmlformats.org/officeDocument/2006/relationships/hyperlink" Target="#'&#1040;&#1081; &#1089;&#1072;&#1081;&#1099;&#1085;&#1171;&#1099; &#1072;&#1179;&#1096;&#1072; &#1072;&#1171;&#1099;&#1085;&#1099;'!A1"/><Relationship Id="rId2" Type="http://schemas.openxmlformats.org/officeDocument/2006/relationships/hyperlink" Target="#'&#1046;&#1099;&#1083;&#1076;&#1099;&#1179; &#1072;&#1179;&#1096;&#1072; &#1072;&#1171;&#1099;&#1085;&#1099;'!A1"/><Relationship Id="rId1" Type="http://schemas.openxmlformats.org/officeDocument/2006/relationships/hyperlink" Target="#&#1041;&#1072;&#1171;&#1099;&#1090;&#1090;&#1072;&#1091;&#1099;&#1096;!A1"/><Relationship Id="rId4" Type="http://schemas.openxmlformats.org/officeDocument/2006/relationships/hyperlink" Target="#'&#1050;&#1199;&#1085;&#1076;&#1077;&#1083;&#1110;&#1082;&#1090;&#1110; &#1072;&#1179;&#1096;&#1072; &#1072;&#1171;&#1099;&#1085;&#1099;'!A1"/></Relationships>
</file>

<file path=xl/drawings/drawing1.xml><?xml version="1.0" encoding="utf-8"?>
<xdr:wsDr xmlns:xdr="http://schemas.openxmlformats.org/drawingml/2006/spreadsheetDrawing" xmlns:a="http://schemas.openxmlformats.org/drawingml/2006/main">
  <xdr:twoCellAnchor editAs="absolute">
    <xdr:from>
      <xdr:col>5</xdr:col>
      <xdr:colOff>28573</xdr:colOff>
      <xdr:row>0</xdr:row>
      <xdr:rowOff>0</xdr:rowOff>
    </xdr:from>
    <xdr:to>
      <xdr:col>5</xdr:col>
      <xdr:colOff>1216573</xdr:colOff>
      <xdr:row>1</xdr:row>
      <xdr:rowOff>0</xdr:rowOff>
    </xdr:to>
    <xdr:sp macro="" textlink="">
      <xdr:nvSpPr>
        <xdr:cNvPr id="3" name="Прямоугольник 2">
          <a:hlinkClick xmlns:r="http://schemas.openxmlformats.org/officeDocument/2006/relationships" r:id="rId1" tooltip="Ақша ағынын бағыттауышты қарау үшін нұқу"/>
        </xdr:cNvPr>
        <xdr:cNvSpPr/>
      </xdr:nvSpPr>
      <xdr:spPr>
        <a:xfrm>
          <a:off x="5705473" y="0"/>
          <a:ext cx="1188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rPr>
            <a:t>БАҒЫТТАУЫШ</a:t>
          </a:r>
        </a:p>
      </xdr:txBody>
    </xdr:sp>
    <xdr:clientData/>
  </xdr:twoCellAnchor>
  <xdr:twoCellAnchor editAs="absolute">
    <xdr:from>
      <xdr:col>5</xdr:col>
      <xdr:colOff>1214074</xdr:colOff>
      <xdr:row>0</xdr:row>
      <xdr:rowOff>0</xdr:rowOff>
    </xdr:from>
    <xdr:to>
      <xdr:col>6</xdr:col>
      <xdr:colOff>243124</xdr:colOff>
      <xdr:row>1</xdr:row>
      <xdr:rowOff>0</xdr:rowOff>
    </xdr:to>
    <xdr:sp macro="" textlink="">
      <xdr:nvSpPr>
        <xdr:cNvPr id="9" name="Прямоугольник 8">
          <a:hlinkClick xmlns:r="http://schemas.openxmlformats.org/officeDocument/2006/relationships" r:id="rId2" tooltip="Жыл сайынғы ақша ағынын қарау үшін нұқу"/>
        </xdr:cNvPr>
        <xdr:cNvSpPr/>
      </xdr:nvSpPr>
      <xdr:spPr>
        <a:xfrm>
          <a:off x="6890974" y="0"/>
          <a:ext cx="1296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ЖЫЛ САЙЫНҒЫ</a:t>
          </a:r>
        </a:p>
      </xdr:txBody>
    </xdr:sp>
    <xdr:clientData/>
  </xdr:twoCellAnchor>
  <xdr:twoCellAnchor editAs="absolute">
    <xdr:from>
      <xdr:col>6</xdr:col>
      <xdr:colOff>240625</xdr:colOff>
      <xdr:row>0</xdr:row>
      <xdr:rowOff>0</xdr:rowOff>
    </xdr:from>
    <xdr:to>
      <xdr:col>8</xdr:col>
      <xdr:colOff>173949</xdr:colOff>
      <xdr:row>1</xdr:row>
      <xdr:rowOff>0</xdr:rowOff>
    </xdr:to>
    <xdr:sp macro="" textlink="">
      <xdr:nvSpPr>
        <xdr:cNvPr id="10" name="Прямоугольник 9">
          <a:hlinkClick xmlns:r="http://schemas.openxmlformats.org/officeDocument/2006/relationships" r:id="rId3" tooltip="Ай сайынғы ақша ағынын қарау үшін нұқу"/>
        </xdr:cNvPr>
        <xdr:cNvSpPr/>
      </xdr:nvSpPr>
      <xdr:spPr>
        <a:xfrm>
          <a:off x="8184475"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АЙ САЙЫНҒЫ</a:t>
          </a:r>
        </a:p>
      </xdr:txBody>
    </xdr:sp>
    <xdr:clientData/>
  </xdr:twoCellAnchor>
  <xdr:twoCellAnchor editAs="absolute">
    <xdr:from>
      <xdr:col>8</xdr:col>
      <xdr:colOff>171450</xdr:colOff>
      <xdr:row>0</xdr:row>
      <xdr:rowOff>0</xdr:rowOff>
    </xdr:from>
    <xdr:to>
      <xdr:col>9</xdr:col>
      <xdr:colOff>569850</xdr:colOff>
      <xdr:row>1</xdr:row>
      <xdr:rowOff>0</xdr:rowOff>
    </xdr:to>
    <xdr:sp macro="" textlink="">
      <xdr:nvSpPr>
        <xdr:cNvPr id="11" name="Прямоугольник 10">
          <a:hlinkClick xmlns:r="http://schemas.openxmlformats.org/officeDocument/2006/relationships" r:id="rId4" tooltip="Күнделікті ақша ағынын қарау үшін нұқу"/>
        </xdr:cNvPr>
        <xdr:cNvSpPr/>
      </xdr:nvSpPr>
      <xdr:spPr>
        <a:xfrm>
          <a:off x="9334500" y="0"/>
          <a:ext cx="1008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КҮНДЕЛІКТІ</a:t>
          </a:r>
        </a:p>
      </xdr:txBody>
    </xdr:sp>
    <xdr:clientData/>
  </xdr:twoCellAnchor>
  <xdr:twoCellAnchor editAs="absolute">
    <xdr:from>
      <xdr:col>5</xdr:col>
      <xdr:colOff>1213597</xdr:colOff>
      <xdr:row>0</xdr:row>
      <xdr:rowOff>1</xdr:rowOff>
    </xdr:from>
    <xdr:to>
      <xdr:col>5</xdr:col>
      <xdr:colOff>1215278</xdr:colOff>
      <xdr:row>0</xdr:row>
      <xdr:rowOff>484633</xdr:rowOff>
    </xdr:to>
    <xdr:cxnSp macro="">
      <xdr:nvCxnSpPr>
        <xdr:cNvPr id="5" name="Тік қосылым сызығы 4"/>
        <xdr:cNvCxnSpPr/>
      </xdr:nvCxnSpPr>
      <xdr:spPr>
        <a:xfrm flipH="1" flipV="1">
          <a:off x="6890497"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239246</xdr:colOff>
      <xdr:row>0</xdr:row>
      <xdr:rowOff>0</xdr:rowOff>
    </xdr:from>
    <xdr:to>
      <xdr:col>6</xdr:col>
      <xdr:colOff>240927</xdr:colOff>
      <xdr:row>0</xdr:row>
      <xdr:rowOff>484632</xdr:rowOff>
    </xdr:to>
    <xdr:cxnSp macro="">
      <xdr:nvCxnSpPr>
        <xdr:cNvPr id="14" name="Тік қосылым сызығы 13"/>
        <xdr:cNvCxnSpPr/>
      </xdr:nvCxnSpPr>
      <xdr:spPr>
        <a:xfrm flipH="1" flipV="1">
          <a:off x="818309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161925</xdr:colOff>
      <xdr:row>0</xdr:row>
      <xdr:rowOff>0</xdr:rowOff>
    </xdr:from>
    <xdr:to>
      <xdr:col>8</xdr:col>
      <xdr:colOff>163606</xdr:colOff>
      <xdr:row>0</xdr:row>
      <xdr:rowOff>484632</xdr:rowOff>
    </xdr:to>
    <xdr:cxnSp macro="">
      <xdr:nvCxnSpPr>
        <xdr:cNvPr id="15" name="Тік қосылым сызығы 14"/>
        <xdr:cNvCxnSpPr/>
      </xdr:nvCxnSpPr>
      <xdr:spPr>
        <a:xfrm flipH="1" flipV="1">
          <a:off x="9324975"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578784</xdr:colOff>
      <xdr:row>0</xdr:row>
      <xdr:rowOff>0</xdr:rowOff>
    </xdr:from>
    <xdr:to>
      <xdr:col>9</xdr:col>
      <xdr:colOff>580465</xdr:colOff>
      <xdr:row>0</xdr:row>
      <xdr:rowOff>484632</xdr:rowOff>
    </xdr:to>
    <xdr:cxnSp macro="">
      <xdr:nvCxnSpPr>
        <xdr:cNvPr id="16" name="Тік қосылым сызығы 15"/>
        <xdr:cNvCxnSpPr/>
      </xdr:nvCxnSpPr>
      <xdr:spPr>
        <a:xfrm flipH="1" flipV="1">
          <a:off x="10351434"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4483</xdr:colOff>
      <xdr:row>0</xdr:row>
      <xdr:rowOff>0</xdr:rowOff>
    </xdr:from>
    <xdr:to>
      <xdr:col>5</xdr:col>
      <xdr:colOff>6164</xdr:colOff>
      <xdr:row>0</xdr:row>
      <xdr:rowOff>484632</xdr:rowOff>
    </xdr:to>
    <xdr:cxnSp macro="">
      <xdr:nvCxnSpPr>
        <xdr:cNvPr id="17" name="Тік қосылым сызығы 16"/>
        <xdr:cNvCxnSpPr/>
      </xdr:nvCxnSpPr>
      <xdr:spPr>
        <a:xfrm flipH="1" flipV="1">
          <a:off x="568138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2367240</xdr:colOff>
      <xdr:row>0</xdr:row>
      <xdr:rowOff>0</xdr:rowOff>
    </xdr:from>
    <xdr:to>
      <xdr:col>7</xdr:col>
      <xdr:colOff>364365</xdr:colOff>
      <xdr:row>1</xdr:row>
      <xdr:rowOff>0</xdr:rowOff>
    </xdr:to>
    <xdr:sp macro="" textlink="">
      <xdr:nvSpPr>
        <xdr:cNvPr id="10" name="Прямоугольник 9">
          <a:hlinkClick xmlns:r="http://schemas.openxmlformats.org/officeDocument/2006/relationships" r:id="rId1" tooltip="Ақша ағынын бағыттауышты қарау үшін нұқу"/>
        </xdr:cNvPr>
        <xdr:cNvSpPr/>
      </xdr:nvSpPr>
      <xdr:spPr>
        <a:xfrm>
          <a:off x="5700990" y="0"/>
          <a:ext cx="1188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БАҒЫТТАУЫШ</a:t>
          </a:r>
        </a:p>
      </xdr:txBody>
    </xdr:sp>
    <xdr:clientData/>
  </xdr:twoCellAnchor>
  <xdr:twoCellAnchor editAs="absolute">
    <xdr:from>
      <xdr:col>7</xdr:col>
      <xdr:colOff>361866</xdr:colOff>
      <xdr:row>0</xdr:row>
      <xdr:rowOff>0</xdr:rowOff>
    </xdr:from>
    <xdr:to>
      <xdr:col>9</xdr:col>
      <xdr:colOff>752991</xdr:colOff>
      <xdr:row>1</xdr:row>
      <xdr:rowOff>0</xdr:rowOff>
    </xdr:to>
    <xdr:sp macro="" textlink="">
      <xdr:nvSpPr>
        <xdr:cNvPr id="11" name="Прямоугольник 10">
          <a:hlinkClick xmlns:r="http://schemas.openxmlformats.org/officeDocument/2006/relationships" r:id="rId2" tooltip="Жыл сайынғы ақша ағынын қарау үшін нұқу"/>
        </xdr:cNvPr>
        <xdr:cNvSpPr/>
      </xdr:nvSpPr>
      <xdr:spPr>
        <a:xfrm>
          <a:off x="6886491" y="0"/>
          <a:ext cx="1296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rPr>
            <a:t>ЖЫЛ САЙЫНҒЫ</a:t>
          </a:r>
        </a:p>
      </xdr:txBody>
    </xdr:sp>
    <xdr:clientData/>
  </xdr:twoCellAnchor>
  <xdr:twoCellAnchor editAs="absolute">
    <xdr:from>
      <xdr:col>9</xdr:col>
      <xdr:colOff>750492</xdr:colOff>
      <xdr:row>0</xdr:row>
      <xdr:rowOff>0</xdr:rowOff>
    </xdr:from>
    <xdr:to>
      <xdr:col>10</xdr:col>
      <xdr:colOff>198041</xdr:colOff>
      <xdr:row>1</xdr:row>
      <xdr:rowOff>0</xdr:rowOff>
    </xdr:to>
    <xdr:sp macro="" textlink="">
      <xdr:nvSpPr>
        <xdr:cNvPr id="12" name="Прямоугольник 11">
          <a:hlinkClick xmlns:r="http://schemas.openxmlformats.org/officeDocument/2006/relationships" r:id="rId3" tooltip="Ай сайынғы ақша ағынын қарау үшін нұқу"/>
        </xdr:cNvPr>
        <xdr:cNvSpPr/>
      </xdr:nvSpPr>
      <xdr:spPr>
        <a:xfrm>
          <a:off x="8179992"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АЙ САЙЫНҒЫ</a:t>
          </a:r>
        </a:p>
      </xdr:txBody>
    </xdr:sp>
    <xdr:clientData/>
  </xdr:twoCellAnchor>
  <xdr:twoCellAnchor editAs="absolute">
    <xdr:from>
      <xdr:col>10</xdr:col>
      <xdr:colOff>195542</xdr:colOff>
      <xdr:row>0</xdr:row>
      <xdr:rowOff>0</xdr:rowOff>
    </xdr:from>
    <xdr:to>
      <xdr:col>11</xdr:col>
      <xdr:colOff>365342</xdr:colOff>
      <xdr:row>1</xdr:row>
      <xdr:rowOff>0</xdr:rowOff>
    </xdr:to>
    <xdr:sp macro="" textlink="">
      <xdr:nvSpPr>
        <xdr:cNvPr id="13" name="Прямоугольник 12">
          <a:hlinkClick xmlns:r="http://schemas.openxmlformats.org/officeDocument/2006/relationships" r:id="rId4" tooltip="Күнделікті ақша ағынын қарау үшін нұқу"/>
        </xdr:cNvPr>
        <xdr:cNvSpPr/>
      </xdr:nvSpPr>
      <xdr:spPr>
        <a:xfrm>
          <a:off x="9330017" y="0"/>
          <a:ext cx="1008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КҮНДЕЛІКТІ</a:t>
          </a:r>
        </a:p>
      </xdr:txBody>
    </xdr:sp>
    <xdr:clientData/>
  </xdr:twoCellAnchor>
  <xdr:twoCellAnchor editAs="absolute">
    <xdr:from>
      <xdr:col>7</xdr:col>
      <xdr:colOff>361389</xdr:colOff>
      <xdr:row>0</xdr:row>
      <xdr:rowOff>1</xdr:rowOff>
    </xdr:from>
    <xdr:to>
      <xdr:col>7</xdr:col>
      <xdr:colOff>363070</xdr:colOff>
      <xdr:row>0</xdr:row>
      <xdr:rowOff>484633</xdr:rowOff>
    </xdr:to>
    <xdr:cxnSp macro="">
      <xdr:nvCxnSpPr>
        <xdr:cNvPr id="14" name="Тік қосылым сызығы 13"/>
        <xdr:cNvCxnSpPr/>
      </xdr:nvCxnSpPr>
      <xdr:spPr>
        <a:xfrm flipH="1" flipV="1">
          <a:off x="688601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749113</xdr:colOff>
      <xdr:row>0</xdr:row>
      <xdr:rowOff>0</xdr:rowOff>
    </xdr:from>
    <xdr:to>
      <xdr:col>9</xdr:col>
      <xdr:colOff>750794</xdr:colOff>
      <xdr:row>0</xdr:row>
      <xdr:rowOff>484632</xdr:rowOff>
    </xdr:to>
    <xdr:cxnSp macro="">
      <xdr:nvCxnSpPr>
        <xdr:cNvPr id="15" name="Тік қосылым сызығы 14"/>
        <xdr:cNvCxnSpPr/>
      </xdr:nvCxnSpPr>
      <xdr:spPr>
        <a:xfrm flipH="1" flipV="1">
          <a:off x="81786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186017</xdr:colOff>
      <xdr:row>0</xdr:row>
      <xdr:rowOff>0</xdr:rowOff>
    </xdr:from>
    <xdr:to>
      <xdr:col>10</xdr:col>
      <xdr:colOff>187698</xdr:colOff>
      <xdr:row>0</xdr:row>
      <xdr:rowOff>484632</xdr:rowOff>
    </xdr:to>
    <xdr:cxnSp macro="">
      <xdr:nvCxnSpPr>
        <xdr:cNvPr id="16" name="Тік қосылым сызығы 15"/>
        <xdr:cNvCxnSpPr/>
      </xdr:nvCxnSpPr>
      <xdr:spPr>
        <a:xfrm flipH="1" flipV="1">
          <a:off x="9320492"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383801</xdr:colOff>
      <xdr:row>0</xdr:row>
      <xdr:rowOff>0</xdr:rowOff>
    </xdr:from>
    <xdr:to>
      <xdr:col>11</xdr:col>
      <xdr:colOff>385482</xdr:colOff>
      <xdr:row>0</xdr:row>
      <xdr:rowOff>484632</xdr:rowOff>
    </xdr:to>
    <xdr:cxnSp macro="">
      <xdr:nvCxnSpPr>
        <xdr:cNvPr id="17" name="Тік қосылым сызығы 16"/>
        <xdr:cNvCxnSpPr/>
      </xdr:nvCxnSpPr>
      <xdr:spPr>
        <a:xfrm flipH="1" flipV="1">
          <a:off x="103564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2343150</xdr:colOff>
      <xdr:row>0</xdr:row>
      <xdr:rowOff>0</xdr:rowOff>
    </xdr:from>
    <xdr:to>
      <xdr:col>5</xdr:col>
      <xdr:colOff>2344831</xdr:colOff>
      <xdr:row>0</xdr:row>
      <xdr:rowOff>484632</xdr:rowOff>
    </xdr:to>
    <xdr:cxnSp macro="">
      <xdr:nvCxnSpPr>
        <xdr:cNvPr id="18" name="Тік қосылым сызығы 17"/>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xdr:row>
      <xdr:rowOff>1</xdr:rowOff>
    </xdr:from>
    <xdr:to>
      <xdr:col>6</xdr:col>
      <xdr:colOff>447675</xdr:colOff>
      <xdr:row>2</xdr:row>
      <xdr:rowOff>57151</xdr:rowOff>
    </xdr:to>
    <xdr:sp macro="" textlink="">
      <xdr:nvSpPr>
        <xdr:cNvPr id="19" name="Дөңгелек тең бүйірлі бұрыш Прямоугольник 18"/>
        <xdr:cNvSpPr/>
      </xdr:nvSpPr>
      <xdr:spPr>
        <a:xfrm>
          <a:off x="161924" y="495301"/>
          <a:ext cx="4591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Жалпы ақша ағыны</a:t>
          </a:r>
          <a:r>
            <a:rPr lang="en-US" sz="1600" b="1" baseline="0">
              <a:solidFill>
                <a:schemeClr val="tx2">
                  <a:lumMod val="50000"/>
                  <a:lumOff val="50000"/>
                </a:schemeClr>
              </a:solidFill>
            </a:rPr>
            <a:t> Басталу күні:</a:t>
          </a:r>
          <a:endParaRPr lang="en-US" sz="1600" b="1">
            <a:solidFill>
              <a:schemeClr val="tx2">
                <a:lumMod val="50000"/>
                <a:lumOff val="50000"/>
              </a:schemeClr>
            </a:solidFill>
          </a:endParaRPr>
        </a:p>
      </xdr:txBody>
    </xdr:sp>
    <xdr:clientData/>
  </xdr:twoCellAnchor>
  <xdr:twoCellAnchor>
    <xdr:from>
      <xdr:col>5</xdr:col>
      <xdr:colOff>38099</xdr:colOff>
      <xdr:row>1</xdr:row>
      <xdr:rowOff>19050</xdr:rowOff>
    </xdr:from>
    <xdr:to>
      <xdr:col>6</xdr:col>
      <xdr:colOff>390523</xdr:colOff>
      <xdr:row>2</xdr:row>
      <xdr:rowOff>9525</xdr:rowOff>
    </xdr:to>
    <xdr:sp macro="" textlink="$B$2">
      <xdr:nvSpPr>
        <xdr:cNvPr id="20" name="Дөңгелек тең бүйірлі бұрыш Прямоугольник 19"/>
        <xdr:cNvSpPr/>
      </xdr:nvSpPr>
      <xdr:spPr>
        <a:xfrm>
          <a:off x="3400424" y="514350"/>
          <a:ext cx="2552699"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 Т39 750,00 </a:t>
          </a:fld>
          <a:endParaRPr lang="en-US" sz="1600">
            <a:solidFill>
              <a:schemeClr val="tx2">
                <a:lumMod val="50000"/>
                <a:lumOff val="50000"/>
              </a:schemeClr>
            </a:solidFill>
          </a:endParaRPr>
        </a:p>
      </xdr:txBody>
    </xdr:sp>
    <xdr:clientData/>
  </xdr:twoCellAnchor>
  <xdr:twoCellAnchor>
    <xdr:from>
      <xdr:col>4</xdr:col>
      <xdr:colOff>180974</xdr:colOff>
      <xdr:row>6</xdr:row>
      <xdr:rowOff>0</xdr:rowOff>
    </xdr:from>
    <xdr:to>
      <xdr:col>7</xdr:col>
      <xdr:colOff>718184</xdr:colOff>
      <xdr:row>24</xdr:row>
      <xdr:rowOff>137160</xdr:rowOff>
    </xdr:to>
    <xdr:graphicFrame macro="">
      <xdr:nvGraphicFramePr>
        <xdr:cNvPr id="21" name="2-диаграмма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xdr:row>
      <xdr:rowOff>0</xdr:rowOff>
    </xdr:from>
    <xdr:to>
      <xdr:col>3</xdr:col>
      <xdr:colOff>714375</xdr:colOff>
      <xdr:row>24</xdr:row>
      <xdr:rowOff>137160</xdr:rowOff>
    </xdr:to>
    <xdr:graphicFrame macro="">
      <xdr:nvGraphicFramePr>
        <xdr:cNvPr id="22" name="2-диаграмма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6</xdr:row>
      <xdr:rowOff>0</xdr:rowOff>
    </xdr:from>
    <xdr:to>
      <xdr:col>11</xdr:col>
      <xdr:colOff>718185</xdr:colOff>
      <xdr:row>24</xdr:row>
      <xdr:rowOff>137160</xdr:rowOff>
    </xdr:to>
    <xdr:graphicFrame macro="">
      <xdr:nvGraphicFramePr>
        <xdr:cNvPr id="23" name="2-диаграмма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xdr:colOff>
      <xdr:row>6</xdr:row>
      <xdr:rowOff>0</xdr:rowOff>
    </xdr:from>
    <xdr:to>
      <xdr:col>15</xdr:col>
      <xdr:colOff>714376</xdr:colOff>
      <xdr:row>24</xdr:row>
      <xdr:rowOff>137160</xdr:rowOff>
    </xdr:to>
    <xdr:graphicFrame macro="">
      <xdr:nvGraphicFramePr>
        <xdr:cNvPr id="24" name="2-диаграмма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1</xdr:row>
      <xdr:rowOff>1</xdr:rowOff>
    </xdr:from>
    <xdr:to>
      <xdr:col>6</xdr:col>
      <xdr:colOff>247650</xdr:colOff>
      <xdr:row>2</xdr:row>
      <xdr:rowOff>57151</xdr:rowOff>
    </xdr:to>
    <xdr:sp macro="" textlink="">
      <xdr:nvSpPr>
        <xdr:cNvPr id="6" name="Дөңгелек тең бүйірлі бұрыш Прямоугольник 5"/>
        <xdr:cNvSpPr/>
      </xdr:nvSpPr>
      <xdr:spPr>
        <a:xfrm>
          <a:off x="161924" y="495301"/>
          <a:ext cx="4972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Жалпы ай сайынғы ақша ағыны</a:t>
          </a:r>
          <a:r>
            <a:rPr lang="en-US" sz="1600" b="1" baseline="0">
              <a:solidFill>
                <a:schemeClr val="tx2">
                  <a:lumMod val="50000"/>
                  <a:lumOff val="50000"/>
                </a:schemeClr>
              </a:solidFill>
            </a:rPr>
            <a:t>:</a:t>
          </a:r>
          <a:endParaRPr lang="en-US" sz="1600" b="1">
            <a:solidFill>
              <a:schemeClr val="tx2">
                <a:lumMod val="50000"/>
                <a:lumOff val="50000"/>
              </a:schemeClr>
            </a:solidFill>
          </a:endParaRPr>
        </a:p>
      </xdr:txBody>
    </xdr:sp>
    <xdr:clientData/>
  </xdr:twoCellAnchor>
  <xdr:twoCellAnchor>
    <xdr:from>
      <xdr:col>3</xdr:col>
      <xdr:colOff>28575</xdr:colOff>
      <xdr:row>1</xdr:row>
      <xdr:rowOff>19050</xdr:rowOff>
    </xdr:from>
    <xdr:to>
      <xdr:col>6</xdr:col>
      <xdr:colOff>190499</xdr:colOff>
      <xdr:row>2</xdr:row>
      <xdr:rowOff>9525</xdr:rowOff>
    </xdr:to>
    <xdr:sp macro="" textlink="$B$2">
      <xdr:nvSpPr>
        <xdr:cNvPr id="8" name="Дөңгелек тең бүйірлі бұрыш Прямоугольник 7"/>
        <xdr:cNvSpPr/>
      </xdr:nvSpPr>
      <xdr:spPr>
        <a:xfrm>
          <a:off x="2943225" y="514350"/>
          <a:ext cx="2133599"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 Т18 380,00 </a:t>
          </a:fld>
          <a:endParaRPr lang="en-US" sz="1600">
            <a:solidFill>
              <a:schemeClr val="tx2">
                <a:lumMod val="50000"/>
                <a:lumOff val="50000"/>
              </a:schemeClr>
            </a:solidFill>
          </a:endParaRPr>
        </a:p>
      </xdr:txBody>
    </xdr:sp>
    <xdr:clientData/>
  </xdr:twoCellAnchor>
  <xdr:twoCellAnchor editAs="absolute">
    <xdr:from>
      <xdr:col>6</xdr:col>
      <xdr:colOff>309840</xdr:colOff>
      <xdr:row>0</xdr:row>
      <xdr:rowOff>0</xdr:rowOff>
    </xdr:from>
    <xdr:to>
      <xdr:col>8</xdr:col>
      <xdr:colOff>183390</xdr:colOff>
      <xdr:row>1</xdr:row>
      <xdr:rowOff>0</xdr:rowOff>
    </xdr:to>
    <xdr:sp macro="" textlink="">
      <xdr:nvSpPr>
        <xdr:cNvPr id="12" name="Прямоугольник 11">
          <a:hlinkClick xmlns:r="http://schemas.openxmlformats.org/officeDocument/2006/relationships" r:id="rId1" tooltip="Ақша ағынын бағыттауышты қарау үшін нұқу"/>
        </xdr:cNvPr>
        <xdr:cNvSpPr/>
      </xdr:nvSpPr>
      <xdr:spPr>
        <a:xfrm>
          <a:off x="5700990" y="0"/>
          <a:ext cx="1188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БАҒЫТТАУЫШ</a:t>
          </a:r>
        </a:p>
      </xdr:txBody>
    </xdr:sp>
    <xdr:clientData/>
  </xdr:twoCellAnchor>
  <xdr:twoCellAnchor editAs="absolute">
    <xdr:from>
      <xdr:col>8</xdr:col>
      <xdr:colOff>180891</xdr:colOff>
      <xdr:row>0</xdr:row>
      <xdr:rowOff>0</xdr:rowOff>
    </xdr:from>
    <xdr:to>
      <xdr:col>10</xdr:col>
      <xdr:colOff>162441</xdr:colOff>
      <xdr:row>1</xdr:row>
      <xdr:rowOff>0</xdr:rowOff>
    </xdr:to>
    <xdr:sp macro="" textlink="">
      <xdr:nvSpPr>
        <xdr:cNvPr id="13" name="Прямоугольник 12">
          <a:hlinkClick xmlns:r="http://schemas.openxmlformats.org/officeDocument/2006/relationships" r:id="rId2" tooltip="Жыл сайынғы ақша ағынын қарау үшін нұқу"/>
        </xdr:cNvPr>
        <xdr:cNvSpPr/>
      </xdr:nvSpPr>
      <xdr:spPr>
        <a:xfrm>
          <a:off x="6886491" y="0"/>
          <a:ext cx="1296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ЖЫЛ САЙЫНҒЫ</a:t>
          </a:r>
        </a:p>
      </xdr:txBody>
    </xdr:sp>
    <xdr:clientData/>
  </xdr:twoCellAnchor>
  <xdr:twoCellAnchor editAs="absolute">
    <xdr:from>
      <xdr:col>10</xdr:col>
      <xdr:colOff>159942</xdr:colOff>
      <xdr:row>0</xdr:row>
      <xdr:rowOff>0</xdr:rowOff>
    </xdr:from>
    <xdr:to>
      <xdr:col>11</xdr:col>
      <xdr:colOff>655241</xdr:colOff>
      <xdr:row>1</xdr:row>
      <xdr:rowOff>0</xdr:rowOff>
    </xdr:to>
    <xdr:sp macro="" textlink="">
      <xdr:nvSpPr>
        <xdr:cNvPr id="14" name="Прямоугольник 13">
          <a:hlinkClick xmlns:r="http://schemas.openxmlformats.org/officeDocument/2006/relationships" r:id="rId3" tooltip="Ай сайынғы ақша ағынын қарау үшін нұқу"/>
        </xdr:cNvPr>
        <xdr:cNvSpPr/>
      </xdr:nvSpPr>
      <xdr:spPr>
        <a:xfrm>
          <a:off x="8179992"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ea typeface="+mn-ea"/>
              <a:cs typeface="+mn-cs"/>
            </a:rPr>
            <a:t>АЙ САЙЫНҒЫ</a:t>
          </a:r>
        </a:p>
      </xdr:txBody>
    </xdr:sp>
    <xdr:clientData/>
  </xdr:twoCellAnchor>
  <xdr:twoCellAnchor editAs="absolute">
    <xdr:from>
      <xdr:col>11</xdr:col>
      <xdr:colOff>652742</xdr:colOff>
      <xdr:row>0</xdr:row>
      <xdr:rowOff>0</xdr:rowOff>
    </xdr:from>
    <xdr:to>
      <xdr:col>13</xdr:col>
      <xdr:colOff>346292</xdr:colOff>
      <xdr:row>1</xdr:row>
      <xdr:rowOff>0</xdr:rowOff>
    </xdr:to>
    <xdr:sp macro="" textlink="">
      <xdr:nvSpPr>
        <xdr:cNvPr id="15" name="Прямоугольник 14">
          <a:hlinkClick xmlns:r="http://schemas.openxmlformats.org/officeDocument/2006/relationships" r:id="rId4" tooltip="Күнделікті ақша ағынын қарау үшін нұқу"/>
        </xdr:cNvPr>
        <xdr:cNvSpPr/>
      </xdr:nvSpPr>
      <xdr:spPr>
        <a:xfrm>
          <a:off x="9330017" y="0"/>
          <a:ext cx="1008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КҮНДЕЛІКТІ</a:t>
          </a:r>
        </a:p>
      </xdr:txBody>
    </xdr:sp>
    <xdr:clientData/>
  </xdr:twoCellAnchor>
  <xdr:twoCellAnchor editAs="absolute">
    <xdr:from>
      <xdr:col>8</xdr:col>
      <xdr:colOff>180414</xdr:colOff>
      <xdr:row>0</xdr:row>
      <xdr:rowOff>1</xdr:rowOff>
    </xdr:from>
    <xdr:to>
      <xdr:col>8</xdr:col>
      <xdr:colOff>182095</xdr:colOff>
      <xdr:row>0</xdr:row>
      <xdr:rowOff>484633</xdr:rowOff>
    </xdr:to>
    <xdr:cxnSp macro="">
      <xdr:nvCxnSpPr>
        <xdr:cNvPr id="16" name="Тік қосылым сызығы 15"/>
        <xdr:cNvCxnSpPr/>
      </xdr:nvCxnSpPr>
      <xdr:spPr>
        <a:xfrm flipH="1" flipV="1">
          <a:off x="688601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158563</xdr:colOff>
      <xdr:row>0</xdr:row>
      <xdr:rowOff>0</xdr:rowOff>
    </xdr:from>
    <xdr:to>
      <xdr:col>10</xdr:col>
      <xdr:colOff>160244</xdr:colOff>
      <xdr:row>0</xdr:row>
      <xdr:rowOff>484632</xdr:rowOff>
    </xdr:to>
    <xdr:cxnSp macro="">
      <xdr:nvCxnSpPr>
        <xdr:cNvPr id="17" name="Тік қосылым сызығы 16"/>
        <xdr:cNvCxnSpPr/>
      </xdr:nvCxnSpPr>
      <xdr:spPr>
        <a:xfrm flipH="1" flipV="1">
          <a:off x="81786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643217</xdr:colOff>
      <xdr:row>0</xdr:row>
      <xdr:rowOff>0</xdr:rowOff>
    </xdr:from>
    <xdr:to>
      <xdr:col>11</xdr:col>
      <xdr:colOff>644898</xdr:colOff>
      <xdr:row>0</xdr:row>
      <xdr:rowOff>484632</xdr:rowOff>
    </xdr:to>
    <xdr:cxnSp macro="">
      <xdr:nvCxnSpPr>
        <xdr:cNvPr id="18" name="Тік қосылым сызығы 17"/>
        <xdr:cNvCxnSpPr/>
      </xdr:nvCxnSpPr>
      <xdr:spPr>
        <a:xfrm flipH="1" flipV="1">
          <a:off x="9320492"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364751</xdr:colOff>
      <xdr:row>0</xdr:row>
      <xdr:rowOff>0</xdr:rowOff>
    </xdr:from>
    <xdr:to>
      <xdr:col>13</xdr:col>
      <xdr:colOff>366432</xdr:colOff>
      <xdr:row>0</xdr:row>
      <xdr:rowOff>484632</xdr:rowOff>
    </xdr:to>
    <xdr:cxnSp macro="">
      <xdr:nvCxnSpPr>
        <xdr:cNvPr id="19" name="Тік қосылым сызығы 18"/>
        <xdr:cNvCxnSpPr/>
      </xdr:nvCxnSpPr>
      <xdr:spPr>
        <a:xfrm flipH="1" flipV="1">
          <a:off x="103564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285750</xdr:colOff>
      <xdr:row>0</xdr:row>
      <xdr:rowOff>0</xdr:rowOff>
    </xdr:from>
    <xdr:to>
      <xdr:col>6</xdr:col>
      <xdr:colOff>287431</xdr:colOff>
      <xdr:row>0</xdr:row>
      <xdr:rowOff>484632</xdr:rowOff>
    </xdr:to>
    <xdr:cxnSp macro="">
      <xdr:nvCxnSpPr>
        <xdr:cNvPr id="20" name="Тік қосылым сызығы 19"/>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161924</xdr:colOff>
      <xdr:row>1</xdr:row>
      <xdr:rowOff>1</xdr:rowOff>
    </xdr:from>
    <xdr:to>
      <xdr:col>4</xdr:col>
      <xdr:colOff>866775</xdr:colOff>
      <xdr:row>2</xdr:row>
      <xdr:rowOff>57151</xdr:rowOff>
    </xdr:to>
    <xdr:sp macro="" textlink="">
      <xdr:nvSpPr>
        <xdr:cNvPr id="6" name="Дөңгелек тең бүйірлі бұрыш Прямоугольник 5"/>
        <xdr:cNvSpPr/>
      </xdr:nvSpPr>
      <xdr:spPr>
        <a:xfrm>
          <a:off x="161924" y="495301"/>
          <a:ext cx="4981576"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Жалпы қол жетімді қолма қол ақша</a:t>
          </a:r>
          <a:r>
            <a:rPr lang="en-US" sz="1600" b="1" baseline="0">
              <a:solidFill>
                <a:schemeClr val="tx2">
                  <a:lumMod val="50000"/>
                  <a:lumOff val="50000"/>
                </a:schemeClr>
              </a:solidFill>
            </a:rPr>
            <a:t>:</a:t>
          </a:r>
          <a:endParaRPr lang="en-US" sz="1600" b="1">
            <a:solidFill>
              <a:schemeClr val="tx2">
                <a:lumMod val="50000"/>
                <a:lumOff val="50000"/>
              </a:schemeClr>
            </a:solidFill>
          </a:endParaRPr>
        </a:p>
      </xdr:txBody>
    </xdr:sp>
    <xdr:clientData/>
  </xdr:twoCellAnchor>
  <xdr:twoCellAnchor editAs="absolute">
    <xdr:from>
      <xdr:col>3</xdr:col>
      <xdr:colOff>390525</xdr:colOff>
      <xdr:row>1</xdr:row>
      <xdr:rowOff>19050</xdr:rowOff>
    </xdr:from>
    <xdr:to>
      <xdr:col>4</xdr:col>
      <xdr:colOff>800100</xdr:colOff>
      <xdr:row>2</xdr:row>
      <xdr:rowOff>9525</xdr:rowOff>
    </xdr:to>
    <xdr:sp macro="" textlink="$B$2">
      <xdr:nvSpPr>
        <xdr:cNvPr id="7" name="Дөңгелек тең бүйірлі бұрыш Прямоугольник 6"/>
        <xdr:cNvSpPr/>
      </xdr:nvSpPr>
      <xdr:spPr>
        <a:xfrm>
          <a:off x="3667125" y="514350"/>
          <a:ext cx="1409700"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 Т577,84 </a:t>
          </a:fld>
          <a:endParaRPr lang="en-US" sz="1600">
            <a:solidFill>
              <a:schemeClr val="tx2">
                <a:lumMod val="50000"/>
                <a:lumOff val="50000"/>
              </a:schemeClr>
            </a:solidFill>
          </a:endParaRPr>
        </a:p>
      </xdr:txBody>
    </xdr:sp>
    <xdr:clientData/>
  </xdr:twoCellAnchor>
  <xdr:twoCellAnchor editAs="absolute">
    <xdr:from>
      <xdr:col>5</xdr:col>
      <xdr:colOff>424140</xdr:colOff>
      <xdr:row>0</xdr:row>
      <xdr:rowOff>0</xdr:rowOff>
    </xdr:from>
    <xdr:to>
      <xdr:col>7</xdr:col>
      <xdr:colOff>145290</xdr:colOff>
      <xdr:row>1</xdr:row>
      <xdr:rowOff>0</xdr:rowOff>
    </xdr:to>
    <xdr:sp macro="" textlink="">
      <xdr:nvSpPr>
        <xdr:cNvPr id="8" name="Прямоугольник 7">
          <a:hlinkClick xmlns:r="http://schemas.openxmlformats.org/officeDocument/2006/relationships" r:id="rId1" tooltip="Ақша ағынын бағыттауышты қарау үшін нұқу"/>
        </xdr:cNvPr>
        <xdr:cNvSpPr/>
      </xdr:nvSpPr>
      <xdr:spPr>
        <a:xfrm>
          <a:off x="5700990" y="0"/>
          <a:ext cx="1188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БАҒЫТТАУЫШ</a:t>
          </a:r>
        </a:p>
      </xdr:txBody>
    </xdr:sp>
    <xdr:clientData/>
  </xdr:twoCellAnchor>
  <xdr:twoCellAnchor editAs="absolute">
    <xdr:from>
      <xdr:col>7</xdr:col>
      <xdr:colOff>142791</xdr:colOff>
      <xdr:row>0</xdr:row>
      <xdr:rowOff>0</xdr:rowOff>
    </xdr:from>
    <xdr:to>
      <xdr:col>7</xdr:col>
      <xdr:colOff>1438791</xdr:colOff>
      <xdr:row>1</xdr:row>
      <xdr:rowOff>0</xdr:rowOff>
    </xdr:to>
    <xdr:sp macro="" textlink="">
      <xdr:nvSpPr>
        <xdr:cNvPr id="9" name="Прямоугольник 8">
          <a:hlinkClick xmlns:r="http://schemas.openxmlformats.org/officeDocument/2006/relationships" r:id="rId2" tooltip="Жыл сайынғы ақша ағынын қарау үшін нұқу"/>
        </xdr:cNvPr>
        <xdr:cNvSpPr/>
      </xdr:nvSpPr>
      <xdr:spPr>
        <a:xfrm>
          <a:off x="6886491" y="0"/>
          <a:ext cx="1296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ЖЫЛ САЙЫНҒЫ</a:t>
          </a:r>
        </a:p>
      </xdr:txBody>
    </xdr:sp>
    <xdr:clientData/>
  </xdr:twoCellAnchor>
  <xdr:twoCellAnchor editAs="absolute">
    <xdr:from>
      <xdr:col>7</xdr:col>
      <xdr:colOff>1436292</xdr:colOff>
      <xdr:row>0</xdr:row>
      <xdr:rowOff>0</xdr:rowOff>
    </xdr:from>
    <xdr:to>
      <xdr:col>8</xdr:col>
      <xdr:colOff>807641</xdr:colOff>
      <xdr:row>1</xdr:row>
      <xdr:rowOff>0</xdr:rowOff>
    </xdr:to>
    <xdr:sp macro="" textlink="">
      <xdr:nvSpPr>
        <xdr:cNvPr id="10" name="Прямоугольник 9">
          <a:hlinkClick xmlns:r="http://schemas.openxmlformats.org/officeDocument/2006/relationships" r:id="rId3" tooltip="Ай сайынғы ақша ағынын қарау үшін нұқу"/>
        </xdr:cNvPr>
        <xdr:cNvSpPr/>
      </xdr:nvSpPr>
      <xdr:spPr>
        <a:xfrm>
          <a:off x="8179992"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АЙ САЙЫНҒЫ</a:t>
          </a:r>
        </a:p>
      </xdr:txBody>
    </xdr:sp>
    <xdr:clientData/>
  </xdr:twoCellAnchor>
  <xdr:twoCellAnchor editAs="absolute">
    <xdr:from>
      <xdr:col>8</xdr:col>
      <xdr:colOff>805142</xdr:colOff>
      <xdr:row>0</xdr:row>
      <xdr:rowOff>0</xdr:rowOff>
    </xdr:from>
    <xdr:to>
      <xdr:col>9</xdr:col>
      <xdr:colOff>31967</xdr:colOff>
      <xdr:row>1</xdr:row>
      <xdr:rowOff>0</xdr:rowOff>
    </xdr:to>
    <xdr:sp macro="" textlink="">
      <xdr:nvSpPr>
        <xdr:cNvPr id="11" name="Прямоугольник 10">
          <a:hlinkClick xmlns:r="http://schemas.openxmlformats.org/officeDocument/2006/relationships" r:id="rId4" tooltip="Күнделікті ақша ағынын қарау үшін нұқу"/>
        </xdr:cNvPr>
        <xdr:cNvSpPr/>
      </xdr:nvSpPr>
      <xdr:spPr>
        <a:xfrm>
          <a:off x="9330017" y="0"/>
          <a:ext cx="1008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ea typeface="+mn-ea"/>
              <a:cs typeface="+mn-cs"/>
            </a:rPr>
            <a:t>КҮНДЕЛІКТІ</a:t>
          </a:r>
        </a:p>
      </xdr:txBody>
    </xdr:sp>
    <xdr:clientData/>
  </xdr:twoCellAnchor>
  <xdr:twoCellAnchor editAs="absolute">
    <xdr:from>
      <xdr:col>7</xdr:col>
      <xdr:colOff>142314</xdr:colOff>
      <xdr:row>0</xdr:row>
      <xdr:rowOff>1</xdr:rowOff>
    </xdr:from>
    <xdr:to>
      <xdr:col>7</xdr:col>
      <xdr:colOff>143995</xdr:colOff>
      <xdr:row>0</xdr:row>
      <xdr:rowOff>484633</xdr:rowOff>
    </xdr:to>
    <xdr:cxnSp macro="">
      <xdr:nvCxnSpPr>
        <xdr:cNvPr id="12" name="Тік қосылым сызығы 11"/>
        <xdr:cNvCxnSpPr/>
      </xdr:nvCxnSpPr>
      <xdr:spPr>
        <a:xfrm flipH="1" flipV="1">
          <a:off x="688601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1434913</xdr:colOff>
      <xdr:row>0</xdr:row>
      <xdr:rowOff>0</xdr:rowOff>
    </xdr:from>
    <xdr:to>
      <xdr:col>7</xdr:col>
      <xdr:colOff>1436594</xdr:colOff>
      <xdr:row>0</xdr:row>
      <xdr:rowOff>484632</xdr:rowOff>
    </xdr:to>
    <xdr:cxnSp macro="">
      <xdr:nvCxnSpPr>
        <xdr:cNvPr id="13" name="Тік қосылым сызығы 12"/>
        <xdr:cNvCxnSpPr/>
      </xdr:nvCxnSpPr>
      <xdr:spPr>
        <a:xfrm flipH="1" flipV="1">
          <a:off x="81786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795617</xdr:colOff>
      <xdr:row>0</xdr:row>
      <xdr:rowOff>0</xdr:rowOff>
    </xdr:from>
    <xdr:to>
      <xdr:col>8</xdr:col>
      <xdr:colOff>797298</xdr:colOff>
      <xdr:row>0</xdr:row>
      <xdr:rowOff>484632</xdr:rowOff>
    </xdr:to>
    <xdr:cxnSp macro="">
      <xdr:nvCxnSpPr>
        <xdr:cNvPr id="14" name="Тік қосылым сызығы 13"/>
        <xdr:cNvCxnSpPr/>
      </xdr:nvCxnSpPr>
      <xdr:spPr>
        <a:xfrm flipH="1" flipV="1">
          <a:off x="9320492"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50426</xdr:colOff>
      <xdr:row>0</xdr:row>
      <xdr:rowOff>0</xdr:rowOff>
    </xdr:from>
    <xdr:to>
      <xdr:col>9</xdr:col>
      <xdr:colOff>52107</xdr:colOff>
      <xdr:row>0</xdr:row>
      <xdr:rowOff>484632</xdr:rowOff>
    </xdr:to>
    <xdr:cxnSp macro="">
      <xdr:nvCxnSpPr>
        <xdr:cNvPr id="15" name="Тік қосылым сызығы 14"/>
        <xdr:cNvCxnSpPr/>
      </xdr:nvCxnSpPr>
      <xdr:spPr>
        <a:xfrm flipH="1" flipV="1">
          <a:off x="103564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400050</xdr:colOff>
      <xdr:row>0</xdr:row>
      <xdr:rowOff>0</xdr:rowOff>
    </xdr:from>
    <xdr:to>
      <xdr:col>5</xdr:col>
      <xdr:colOff>401731</xdr:colOff>
      <xdr:row>0</xdr:row>
      <xdr:rowOff>484632</xdr:rowOff>
    </xdr:to>
    <xdr:cxnSp macro="">
      <xdr:nvCxnSpPr>
        <xdr:cNvPr id="16" name="Тік қосылым сызығы 15"/>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Кіріскестесі" displayName="Кіріскестесі" ref="B29:D36" totalsRowCount="1">
  <tableColumns count="3">
    <tableColumn id="1" name="Пайда" totalsRowLabel="Барлығы" dataDxfId="78" totalsRowDxfId="77"/>
    <tableColumn id="2" name="Жыл сайынғы" totalsRowFunction="sum" dataDxfId="76" totalsRowDxfId="75"/>
    <tableColumn id="3" name="Ай сайынғы" totalsRowFunction="sum" dataDxfId="74" totalsRowDxfId="73">
      <calculatedColumnFormula>Кіріскестесі[[#This Row],[Жыл сайынғы]]/12</calculatedColumnFormula>
    </tableColumn>
  </tableColumns>
  <tableStyleInfo name="Personal Cash Flow Statement" showFirstColumn="1" showLastColumn="1" showRowStripes="0" showColumnStripes="0"/>
</table>
</file>

<file path=xl/tables/table2.xml><?xml version="1.0" encoding="utf-8"?>
<table xmlns="http://schemas.openxmlformats.org/spreadsheetml/2006/main" id="2" name="Шығындаркестесі" displayName="Шығындаркестесі" ref="F29:H48" totalsRowCount="1">
  <tableColumns count="3">
    <tableColumn id="1" name="Шығындар" totalsRowLabel="Барлығы" dataDxfId="72" totalsRowDxfId="71"/>
    <tableColumn id="2" name="Жыл сайынғы" totalsRowFunction="sum" dataDxfId="70" totalsRowDxfId="69"/>
    <tableColumn id="3" name="Ай сайынғы" totalsRowFunction="sum" dataDxfId="68" totalsRowDxfId="67">
      <calculatedColumnFormula>Шығындаркестесі[[#This Row],[Жыл сайынғы]]/12</calculatedColumnFormula>
    </tableColumn>
  </tableColumns>
  <tableStyleInfo name="Personal Cash Flow Statement" showFirstColumn="1" showLastColumn="1" showRowStripes="0" showColumnStripes="0"/>
</table>
</file>

<file path=xl/tables/table3.xml><?xml version="1.0" encoding="utf-8"?>
<table xmlns="http://schemas.openxmlformats.org/spreadsheetml/2006/main" id="3" name="tblDiscretionary" displayName="tblDiscretionary" ref="J29:L41" totalsRowCount="1">
  <tableColumns count="3">
    <tableColumn id="1" name="Тәуелсіз шығындар" totalsRowLabel="Барлығы" dataDxfId="66" totalsRowDxfId="65"/>
    <tableColumn id="2" name="Жыл сайынғы" totalsRowFunction="sum" dataDxfId="64" totalsRowDxfId="63"/>
    <tableColumn id="3" name="Ай сайынғы" totalsRowFunction="sum" dataDxfId="62" totalsRowDxfId="61">
      <calculatedColumnFormula>tblDiscretionary[[#This Row],[Жыл сайынғы]]/12</calculatedColumnFormula>
    </tableColumn>
  </tableColumns>
  <tableStyleInfo name="Personal Cash Flow Statement" showFirstColumn="1" showLastColumn="1" showRowStripes="0" showColumnStripes="0"/>
</table>
</file>

<file path=xl/tables/table4.xml><?xml version="1.0" encoding="utf-8"?>
<table xmlns="http://schemas.openxmlformats.org/spreadsheetml/2006/main" id="4" name="tblSavings" displayName="tblSavings" ref="N29:P35" totalsRowCount="1">
  <tableColumns count="3">
    <tableColumn id="1" name="Сақтаулар" totalsRowLabel="Барлығы" dataDxfId="60" totalsRowDxfId="59"/>
    <tableColumn id="2" name="Жыл сайынғы" totalsRowFunction="sum" dataDxfId="58" totalsRowDxfId="57"/>
    <tableColumn id="3" name="Ай сайынғы" totalsRowFunction="sum" dataDxfId="56" totalsRowDxfId="55">
      <calculatedColumnFormula>tblSavings[[#This Row],[Жыл сайынғы]]/12</calculatedColumnFormula>
    </tableColumn>
  </tableColumns>
  <tableStyleInfo name="Personal Cash Flow Statement" showFirstColumn="1" showLastColumn="1" showRowStripes="0" showColumnStripes="0"/>
</table>
</file>

<file path=xl/tables/table5.xml><?xml version="1.0" encoding="utf-8"?>
<table xmlns="http://schemas.openxmlformats.org/spreadsheetml/2006/main" id="11" name="tblMontly" displayName="tblMontly" ref="B5:P49" totalsRowCount="1">
  <autoFilter ref="B5:P48"/>
  <tableColumns count="15">
    <tableColumn id="1" name="Түрі" totalsRowLabel="Барлығы" totalsRowDxfId="52"/>
    <tableColumn id="2" name="Сипаттама"/>
    <tableColumn id="3" name="Қаң" totalsRowFunction="custom" dataDxfId="51" totalsRowDxfId="50">
      <totalsRowFormula>SUMIF(tblMontly[Түрі],"Пайда",tblMontly[Қаң])-SUMIF(tblMontly[Түрі],"&lt;&gt;Пайда",tblMontly[Қаң])</totalsRowFormula>
    </tableColumn>
    <tableColumn id="4" name="Ақп" totalsRowFunction="custom" dataDxfId="49" totalsRowDxfId="48">
      <totalsRowFormula>SUMIF(tblMontly[Түрі],"Пайда",tblMontly[Ақп])-SUMIF(tblMontly[Түрі],"&lt;&gt;Пайда",tblMontly[Ақп])</totalsRowFormula>
    </tableColumn>
    <tableColumn id="5" name="Нау" totalsRowFunction="custom" dataDxfId="47" totalsRowDxfId="46">
      <totalsRowFormula>SUMIF(tblMontly[Түрі],"Пайда",tblMontly[Нау])-SUMIF(tblMontly[Түрі],"&lt;&gt;Пайда",tblMontly[Нау])</totalsRowFormula>
    </tableColumn>
    <tableColumn id="6" name="Сәу" totalsRowFunction="custom" dataDxfId="45" totalsRowDxfId="44">
      <totalsRowFormula>SUMIF(tblMontly[Түрі],"Пайда",tblMontly[Сәу])-SUMIF(tblMontly[Түрі],"&lt;&gt;Пайда",tblMontly[Сәу])</totalsRowFormula>
    </tableColumn>
    <tableColumn id="7" name="Мамыр" totalsRowFunction="custom" dataDxfId="43" totalsRowDxfId="42">
      <totalsRowFormula>SUMIF(tblMontly[Түрі],"Пайда",tblMontly[Мамыр])-SUMIF(tblMontly[Түрі],"&lt;&gt;Пайда",tblMontly[Мамыр])</totalsRowFormula>
    </tableColumn>
    <tableColumn id="8" name="Мау" totalsRowFunction="custom" dataDxfId="41" totalsRowDxfId="40">
      <totalsRowFormula>SUMIF(tblMontly[Түрі],"Пайда",tblMontly[Мау])-SUMIF(tblMontly[Түрі],"&lt;&gt;Пайда",tblMontly[Мау])</totalsRowFormula>
    </tableColumn>
    <tableColumn id="9" name="Шіл" totalsRowFunction="custom" dataDxfId="39" totalsRowDxfId="38">
      <totalsRowFormula>SUMIF(tblMontly[Түрі],"Пайда",tblMontly[Шіл])-SUMIF(tblMontly[Түрі],"&lt;&gt;Пайда",tblMontly[Шіл])</totalsRowFormula>
    </tableColumn>
    <tableColumn id="10" name="Там" totalsRowFunction="custom" dataDxfId="37" totalsRowDxfId="36">
      <totalsRowFormula>SUMIF(tblMontly[Түрі],"Пайда",tblMontly[Там])-SUMIF(tblMontly[Түрі],"&lt;&gt;Пайда",tblMontly[Там])</totalsRowFormula>
    </tableColumn>
    <tableColumn id="11" name="Қыр" totalsRowFunction="custom" dataDxfId="35" totalsRowDxfId="34">
      <totalsRowFormula>SUMIF(tblMontly[Түрі],"Пайда",tblMontly[Қыр])-SUMIF(tblMontly[Түрі],"&lt;&gt;Пайда",tblMontly[Қыр])</totalsRowFormula>
    </tableColumn>
    <tableColumn id="12" name="Қаз" totalsRowFunction="custom" dataDxfId="33" totalsRowDxfId="32">
      <totalsRowFormula>SUMIF(tblMontly[Түрі],"Пайда",tblMontly[Қаз])-SUMIF(tblMontly[Түрі],"&lt;&gt;Пайда",tblMontly[Қаз])</totalsRowFormula>
    </tableColumn>
    <tableColumn id="13" name="Қар" totalsRowFunction="custom" dataDxfId="31" totalsRowDxfId="30">
      <totalsRowFormula>SUMIF(tblMontly[Түрі],"Пайда",tblMontly[Қар])-SUMIF(tblMontly[Түрі],"&lt;&gt;Пайда",tblMontly[Қар])</totalsRowFormula>
    </tableColumn>
    <tableColumn id="14" name="Жел" totalsRowFunction="custom" dataDxfId="29" totalsRowDxfId="28">
      <totalsRowFormula>SUMIF(tblMontly[Түрі],"Пайда",tblMontly[Жел])-SUMIF(tblMontly[Түрі],"&lt;&gt;Пайда",tblMontly[Жел])</totalsRowFormula>
    </tableColumn>
    <tableColumn id="15" name="Барлығы" totalsRowFunction="custom" dataDxfId="27" totalsRowDxfId="26">
      <calculatedColumnFormula>SUM(tblMontly[[#This Row],[Қаң]:[Жел]])</calculatedColumnFormula>
      <totalsRowFormula>SUMIF(tblMontly[Түрі],"Пайда",tblMontly[Барлығы])-SUMIF(tblMontly[Түрі],"&lt;&gt;Пайда",tblMontly[Барлығы])</totalsRowFormula>
    </tableColumn>
  </tableColumns>
  <tableStyleInfo name="Personal Cash Flow Statement 2" showFirstColumn="0" showLastColumn="0" showRowStripes="1" showColumnStripes="0"/>
</table>
</file>

<file path=xl/tables/table6.xml><?xml version="1.0" encoding="utf-8"?>
<table xmlns="http://schemas.openxmlformats.org/spreadsheetml/2006/main" id="12" name="tblDaily" displayName="tblDaily" ref="B12:F56" totalsRowCount="1">
  <autoFilter ref="B12:F55"/>
  <tableColumns count="5">
    <tableColumn id="1" name="Түрі" totalsRowLabel="Барлығы" dataDxfId="15" totalsRowDxfId="14"/>
    <tableColumn id="2" name="Сипаттама"/>
    <tableColumn id="3" name="Күнделікті" totalsRowFunction="custom" dataDxfId="13" totalsRowDxfId="12">
      <totalsRowFormula>SUMIF(tblDaily[Түрі],"Пайда",tblDaily[Күнделікті])-SUMIF(tblDaily[Түрі],"&lt;&gt;Пайда",tblDaily[Күнделікті])</totalsRowFormula>
    </tableColumn>
    <tableColumn id="14" name="Ай сайынғы" totalsRowFunction="custom" dataDxfId="11" totalsRowDxfId="10">
      <calculatedColumnFormula>tblDaily[[#This Row],[Жыл сайынғы]]/12</calculatedColumnFormula>
      <totalsRowFormula>SUMIF(tblDaily[Түрі],"Пайда",tblDaily[Ай сайынғы])-SUMIF(tblDaily[Түрі],"&lt;&gt;Пайда",tblDaily[Ай сайынғы])</totalsRowFormula>
    </tableColumn>
    <tableColumn id="15" name="Жыл сайынғы" totalsRowFunction="custom" dataDxfId="9" totalsRowDxfId="8">
      <calculatedColumnFormula>tblDaily[[#This Row],[Күнделікті]]*365</calculatedColumnFormula>
      <totalsRowFormula>SUMIF(tblDaily[Түрі],"Пайда",tblDaily[Жыл сайынғы])-SUMIF(tblDaily[Түрі],"&lt;&gt;Пайда",tblDaily[Жыл сайынғы])</totalsRowFormula>
    </tableColumn>
  </tableColumns>
  <tableStyleInfo name="Personal Cash Flow Statement 4" showFirstColumn="0" showLastColumn="0" showRowStripes="1" showColumnStripes="0"/>
</table>
</file>

<file path=xl/tables/table7.xml><?xml version="1.0" encoding="utf-8"?>
<table xmlns="http://schemas.openxmlformats.org/spreadsheetml/2006/main" id="5" name="tblDailyTotals" displayName="tblDailyTotals" ref="B5:F9" totalsRowShown="0" headerRowDxfId="7" dataDxfId="6" tableBorderDxfId="5">
  <autoFilter ref="B5:F9">
    <filterColumn colId="0" hiddenButton="1"/>
    <filterColumn colId="1" hiddenButton="1"/>
    <filterColumn colId="2" hiddenButton="1"/>
    <filterColumn colId="3" hiddenButton="1"/>
    <filterColumn colId="4" hiddenButton="1"/>
  </autoFilter>
  <tableColumns count="5">
    <tableColumn id="1" name="ҚОРЫТЫНДЫ" dataDxfId="4"/>
    <tableColumn id="2" name=" " dataDxfId="3"/>
    <tableColumn id="3" name="Күнделікті" dataDxfId="2">
      <calculatedColumnFormula>SUMIF(tblDaily[Түрі],tblDailyTotals[[#This Row],[ҚОРЫТЫНДЫ]],tblDaily[Күнделікті])</calculatedColumnFormula>
    </tableColumn>
    <tableColumn id="4" name="Ай сайынғы" dataDxfId="1">
      <calculatedColumnFormula>SUMIF(tblDaily[Түрі],tblDailyTotals[[#This Row],[ҚОРЫТЫНДЫ]],tblDaily[Ай сайынғы])</calculatedColumnFormula>
    </tableColumn>
    <tableColumn id="5" name="Жыл сайынғы" dataDxfId="0">
      <calculatedColumnFormula>SUMIF(tblDaily[Түрі],tblDailyTotals[[#This Row],[ҚОРЫТЫНДЫ]],tblDaily[Жыл сайынғы])</calculatedColumnFormula>
    </tableColumn>
  </tableColumns>
  <tableStyleInfo name="Personal Cash Flow Statement 3" showFirstColumn="0" showLastColumn="0" showRowStripes="1" showColumnStripes="0"/>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pageSetUpPr autoPageBreaks="0"/>
  </sheetPr>
  <dimension ref="B1:F11"/>
  <sheetViews>
    <sheetView showGridLines="0" tabSelected="1" zoomScaleNormal="100" workbookViewId="0"/>
  </sheetViews>
  <sheetFormatPr defaultRowHeight="12.75" x14ac:dyDescent="0.2"/>
  <cols>
    <col min="1" max="1" width="10" customWidth="1"/>
    <col min="2" max="2" width="34" customWidth="1"/>
    <col min="3" max="3" width="3.5703125" customWidth="1"/>
    <col min="4" max="4" width="34" customWidth="1"/>
    <col min="5" max="5" width="3.5703125" customWidth="1"/>
    <col min="6" max="6" width="34" customWidth="1"/>
    <col min="11" max="11" width="1.7109375" customWidth="1"/>
  </cols>
  <sheetData>
    <row r="1" spans="2:6" s="5" customFormat="1" ht="39" customHeight="1" x14ac:dyDescent="0.2"/>
    <row r="4" spans="2:6" ht="46.5" x14ac:dyDescent="0.7">
      <c r="B4" s="13" t="s">
        <v>50</v>
      </c>
    </row>
    <row r="5" spans="2:6" ht="27.95" customHeight="1" x14ac:dyDescent="0.2">
      <c r="B5" s="50" t="s">
        <v>78</v>
      </c>
      <c r="C5" s="50"/>
      <c r="D5" s="50"/>
      <c r="E5" s="50"/>
      <c r="F5" s="50"/>
    </row>
    <row r="6" spans="2:6" ht="27.95" customHeight="1" x14ac:dyDescent="0.2">
      <c r="B6" s="50"/>
      <c r="C6" s="50"/>
      <c r="D6" s="50"/>
      <c r="E6" s="50"/>
      <c r="F6" s="50"/>
    </row>
    <row r="7" spans="2:6" ht="13.5" thickBot="1" x14ac:dyDescent="0.25">
      <c r="B7" s="6"/>
      <c r="C7" s="6"/>
      <c r="D7" s="6"/>
      <c r="E7" s="6"/>
      <c r="F7" s="6"/>
    </row>
    <row r="9" spans="2:6" ht="33.75" customHeight="1" x14ac:dyDescent="0.2">
      <c r="B9" s="2" t="s">
        <v>51</v>
      </c>
      <c r="D9" s="3" t="s">
        <v>52</v>
      </c>
      <c r="F9" s="1" t="s">
        <v>53</v>
      </c>
    </row>
    <row r="10" spans="2:6" ht="9.75" customHeight="1" x14ac:dyDescent="0.2">
      <c r="B10" s="18"/>
      <c r="D10" s="20"/>
      <c r="F10" s="4"/>
    </row>
    <row r="11" spans="2:6" ht="150" customHeight="1" x14ac:dyDescent="0.2">
      <c r="B11" s="19" t="s">
        <v>76</v>
      </c>
      <c r="D11" s="21" t="s">
        <v>77</v>
      </c>
      <c r="F11" s="7" t="s">
        <v>75</v>
      </c>
    </row>
  </sheetData>
  <mergeCells count="1">
    <mergeCell ref="B5:F6"/>
  </mergeCells>
  <pageMargins left="0.4" right="0.4" top="0.4" bottom="0.4" header="0.5" footer="0.5"/>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B1:P49"/>
  <sheetViews>
    <sheetView showGridLines="0" zoomScaleNormal="100" workbookViewId="0"/>
  </sheetViews>
  <sheetFormatPr defaultRowHeight="16.5" customHeight="1" x14ac:dyDescent="0.2"/>
  <cols>
    <col min="1" max="1" width="2.7109375" customWidth="1"/>
    <col min="2" max="2" width="21.5703125" customWidth="1"/>
    <col min="3" max="3" width="12.140625" bestFit="1" customWidth="1"/>
    <col min="4" max="4" width="10.85546875" customWidth="1"/>
    <col min="5" max="5" width="2.7109375" customWidth="1"/>
    <col min="6" max="6" width="35.7109375" customWidth="1"/>
    <col min="7" max="7" width="12.140625" bestFit="1" customWidth="1"/>
    <col min="8" max="8" width="10.85546875" customWidth="1"/>
    <col min="9" max="9" width="2.7109375" customWidth="1"/>
    <col min="10" max="10" width="25.5703125" customWidth="1"/>
    <col min="11" max="11" width="12.5703125" customWidth="1"/>
    <col min="12" max="12" width="10.85546875" customWidth="1"/>
    <col min="13" max="13" width="2.7109375" customWidth="1"/>
    <col min="14" max="14" width="28.5703125" customWidth="1"/>
    <col min="15" max="15" width="12.5703125" customWidth="1"/>
    <col min="16" max="16" width="10.85546875" customWidth="1"/>
    <col min="17" max="17" width="2.7109375" customWidth="1"/>
  </cols>
  <sheetData>
    <row r="1" spans="2:16" s="5" customFormat="1" ht="39" customHeight="1" x14ac:dyDescent="0.2">
      <c r="B1" s="8" t="s">
        <v>50</v>
      </c>
    </row>
    <row r="2" spans="2:16" ht="31.5" customHeight="1" x14ac:dyDescent="0.2">
      <c r="B2" s="55">
        <f>AnnualCashFlowToDate</f>
        <v>39750</v>
      </c>
      <c r="C2" s="55"/>
      <c r="D2" s="55"/>
      <c r="E2" s="55"/>
      <c r="F2" s="55"/>
      <c r="H2" s="52" t="s">
        <v>58</v>
      </c>
      <c r="I2" s="53"/>
      <c r="J2" s="53"/>
      <c r="K2" s="53"/>
      <c r="L2" s="53"/>
      <c r="M2" s="53"/>
      <c r="N2" s="53"/>
      <c r="O2" s="53"/>
      <c r="P2" s="53"/>
    </row>
    <row r="5" spans="2:16" ht="25.5" customHeight="1" x14ac:dyDescent="0.2">
      <c r="B5" s="14" t="s">
        <v>54</v>
      </c>
      <c r="C5" s="9"/>
      <c r="D5" s="9"/>
      <c r="F5" s="14" t="s">
        <v>55</v>
      </c>
      <c r="G5" s="9"/>
      <c r="H5" s="9"/>
      <c r="J5" s="14" t="s">
        <v>56</v>
      </c>
      <c r="K5" s="9"/>
      <c r="L5" s="9"/>
      <c r="N5" s="14" t="s">
        <v>57</v>
      </c>
      <c r="O5" s="9"/>
      <c r="P5" s="9"/>
    </row>
    <row r="6" spans="2:16" ht="16.5" customHeight="1" x14ac:dyDescent="0.2">
      <c r="B6" s="28" t="s">
        <v>59</v>
      </c>
      <c r="C6" s="51">
        <f>Кіріскестесі[[#Totals],[Жыл сайынғы]]</f>
        <v>125000</v>
      </c>
      <c r="D6" s="51"/>
      <c r="F6" s="28" t="s">
        <v>59</v>
      </c>
      <c r="G6" s="51">
        <f>Шығындаркестесі[[#Totals],[Жыл сайынғы]]</f>
        <v>49000</v>
      </c>
      <c r="H6" s="51"/>
      <c r="J6" s="28" t="s">
        <v>59</v>
      </c>
      <c r="K6" s="51">
        <f>tblDiscretionary[[#Totals],[Жыл сайынғы]]</f>
        <v>13250</v>
      </c>
      <c r="L6" s="51"/>
      <c r="N6" s="15" t="s">
        <v>59</v>
      </c>
      <c r="O6" s="51">
        <f>tblSavings[[#Totals],[Жыл сайынғы]]</f>
        <v>23000</v>
      </c>
      <c r="P6" s="51"/>
    </row>
    <row r="7" spans="2:16" ht="16.5" customHeight="1" x14ac:dyDescent="0.2">
      <c r="B7" s="12"/>
      <c r="C7" s="12"/>
      <c r="D7" s="12"/>
      <c r="F7" s="12"/>
      <c r="G7" s="12"/>
      <c r="H7" s="12"/>
      <c r="J7" s="12"/>
      <c r="K7" s="12"/>
      <c r="L7" s="12"/>
      <c r="N7" s="12"/>
      <c r="O7" s="12"/>
      <c r="P7" s="12"/>
    </row>
    <row r="8" spans="2:16" ht="16.5" customHeight="1" x14ac:dyDescent="0.2">
      <c r="B8" s="12"/>
      <c r="C8" s="12"/>
      <c r="D8" s="12"/>
      <c r="F8" s="12"/>
      <c r="G8" s="12"/>
      <c r="H8" s="12"/>
      <c r="J8" s="12"/>
      <c r="K8" s="12"/>
      <c r="L8" s="12"/>
      <c r="N8" s="12"/>
      <c r="O8" s="12"/>
      <c r="P8" s="12"/>
    </row>
    <row r="9" spans="2:16" ht="16.5" customHeight="1" x14ac:dyDescent="0.2">
      <c r="B9" s="12"/>
      <c r="C9" s="12"/>
      <c r="D9" s="12"/>
      <c r="F9" s="12"/>
      <c r="G9" s="12"/>
      <c r="H9" s="12"/>
      <c r="J9" s="12"/>
      <c r="K9" s="12"/>
      <c r="L9" s="12"/>
      <c r="N9" s="12"/>
      <c r="O9" s="12"/>
      <c r="P9" s="12"/>
    </row>
    <row r="10" spans="2:16" ht="16.5" customHeight="1" x14ac:dyDescent="0.2">
      <c r="B10" s="12"/>
      <c r="C10" s="12"/>
      <c r="D10" s="12"/>
      <c r="F10" s="12"/>
      <c r="G10" s="12"/>
      <c r="H10" s="12"/>
      <c r="J10" s="12"/>
      <c r="K10" s="12"/>
      <c r="L10" s="12"/>
      <c r="N10" s="12"/>
      <c r="O10" s="12"/>
      <c r="P10" s="12"/>
    </row>
    <row r="11" spans="2:16" ht="16.5" customHeight="1" x14ac:dyDescent="0.2">
      <c r="B11" s="12"/>
      <c r="C11" s="12"/>
      <c r="D11" s="12"/>
      <c r="F11" s="12"/>
      <c r="G11" s="12"/>
      <c r="H11" s="12"/>
      <c r="J11" s="12"/>
      <c r="K11" s="12"/>
      <c r="L11" s="12"/>
      <c r="N11" s="12"/>
      <c r="O11" s="12"/>
      <c r="P11" s="12"/>
    </row>
    <row r="12" spans="2:16" ht="16.5" customHeight="1" x14ac:dyDescent="0.2">
      <c r="B12" s="12"/>
      <c r="C12" s="12"/>
      <c r="D12" s="12"/>
      <c r="F12" s="12"/>
      <c r="G12" s="12"/>
      <c r="H12" s="12"/>
      <c r="J12" s="12"/>
      <c r="K12" s="12"/>
      <c r="L12" s="12"/>
      <c r="N12" s="12"/>
      <c r="O12" s="12"/>
      <c r="P12" s="12"/>
    </row>
    <row r="13" spans="2:16" ht="16.5" customHeight="1" x14ac:dyDescent="0.2">
      <c r="B13" s="12"/>
      <c r="C13" s="12"/>
      <c r="D13" s="12"/>
      <c r="F13" s="12"/>
      <c r="G13" s="12"/>
      <c r="H13" s="12"/>
      <c r="J13" s="12"/>
      <c r="K13" s="12"/>
      <c r="L13" s="12"/>
      <c r="N13" s="12"/>
      <c r="O13" s="12"/>
      <c r="P13" s="12"/>
    </row>
    <row r="14" spans="2:16" ht="16.5" customHeight="1" x14ac:dyDescent="0.2">
      <c r="B14" s="12"/>
      <c r="C14" s="12"/>
      <c r="D14" s="12"/>
      <c r="F14" s="12"/>
      <c r="G14" s="12"/>
      <c r="H14" s="12"/>
      <c r="J14" s="12"/>
      <c r="K14" s="12"/>
      <c r="L14" s="12"/>
      <c r="N14" s="12"/>
      <c r="O14" s="12"/>
      <c r="P14" s="12"/>
    </row>
    <row r="15" spans="2:16" ht="16.5" customHeight="1" x14ac:dyDescent="0.2">
      <c r="B15" s="12"/>
      <c r="C15" s="12"/>
      <c r="D15" s="12"/>
      <c r="F15" s="12"/>
      <c r="G15" s="12"/>
      <c r="H15" s="12"/>
      <c r="J15" s="12"/>
      <c r="K15" s="12"/>
      <c r="L15" s="12"/>
      <c r="N15" s="12"/>
      <c r="O15" s="12"/>
      <c r="P15" s="12"/>
    </row>
    <row r="16" spans="2:16" ht="16.5" customHeight="1" x14ac:dyDescent="0.2">
      <c r="B16" s="12"/>
      <c r="C16" s="12"/>
      <c r="D16" s="12"/>
      <c r="F16" s="12"/>
      <c r="G16" s="12"/>
      <c r="H16" s="12"/>
      <c r="J16" s="12"/>
      <c r="K16" s="12"/>
      <c r="L16" s="12"/>
      <c r="N16" s="12"/>
      <c r="O16" s="12"/>
      <c r="P16" s="12"/>
    </row>
    <row r="17" spans="2:16" ht="16.5" customHeight="1" x14ac:dyDescent="0.2">
      <c r="B17" s="54"/>
      <c r="C17" s="54"/>
      <c r="D17" s="54"/>
      <c r="F17" s="12"/>
      <c r="G17" s="12"/>
      <c r="H17" s="12"/>
      <c r="J17" s="12"/>
      <c r="K17" s="12"/>
      <c r="L17" s="12"/>
      <c r="N17" s="12"/>
      <c r="O17" s="12"/>
      <c r="P17" s="12"/>
    </row>
    <row r="18" spans="2:16" ht="16.5" customHeight="1" x14ac:dyDescent="0.2">
      <c r="B18" s="12"/>
      <c r="C18" s="12"/>
      <c r="D18" s="12"/>
      <c r="F18" s="12"/>
      <c r="G18" s="12"/>
      <c r="H18" s="12"/>
      <c r="J18" s="12"/>
      <c r="K18" s="12"/>
      <c r="L18" s="12"/>
      <c r="N18" s="12"/>
      <c r="O18" s="12"/>
      <c r="P18" s="12"/>
    </row>
    <row r="19" spans="2:16" ht="16.5" customHeight="1" x14ac:dyDescent="0.2">
      <c r="B19" s="12"/>
      <c r="C19" s="12"/>
      <c r="D19" s="12"/>
      <c r="F19" s="12"/>
      <c r="G19" s="12"/>
      <c r="H19" s="12"/>
      <c r="J19" s="12"/>
      <c r="K19" s="12"/>
      <c r="L19" s="12"/>
      <c r="N19" s="12"/>
      <c r="O19" s="12"/>
      <c r="P19" s="12"/>
    </row>
    <row r="20" spans="2:16" ht="16.5" customHeight="1" x14ac:dyDescent="0.2">
      <c r="B20" s="12"/>
      <c r="C20" s="12"/>
      <c r="D20" s="12"/>
      <c r="F20" s="12"/>
      <c r="G20" s="12"/>
      <c r="H20" s="12"/>
      <c r="J20" s="12"/>
      <c r="K20" s="12"/>
      <c r="L20" s="12"/>
      <c r="N20" s="12"/>
      <c r="O20" s="12"/>
      <c r="P20" s="12"/>
    </row>
    <row r="21" spans="2:16" ht="16.5" customHeight="1" x14ac:dyDescent="0.2">
      <c r="B21" s="12"/>
      <c r="C21" s="12"/>
      <c r="D21" s="12"/>
      <c r="F21" s="12"/>
      <c r="G21" s="12"/>
      <c r="H21" s="12"/>
      <c r="J21" s="12"/>
      <c r="K21" s="12"/>
      <c r="L21" s="12"/>
      <c r="N21" s="12"/>
      <c r="O21" s="12"/>
      <c r="P21" s="12"/>
    </row>
    <row r="22" spans="2:16" ht="16.5" customHeight="1" x14ac:dyDescent="0.2">
      <c r="B22" s="12"/>
      <c r="C22" s="12"/>
      <c r="D22" s="12"/>
      <c r="F22" s="12"/>
      <c r="G22" s="12"/>
      <c r="H22" s="12"/>
      <c r="J22" s="12"/>
      <c r="K22" s="12"/>
      <c r="L22" s="12"/>
      <c r="N22" s="12"/>
      <c r="O22" s="12"/>
      <c r="P22" s="12"/>
    </row>
    <row r="23" spans="2:16" ht="16.5" customHeight="1" x14ac:dyDescent="0.2">
      <c r="B23" s="12"/>
      <c r="C23" s="12"/>
      <c r="D23" s="12"/>
      <c r="F23" s="12"/>
      <c r="G23" s="12"/>
      <c r="H23" s="12"/>
      <c r="J23" s="12"/>
      <c r="K23" s="12"/>
      <c r="L23" s="12"/>
      <c r="N23" s="12"/>
      <c r="O23" s="12"/>
      <c r="P23" s="12"/>
    </row>
    <row r="24" spans="2:16" ht="16.5" customHeight="1" x14ac:dyDescent="0.2">
      <c r="B24" s="12"/>
      <c r="C24" s="12"/>
      <c r="D24" s="12"/>
      <c r="F24" s="12"/>
      <c r="G24" s="12"/>
      <c r="H24" s="12"/>
      <c r="J24" s="12"/>
      <c r="K24" s="12"/>
      <c r="L24" s="12"/>
      <c r="N24" s="12"/>
      <c r="O24" s="12"/>
      <c r="P24" s="12"/>
    </row>
    <row r="25" spans="2:16" ht="16.5" customHeight="1" x14ac:dyDescent="0.2">
      <c r="B25" s="12"/>
      <c r="C25" s="12"/>
      <c r="D25" s="12"/>
      <c r="F25" s="12"/>
      <c r="G25" s="12"/>
      <c r="H25" s="12"/>
      <c r="J25" s="12"/>
      <c r="K25" s="12"/>
      <c r="L25" s="12"/>
      <c r="N25" s="12"/>
      <c r="O25" s="12"/>
      <c r="P25" s="12"/>
    </row>
    <row r="26" spans="2:16" ht="16.5" customHeight="1" x14ac:dyDescent="0.2">
      <c r="B26" s="28" t="s">
        <v>61</v>
      </c>
      <c r="C26" s="51">
        <f>Кіріскестесі[[#Totals],[Ай сайынғы]]</f>
        <v>10416.666666666668</v>
      </c>
      <c r="D26" s="51"/>
      <c r="F26" s="28" t="s">
        <v>61</v>
      </c>
      <c r="G26" s="51">
        <f>Шығындаркестесі[[#Totals],[Ай сайынғы]]</f>
        <v>4083.333333333333</v>
      </c>
      <c r="H26" s="51"/>
      <c r="J26" s="28" t="s">
        <v>61</v>
      </c>
      <c r="K26" s="51">
        <f>tblDiscretionary[[#Totals],[Ай сайынғы]]</f>
        <v>1104.1666666666665</v>
      </c>
      <c r="L26" s="51"/>
      <c r="N26" s="10" t="s">
        <v>61</v>
      </c>
      <c r="O26" s="51">
        <f>tblSavings[[#Totals],[Ай сайынғы]]</f>
        <v>1916.6666666666667</v>
      </c>
      <c r="P26" s="51"/>
    </row>
    <row r="27" spans="2:16" ht="16.5" customHeight="1" x14ac:dyDescent="0.2">
      <c r="B27" s="25"/>
      <c r="C27" s="26"/>
      <c r="D27" s="26"/>
      <c r="E27" s="27"/>
      <c r="F27" s="25"/>
      <c r="G27" s="26"/>
      <c r="H27" s="26"/>
      <c r="I27" s="27"/>
      <c r="J27" s="25"/>
      <c r="K27" s="26"/>
      <c r="L27" s="26"/>
      <c r="N27" s="10"/>
      <c r="O27" s="11"/>
      <c r="P27" s="11"/>
    </row>
    <row r="29" spans="2:16" ht="16.5" customHeight="1" x14ac:dyDescent="0.2">
      <c r="B29" s="23" t="s">
        <v>0</v>
      </c>
      <c r="C29" s="16" t="s">
        <v>81</v>
      </c>
      <c r="D29" s="16" t="s">
        <v>79</v>
      </c>
      <c r="F29" s="23" t="s">
        <v>7</v>
      </c>
      <c r="G29" s="16" t="s">
        <v>81</v>
      </c>
      <c r="H29" s="16" t="s">
        <v>79</v>
      </c>
      <c r="J29" s="23" t="s">
        <v>27</v>
      </c>
      <c r="K29" s="16" t="s">
        <v>81</v>
      </c>
      <c r="L29" s="16" t="s">
        <v>79</v>
      </c>
      <c r="N29" s="23" t="s">
        <v>38</v>
      </c>
      <c r="O29" s="16" t="s">
        <v>81</v>
      </c>
      <c r="P29" s="16" t="s">
        <v>79</v>
      </c>
    </row>
    <row r="30" spans="2:16" ht="16.5" customHeight="1" x14ac:dyDescent="0.2">
      <c r="B30" s="24" t="s">
        <v>1</v>
      </c>
      <c r="C30" s="44">
        <v>90000</v>
      </c>
      <c r="D30" s="44">
        <f>Кіріскестесі[[#This Row],[Жыл сайынғы]]/12</f>
        <v>7500</v>
      </c>
      <c r="F30" s="24" t="s">
        <v>8</v>
      </c>
      <c r="G30" s="44">
        <v>15000</v>
      </c>
      <c r="H30" s="44">
        <f>Шығындаркестесі[[#This Row],[Жыл сайынғы]]/12</f>
        <v>1250</v>
      </c>
      <c r="J30" s="24" t="s">
        <v>28</v>
      </c>
      <c r="K30" s="44">
        <v>1200</v>
      </c>
      <c r="L30" s="44">
        <f>tblDiscretionary[[#This Row],[Жыл сайынғы]]/12</f>
        <v>100</v>
      </c>
      <c r="N30" s="24" t="s">
        <v>39</v>
      </c>
      <c r="O30" s="44">
        <v>5000</v>
      </c>
      <c r="P30" s="44">
        <f>tblSavings[[#This Row],[Жыл сайынғы]]/12</f>
        <v>416.66666666666669</v>
      </c>
    </row>
    <row r="31" spans="2:16" ht="16.5" customHeight="1" x14ac:dyDescent="0.2">
      <c r="B31" s="24" t="s">
        <v>2</v>
      </c>
      <c r="C31" s="44">
        <v>5000</v>
      </c>
      <c r="D31" s="44">
        <f>Кіріскестесі[[#This Row],[Жыл сайынғы]]/12</f>
        <v>416.66666666666669</v>
      </c>
      <c r="F31" s="24" t="s">
        <v>9</v>
      </c>
      <c r="G31" s="44">
        <v>2500</v>
      </c>
      <c r="H31" s="44">
        <f>Шығындаркестесі[[#This Row],[Жыл сайынғы]]/12</f>
        <v>208.33333333333334</v>
      </c>
      <c r="J31" s="24" t="s">
        <v>29</v>
      </c>
      <c r="K31" s="44">
        <v>600</v>
      </c>
      <c r="L31" s="44">
        <f>tblDiscretionary[[#This Row],[Жыл сайынғы]]/12</f>
        <v>50</v>
      </c>
      <c r="N31" s="24" t="s">
        <v>40</v>
      </c>
      <c r="O31" s="44">
        <v>12000</v>
      </c>
      <c r="P31" s="44">
        <f>tblSavings[[#This Row],[Жыл сайынғы]]/12</f>
        <v>1000</v>
      </c>
    </row>
    <row r="32" spans="2:16" ht="16.5" customHeight="1" x14ac:dyDescent="0.2">
      <c r="B32" s="24" t="s">
        <v>4</v>
      </c>
      <c r="C32" s="44">
        <v>30000</v>
      </c>
      <c r="D32" s="44">
        <f>Кіріскестесі[[#This Row],[Жыл сайынғы]]/12</f>
        <v>2500</v>
      </c>
      <c r="F32" s="24" t="s">
        <v>10</v>
      </c>
      <c r="G32" s="44">
        <v>200</v>
      </c>
      <c r="H32" s="44">
        <f>Шығындаркестесі[[#This Row],[Жыл сайынғы]]/12</f>
        <v>16.666666666666668</v>
      </c>
      <c r="J32" s="24" t="s">
        <v>30</v>
      </c>
      <c r="K32" s="44">
        <v>2250</v>
      </c>
      <c r="L32" s="44">
        <f>tblDiscretionary[[#This Row],[Жыл сайынғы]]/12</f>
        <v>187.5</v>
      </c>
      <c r="N32" s="24" t="s">
        <v>60</v>
      </c>
      <c r="O32" s="44">
        <v>6000</v>
      </c>
      <c r="P32" s="44">
        <f>tblSavings[[#This Row],[Жыл сайынғы]]/12</f>
        <v>500</v>
      </c>
    </row>
    <row r="33" spans="2:16" ht="16.5" customHeight="1" x14ac:dyDescent="0.2">
      <c r="B33" s="24" t="s">
        <v>3</v>
      </c>
      <c r="C33" s="44"/>
      <c r="D33" s="44">
        <f>Кіріскестесі[[#This Row],[Жыл сайынғы]]/12</f>
        <v>0</v>
      </c>
      <c r="F33" s="24" t="s">
        <v>12</v>
      </c>
      <c r="G33" s="44">
        <v>4000</v>
      </c>
      <c r="H33" s="44">
        <f>Шығындаркестесі[[#This Row],[Жыл сайынғы]]/12</f>
        <v>333.33333333333331</v>
      </c>
      <c r="J33" s="24" t="s">
        <v>31</v>
      </c>
      <c r="K33" s="44">
        <v>1200</v>
      </c>
      <c r="L33" s="44">
        <f>tblDiscretionary[[#This Row],[Жыл сайынғы]]/12</f>
        <v>100</v>
      </c>
      <c r="N33" s="24" t="s">
        <v>4</v>
      </c>
      <c r="O33" s="44"/>
      <c r="P33" s="44">
        <f>tblSavings[[#This Row],[Жыл сайынғы]]/12</f>
        <v>0</v>
      </c>
    </row>
    <row r="34" spans="2:16" ht="16.5" customHeight="1" x14ac:dyDescent="0.2">
      <c r="B34" s="24" t="s">
        <v>25</v>
      </c>
      <c r="C34" s="44"/>
      <c r="D34" s="44">
        <f>Кіріскестесі[[#This Row],[Жыл сайынғы]]/12</f>
        <v>0</v>
      </c>
      <c r="F34" s="24" t="s">
        <v>11</v>
      </c>
      <c r="G34" s="44">
        <v>15000</v>
      </c>
      <c r="H34" s="44">
        <f>Шығындаркестесі[[#This Row],[Жыл сайынғы]]/12</f>
        <v>1250</v>
      </c>
      <c r="J34" s="24" t="s">
        <v>32</v>
      </c>
      <c r="K34" s="44">
        <v>300</v>
      </c>
      <c r="L34" s="44">
        <f>tblDiscretionary[[#This Row],[Жыл сайынғы]]/12</f>
        <v>25</v>
      </c>
      <c r="N34" s="24" t="s">
        <v>3</v>
      </c>
      <c r="O34" s="44"/>
      <c r="P34" s="44">
        <f>tblSavings[[#This Row],[Жыл сайынғы]]/12</f>
        <v>0</v>
      </c>
    </row>
    <row r="35" spans="2:16" ht="16.5" customHeight="1" x14ac:dyDescent="0.2">
      <c r="B35" s="24" t="s">
        <v>37</v>
      </c>
      <c r="C35" s="44"/>
      <c r="D35" s="44">
        <f>Кіріскестесі[[#This Row],[Жыл сайынғы]]/12</f>
        <v>0</v>
      </c>
      <c r="F35" s="24" t="s">
        <v>13</v>
      </c>
      <c r="G35" s="44">
        <v>250</v>
      </c>
      <c r="H35" s="44">
        <f>Шығындаркестесі[[#This Row],[Жыл сайынғы]]/12</f>
        <v>20.833333333333332</v>
      </c>
      <c r="J35" s="24" t="s">
        <v>33</v>
      </c>
      <c r="K35" s="44">
        <v>2000</v>
      </c>
      <c r="L35" s="44">
        <f>tblDiscretionary[[#This Row],[Жыл сайынғы]]/12</f>
        <v>166.66666666666666</v>
      </c>
      <c r="N35" s="35" t="s">
        <v>26</v>
      </c>
      <c r="O35" s="45">
        <f>SUBTOTAL(109,tblSavings[Жыл сайынғы])</f>
        <v>23000</v>
      </c>
      <c r="P35" s="45">
        <f>SUBTOTAL(109,tblSavings[Ай сайынғы])</f>
        <v>1916.6666666666667</v>
      </c>
    </row>
    <row r="36" spans="2:16" ht="16.5" customHeight="1" x14ac:dyDescent="0.2">
      <c r="B36" s="35" t="s">
        <v>26</v>
      </c>
      <c r="C36" s="45">
        <f>SUBTOTAL(109,Кіріскестесі[Жыл сайынғы])</f>
        <v>125000</v>
      </c>
      <c r="D36" s="45">
        <f>SUBTOTAL(109,Кіріскестесі[Ай сайынғы])</f>
        <v>10416.666666666668</v>
      </c>
      <c r="F36" s="24" t="s">
        <v>14</v>
      </c>
      <c r="G36" s="44">
        <v>1200</v>
      </c>
      <c r="H36" s="44">
        <f>Шығындаркестесі[[#This Row],[Жыл сайынғы]]/12</f>
        <v>100</v>
      </c>
      <c r="J36" s="24" t="s">
        <v>34</v>
      </c>
      <c r="K36" s="44">
        <v>600</v>
      </c>
      <c r="L36" s="44">
        <f>tblDiscretionary[[#This Row],[Жыл сайынғы]]/12</f>
        <v>50</v>
      </c>
      <c r="N36" s="24"/>
      <c r="O36" s="22"/>
      <c r="P36" s="22"/>
    </row>
    <row r="37" spans="2:16" ht="16.5" customHeight="1" x14ac:dyDescent="0.2">
      <c r="B37" s="24"/>
      <c r="C37" s="22"/>
      <c r="D37" s="22"/>
      <c r="F37" s="24" t="s">
        <v>15</v>
      </c>
      <c r="G37" s="44">
        <v>600</v>
      </c>
      <c r="H37" s="44">
        <f>Шығындаркестесі[[#This Row],[Жыл сайынғы]]/12</f>
        <v>50</v>
      </c>
      <c r="J37" s="24" t="s">
        <v>35</v>
      </c>
      <c r="K37" s="44">
        <v>300</v>
      </c>
      <c r="L37" s="44">
        <f>tblDiscretionary[[#This Row],[Жыл сайынғы]]/12</f>
        <v>25</v>
      </c>
    </row>
    <row r="38" spans="2:16" ht="16.5" customHeight="1" x14ac:dyDescent="0.2">
      <c r="F38" s="24" t="s">
        <v>82</v>
      </c>
      <c r="G38" s="44">
        <v>600</v>
      </c>
      <c r="H38" s="44">
        <f>Шығындаркестесі[[#This Row],[Жыл сайынғы]]/12</f>
        <v>50</v>
      </c>
      <c r="J38" s="24" t="s">
        <v>36</v>
      </c>
      <c r="K38" s="44">
        <v>4800</v>
      </c>
      <c r="L38" s="44">
        <f>tblDiscretionary[[#This Row],[Жыл сайынғы]]/12</f>
        <v>400</v>
      </c>
    </row>
    <row r="39" spans="2:16" ht="16.5" customHeight="1" x14ac:dyDescent="0.2">
      <c r="F39" s="24" t="s">
        <v>18</v>
      </c>
      <c r="G39" s="44">
        <v>150</v>
      </c>
      <c r="H39" s="44">
        <f>Шығындаркестесі[[#This Row],[Жыл сайынғы]]/12</f>
        <v>12.5</v>
      </c>
      <c r="J39" s="24" t="s">
        <v>4</v>
      </c>
      <c r="K39" s="44"/>
      <c r="L39" s="44">
        <f>tblDiscretionary[[#This Row],[Жыл сайынғы]]/12</f>
        <v>0</v>
      </c>
    </row>
    <row r="40" spans="2:16" ht="16.5" customHeight="1" x14ac:dyDescent="0.2">
      <c r="F40" s="24" t="s">
        <v>19</v>
      </c>
      <c r="G40" s="44">
        <v>600</v>
      </c>
      <c r="H40" s="44">
        <f>Шығындаркестесі[[#This Row],[Жыл сайынғы]]/12</f>
        <v>50</v>
      </c>
      <c r="J40" s="24" t="s">
        <v>3</v>
      </c>
      <c r="K40" s="44"/>
      <c r="L40" s="44">
        <f>tblDiscretionary[[#This Row],[Жыл сайынғы]]/12</f>
        <v>0</v>
      </c>
    </row>
    <row r="41" spans="2:16" ht="16.5" customHeight="1" x14ac:dyDescent="0.2">
      <c r="F41" s="24" t="s">
        <v>20</v>
      </c>
      <c r="G41" s="44">
        <v>600</v>
      </c>
      <c r="H41" s="44">
        <f>Шығындаркестесі[[#This Row],[Жыл сайынғы]]/12</f>
        <v>50</v>
      </c>
      <c r="J41" s="35" t="s">
        <v>26</v>
      </c>
      <c r="K41" s="45">
        <f>SUBTOTAL(109,tblDiscretionary[Жыл сайынғы])</f>
        <v>13250</v>
      </c>
      <c r="L41" s="45">
        <f>SUBTOTAL(109,tblDiscretionary[Ай сайынғы])</f>
        <v>1104.1666666666665</v>
      </c>
    </row>
    <row r="42" spans="2:16" ht="16.5" customHeight="1" x14ac:dyDescent="0.2">
      <c r="F42" s="24" t="s">
        <v>21</v>
      </c>
      <c r="G42" s="44">
        <v>1500</v>
      </c>
      <c r="H42" s="44">
        <f>Шығындаркестесі[[#This Row],[Жыл сайынғы]]/12</f>
        <v>125</v>
      </c>
      <c r="J42" s="24"/>
      <c r="K42" s="22"/>
      <c r="L42" s="22"/>
    </row>
    <row r="43" spans="2:16" ht="16.5" customHeight="1" x14ac:dyDescent="0.2">
      <c r="F43" s="24" t="s">
        <v>22</v>
      </c>
      <c r="G43" s="44">
        <v>5000</v>
      </c>
      <c r="H43" s="44">
        <f>Шығындаркестесі[[#This Row],[Жыл сайынғы]]/12</f>
        <v>416.66666666666669</v>
      </c>
    </row>
    <row r="44" spans="2:16" ht="16.5" customHeight="1" x14ac:dyDescent="0.2">
      <c r="F44" s="24" t="s">
        <v>23</v>
      </c>
      <c r="G44" s="44">
        <v>1200</v>
      </c>
      <c r="H44" s="44">
        <f>Шығындаркестесі[[#This Row],[Жыл сайынғы]]/12</f>
        <v>100</v>
      </c>
    </row>
    <row r="45" spans="2:16" ht="16.5" customHeight="1" x14ac:dyDescent="0.2">
      <c r="F45" s="24" t="s">
        <v>24</v>
      </c>
      <c r="G45" s="44">
        <v>600</v>
      </c>
      <c r="H45" s="44">
        <f>Шығындаркестесі[[#This Row],[Жыл сайынғы]]/12</f>
        <v>50</v>
      </c>
    </row>
    <row r="46" spans="2:16" ht="16.5" customHeight="1" x14ac:dyDescent="0.2">
      <c r="F46" s="24" t="s">
        <v>4</v>
      </c>
      <c r="G46" s="44"/>
      <c r="H46" s="44">
        <f>Шығындаркестесі[[#This Row],[Жыл сайынғы]]/12</f>
        <v>0</v>
      </c>
    </row>
    <row r="47" spans="2:16" ht="16.5" customHeight="1" x14ac:dyDescent="0.2">
      <c r="F47" s="24" t="s">
        <v>3</v>
      </c>
      <c r="G47" s="44"/>
      <c r="H47" s="44">
        <f>Шығындаркестесі[[#This Row],[Жыл сайынғы]]/12</f>
        <v>0</v>
      </c>
    </row>
    <row r="48" spans="2:16" ht="16.5" customHeight="1" x14ac:dyDescent="0.2">
      <c r="F48" s="24" t="s">
        <v>26</v>
      </c>
      <c r="G48" s="45">
        <f>SUBTOTAL(109,Шығындаркестесі[Жыл сайынғы])</f>
        <v>49000</v>
      </c>
      <c r="H48" s="45">
        <f>SUBTOTAL(109,Шығындаркестесі[Ай сайынғы])</f>
        <v>4083.333333333333</v>
      </c>
    </row>
    <row r="49" spans="6:8" ht="16.5" customHeight="1" x14ac:dyDescent="0.2">
      <c r="F49" s="24"/>
      <c r="G49" s="22"/>
      <c r="H49" s="22"/>
    </row>
  </sheetData>
  <mergeCells count="11">
    <mergeCell ref="C26:D26"/>
    <mergeCell ref="G26:H26"/>
    <mergeCell ref="K26:L26"/>
    <mergeCell ref="O26:P26"/>
    <mergeCell ref="H2:P2"/>
    <mergeCell ref="C6:D6"/>
    <mergeCell ref="G6:H6"/>
    <mergeCell ref="K6:L6"/>
    <mergeCell ref="O6:P6"/>
    <mergeCell ref="B17:D17"/>
    <mergeCell ref="B2:F2"/>
  </mergeCells>
  <pageMargins left="0.25" right="0.25" top="0.75" bottom="0.75" header="0.3" footer="0.3"/>
  <pageSetup paperSize="9" fitToHeight="0" orientation="landscape"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499984740745262"/>
    <pageSetUpPr autoPageBreaks="0" fitToPage="1"/>
  </sheetPr>
  <dimension ref="B1:Q50"/>
  <sheetViews>
    <sheetView showGridLines="0" zoomScaleNormal="100" workbookViewId="0"/>
  </sheetViews>
  <sheetFormatPr defaultRowHeight="16.5" customHeight="1" x14ac:dyDescent="0.2"/>
  <cols>
    <col min="1" max="1" width="2.7109375" customWidth="1"/>
    <col min="2" max="2" width="16.7109375" customWidth="1"/>
    <col min="3" max="3" width="31.85546875" bestFit="1" customWidth="1"/>
    <col min="4" max="15" width="9.85546875" customWidth="1"/>
    <col min="16" max="16" width="11.5703125" customWidth="1"/>
    <col min="17" max="17" width="11" customWidth="1"/>
  </cols>
  <sheetData>
    <row r="1" spans="2:17" s="5" customFormat="1" ht="39" customHeight="1" x14ac:dyDescent="0.2">
      <c r="B1" s="8" t="s">
        <v>50</v>
      </c>
    </row>
    <row r="2" spans="2:17" ht="31.5" customHeight="1" x14ac:dyDescent="0.2">
      <c r="B2" s="55">
        <f>MonthlyCashFlowToDate</f>
        <v>18380</v>
      </c>
      <c r="C2" s="55"/>
      <c r="D2" s="55"/>
      <c r="E2" s="55"/>
      <c r="F2" s="55"/>
      <c r="H2" s="52" t="s">
        <v>83</v>
      </c>
      <c r="I2" s="52"/>
      <c r="J2" s="52"/>
      <c r="K2" s="52"/>
      <c r="L2" s="52"/>
      <c r="M2" s="52"/>
      <c r="N2" s="52"/>
      <c r="O2" s="52"/>
      <c r="P2" s="52"/>
      <c r="Q2" s="52"/>
    </row>
    <row r="5" spans="2:17" ht="16.5" customHeight="1" x14ac:dyDescent="0.2">
      <c r="B5" s="29" t="s">
        <v>44</v>
      </c>
      <c r="C5" s="29" t="s">
        <v>45</v>
      </c>
      <c r="D5" s="29" t="s">
        <v>63</v>
      </c>
      <c r="E5" s="29" t="s">
        <v>64</v>
      </c>
      <c r="F5" s="29" t="s">
        <v>65</v>
      </c>
      <c r="G5" s="29" t="s">
        <v>66</v>
      </c>
      <c r="H5" s="29" t="s">
        <v>46</v>
      </c>
      <c r="I5" s="29" t="s">
        <v>67</v>
      </c>
      <c r="J5" s="29" t="s">
        <v>68</v>
      </c>
      <c r="K5" s="29" t="s">
        <v>69</v>
      </c>
      <c r="L5" s="29" t="s">
        <v>70</v>
      </c>
      <c r="M5" s="29" t="s">
        <v>71</v>
      </c>
      <c r="N5" s="29" t="s">
        <v>72</v>
      </c>
      <c r="O5" s="29" t="s">
        <v>73</v>
      </c>
      <c r="P5" s="29" t="s">
        <v>26</v>
      </c>
    </row>
    <row r="6" spans="2:17" ht="16.5" customHeight="1" x14ac:dyDescent="0.2">
      <c r="B6" s="29" t="s">
        <v>0</v>
      </c>
      <c r="C6" s="29" t="s">
        <v>1</v>
      </c>
      <c r="D6" s="46">
        <v>7500</v>
      </c>
      <c r="E6" s="46">
        <v>7500</v>
      </c>
      <c r="F6" s="46">
        <v>7500</v>
      </c>
      <c r="G6" s="46">
        <v>7500</v>
      </c>
      <c r="H6" s="46">
        <v>7500</v>
      </c>
      <c r="I6" s="46">
        <v>7500</v>
      </c>
      <c r="J6" s="46"/>
      <c r="K6" s="46"/>
      <c r="L6" s="46"/>
      <c r="M6" s="46"/>
      <c r="N6" s="46"/>
      <c r="O6" s="46"/>
      <c r="P6" s="46">
        <f>SUM(tblMontly[[#This Row],[Қаң]:[Жел]])</f>
        <v>45000</v>
      </c>
    </row>
    <row r="7" spans="2:17" ht="16.5" customHeight="1" x14ac:dyDescent="0.2">
      <c r="B7" s="29" t="s">
        <v>0</v>
      </c>
      <c r="C7" s="29" t="s">
        <v>2</v>
      </c>
      <c r="D7" s="46">
        <v>400</v>
      </c>
      <c r="E7" s="46">
        <v>400</v>
      </c>
      <c r="F7" s="46">
        <v>500</v>
      </c>
      <c r="G7" s="46">
        <v>200</v>
      </c>
      <c r="H7" s="46">
        <v>0</v>
      </c>
      <c r="I7" s="46">
        <v>600</v>
      </c>
      <c r="J7" s="46"/>
      <c r="K7" s="46"/>
      <c r="L7" s="46"/>
      <c r="M7" s="46"/>
      <c r="N7" s="46"/>
      <c r="O7" s="46"/>
      <c r="P7" s="46">
        <f>SUM(tblMontly[[#This Row],[Қаң]:[Жел]])</f>
        <v>2100</v>
      </c>
    </row>
    <row r="8" spans="2:17" ht="16.5" customHeight="1" x14ac:dyDescent="0.2">
      <c r="B8" s="29" t="s">
        <v>0</v>
      </c>
      <c r="C8" s="29" t="s">
        <v>4</v>
      </c>
      <c r="D8" s="46">
        <v>2500</v>
      </c>
      <c r="E8" s="46">
        <v>2500</v>
      </c>
      <c r="F8" s="46">
        <v>2500</v>
      </c>
      <c r="G8" s="46">
        <v>2500</v>
      </c>
      <c r="H8" s="46">
        <v>2500</v>
      </c>
      <c r="I8" s="46">
        <v>2500</v>
      </c>
      <c r="J8" s="46"/>
      <c r="K8" s="46"/>
      <c r="L8" s="46"/>
      <c r="M8" s="46"/>
      <c r="N8" s="46"/>
      <c r="O8" s="46"/>
      <c r="P8" s="46">
        <f>SUM(tblMontly[[#This Row],[Қаң]:[Жел]])</f>
        <v>15000</v>
      </c>
    </row>
    <row r="9" spans="2:17" ht="16.5" customHeight="1" x14ac:dyDescent="0.2">
      <c r="B9" s="29" t="s">
        <v>0</v>
      </c>
      <c r="C9" s="29" t="s">
        <v>3</v>
      </c>
      <c r="D9" s="46">
        <v>0</v>
      </c>
      <c r="E9" s="46">
        <v>0</v>
      </c>
      <c r="F9" s="46">
        <v>0</v>
      </c>
      <c r="G9" s="46">
        <v>0</v>
      </c>
      <c r="H9" s="46">
        <v>0</v>
      </c>
      <c r="I9" s="46">
        <v>0</v>
      </c>
      <c r="J9" s="46"/>
      <c r="K9" s="46"/>
      <c r="L9" s="46"/>
      <c r="M9" s="46"/>
      <c r="N9" s="46"/>
      <c r="O9" s="46"/>
      <c r="P9" s="46">
        <f>SUM(tblMontly[[#This Row],[Қаң]:[Жел]])</f>
        <v>0</v>
      </c>
    </row>
    <row r="10" spans="2:17" ht="16.5" customHeight="1" x14ac:dyDescent="0.2">
      <c r="B10" s="29" t="s">
        <v>0</v>
      </c>
      <c r="C10" s="29" t="s">
        <v>25</v>
      </c>
      <c r="D10" s="46">
        <v>0</v>
      </c>
      <c r="E10" s="46">
        <v>0</v>
      </c>
      <c r="F10" s="46">
        <v>0</v>
      </c>
      <c r="G10" s="46">
        <v>0</v>
      </c>
      <c r="H10" s="46">
        <v>0</v>
      </c>
      <c r="I10" s="46">
        <v>0</v>
      </c>
      <c r="J10" s="46"/>
      <c r="K10" s="46"/>
      <c r="L10" s="46"/>
      <c r="M10" s="46"/>
      <c r="N10" s="46"/>
      <c r="O10" s="46"/>
      <c r="P10" s="46">
        <f>SUM(tblMontly[[#This Row],[Қаң]:[Жел]])</f>
        <v>0</v>
      </c>
    </row>
    <row r="11" spans="2:17" ht="16.5" customHeight="1" x14ac:dyDescent="0.2">
      <c r="B11" s="29" t="s">
        <v>0</v>
      </c>
      <c r="C11" s="29" t="s">
        <v>37</v>
      </c>
      <c r="D11" s="46">
        <v>0</v>
      </c>
      <c r="E11" s="46">
        <v>0</v>
      </c>
      <c r="F11" s="46">
        <v>0</v>
      </c>
      <c r="G11" s="46">
        <v>0</v>
      </c>
      <c r="H11" s="46">
        <v>0</v>
      </c>
      <c r="I11" s="46">
        <v>0</v>
      </c>
      <c r="J11" s="46"/>
      <c r="K11" s="46"/>
      <c r="L11" s="46"/>
      <c r="M11" s="46"/>
      <c r="N11" s="46"/>
      <c r="O11" s="46"/>
      <c r="P11" s="46">
        <f>SUM(tblMontly[[#This Row],[Қаң]:[Жел]])</f>
        <v>0</v>
      </c>
    </row>
    <row r="12" spans="2:17" ht="16.5" customHeight="1" x14ac:dyDescent="0.2">
      <c r="B12" s="29" t="s">
        <v>7</v>
      </c>
      <c r="C12" s="29" t="s">
        <v>8</v>
      </c>
      <c r="D12" s="46">
        <v>1250</v>
      </c>
      <c r="E12" s="46">
        <v>1250</v>
      </c>
      <c r="F12" s="46">
        <v>1250</v>
      </c>
      <c r="G12" s="46">
        <v>1250</v>
      </c>
      <c r="H12" s="46">
        <v>1250</v>
      </c>
      <c r="I12" s="46">
        <v>1250</v>
      </c>
      <c r="J12" s="46"/>
      <c r="K12" s="46"/>
      <c r="L12" s="46"/>
      <c r="M12" s="46"/>
      <c r="N12" s="46"/>
      <c r="O12" s="46"/>
      <c r="P12" s="46">
        <f>SUM(tblMontly[[#This Row],[Қаң]:[Жел]])</f>
        <v>7500</v>
      </c>
    </row>
    <row r="13" spans="2:17" ht="16.5" customHeight="1" x14ac:dyDescent="0.2">
      <c r="B13" s="29" t="s">
        <v>7</v>
      </c>
      <c r="C13" s="29" t="s">
        <v>9</v>
      </c>
      <c r="D13" s="46">
        <v>208.33333333333334</v>
      </c>
      <c r="E13" s="46">
        <v>208.33333333333334</v>
      </c>
      <c r="F13" s="46">
        <v>208.33333333333334</v>
      </c>
      <c r="G13" s="46">
        <v>208.33333333333334</v>
      </c>
      <c r="H13" s="46">
        <v>208.33333333333334</v>
      </c>
      <c r="I13" s="46">
        <v>208.33333333333334</v>
      </c>
      <c r="J13" s="46"/>
      <c r="K13" s="46"/>
      <c r="L13" s="46"/>
      <c r="M13" s="46"/>
      <c r="N13" s="46"/>
      <c r="O13" s="46"/>
      <c r="P13" s="46">
        <f>SUM(tblMontly[[#This Row],[Қаң]:[Жел]])</f>
        <v>1250</v>
      </c>
    </row>
    <row r="14" spans="2:17" ht="16.5" customHeight="1" x14ac:dyDescent="0.2">
      <c r="B14" s="29" t="s">
        <v>7</v>
      </c>
      <c r="C14" s="29" t="s">
        <v>10</v>
      </c>
      <c r="D14" s="46">
        <v>16.666666666666668</v>
      </c>
      <c r="E14" s="46">
        <v>16.666666666666668</v>
      </c>
      <c r="F14" s="46">
        <v>16.666666666666668</v>
      </c>
      <c r="G14" s="46">
        <v>16.666666666666668</v>
      </c>
      <c r="H14" s="46">
        <v>16.666666666666668</v>
      </c>
      <c r="I14" s="46">
        <v>16.666666666666668</v>
      </c>
      <c r="J14" s="46"/>
      <c r="K14" s="46"/>
      <c r="L14" s="46"/>
      <c r="M14" s="46"/>
      <c r="N14" s="46"/>
      <c r="O14" s="46"/>
      <c r="P14" s="46">
        <f>SUM(tblMontly[[#This Row],[Қаң]:[Жел]])</f>
        <v>100.00000000000001</v>
      </c>
    </row>
    <row r="15" spans="2:17" ht="16.5" customHeight="1" x14ac:dyDescent="0.2">
      <c r="B15" s="29" t="s">
        <v>7</v>
      </c>
      <c r="C15" s="29" t="s">
        <v>12</v>
      </c>
      <c r="D15" s="46">
        <v>333.33333333333331</v>
      </c>
      <c r="E15" s="46">
        <v>333.33333333333331</v>
      </c>
      <c r="F15" s="46">
        <v>333.33333333333331</v>
      </c>
      <c r="G15" s="46">
        <v>333.33333333333331</v>
      </c>
      <c r="H15" s="46">
        <v>333.33333333333331</v>
      </c>
      <c r="I15" s="46">
        <v>333.33333333333331</v>
      </c>
      <c r="J15" s="46"/>
      <c r="K15" s="46"/>
      <c r="L15" s="46"/>
      <c r="M15" s="46"/>
      <c r="N15" s="46"/>
      <c r="O15" s="46"/>
      <c r="P15" s="46">
        <f>SUM(tblMontly[[#This Row],[Қаң]:[Жел]])</f>
        <v>1999.9999999999998</v>
      </c>
    </row>
    <row r="16" spans="2:17" ht="16.5" customHeight="1" x14ac:dyDescent="0.2">
      <c r="B16" s="29" t="s">
        <v>7</v>
      </c>
      <c r="C16" s="29" t="s">
        <v>11</v>
      </c>
      <c r="D16" s="46">
        <v>1250</v>
      </c>
      <c r="E16" s="46">
        <v>1250</v>
      </c>
      <c r="F16" s="46">
        <v>1250</v>
      </c>
      <c r="G16" s="46">
        <v>1250</v>
      </c>
      <c r="H16" s="46">
        <v>1250</v>
      </c>
      <c r="I16" s="46">
        <v>1250</v>
      </c>
      <c r="J16" s="46"/>
      <c r="K16" s="46"/>
      <c r="L16" s="46"/>
      <c r="M16" s="46"/>
      <c r="N16" s="46"/>
      <c r="O16" s="46"/>
      <c r="P16" s="46">
        <f>SUM(tblMontly[[#This Row],[Қаң]:[Жел]])</f>
        <v>7500</v>
      </c>
    </row>
    <row r="17" spans="2:16" ht="16.5" customHeight="1" x14ac:dyDescent="0.2">
      <c r="B17" s="29" t="s">
        <v>7</v>
      </c>
      <c r="C17" s="29" t="s">
        <v>13</v>
      </c>
      <c r="D17" s="46">
        <v>25</v>
      </c>
      <c r="E17" s="46">
        <v>25</v>
      </c>
      <c r="F17" s="46">
        <v>25</v>
      </c>
      <c r="G17" s="46">
        <v>25</v>
      </c>
      <c r="H17" s="46">
        <v>25</v>
      </c>
      <c r="I17" s="46">
        <v>25</v>
      </c>
      <c r="J17" s="46"/>
      <c r="K17" s="46"/>
      <c r="L17" s="46"/>
      <c r="M17" s="46"/>
      <c r="N17" s="46"/>
      <c r="O17" s="46"/>
      <c r="P17" s="46">
        <f>SUM(tblMontly[[#This Row],[Қаң]:[Жел]])</f>
        <v>150</v>
      </c>
    </row>
    <row r="18" spans="2:16" ht="16.5" customHeight="1" x14ac:dyDescent="0.2">
      <c r="B18" s="29" t="s">
        <v>7</v>
      </c>
      <c r="C18" s="29" t="s">
        <v>14</v>
      </c>
      <c r="D18" s="46">
        <v>100</v>
      </c>
      <c r="E18" s="46">
        <v>100</v>
      </c>
      <c r="F18" s="46">
        <v>100</v>
      </c>
      <c r="G18" s="46">
        <v>100</v>
      </c>
      <c r="H18" s="46">
        <v>100</v>
      </c>
      <c r="I18" s="46">
        <v>100</v>
      </c>
      <c r="J18" s="46"/>
      <c r="K18" s="46"/>
      <c r="L18" s="46"/>
      <c r="M18" s="46"/>
      <c r="N18" s="46"/>
      <c r="O18" s="46"/>
      <c r="P18" s="46">
        <f>SUM(tblMontly[[#This Row],[Қаң]:[Жел]])</f>
        <v>600</v>
      </c>
    </row>
    <row r="19" spans="2:16" ht="16.5" customHeight="1" x14ac:dyDescent="0.2">
      <c r="B19" s="29" t="s">
        <v>7</v>
      </c>
      <c r="C19" s="29" t="s">
        <v>15</v>
      </c>
      <c r="D19" s="46">
        <v>50</v>
      </c>
      <c r="E19" s="46">
        <v>50</v>
      </c>
      <c r="F19" s="46">
        <v>50</v>
      </c>
      <c r="G19" s="46">
        <v>50</v>
      </c>
      <c r="H19" s="46">
        <v>50</v>
      </c>
      <c r="I19" s="46">
        <v>50</v>
      </c>
      <c r="J19" s="46"/>
      <c r="K19" s="46"/>
      <c r="L19" s="46"/>
      <c r="M19" s="46"/>
      <c r="N19" s="46"/>
      <c r="O19" s="46"/>
      <c r="P19" s="46">
        <f>SUM(tblMontly[[#This Row],[Қаң]:[Жел]])</f>
        <v>300</v>
      </c>
    </row>
    <row r="20" spans="2:16" ht="16.5" customHeight="1" x14ac:dyDescent="0.2">
      <c r="B20" s="29" t="s">
        <v>7</v>
      </c>
      <c r="C20" s="29" t="s">
        <v>16</v>
      </c>
      <c r="D20" s="46">
        <v>50</v>
      </c>
      <c r="E20" s="46">
        <v>50</v>
      </c>
      <c r="F20" s="46">
        <v>50</v>
      </c>
      <c r="G20" s="46">
        <v>50</v>
      </c>
      <c r="H20" s="46">
        <v>50</v>
      </c>
      <c r="I20" s="46">
        <v>50</v>
      </c>
      <c r="J20" s="46"/>
      <c r="K20" s="46"/>
      <c r="L20" s="46"/>
      <c r="M20" s="46"/>
      <c r="N20" s="46"/>
      <c r="O20" s="46"/>
      <c r="P20" s="46">
        <f>SUM(tblMontly[[#This Row],[Қаң]:[Жел]])</f>
        <v>300</v>
      </c>
    </row>
    <row r="21" spans="2:16" ht="16.5" customHeight="1" x14ac:dyDescent="0.2">
      <c r="B21" s="29" t="s">
        <v>7</v>
      </c>
      <c r="C21" s="29" t="s">
        <v>17</v>
      </c>
      <c r="D21" s="46">
        <v>25</v>
      </c>
      <c r="E21" s="46">
        <v>25</v>
      </c>
      <c r="F21" s="46">
        <v>25</v>
      </c>
      <c r="G21" s="46">
        <v>25</v>
      </c>
      <c r="H21" s="46">
        <v>25</v>
      </c>
      <c r="I21" s="46">
        <v>25</v>
      </c>
      <c r="J21" s="46"/>
      <c r="K21" s="46"/>
      <c r="L21" s="46"/>
      <c r="M21" s="46"/>
      <c r="N21" s="46"/>
      <c r="O21" s="46"/>
      <c r="P21" s="46">
        <f>SUM(tblMontly[[#This Row],[Қаң]:[Жел]])</f>
        <v>150</v>
      </c>
    </row>
    <row r="22" spans="2:16" ht="16.5" customHeight="1" x14ac:dyDescent="0.2">
      <c r="B22" s="29" t="s">
        <v>7</v>
      </c>
      <c r="C22" s="29" t="s">
        <v>18</v>
      </c>
      <c r="D22" s="46">
        <v>12.5</v>
      </c>
      <c r="E22" s="46">
        <v>12.5</v>
      </c>
      <c r="F22" s="46">
        <v>12.5</v>
      </c>
      <c r="G22" s="46">
        <v>12.5</v>
      </c>
      <c r="H22" s="46">
        <v>12.5</v>
      </c>
      <c r="I22" s="46">
        <v>12.5</v>
      </c>
      <c r="J22" s="46"/>
      <c r="K22" s="46"/>
      <c r="L22" s="46"/>
      <c r="M22" s="46"/>
      <c r="N22" s="46"/>
      <c r="O22" s="46"/>
      <c r="P22" s="46">
        <f>SUM(tblMontly[[#This Row],[Қаң]:[Жел]])</f>
        <v>75</v>
      </c>
    </row>
    <row r="23" spans="2:16" ht="16.5" customHeight="1" x14ac:dyDescent="0.2">
      <c r="B23" s="29" t="s">
        <v>7</v>
      </c>
      <c r="C23" s="29" t="s">
        <v>19</v>
      </c>
      <c r="D23" s="46">
        <v>50</v>
      </c>
      <c r="E23" s="46">
        <v>50</v>
      </c>
      <c r="F23" s="46">
        <v>50</v>
      </c>
      <c r="G23" s="46">
        <v>50</v>
      </c>
      <c r="H23" s="46">
        <v>50</v>
      </c>
      <c r="I23" s="46">
        <v>50</v>
      </c>
      <c r="J23" s="46"/>
      <c r="K23" s="46"/>
      <c r="L23" s="46"/>
      <c r="M23" s="46"/>
      <c r="N23" s="46"/>
      <c r="O23" s="46"/>
      <c r="P23" s="46">
        <f>SUM(tblMontly[[#This Row],[Қаң]:[Жел]])</f>
        <v>300</v>
      </c>
    </row>
    <row r="24" spans="2:16" ht="16.5" customHeight="1" x14ac:dyDescent="0.2">
      <c r="B24" s="29" t="s">
        <v>7</v>
      </c>
      <c r="C24" s="29" t="s">
        <v>20</v>
      </c>
      <c r="D24" s="46">
        <v>50</v>
      </c>
      <c r="E24" s="46">
        <v>50</v>
      </c>
      <c r="F24" s="46">
        <v>50</v>
      </c>
      <c r="G24" s="46">
        <v>50</v>
      </c>
      <c r="H24" s="46">
        <v>50</v>
      </c>
      <c r="I24" s="46">
        <v>50</v>
      </c>
      <c r="J24" s="46"/>
      <c r="K24" s="46"/>
      <c r="L24" s="46"/>
      <c r="M24" s="46"/>
      <c r="N24" s="46"/>
      <c r="O24" s="46"/>
      <c r="P24" s="46">
        <f>SUM(tblMontly[[#This Row],[Қаң]:[Жел]])</f>
        <v>300</v>
      </c>
    </row>
    <row r="25" spans="2:16" ht="16.5" customHeight="1" x14ac:dyDescent="0.2">
      <c r="B25" s="29" t="s">
        <v>7</v>
      </c>
      <c r="C25" s="29" t="s">
        <v>21</v>
      </c>
      <c r="D25" s="46">
        <v>125</v>
      </c>
      <c r="E25" s="46">
        <v>125</v>
      </c>
      <c r="F25" s="46">
        <v>125</v>
      </c>
      <c r="G25" s="46">
        <v>125</v>
      </c>
      <c r="H25" s="46">
        <v>125</v>
      </c>
      <c r="I25" s="46">
        <v>125</v>
      </c>
      <c r="J25" s="46"/>
      <c r="K25" s="46"/>
      <c r="L25" s="46"/>
      <c r="M25" s="46"/>
      <c r="N25" s="46"/>
      <c r="O25" s="46"/>
      <c r="P25" s="46">
        <f>SUM(tblMontly[[#This Row],[Қаң]:[Жел]])</f>
        <v>750</v>
      </c>
    </row>
    <row r="26" spans="2:16" ht="16.5" customHeight="1" x14ac:dyDescent="0.2">
      <c r="B26" s="29" t="s">
        <v>7</v>
      </c>
      <c r="C26" s="29" t="s">
        <v>22</v>
      </c>
      <c r="D26" s="46">
        <v>400</v>
      </c>
      <c r="E26" s="46">
        <v>500</v>
      </c>
      <c r="F26" s="46">
        <v>450</v>
      </c>
      <c r="G26" s="46">
        <v>400</v>
      </c>
      <c r="H26" s="46">
        <v>450</v>
      </c>
      <c r="I26" s="46">
        <v>425</v>
      </c>
      <c r="J26" s="46"/>
      <c r="K26" s="46"/>
      <c r="L26" s="46"/>
      <c r="M26" s="46"/>
      <c r="N26" s="46"/>
      <c r="O26" s="46"/>
      <c r="P26" s="46">
        <f>SUM(tblMontly[[#This Row],[Қаң]:[Жел]])</f>
        <v>2625</v>
      </c>
    </row>
    <row r="27" spans="2:16" ht="16.5" customHeight="1" x14ac:dyDescent="0.2">
      <c r="B27" s="29" t="s">
        <v>7</v>
      </c>
      <c r="C27" s="29" t="s">
        <v>23</v>
      </c>
      <c r="D27" s="46">
        <v>50</v>
      </c>
      <c r="E27" s="46">
        <v>75</v>
      </c>
      <c r="F27" s="46">
        <v>100</v>
      </c>
      <c r="G27" s="46">
        <v>75</v>
      </c>
      <c r="H27" s="46">
        <v>125</v>
      </c>
      <c r="I27" s="46">
        <v>75</v>
      </c>
      <c r="J27" s="46"/>
      <c r="K27" s="46"/>
      <c r="L27" s="46"/>
      <c r="M27" s="46"/>
      <c r="N27" s="46"/>
      <c r="O27" s="46"/>
      <c r="P27" s="46">
        <f>SUM(tblMontly[[#This Row],[Қаң]:[Жел]])</f>
        <v>500</v>
      </c>
    </row>
    <row r="28" spans="2:16" ht="16.5" customHeight="1" x14ac:dyDescent="0.2">
      <c r="B28" s="29" t="s">
        <v>7</v>
      </c>
      <c r="C28" s="29" t="s">
        <v>24</v>
      </c>
      <c r="D28" s="46">
        <v>50</v>
      </c>
      <c r="E28" s="46">
        <v>10</v>
      </c>
      <c r="F28" s="46">
        <v>25</v>
      </c>
      <c r="G28" s="46">
        <v>25</v>
      </c>
      <c r="H28" s="46">
        <v>20</v>
      </c>
      <c r="I28" s="46">
        <v>70</v>
      </c>
      <c r="J28" s="46"/>
      <c r="K28" s="46"/>
      <c r="L28" s="46"/>
      <c r="M28" s="46"/>
      <c r="N28" s="46"/>
      <c r="O28" s="46"/>
      <c r="P28" s="46">
        <f>SUM(tblMontly[[#This Row],[Қаң]:[Жел]])</f>
        <v>200</v>
      </c>
    </row>
    <row r="29" spans="2:16" ht="16.5" customHeight="1" x14ac:dyDescent="0.2">
      <c r="B29" s="29" t="s">
        <v>7</v>
      </c>
      <c r="C29" s="29" t="s">
        <v>43</v>
      </c>
      <c r="D29" s="46">
        <v>30</v>
      </c>
      <c r="E29" s="46">
        <v>30</v>
      </c>
      <c r="F29" s="46">
        <v>30</v>
      </c>
      <c r="G29" s="46">
        <v>20</v>
      </c>
      <c r="H29" s="46">
        <v>30</v>
      </c>
      <c r="I29" s="46">
        <v>30</v>
      </c>
      <c r="J29" s="46"/>
      <c r="K29" s="46"/>
      <c r="L29" s="46"/>
      <c r="M29" s="46"/>
      <c r="N29" s="46"/>
      <c r="O29" s="46"/>
      <c r="P29" s="46">
        <f>SUM(tblMontly[[#This Row],[Қаң]:[Жел]])</f>
        <v>170</v>
      </c>
    </row>
    <row r="30" spans="2:16" ht="16.5" customHeight="1" x14ac:dyDescent="0.2">
      <c r="B30" s="29" t="s">
        <v>7</v>
      </c>
      <c r="C30" s="29" t="s">
        <v>3</v>
      </c>
      <c r="D30" s="46">
        <v>0</v>
      </c>
      <c r="E30" s="46">
        <v>0</v>
      </c>
      <c r="F30" s="46">
        <v>0</v>
      </c>
      <c r="G30" s="46">
        <v>0</v>
      </c>
      <c r="H30" s="46">
        <v>0</v>
      </c>
      <c r="I30" s="46">
        <v>0</v>
      </c>
      <c r="J30" s="46"/>
      <c r="K30" s="46"/>
      <c r="L30" s="46"/>
      <c r="M30" s="46"/>
      <c r="N30" s="46"/>
      <c r="O30" s="46"/>
      <c r="P30" s="46">
        <f>SUM(tblMontly[[#This Row],[Қаң]:[Жел]])</f>
        <v>0</v>
      </c>
    </row>
    <row r="31" spans="2:16" ht="16.5" customHeight="1" x14ac:dyDescent="0.2">
      <c r="B31" s="29" t="s">
        <v>7</v>
      </c>
      <c r="C31" s="29" t="s">
        <v>25</v>
      </c>
      <c r="D31" s="46">
        <v>0</v>
      </c>
      <c r="E31" s="46">
        <v>0</v>
      </c>
      <c r="F31" s="46">
        <v>0</v>
      </c>
      <c r="G31" s="46">
        <v>0</v>
      </c>
      <c r="H31" s="46">
        <v>0</v>
      </c>
      <c r="I31" s="46">
        <v>0</v>
      </c>
      <c r="J31" s="46"/>
      <c r="K31" s="46"/>
      <c r="L31" s="46"/>
      <c r="M31" s="46"/>
      <c r="N31" s="46"/>
      <c r="O31" s="46"/>
      <c r="P31" s="46">
        <f>SUM(tblMontly[[#This Row],[Қаң]:[Жел]])</f>
        <v>0</v>
      </c>
    </row>
    <row r="32" spans="2:16" ht="16.5" customHeight="1" x14ac:dyDescent="0.2">
      <c r="B32" s="29" t="s">
        <v>7</v>
      </c>
      <c r="C32" s="29" t="s">
        <v>37</v>
      </c>
      <c r="D32" s="46">
        <v>0</v>
      </c>
      <c r="E32" s="46">
        <v>0</v>
      </c>
      <c r="F32" s="46">
        <v>0</v>
      </c>
      <c r="G32" s="46">
        <v>0</v>
      </c>
      <c r="H32" s="46">
        <v>0</v>
      </c>
      <c r="I32" s="46">
        <v>0</v>
      </c>
      <c r="J32" s="46"/>
      <c r="K32" s="46"/>
      <c r="L32" s="46"/>
      <c r="M32" s="46"/>
      <c r="N32" s="46"/>
      <c r="O32" s="46"/>
      <c r="P32" s="46">
        <f>SUM(tblMontly[[#This Row],[Қаң]:[Жел]])</f>
        <v>0</v>
      </c>
    </row>
    <row r="33" spans="2:16" ht="16.5" customHeight="1" x14ac:dyDescent="0.2">
      <c r="B33" s="29" t="s">
        <v>47</v>
      </c>
      <c r="C33" s="29" t="s">
        <v>28</v>
      </c>
      <c r="D33" s="46">
        <v>50</v>
      </c>
      <c r="E33" s="46">
        <v>150</v>
      </c>
      <c r="F33" s="46">
        <v>100</v>
      </c>
      <c r="G33" s="46">
        <v>50</v>
      </c>
      <c r="H33" s="46">
        <v>150</v>
      </c>
      <c r="I33" s="46">
        <v>100</v>
      </c>
      <c r="J33" s="46"/>
      <c r="K33" s="46"/>
      <c r="L33" s="46"/>
      <c r="M33" s="46"/>
      <c r="N33" s="46"/>
      <c r="O33" s="46"/>
      <c r="P33" s="46">
        <f>SUM(tblMontly[[#This Row],[Қаң]:[Жел]])</f>
        <v>600</v>
      </c>
    </row>
    <row r="34" spans="2:16" ht="16.5" customHeight="1" x14ac:dyDescent="0.2">
      <c r="B34" s="29" t="s">
        <v>47</v>
      </c>
      <c r="C34" s="29" t="s">
        <v>29</v>
      </c>
      <c r="D34" s="46">
        <v>25</v>
      </c>
      <c r="E34" s="46">
        <v>75</v>
      </c>
      <c r="F34" s="46">
        <v>50</v>
      </c>
      <c r="G34" s="46">
        <v>25</v>
      </c>
      <c r="H34" s="46">
        <v>75</v>
      </c>
      <c r="I34" s="46">
        <v>50</v>
      </c>
      <c r="J34" s="46"/>
      <c r="K34" s="46"/>
      <c r="L34" s="46"/>
      <c r="M34" s="46"/>
      <c r="N34" s="46"/>
      <c r="O34" s="46"/>
      <c r="P34" s="46">
        <f>SUM(tblMontly[[#This Row],[Қаң]:[Жел]])</f>
        <v>300</v>
      </c>
    </row>
    <row r="35" spans="2:16" ht="16.5" customHeight="1" x14ac:dyDescent="0.2">
      <c r="B35" s="29" t="s">
        <v>47</v>
      </c>
      <c r="C35" s="29" t="s">
        <v>30</v>
      </c>
      <c r="D35" s="46">
        <v>0</v>
      </c>
      <c r="E35" s="46">
        <v>0</v>
      </c>
      <c r="F35" s="46">
        <v>1000</v>
      </c>
      <c r="G35" s="46">
        <v>0</v>
      </c>
      <c r="H35" s="46">
        <v>0</v>
      </c>
      <c r="I35" s="46">
        <v>1000</v>
      </c>
      <c r="J35" s="46"/>
      <c r="K35" s="46"/>
      <c r="L35" s="46"/>
      <c r="M35" s="46"/>
      <c r="N35" s="46"/>
      <c r="O35" s="46"/>
      <c r="P35" s="46">
        <f>SUM(tblMontly[[#This Row],[Қаң]:[Жел]])</f>
        <v>2000</v>
      </c>
    </row>
    <row r="36" spans="2:16" ht="16.5" customHeight="1" x14ac:dyDescent="0.2">
      <c r="B36" s="29" t="s">
        <v>47</v>
      </c>
      <c r="C36" s="29" t="s">
        <v>31</v>
      </c>
      <c r="D36" s="46">
        <v>50</v>
      </c>
      <c r="E36" s="46">
        <v>150</v>
      </c>
      <c r="F36" s="46">
        <v>100</v>
      </c>
      <c r="G36" s="46">
        <v>50</v>
      </c>
      <c r="H36" s="46">
        <v>150</v>
      </c>
      <c r="I36" s="46">
        <v>100</v>
      </c>
      <c r="J36" s="46"/>
      <c r="K36" s="46"/>
      <c r="L36" s="46"/>
      <c r="M36" s="46"/>
      <c r="N36" s="46"/>
      <c r="O36" s="46"/>
      <c r="P36" s="46">
        <f>SUM(tblMontly[[#This Row],[Қаң]:[Жел]])</f>
        <v>600</v>
      </c>
    </row>
    <row r="37" spans="2:16" ht="16.5" customHeight="1" x14ac:dyDescent="0.2">
      <c r="B37" s="29" t="s">
        <v>47</v>
      </c>
      <c r="C37" s="29" t="s">
        <v>32</v>
      </c>
      <c r="D37" s="46">
        <v>15</v>
      </c>
      <c r="E37" s="46">
        <v>25</v>
      </c>
      <c r="F37" s="46">
        <v>35</v>
      </c>
      <c r="G37" s="46">
        <v>15</v>
      </c>
      <c r="H37" s="46">
        <v>25</v>
      </c>
      <c r="I37" s="46">
        <v>35</v>
      </c>
      <c r="J37" s="46"/>
      <c r="K37" s="46"/>
      <c r="L37" s="46"/>
      <c r="M37" s="46"/>
      <c r="N37" s="46"/>
      <c r="O37" s="46"/>
      <c r="P37" s="46">
        <f>SUM(tblMontly[[#This Row],[Қаң]:[Жел]])</f>
        <v>150</v>
      </c>
    </row>
    <row r="38" spans="2:16" ht="16.5" customHeight="1" x14ac:dyDescent="0.2">
      <c r="B38" s="29" t="s">
        <v>47</v>
      </c>
      <c r="C38" s="29" t="s">
        <v>33</v>
      </c>
      <c r="D38" s="46">
        <v>100</v>
      </c>
      <c r="E38" s="46">
        <v>200</v>
      </c>
      <c r="F38" s="46">
        <v>150</v>
      </c>
      <c r="G38" s="46">
        <v>175</v>
      </c>
      <c r="H38" s="46">
        <v>150</v>
      </c>
      <c r="I38" s="46">
        <v>175</v>
      </c>
      <c r="J38" s="46"/>
      <c r="K38" s="46"/>
      <c r="L38" s="46"/>
      <c r="M38" s="46"/>
      <c r="N38" s="46"/>
      <c r="O38" s="46"/>
      <c r="P38" s="46">
        <f>SUM(tblMontly[[#This Row],[Қаң]:[Жел]])</f>
        <v>950</v>
      </c>
    </row>
    <row r="39" spans="2:16" ht="16.5" customHeight="1" x14ac:dyDescent="0.2">
      <c r="B39" s="29" t="s">
        <v>47</v>
      </c>
      <c r="C39" s="29" t="s">
        <v>34</v>
      </c>
      <c r="D39" s="46">
        <v>50</v>
      </c>
      <c r="E39" s="46">
        <v>50</v>
      </c>
      <c r="F39" s="46">
        <v>50</v>
      </c>
      <c r="G39" s="46">
        <v>50</v>
      </c>
      <c r="H39" s="46">
        <v>50</v>
      </c>
      <c r="I39" s="46">
        <v>50</v>
      </c>
      <c r="J39" s="46"/>
      <c r="K39" s="46"/>
      <c r="L39" s="46"/>
      <c r="M39" s="46"/>
      <c r="N39" s="46"/>
      <c r="O39" s="46"/>
      <c r="P39" s="46">
        <f>SUM(tblMontly[[#This Row],[Қаң]:[Жел]])</f>
        <v>300</v>
      </c>
    </row>
    <row r="40" spans="2:16" ht="16.5" customHeight="1" x14ac:dyDescent="0.2">
      <c r="B40" s="29" t="s">
        <v>47</v>
      </c>
      <c r="C40" s="29" t="s">
        <v>35</v>
      </c>
      <c r="D40" s="46">
        <v>25</v>
      </c>
      <c r="E40" s="46">
        <v>25</v>
      </c>
      <c r="F40" s="46">
        <v>25</v>
      </c>
      <c r="G40" s="46">
        <v>25</v>
      </c>
      <c r="H40" s="46">
        <v>25</v>
      </c>
      <c r="I40" s="46">
        <v>25</v>
      </c>
      <c r="J40" s="46"/>
      <c r="K40" s="46"/>
      <c r="L40" s="46"/>
      <c r="M40" s="46"/>
      <c r="N40" s="46"/>
      <c r="O40" s="46"/>
      <c r="P40" s="46">
        <f>SUM(tblMontly[[#This Row],[Қаң]:[Жел]])</f>
        <v>150</v>
      </c>
    </row>
    <row r="41" spans="2:16" ht="16.5" customHeight="1" x14ac:dyDescent="0.2">
      <c r="B41" s="29" t="s">
        <v>47</v>
      </c>
      <c r="C41" s="29" t="s">
        <v>36</v>
      </c>
      <c r="D41" s="46">
        <v>400</v>
      </c>
      <c r="E41" s="46">
        <v>400</v>
      </c>
      <c r="F41" s="46">
        <v>400</v>
      </c>
      <c r="G41" s="46">
        <v>400</v>
      </c>
      <c r="H41" s="46">
        <v>400</v>
      </c>
      <c r="I41" s="46">
        <v>400</v>
      </c>
      <c r="J41" s="46"/>
      <c r="K41" s="46"/>
      <c r="L41" s="46"/>
      <c r="M41" s="46"/>
      <c r="N41" s="46"/>
      <c r="O41" s="46"/>
      <c r="P41" s="46">
        <f>SUM(tblMontly[[#This Row],[Қаң]:[Жел]])</f>
        <v>2400</v>
      </c>
    </row>
    <row r="42" spans="2:16" ht="16.5" customHeight="1" x14ac:dyDescent="0.2">
      <c r="B42" s="29" t="s">
        <v>47</v>
      </c>
      <c r="C42" s="29" t="s">
        <v>4</v>
      </c>
      <c r="D42" s="46">
        <v>0</v>
      </c>
      <c r="E42" s="46">
        <v>0</v>
      </c>
      <c r="F42" s="46">
        <v>0</v>
      </c>
      <c r="G42" s="46">
        <v>0</v>
      </c>
      <c r="H42" s="46">
        <v>0</v>
      </c>
      <c r="I42" s="46">
        <v>0</v>
      </c>
      <c r="J42" s="46"/>
      <c r="K42" s="46"/>
      <c r="L42" s="46"/>
      <c r="M42" s="46"/>
      <c r="N42" s="46"/>
      <c r="O42" s="46"/>
      <c r="P42" s="46">
        <f>SUM(tblMontly[[#This Row],[Қаң]:[Жел]])</f>
        <v>0</v>
      </c>
    </row>
    <row r="43" spans="2:16" ht="16.5" customHeight="1" x14ac:dyDescent="0.2">
      <c r="B43" s="29" t="s">
        <v>47</v>
      </c>
      <c r="C43" s="29" t="s">
        <v>3</v>
      </c>
      <c r="D43" s="46">
        <v>0</v>
      </c>
      <c r="E43" s="46">
        <v>0</v>
      </c>
      <c r="F43" s="46">
        <v>0</v>
      </c>
      <c r="G43" s="46">
        <v>0</v>
      </c>
      <c r="H43" s="46">
        <v>0</v>
      </c>
      <c r="I43" s="46">
        <v>0</v>
      </c>
      <c r="J43" s="46"/>
      <c r="K43" s="46"/>
      <c r="L43" s="46"/>
      <c r="M43" s="46"/>
      <c r="N43" s="46"/>
      <c r="O43" s="46"/>
      <c r="P43" s="46">
        <f>SUM(tblMontly[[#This Row],[Қаң]:[Жел]])</f>
        <v>0</v>
      </c>
    </row>
    <row r="44" spans="2:16" ht="16.5" customHeight="1" x14ac:dyDescent="0.2">
      <c r="B44" s="29" t="s">
        <v>38</v>
      </c>
      <c r="C44" s="29" t="s">
        <v>39</v>
      </c>
      <c r="D44" s="46">
        <v>416.66666666666669</v>
      </c>
      <c r="E44" s="46">
        <v>416.66666666666669</v>
      </c>
      <c r="F44" s="46">
        <v>416.66666666666669</v>
      </c>
      <c r="G44" s="46">
        <v>416.66666666666669</v>
      </c>
      <c r="H44" s="46">
        <v>416.66666666666669</v>
      </c>
      <c r="I44" s="46">
        <v>416.66666666666669</v>
      </c>
      <c r="J44" s="46"/>
      <c r="K44" s="46"/>
      <c r="L44" s="46"/>
      <c r="M44" s="46"/>
      <c r="N44" s="46"/>
      <c r="O44" s="46"/>
      <c r="P44" s="46">
        <f>SUM(tblMontly[[#This Row],[Қаң]:[Жел]])</f>
        <v>2500</v>
      </c>
    </row>
    <row r="45" spans="2:16" ht="16.5" customHeight="1" x14ac:dyDescent="0.2">
      <c r="B45" s="29" t="s">
        <v>38</v>
      </c>
      <c r="C45" s="29" t="s">
        <v>40</v>
      </c>
      <c r="D45" s="46">
        <v>1000</v>
      </c>
      <c r="E45" s="46">
        <v>1000</v>
      </c>
      <c r="F45" s="46">
        <v>1000</v>
      </c>
      <c r="G45" s="46">
        <v>1000</v>
      </c>
      <c r="H45" s="46">
        <v>1000</v>
      </c>
      <c r="I45" s="46">
        <v>1000</v>
      </c>
      <c r="J45" s="46"/>
      <c r="K45" s="46"/>
      <c r="L45" s="46"/>
      <c r="M45" s="46"/>
      <c r="N45" s="46"/>
      <c r="O45" s="46"/>
      <c r="P45" s="46">
        <f>SUM(tblMontly[[#This Row],[Қаң]:[Жел]])</f>
        <v>6000</v>
      </c>
    </row>
    <row r="46" spans="2:16" ht="16.5" customHeight="1" x14ac:dyDescent="0.2">
      <c r="B46" s="29" t="s">
        <v>38</v>
      </c>
      <c r="C46" s="29" t="s">
        <v>41</v>
      </c>
      <c r="D46" s="46">
        <v>500</v>
      </c>
      <c r="E46" s="46">
        <v>500</v>
      </c>
      <c r="F46" s="46">
        <v>500</v>
      </c>
      <c r="G46" s="46">
        <v>500</v>
      </c>
      <c r="H46" s="46">
        <v>500</v>
      </c>
      <c r="I46" s="46">
        <v>500</v>
      </c>
      <c r="J46" s="46"/>
      <c r="K46" s="46"/>
      <c r="L46" s="46"/>
      <c r="M46" s="46"/>
      <c r="N46" s="46"/>
      <c r="O46" s="46"/>
      <c r="P46" s="46">
        <f>SUM(tblMontly[[#This Row],[Қаң]:[Жел]])</f>
        <v>3000</v>
      </c>
    </row>
    <row r="47" spans="2:16" ht="16.5" customHeight="1" x14ac:dyDescent="0.2">
      <c r="B47" s="29" t="s">
        <v>38</v>
      </c>
      <c r="C47" s="29" t="s">
        <v>4</v>
      </c>
      <c r="D47" s="46">
        <v>0</v>
      </c>
      <c r="E47" s="46">
        <v>0</v>
      </c>
      <c r="F47" s="46">
        <v>0</v>
      </c>
      <c r="G47" s="46">
        <v>0</v>
      </c>
      <c r="H47" s="46">
        <v>0</v>
      </c>
      <c r="I47" s="46">
        <v>0</v>
      </c>
      <c r="J47" s="46"/>
      <c r="K47" s="46"/>
      <c r="L47" s="46"/>
      <c r="M47" s="46"/>
      <c r="N47" s="46"/>
      <c r="O47" s="46"/>
      <c r="P47" s="46">
        <f>SUM(tblMontly[[#This Row],[Қаң]:[Жел]])</f>
        <v>0</v>
      </c>
    </row>
    <row r="48" spans="2:16" ht="16.5" customHeight="1" x14ac:dyDescent="0.2">
      <c r="B48" s="29" t="s">
        <v>38</v>
      </c>
      <c r="C48" s="29" t="s">
        <v>3</v>
      </c>
      <c r="D48" s="46">
        <v>0</v>
      </c>
      <c r="E48" s="46">
        <v>0</v>
      </c>
      <c r="F48" s="46">
        <v>0</v>
      </c>
      <c r="G48" s="46">
        <v>0</v>
      </c>
      <c r="H48" s="46">
        <v>0</v>
      </c>
      <c r="I48" s="46">
        <v>0</v>
      </c>
      <c r="J48" s="46"/>
      <c r="K48" s="46"/>
      <c r="L48" s="46"/>
      <c r="M48" s="46"/>
      <c r="N48" s="46"/>
      <c r="O48" s="46"/>
      <c r="P48" s="46">
        <f>SUM(tblMontly[[#This Row],[Қаң]:[Жел]])</f>
        <v>0</v>
      </c>
    </row>
    <row r="49" spans="2:16" ht="16.5" customHeight="1" x14ac:dyDescent="0.2">
      <c r="B49" s="33" t="s">
        <v>26</v>
      </c>
      <c r="D49" s="47">
        <f>SUMIF(tblMontly[Түрі],"Пайда",tblMontly[Қаң])-SUMIF(tblMontly[Түрі],"&lt;&gt;Пайда",tblMontly[Қаң])</f>
        <v>3692.5</v>
      </c>
      <c r="E49" s="47">
        <f>SUMIF(tblMontly[Түрі],"Пайда",tblMontly[Ақп])-SUMIF(tblMontly[Түрі],"&lt;&gt;Пайда",tblMontly[Ақп])</f>
        <v>3247.5</v>
      </c>
      <c r="F49" s="47">
        <f>SUMIF(tblMontly[Түрі],"Пайда",tblMontly[Нау])-SUMIF(tblMontly[Түрі],"&lt;&gt;Пайда",tblMontly[Нау])</f>
        <v>2522.5</v>
      </c>
      <c r="G49" s="47">
        <f>SUMIF(tblMontly[Түрі],"Пайда",tblMontly[Сәу])-SUMIF(tblMontly[Түрі],"&lt;&gt;Пайда",tblMontly[Сәу])</f>
        <v>3427.5</v>
      </c>
      <c r="H49" s="47">
        <f>SUMIF(tblMontly[Түрі],"Пайда",tblMontly[Мамыр])-SUMIF(tblMontly[Түрі],"&lt;&gt;Пайда",tblMontly[Мамыр])</f>
        <v>2887.5</v>
      </c>
      <c r="I49" s="47">
        <f>SUMIF(tblMontly[Түрі],"Пайда",tblMontly[Мау])-SUMIF(tblMontly[Түрі],"&lt;&gt;Пайда",tblMontly[Мау])</f>
        <v>2602.5</v>
      </c>
      <c r="J49" s="47">
        <f>SUMIF(tblMontly[Түрі],"Пайда",tblMontly[Шіл])-SUMIF(tblMontly[Түрі],"&lt;&gt;Пайда",tblMontly[Шіл])</f>
        <v>0</v>
      </c>
      <c r="K49" s="47">
        <f>SUMIF(tblMontly[Түрі],"Пайда",tblMontly[Там])-SUMIF(tblMontly[Түрі],"&lt;&gt;Пайда",tblMontly[Там])</f>
        <v>0</v>
      </c>
      <c r="L49" s="47">
        <f>SUMIF(tblMontly[Түрі],"Пайда",tblMontly[Қыр])-SUMIF(tblMontly[Түрі],"&lt;&gt;Пайда",tblMontly[Қыр])</f>
        <v>0</v>
      </c>
      <c r="M49" s="47">
        <f>SUMIF(tblMontly[Түрі],"Пайда",tblMontly[Қаз])-SUMIF(tblMontly[Түрі],"&lt;&gt;Пайда",tblMontly[Қаз])</f>
        <v>0</v>
      </c>
      <c r="N49" s="47">
        <f>SUMIF(tblMontly[Түрі],"Пайда",tblMontly[Қар])-SUMIF(tblMontly[Түрі],"&lt;&gt;Пайда",tblMontly[Қар])</f>
        <v>0</v>
      </c>
      <c r="O49" s="47">
        <f>SUMIF(tblMontly[Түрі],"Пайда",tblMontly[Жел])-SUMIF(tblMontly[Түрі],"&lt;&gt;Пайда",tblMontly[Жел])</f>
        <v>0</v>
      </c>
      <c r="P49" s="47">
        <f>SUMIF(tblMontly[Түрі],"Пайда",tblMontly[Барлығы])-SUMIF(tblMontly[Түрі],"&lt;&gt;Пайда",tblMontly[Барлығы])</f>
        <v>18380</v>
      </c>
    </row>
    <row r="50" spans="2:16" ht="16.5" customHeight="1" x14ac:dyDescent="0.2">
      <c r="B50" s="56"/>
      <c r="C50" s="56"/>
      <c r="D50" s="56"/>
      <c r="E50" s="56"/>
      <c r="F50" s="56"/>
      <c r="G50" s="56"/>
      <c r="H50" s="56"/>
      <c r="I50" s="56"/>
      <c r="J50" s="56"/>
      <c r="K50" s="56"/>
      <c r="L50" s="56"/>
      <c r="M50" s="56"/>
      <c r="N50" s="56"/>
      <c r="O50" s="56"/>
      <c r="P50" s="56"/>
    </row>
  </sheetData>
  <mergeCells count="3">
    <mergeCell ref="B50:P50"/>
    <mergeCell ref="B2:F2"/>
    <mergeCell ref="H2:Q2"/>
  </mergeCells>
  <conditionalFormatting sqref="B6:P48">
    <cfRule type="expression" dxfId="54" priority="1">
      <formula>(MOD(ROW(),2)&lt;&gt;0)*($B6="Пайда")</formula>
    </cfRule>
    <cfRule type="expression" dxfId="53" priority="2">
      <formula>(MOD(ROW(),2)=0)*($B6="Пайда")</formula>
    </cfRule>
  </conditionalFormatting>
  <dataValidations count="1">
    <dataValidation type="list" allowBlank="1" showInputMessage="1" showErrorMessage="1" sqref="B6:B48">
      <formula1>"Пайда,Шығындар,Тәуелсіз,Сақтаулар"</formula1>
    </dataValidation>
  </dataValidations>
  <pageMargins left="0.25" right="0.25" top="0.75" bottom="0.75" header="0.3" footer="0.3"/>
  <pageSetup paperSize="9" fitToHeight="0" orientation="landscape" r:id="rId1"/>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'Ай сайынғы ақша ағыны'!D6:O6</xm:f>
              <xm:sqref>Q6</xm:sqref>
            </x14:sparkline>
            <x14:sparkline>
              <xm:f>'Ай сайынғы ақша ағыны'!D7:O7</xm:f>
              <xm:sqref>Q7</xm:sqref>
            </x14:sparkline>
            <x14:sparkline>
              <xm:f>'Ай сайынғы ақша ағыны'!D8:O8</xm:f>
              <xm:sqref>Q8</xm:sqref>
            </x14:sparkline>
            <x14:sparkline>
              <xm:f>'Ай сайынғы ақша ағыны'!D9:O9</xm:f>
              <xm:sqref>Q9</xm:sqref>
            </x14:sparkline>
            <x14:sparkline>
              <xm:f>'Ай сайынғы ақша ағыны'!D10:O10</xm:f>
              <xm:sqref>Q10</xm:sqref>
            </x14:sparkline>
            <x14:sparkline>
              <xm:f>'Ай сайынғы ақша ағыны'!D11:O11</xm:f>
              <xm:sqref>Q11</xm:sqref>
            </x14:sparkline>
            <x14:sparkline>
              <xm:f>'Ай сайынғы ақша ағыны'!D12:O12</xm:f>
              <xm:sqref>Q12</xm:sqref>
            </x14:sparkline>
            <x14:sparkline>
              <xm:f>'Ай сайынғы ақша ағыны'!D13:O13</xm:f>
              <xm:sqref>Q13</xm:sqref>
            </x14:sparkline>
            <x14:sparkline>
              <xm:f>'Ай сайынғы ақша ағыны'!D14:O14</xm:f>
              <xm:sqref>Q14</xm:sqref>
            </x14:sparkline>
            <x14:sparkline>
              <xm:f>'Ай сайынғы ақша ағыны'!D15:O15</xm:f>
              <xm:sqref>Q15</xm:sqref>
            </x14:sparkline>
            <x14:sparkline>
              <xm:f>'Ай сайынғы ақша ағыны'!D16:O16</xm:f>
              <xm:sqref>Q16</xm:sqref>
            </x14:sparkline>
            <x14:sparkline>
              <xm:f>'Ай сайынғы ақша ағыны'!D17:O17</xm:f>
              <xm:sqref>Q17</xm:sqref>
            </x14:sparkline>
            <x14:sparkline>
              <xm:f>'Ай сайынғы ақша ағыны'!D18:O18</xm:f>
              <xm:sqref>Q18</xm:sqref>
            </x14:sparkline>
            <x14:sparkline>
              <xm:f>'Ай сайынғы ақша ағыны'!D19:O19</xm:f>
              <xm:sqref>Q19</xm:sqref>
            </x14:sparkline>
            <x14:sparkline>
              <xm:f>'Ай сайынғы ақша ағыны'!D20:O20</xm:f>
              <xm:sqref>Q20</xm:sqref>
            </x14:sparkline>
            <x14:sparkline>
              <xm:f>'Ай сайынғы ақша ағыны'!D21:O21</xm:f>
              <xm:sqref>Q21</xm:sqref>
            </x14:sparkline>
            <x14:sparkline>
              <xm:f>'Ай сайынғы ақша ағыны'!D22:O22</xm:f>
              <xm:sqref>Q22</xm:sqref>
            </x14:sparkline>
            <x14:sparkline>
              <xm:f>'Ай сайынғы ақша ағыны'!D23:O23</xm:f>
              <xm:sqref>Q23</xm:sqref>
            </x14:sparkline>
            <x14:sparkline>
              <xm:f>'Ай сайынғы ақша ағыны'!D24:O24</xm:f>
              <xm:sqref>Q24</xm:sqref>
            </x14:sparkline>
            <x14:sparkline>
              <xm:f>'Ай сайынғы ақша ағыны'!D25:O25</xm:f>
              <xm:sqref>Q25</xm:sqref>
            </x14:sparkline>
            <x14:sparkline>
              <xm:f>'Ай сайынғы ақша ағыны'!D26:O26</xm:f>
              <xm:sqref>Q26</xm:sqref>
            </x14:sparkline>
            <x14:sparkline>
              <xm:f>'Ай сайынғы ақша ағыны'!D27:O27</xm:f>
              <xm:sqref>Q27</xm:sqref>
            </x14:sparkline>
            <x14:sparkline>
              <xm:f>'Ай сайынғы ақша ағыны'!D28:O28</xm:f>
              <xm:sqref>Q28</xm:sqref>
            </x14:sparkline>
            <x14:sparkline>
              <xm:f>'Ай сайынғы ақша ағыны'!D29:O29</xm:f>
              <xm:sqref>Q29</xm:sqref>
            </x14:sparkline>
            <x14:sparkline>
              <xm:f>'Ай сайынғы ақша ағыны'!D30:O30</xm:f>
              <xm:sqref>Q30</xm:sqref>
            </x14:sparkline>
            <x14:sparkline>
              <xm:f>'Ай сайынғы ақша ағыны'!D31:O31</xm:f>
              <xm:sqref>Q31</xm:sqref>
            </x14:sparkline>
            <x14:sparkline>
              <xm:f>'Ай сайынғы ақша ағыны'!D32:O32</xm:f>
              <xm:sqref>Q32</xm:sqref>
            </x14:sparkline>
            <x14:sparkline>
              <xm:f>'Ай сайынғы ақша ағыны'!D33:O33</xm:f>
              <xm:sqref>Q33</xm:sqref>
            </x14:sparkline>
            <x14:sparkline>
              <xm:f>'Ай сайынғы ақша ағыны'!D34:O34</xm:f>
              <xm:sqref>Q34</xm:sqref>
            </x14:sparkline>
            <x14:sparkline>
              <xm:f>'Ай сайынғы ақша ағыны'!D35:O35</xm:f>
              <xm:sqref>Q35</xm:sqref>
            </x14:sparkline>
            <x14:sparkline>
              <xm:f>'Ай сайынғы ақша ағыны'!D36:O36</xm:f>
              <xm:sqref>Q36</xm:sqref>
            </x14:sparkline>
            <x14:sparkline>
              <xm:f>'Ай сайынғы ақша ағыны'!D37:O37</xm:f>
              <xm:sqref>Q37</xm:sqref>
            </x14:sparkline>
            <x14:sparkline>
              <xm:f>'Ай сайынғы ақша ағыны'!D38:O38</xm:f>
              <xm:sqref>Q38</xm:sqref>
            </x14:sparkline>
            <x14:sparkline>
              <xm:f>'Ай сайынғы ақша ағыны'!D39:O39</xm:f>
              <xm:sqref>Q39</xm:sqref>
            </x14:sparkline>
            <x14:sparkline>
              <xm:f>'Ай сайынғы ақша ағыны'!D40:O40</xm:f>
              <xm:sqref>Q40</xm:sqref>
            </x14:sparkline>
            <x14:sparkline>
              <xm:f>'Ай сайынғы ақша ағыны'!D41:O41</xm:f>
              <xm:sqref>Q41</xm:sqref>
            </x14:sparkline>
            <x14:sparkline>
              <xm:f>'Ай сайынғы ақша ағыны'!D42:O42</xm:f>
              <xm:sqref>Q42</xm:sqref>
            </x14:sparkline>
            <x14:sparkline>
              <xm:f>'Ай сайынғы ақша ағыны'!D43:O43</xm:f>
              <xm:sqref>Q43</xm:sqref>
            </x14:sparkline>
            <x14:sparkline>
              <xm:f>'Ай сайынғы ақша ағыны'!D44:O44</xm:f>
              <xm:sqref>Q44</xm:sqref>
            </x14:sparkline>
            <x14:sparkline>
              <xm:f>'Ай сайынғы ақша ағыны'!D45:O45</xm:f>
              <xm:sqref>Q45</xm:sqref>
            </x14:sparkline>
            <x14:sparkline>
              <xm:f>'Ай сайынғы ақша ағыны'!D46:O46</xm:f>
              <xm:sqref>Q46</xm:sqref>
            </x14:sparkline>
            <x14:sparkline>
              <xm:f>'Ай сайынғы ақша ағыны'!D47:O47</xm:f>
              <xm:sqref>Q47</xm:sqref>
            </x14:sparkline>
            <x14:sparkline>
              <xm:f>'Ай сайынғы ақша ағыны'!D48:O48</xm:f>
              <xm:sqref>Q48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autoPageBreaks="0" fitToPage="1"/>
  </sheetPr>
  <dimension ref="B1:Q56"/>
  <sheetViews>
    <sheetView showGridLines="0" zoomScaleNormal="100" workbookViewId="0"/>
  </sheetViews>
  <sheetFormatPr defaultRowHeight="16.5" customHeight="1" x14ac:dyDescent="0.2"/>
  <cols>
    <col min="1" max="1" width="2.7109375" customWidth="1"/>
    <col min="2" max="2" width="15.140625" customWidth="1"/>
    <col min="3" max="3" width="31.28515625" bestFit="1" customWidth="1"/>
    <col min="4" max="6" width="15" customWidth="1"/>
    <col min="7" max="7" width="7" customWidth="1"/>
    <col min="8" max="26" width="26.7109375" bestFit="1" customWidth="1"/>
    <col min="27" max="27" width="11.28515625" customWidth="1"/>
    <col min="28" max="30" width="19.28515625" bestFit="1" customWidth="1"/>
    <col min="31" max="31" width="12.42578125" bestFit="1" customWidth="1"/>
    <col min="32" max="36" width="26.7109375" bestFit="1" customWidth="1"/>
    <col min="37" max="37" width="12.42578125" bestFit="1" customWidth="1"/>
    <col min="38" max="38" width="11.28515625" bestFit="1" customWidth="1"/>
  </cols>
  <sheetData>
    <row r="1" spans="2:17" s="5" customFormat="1" ht="39" customHeight="1" x14ac:dyDescent="0.2">
      <c r="B1" s="8" t="s">
        <v>50</v>
      </c>
    </row>
    <row r="2" spans="2:17" ht="31.5" customHeight="1" x14ac:dyDescent="0.2">
      <c r="B2" s="58">
        <f>DailyCashFlow</f>
        <v>577.83999999999992</v>
      </c>
      <c r="C2" s="58"/>
      <c r="D2" s="58"/>
      <c r="E2" s="58"/>
      <c r="F2" s="36"/>
      <c r="H2" s="52" t="s">
        <v>62</v>
      </c>
      <c r="I2" s="52"/>
      <c r="J2" s="52"/>
      <c r="K2" s="52"/>
      <c r="L2" s="52"/>
      <c r="M2" s="52"/>
      <c r="N2" s="52"/>
      <c r="O2" s="52"/>
      <c r="P2" s="52"/>
      <c r="Q2" s="52"/>
    </row>
    <row r="4" spans="2:17" ht="25.5" customHeight="1" x14ac:dyDescent="0.2">
      <c r="B4" s="42" t="s">
        <v>74</v>
      </c>
      <c r="C4" s="43"/>
      <c r="D4" s="43"/>
      <c r="E4" s="43"/>
      <c r="F4" s="43"/>
    </row>
    <row r="5" spans="2:17" ht="16.5" customHeight="1" x14ac:dyDescent="0.2">
      <c r="B5" s="37" t="s">
        <v>48</v>
      </c>
      <c r="C5" s="38" t="s">
        <v>49</v>
      </c>
      <c r="D5" s="39" t="s">
        <v>42</v>
      </c>
      <c r="E5" s="39" t="s">
        <v>6</v>
      </c>
      <c r="F5" s="39" t="s">
        <v>80</v>
      </c>
    </row>
    <row r="6" spans="2:17" ht="16.5" customHeight="1" x14ac:dyDescent="0.2">
      <c r="B6" s="40" t="s">
        <v>0</v>
      </c>
      <c r="C6" s="41"/>
      <c r="D6" s="48">
        <f>SUMIF(tblDaily[Түрі],tblDailyTotals[[#This Row],[ҚОРЫТЫНДЫ]],tblDaily[Күнделікті])</f>
        <v>342.47</v>
      </c>
      <c r="E6" s="48">
        <f>SUMIF(tblDaily[Түрі],tblDailyTotals[[#This Row],[ҚОРЫТЫНДЫ]],tblDaily[Ай сайынғы])</f>
        <v>10416.795833333334</v>
      </c>
      <c r="F6" s="48">
        <f>SUMIF(tblDaily[Түрі],tblDailyTotals[[#This Row],[ҚОРЫТЫНДЫ]],tblDaily[Жыл сайынғы])</f>
        <v>125001.55000000002</v>
      </c>
    </row>
    <row r="7" spans="2:17" ht="16.5" customHeight="1" x14ac:dyDescent="0.2">
      <c r="B7" s="37" t="s">
        <v>7</v>
      </c>
      <c r="C7" s="38"/>
      <c r="D7" s="49">
        <f>SUMIF(tblDaily[Түрі],tblDailyTotals[[#This Row],[ҚОРЫТЫНДЫ]],tblDaily[Күнделікті])</f>
        <v>136.05999999999997</v>
      </c>
      <c r="E7" s="49">
        <f>SUMIF(tblDaily[Түрі],tblDailyTotals[[#This Row],[ҚОРЫТЫНДЫ]],tblDaily[Ай сайынғы])</f>
        <v>4138.4916666666668</v>
      </c>
      <c r="F7" s="49">
        <f>SUMIF(tblDaily[Түрі],tblDailyTotals[[#This Row],[ҚОРЫТЫНДЫ]],tblDaily[Жыл сайынғы])</f>
        <v>49661.899999999994</v>
      </c>
    </row>
    <row r="8" spans="2:17" ht="16.5" customHeight="1" x14ac:dyDescent="0.2">
      <c r="B8" s="37" t="s">
        <v>47</v>
      </c>
      <c r="C8" s="38"/>
      <c r="D8" s="49">
        <f>SUMIF(tblDaily[Түрі],tblDailyTotals[[#This Row],[ҚОРЫТЫНДЫ]],tblDaily[Күнделікті])</f>
        <v>36.29</v>
      </c>
      <c r="E8" s="49">
        <f>SUMIF(tblDaily[Түрі],tblDailyTotals[[#This Row],[ҚОРЫТЫНДЫ]],tblDaily[Ай сайынғы])</f>
        <v>1103.8208333333334</v>
      </c>
      <c r="F8" s="49">
        <f>SUMIF(tblDaily[Түрі],tblDailyTotals[[#This Row],[ҚОРЫТЫНДЫ]],tblDaily[Жыл сайынғы])</f>
        <v>13245.849999999999</v>
      </c>
    </row>
    <row r="9" spans="2:17" ht="16.5" customHeight="1" x14ac:dyDescent="0.2">
      <c r="B9" s="37" t="s">
        <v>38</v>
      </c>
      <c r="C9" s="38"/>
      <c r="D9" s="49">
        <f>SUMIF(tblDaily[Түрі],tblDailyTotals[[#This Row],[ҚОРЫТЫНДЫ]],tblDaily[Күнделікті])</f>
        <v>63.019999999999996</v>
      </c>
      <c r="E9" s="49">
        <f>SUMIF(tblDaily[Түрі],tblDailyTotals[[#This Row],[ҚОРЫТЫНДЫ]],tblDaily[Ай сайынғы])</f>
        <v>1916.8583333333333</v>
      </c>
      <c r="F9" s="49">
        <f>SUMIF(tblDaily[Түрі],tblDailyTotals[[#This Row],[ҚОРЫТЫНДЫ]],tblDaily[Жыл сайынғы])</f>
        <v>23002.300000000003</v>
      </c>
    </row>
    <row r="10" spans="2:17" ht="16.5" customHeight="1" x14ac:dyDescent="0.2">
      <c r="B10" s="57"/>
      <c r="C10" s="57"/>
      <c r="D10" s="57"/>
      <c r="E10" s="57"/>
      <c r="F10" s="57"/>
    </row>
    <row r="12" spans="2:17" ht="16.5" customHeight="1" x14ac:dyDescent="0.2">
      <c r="B12" s="31" t="s">
        <v>44</v>
      </c>
      <c r="C12" s="17" t="s">
        <v>45</v>
      </c>
      <c r="D12" s="17" t="s">
        <v>42</v>
      </c>
      <c r="E12" s="17" t="s">
        <v>6</v>
      </c>
      <c r="F12" s="17" t="s">
        <v>5</v>
      </c>
    </row>
    <row r="13" spans="2:17" ht="16.5" customHeight="1" x14ac:dyDescent="0.2">
      <c r="B13" s="32" t="s">
        <v>0</v>
      </c>
      <c r="C13" s="30" t="s">
        <v>1</v>
      </c>
      <c r="D13" s="46">
        <v>246.58</v>
      </c>
      <c r="E13" s="46">
        <f>tblDaily[[#This Row],[Жыл сайынғы]]/12</f>
        <v>7500.1416666666673</v>
      </c>
      <c r="F13" s="46">
        <f>tblDaily[[#This Row],[Күнделікті]]*365</f>
        <v>90001.700000000012</v>
      </c>
    </row>
    <row r="14" spans="2:17" ht="16.5" customHeight="1" x14ac:dyDescent="0.2">
      <c r="B14" s="32" t="s">
        <v>0</v>
      </c>
      <c r="C14" s="30" t="s">
        <v>2</v>
      </c>
      <c r="D14" s="46">
        <v>13.7</v>
      </c>
      <c r="E14" s="46">
        <f>tblDaily[[#This Row],[Жыл сайынғы]]/12</f>
        <v>416.70833333333331</v>
      </c>
      <c r="F14" s="46">
        <f>tblDaily[[#This Row],[Күнделікті]]*365</f>
        <v>5000.5</v>
      </c>
    </row>
    <row r="15" spans="2:17" ht="16.5" customHeight="1" x14ac:dyDescent="0.2">
      <c r="B15" s="32" t="s">
        <v>0</v>
      </c>
      <c r="C15" s="30" t="s">
        <v>4</v>
      </c>
      <c r="D15" s="46">
        <v>82.19</v>
      </c>
      <c r="E15" s="46">
        <f>tblDaily[[#This Row],[Жыл сайынғы]]/12</f>
        <v>2499.9458333333332</v>
      </c>
      <c r="F15" s="46">
        <f>tblDaily[[#This Row],[Күнделікті]]*365</f>
        <v>29999.35</v>
      </c>
    </row>
    <row r="16" spans="2:17" ht="16.5" customHeight="1" x14ac:dyDescent="0.2">
      <c r="B16" s="32" t="s">
        <v>0</v>
      </c>
      <c r="C16" s="30" t="s">
        <v>3</v>
      </c>
      <c r="D16" s="46">
        <v>0</v>
      </c>
      <c r="E16" s="46">
        <f>tblDaily[[#This Row],[Жыл сайынғы]]/12</f>
        <v>0</v>
      </c>
      <c r="F16" s="46">
        <f>tblDaily[[#This Row],[Күнделікті]]*365</f>
        <v>0</v>
      </c>
    </row>
    <row r="17" spans="2:6" ht="16.5" customHeight="1" x14ac:dyDescent="0.2">
      <c r="B17" s="32" t="s">
        <v>0</v>
      </c>
      <c r="C17" s="30" t="s">
        <v>25</v>
      </c>
      <c r="D17" s="46">
        <v>0</v>
      </c>
      <c r="E17" s="46">
        <f>tblDaily[[#This Row],[Жыл сайынғы]]/12</f>
        <v>0</v>
      </c>
      <c r="F17" s="46">
        <f>tblDaily[[#This Row],[Күнделікті]]*365</f>
        <v>0</v>
      </c>
    </row>
    <row r="18" spans="2:6" ht="16.5" customHeight="1" x14ac:dyDescent="0.2">
      <c r="B18" s="32" t="s">
        <v>0</v>
      </c>
      <c r="C18" s="30" t="s">
        <v>37</v>
      </c>
      <c r="D18" s="46">
        <v>0</v>
      </c>
      <c r="E18" s="46">
        <f>tblDaily[[#This Row],[Жыл сайынғы]]/12</f>
        <v>0</v>
      </c>
      <c r="F18" s="46">
        <f>tblDaily[[#This Row],[Күнделікті]]*365</f>
        <v>0</v>
      </c>
    </row>
    <row r="19" spans="2:6" ht="16.5" customHeight="1" x14ac:dyDescent="0.2">
      <c r="B19" s="32" t="s">
        <v>7</v>
      </c>
      <c r="C19" s="30" t="s">
        <v>8</v>
      </c>
      <c r="D19" s="46">
        <v>41.1</v>
      </c>
      <c r="E19" s="46">
        <f>tblDaily[[#This Row],[Жыл сайынғы]]/12</f>
        <v>1250.125</v>
      </c>
      <c r="F19" s="46">
        <f>tblDaily[[#This Row],[Күнделікті]]*365</f>
        <v>15001.5</v>
      </c>
    </row>
    <row r="20" spans="2:6" ht="16.5" customHeight="1" x14ac:dyDescent="0.2">
      <c r="B20" s="32" t="s">
        <v>7</v>
      </c>
      <c r="C20" s="30" t="s">
        <v>9</v>
      </c>
      <c r="D20" s="46">
        <v>6.85</v>
      </c>
      <c r="E20" s="46">
        <f>tblDaily[[#This Row],[Жыл сайынғы]]/12</f>
        <v>208.35416666666666</v>
      </c>
      <c r="F20" s="46">
        <f>tblDaily[[#This Row],[Күнделікті]]*365</f>
        <v>2500.25</v>
      </c>
    </row>
    <row r="21" spans="2:6" ht="16.5" customHeight="1" x14ac:dyDescent="0.2">
      <c r="B21" s="32" t="s">
        <v>7</v>
      </c>
      <c r="C21" s="30" t="s">
        <v>10</v>
      </c>
      <c r="D21" s="46">
        <v>0.55000000000000004</v>
      </c>
      <c r="E21" s="46">
        <f>tblDaily[[#This Row],[Жыл сайынғы]]/12</f>
        <v>16.729166666666668</v>
      </c>
      <c r="F21" s="46">
        <f>tblDaily[[#This Row],[Күнделікті]]*365</f>
        <v>200.75000000000003</v>
      </c>
    </row>
    <row r="22" spans="2:6" ht="16.5" customHeight="1" x14ac:dyDescent="0.2">
      <c r="B22" s="32" t="s">
        <v>7</v>
      </c>
      <c r="C22" s="30" t="s">
        <v>12</v>
      </c>
      <c r="D22" s="46">
        <v>10.96</v>
      </c>
      <c r="E22" s="46">
        <f>tblDaily[[#This Row],[Жыл сайынғы]]/12</f>
        <v>333.36666666666667</v>
      </c>
      <c r="F22" s="46">
        <f>tblDaily[[#This Row],[Күнделікті]]*365</f>
        <v>4000.4</v>
      </c>
    </row>
    <row r="23" spans="2:6" ht="16.5" customHeight="1" x14ac:dyDescent="0.2">
      <c r="B23" s="32" t="s">
        <v>7</v>
      </c>
      <c r="C23" s="30" t="s">
        <v>11</v>
      </c>
      <c r="D23" s="46">
        <v>41.1</v>
      </c>
      <c r="E23" s="46">
        <f>tblDaily[[#This Row],[Жыл сайынғы]]/12</f>
        <v>1250.125</v>
      </c>
      <c r="F23" s="46">
        <f>tblDaily[[#This Row],[Күнделікті]]*365</f>
        <v>15001.5</v>
      </c>
    </row>
    <row r="24" spans="2:6" ht="16.5" customHeight="1" x14ac:dyDescent="0.2">
      <c r="B24" s="32" t="s">
        <v>7</v>
      </c>
      <c r="C24" s="30" t="s">
        <v>13</v>
      </c>
      <c r="D24" s="46">
        <v>0.68</v>
      </c>
      <c r="E24" s="46">
        <f>tblDaily[[#This Row],[Жыл сайынғы]]/12</f>
        <v>20.683333333333334</v>
      </c>
      <c r="F24" s="46">
        <f>tblDaily[[#This Row],[Күнделікті]]*365</f>
        <v>248.20000000000002</v>
      </c>
    </row>
    <row r="25" spans="2:6" ht="16.5" customHeight="1" x14ac:dyDescent="0.2">
      <c r="B25" s="32" t="s">
        <v>7</v>
      </c>
      <c r="C25" s="30" t="s">
        <v>14</v>
      </c>
      <c r="D25" s="46">
        <v>3.29</v>
      </c>
      <c r="E25" s="46">
        <f>tblDaily[[#This Row],[Жыл сайынғы]]/12</f>
        <v>100.07083333333333</v>
      </c>
      <c r="F25" s="46">
        <f>tblDaily[[#This Row],[Күнделікті]]*365</f>
        <v>1200.8499999999999</v>
      </c>
    </row>
    <row r="26" spans="2:6" ht="16.5" customHeight="1" x14ac:dyDescent="0.2">
      <c r="B26" s="32" t="s">
        <v>7</v>
      </c>
      <c r="C26" s="30" t="s">
        <v>15</v>
      </c>
      <c r="D26" s="46">
        <v>1.64</v>
      </c>
      <c r="E26" s="46">
        <f>tblDaily[[#This Row],[Жыл сайынғы]]/12</f>
        <v>49.883333333333326</v>
      </c>
      <c r="F26" s="46">
        <f>tblDaily[[#This Row],[Күнделікті]]*365</f>
        <v>598.59999999999991</v>
      </c>
    </row>
    <row r="27" spans="2:6" ht="16.5" customHeight="1" x14ac:dyDescent="0.2">
      <c r="B27" s="32" t="s">
        <v>7</v>
      </c>
      <c r="C27" s="30" t="s">
        <v>16</v>
      </c>
      <c r="D27" s="46">
        <v>1.64</v>
      </c>
      <c r="E27" s="46">
        <f>tblDaily[[#This Row],[Жыл сайынғы]]/12</f>
        <v>49.883333333333326</v>
      </c>
      <c r="F27" s="46">
        <f>tblDaily[[#This Row],[Күнделікті]]*365</f>
        <v>598.59999999999991</v>
      </c>
    </row>
    <row r="28" spans="2:6" ht="16.5" customHeight="1" x14ac:dyDescent="0.2">
      <c r="B28" s="32" t="s">
        <v>7</v>
      </c>
      <c r="C28" s="30" t="s">
        <v>17</v>
      </c>
      <c r="D28" s="46">
        <v>0.82</v>
      </c>
      <c r="E28" s="46">
        <f>tblDaily[[#This Row],[Жыл сайынғы]]/12</f>
        <v>24.941666666666663</v>
      </c>
      <c r="F28" s="46">
        <f>tblDaily[[#This Row],[Күнделікті]]*365</f>
        <v>299.29999999999995</v>
      </c>
    </row>
    <row r="29" spans="2:6" ht="16.5" customHeight="1" x14ac:dyDescent="0.2">
      <c r="B29" s="32" t="s">
        <v>7</v>
      </c>
      <c r="C29" s="30" t="s">
        <v>18</v>
      </c>
      <c r="D29" s="46">
        <v>0.41</v>
      </c>
      <c r="E29" s="46">
        <f>tblDaily[[#This Row],[Жыл сайынғы]]/12</f>
        <v>12.470833333333331</v>
      </c>
      <c r="F29" s="46">
        <f>tblDaily[[#This Row],[Күнделікті]]*365</f>
        <v>149.64999999999998</v>
      </c>
    </row>
    <row r="30" spans="2:6" ht="16.5" customHeight="1" x14ac:dyDescent="0.2">
      <c r="B30" s="32" t="s">
        <v>7</v>
      </c>
      <c r="C30" s="30" t="s">
        <v>19</v>
      </c>
      <c r="D30" s="46">
        <v>1.64</v>
      </c>
      <c r="E30" s="46">
        <f>tblDaily[[#This Row],[Жыл сайынғы]]/12</f>
        <v>49.883333333333326</v>
      </c>
      <c r="F30" s="46">
        <f>tblDaily[[#This Row],[Күнделікті]]*365</f>
        <v>598.59999999999991</v>
      </c>
    </row>
    <row r="31" spans="2:6" ht="16.5" customHeight="1" x14ac:dyDescent="0.2">
      <c r="B31" s="32" t="s">
        <v>7</v>
      </c>
      <c r="C31" s="30" t="s">
        <v>20</v>
      </c>
      <c r="D31" s="46">
        <v>1.64</v>
      </c>
      <c r="E31" s="46">
        <f>tblDaily[[#This Row],[Жыл сайынғы]]/12</f>
        <v>49.883333333333326</v>
      </c>
      <c r="F31" s="46">
        <f>tblDaily[[#This Row],[Күнделікті]]*365</f>
        <v>598.59999999999991</v>
      </c>
    </row>
    <row r="32" spans="2:6" ht="16.5" customHeight="1" x14ac:dyDescent="0.2">
      <c r="B32" s="32" t="s">
        <v>7</v>
      </c>
      <c r="C32" s="30" t="s">
        <v>21</v>
      </c>
      <c r="D32" s="46">
        <v>4.1100000000000003</v>
      </c>
      <c r="E32" s="46">
        <f>tblDaily[[#This Row],[Жыл сайынғы]]/12</f>
        <v>125.0125</v>
      </c>
      <c r="F32" s="46">
        <f>tblDaily[[#This Row],[Күнделікті]]*365</f>
        <v>1500.15</v>
      </c>
    </row>
    <row r="33" spans="2:6" ht="16.5" customHeight="1" x14ac:dyDescent="0.2">
      <c r="B33" s="32" t="s">
        <v>7</v>
      </c>
      <c r="C33" s="30" t="s">
        <v>22</v>
      </c>
      <c r="D33" s="46">
        <v>13.7</v>
      </c>
      <c r="E33" s="46">
        <f>tblDaily[[#This Row],[Жыл сайынғы]]/12</f>
        <v>416.70833333333331</v>
      </c>
      <c r="F33" s="46">
        <f>tblDaily[[#This Row],[Күнделікті]]*365</f>
        <v>5000.5</v>
      </c>
    </row>
    <row r="34" spans="2:6" ht="16.5" customHeight="1" x14ac:dyDescent="0.2">
      <c r="B34" s="32" t="s">
        <v>7</v>
      </c>
      <c r="C34" s="30" t="s">
        <v>23</v>
      </c>
      <c r="D34" s="46">
        <v>3.29</v>
      </c>
      <c r="E34" s="46">
        <f>tblDaily[[#This Row],[Жыл сайынғы]]/12</f>
        <v>100.07083333333333</v>
      </c>
      <c r="F34" s="46">
        <f>tblDaily[[#This Row],[Күнделікті]]*365</f>
        <v>1200.8499999999999</v>
      </c>
    </row>
    <row r="35" spans="2:6" ht="16.5" customHeight="1" x14ac:dyDescent="0.2">
      <c r="B35" s="32" t="s">
        <v>7</v>
      </c>
      <c r="C35" s="30" t="s">
        <v>24</v>
      </c>
      <c r="D35" s="46">
        <v>1.64</v>
      </c>
      <c r="E35" s="46">
        <f>tblDaily[[#This Row],[Жыл сайынғы]]/12</f>
        <v>49.883333333333326</v>
      </c>
      <c r="F35" s="46">
        <f>tblDaily[[#This Row],[Күнделікті]]*365</f>
        <v>598.59999999999991</v>
      </c>
    </row>
    <row r="36" spans="2:6" ht="16.5" customHeight="1" x14ac:dyDescent="0.2">
      <c r="B36" s="32" t="s">
        <v>7</v>
      </c>
      <c r="C36" s="30" t="s">
        <v>43</v>
      </c>
      <c r="D36" s="46">
        <v>1</v>
      </c>
      <c r="E36" s="46">
        <f>tblDaily[[#This Row],[Жыл сайынғы]]/12</f>
        <v>30.416666666666668</v>
      </c>
      <c r="F36" s="46">
        <f>tblDaily[[#This Row],[Күнделікті]]*365</f>
        <v>365</v>
      </c>
    </row>
    <row r="37" spans="2:6" ht="16.5" customHeight="1" x14ac:dyDescent="0.2">
      <c r="B37" s="32" t="s">
        <v>7</v>
      </c>
      <c r="C37" s="30" t="s">
        <v>3</v>
      </c>
      <c r="D37" s="46">
        <v>0</v>
      </c>
      <c r="E37" s="46">
        <f>tblDaily[[#This Row],[Жыл сайынғы]]/12</f>
        <v>0</v>
      </c>
      <c r="F37" s="46">
        <f>tblDaily[[#This Row],[Күнделікті]]*365</f>
        <v>0</v>
      </c>
    </row>
    <row r="38" spans="2:6" ht="16.5" customHeight="1" x14ac:dyDescent="0.2">
      <c r="B38" s="32" t="s">
        <v>7</v>
      </c>
      <c r="C38" s="30" t="s">
        <v>25</v>
      </c>
      <c r="D38" s="46">
        <v>0</v>
      </c>
      <c r="E38" s="46">
        <f>tblDaily[[#This Row],[Жыл сайынғы]]/12</f>
        <v>0</v>
      </c>
      <c r="F38" s="46">
        <f>tblDaily[[#This Row],[Күнделікті]]*365</f>
        <v>0</v>
      </c>
    </row>
    <row r="39" spans="2:6" ht="16.5" customHeight="1" x14ac:dyDescent="0.2">
      <c r="B39" s="32" t="s">
        <v>7</v>
      </c>
      <c r="C39" s="30" t="s">
        <v>37</v>
      </c>
      <c r="D39" s="46">
        <v>0</v>
      </c>
      <c r="E39" s="46">
        <f>tblDaily[[#This Row],[Жыл сайынғы]]/12</f>
        <v>0</v>
      </c>
      <c r="F39" s="46">
        <f>tblDaily[[#This Row],[Күнделікті]]*365</f>
        <v>0</v>
      </c>
    </row>
    <row r="40" spans="2:6" ht="16.5" customHeight="1" x14ac:dyDescent="0.2">
      <c r="B40" s="32" t="s">
        <v>47</v>
      </c>
      <c r="C40" s="30" t="s">
        <v>28</v>
      </c>
      <c r="D40" s="46">
        <v>3.29</v>
      </c>
      <c r="E40" s="46">
        <f>tblDaily[[#This Row],[Жыл сайынғы]]/12</f>
        <v>100.07083333333333</v>
      </c>
      <c r="F40" s="46">
        <f>tblDaily[[#This Row],[Күнделікті]]*365</f>
        <v>1200.8499999999999</v>
      </c>
    </row>
    <row r="41" spans="2:6" ht="16.5" customHeight="1" x14ac:dyDescent="0.2">
      <c r="B41" s="32" t="s">
        <v>47</v>
      </c>
      <c r="C41" s="30" t="s">
        <v>29</v>
      </c>
      <c r="D41" s="46">
        <v>1.64</v>
      </c>
      <c r="E41" s="46">
        <f>tblDaily[[#This Row],[Жыл сайынғы]]/12</f>
        <v>49.883333333333326</v>
      </c>
      <c r="F41" s="46">
        <f>tblDaily[[#This Row],[Күнделікті]]*365</f>
        <v>598.59999999999991</v>
      </c>
    </row>
    <row r="42" spans="2:6" ht="16.5" customHeight="1" x14ac:dyDescent="0.2">
      <c r="B42" s="32" t="s">
        <v>47</v>
      </c>
      <c r="C42" s="30" t="s">
        <v>30</v>
      </c>
      <c r="D42" s="46">
        <v>6.16</v>
      </c>
      <c r="E42" s="46">
        <f>tblDaily[[#This Row],[Жыл сайынғы]]/12</f>
        <v>187.36666666666667</v>
      </c>
      <c r="F42" s="46">
        <f>tblDaily[[#This Row],[Күнделікті]]*365</f>
        <v>2248.4</v>
      </c>
    </row>
    <row r="43" spans="2:6" ht="16.5" customHeight="1" x14ac:dyDescent="0.2">
      <c r="B43" s="32" t="s">
        <v>47</v>
      </c>
      <c r="C43" s="30" t="s">
        <v>31</v>
      </c>
      <c r="D43" s="46">
        <v>3.29</v>
      </c>
      <c r="E43" s="46">
        <f>tblDaily[[#This Row],[Жыл сайынғы]]/12</f>
        <v>100.07083333333333</v>
      </c>
      <c r="F43" s="46">
        <f>tblDaily[[#This Row],[Күнделікті]]*365</f>
        <v>1200.8499999999999</v>
      </c>
    </row>
    <row r="44" spans="2:6" ht="16.5" customHeight="1" x14ac:dyDescent="0.2">
      <c r="B44" s="32" t="s">
        <v>47</v>
      </c>
      <c r="C44" s="30" t="s">
        <v>32</v>
      </c>
      <c r="D44" s="46">
        <v>0.82</v>
      </c>
      <c r="E44" s="46">
        <f>tblDaily[[#This Row],[Жыл сайынғы]]/12</f>
        <v>24.941666666666663</v>
      </c>
      <c r="F44" s="46">
        <f>tblDaily[[#This Row],[Күнделікті]]*365</f>
        <v>299.29999999999995</v>
      </c>
    </row>
    <row r="45" spans="2:6" ht="16.5" customHeight="1" x14ac:dyDescent="0.2">
      <c r="B45" s="32" t="s">
        <v>47</v>
      </c>
      <c r="C45" s="30" t="s">
        <v>33</v>
      </c>
      <c r="D45" s="46">
        <v>5.48</v>
      </c>
      <c r="E45" s="46">
        <f>tblDaily[[#This Row],[Жыл сайынғы]]/12</f>
        <v>166.68333333333334</v>
      </c>
      <c r="F45" s="46">
        <f>tblDaily[[#This Row],[Күнделікті]]*365</f>
        <v>2000.2</v>
      </c>
    </row>
    <row r="46" spans="2:6" ht="16.5" customHeight="1" x14ac:dyDescent="0.2">
      <c r="B46" s="32" t="s">
        <v>47</v>
      </c>
      <c r="C46" s="30" t="s">
        <v>34</v>
      </c>
      <c r="D46" s="46">
        <v>1.64</v>
      </c>
      <c r="E46" s="46">
        <f>tblDaily[[#This Row],[Жыл сайынғы]]/12</f>
        <v>49.883333333333326</v>
      </c>
      <c r="F46" s="46">
        <f>tblDaily[[#This Row],[Күнделікті]]*365</f>
        <v>598.59999999999991</v>
      </c>
    </row>
    <row r="47" spans="2:6" ht="16.5" customHeight="1" x14ac:dyDescent="0.2">
      <c r="B47" s="32" t="s">
        <v>47</v>
      </c>
      <c r="C47" s="30" t="s">
        <v>35</v>
      </c>
      <c r="D47" s="46">
        <v>0.82</v>
      </c>
      <c r="E47" s="46">
        <f>tblDaily[[#This Row],[Жыл сайынғы]]/12</f>
        <v>24.941666666666663</v>
      </c>
      <c r="F47" s="46">
        <f>tblDaily[[#This Row],[Күнделікті]]*365</f>
        <v>299.29999999999995</v>
      </c>
    </row>
    <row r="48" spans="2:6" ht="16.5" customHeight="1" x14ac:dyDescent="0.2">
      <c r="B48" s="32" t="s">
        <v>47</v>
      </c>
      <c r="C48" s="30" t="s">
        <v>36</v>
      </c>
      <c r="D48" s="46">
        <v>13.15</v>
      </c>
      <c r="E48" s="46">
        <f>tblDaily[[#This Row],[Жыл сайынғы]]/12</f>
        <v>399.97916666666669</v>
      </c>
      <c r="F48" s="46">
        <f>tblDaily[[#This Row],[Күнделікті]]*365</f>
        <v>4799.75</v>
      </c>
    </row>
    <row r="49" spans="2:6" ht="16.5" customHeight="1" x14ac:dyDescent="0.2">
      <c r="B49" s="32" t="s">
        <v>47</v>
      </c>
      <c r="C49" s="30" t="s">
        <v>4</v>
      </c>
      <c r="D49" s="46">
        <v>0</v>
      </c>
      <c r="E49" s="46">
        <f>tblDaily[[#This Row],[Жыл сайынғы]]/12</f>
        <v>0</v>
      </c>
      <c r="F49" s="46">
        <f>tblDaily[[#This Row],[Күнделікті]]*365</f>
        <v>0</v>
      </c>
    </row>
    <row r="50" spans="2:6" ht="16.5" customHeight="1" x14ac:dyDescent="0.2">
      <c r="B50" s="32" t="s">
        <v>47</v>
      </c>
      <c r="C50" s="30" t="s">
        <v>3</v>
      </c>
      <c r="D50" s="46">
        <v>0</v>
      </c>
      <c r="E50" s="46">
        <f>tblDaily[[#This Row],[Жыл сайынғы]]/12</f>
        <v>0</v>
      </c>
      <c r="F50" s="46">
        <f>tblDaily[[#This Row],[Күнделікті]]*365</f>
        <v>0</v>
      </c>
    </row>
    <row r="51" spans="2:6" ht="16.5" customHeight="1" x14ac:dyDescent="0.2">
      <c r="B51" s="32" t="s">
        <v>38</v>
      </c>
      <c r="C51" s="30" t="s">
        <v>39</v>
      </c>
      <c r="D51" s="46">
        <v>13.7</v>
      </c>
      <c r="E51" s="46">
        <f>tblDaily[[#This Row],[Жыл сайынғы]]/12</f>
        <v>416.70833333333331</v>
      </c>
      <c r="F51" s="46">
        <f>tblDaily[[#This Row],[Күнделікті]]*365</f>
        <v>5000.5</v>
      </c>
    </row>
    <row r="52" spans="2:6" ht="16.5" customHeight="1" x14ac:dyDescent="0.2">
      <c r="B52" s="32" t="s">
        <v>38</v>
      </c>
      <c r="C52" s="30" t="s">
        <v>40</v>
      </c>
      <c r="D52" s="46">
        <v>32.880000000000003</v>
      </c>
      <c r="E52" s="46">
        <f>tblDaily[[#This Row],[Жыл сайынғы]]/12</f>
        <v>1000.1</v>
      </c>
      <c r="F52" s="46">
        <f>tblDaily[[#This Row],[Күнделікті]]*365</f>
        <v>12001.2</v>
      </c>
    </row>
    <row r="53" spans="2:6" ht="16.5" customHeight="1" x14ac:dyDescent="0.2">
      <c r="B53" s="32" t="s">
        <v>38</v>
      </c>
      <c r="C53" s="30" t="s">
        <v>41</v>
      </c>
      <c r="D53" s="46">
        <v>16.440000000000001</v>
      </c>
      <c r="E53" s="46">
        <f>tblDaily[[#This Row],[Жыл сайынғы]]/12</f>
        <v>500.05</v>
      </c>
      <c r="F53" s="46">
        <f>tblDaily[[#This Row],[Күнделікті]]*365</f>
        <v>6000.6</v>
      </c>
    </row>
    <row r="54" spans="2:6" ht="16.5" customHeight="1" x14ac:dyDescent="0.2">
      <c r="B54" s="32" t="s">
        <v>38</v>
      </c>
      <c r="C54" s="30" t="s">
        <v>4</v>
      </c>
      <c r="D54" s="46">
        <v>0</v>
      </c>
      <c r="E54" s="46">
        <f>tblDaily[[#This Row],[Жыл сайынғы]]/12</f>
        <v>0</v>
      </c>
      <c r="F54" s="46">
        <f>tblDaily[[#This Row],[Күнделікті]]*365</f>
        <v>0</v>
      </c>
    </row>
    <row r="55" spans="2:6" ht="16.5" customHeight="1" x14ac:dyDescent="0.2">
      <c r="B55" s="32" t="s">
        <v>38</v>
      </c>
      <c r="C55" s="30" t="s">
        <v>3</v>
      </c>
      <c r="D55" s="46">
        <v>0</v>
      </c>
      <c r="E55" s="46">
        <f>tblDaily[[#This Row],[Жыл сайынғы]]/12</f>
        <v>0</v>
      </c>
      <c r="F55" s="46">
        <f>tblDaily[[#This Row],[Күнделікті]]*365</f>
        <v>0</v>
      </c>
    </row>
    <row r="56" spans="2:6" ht="16.5" customHeight="1" x14ac:dyDescent="0.2">
      <c r="B56" s="34" t="s">
        <v>26</v>
      </c>
      <c r="D56" s="47">
        <f>SUMIF(tblDaily[Түрі],"Пайда",tblDaily[Күнделікті])-SUMIF(tblDaily[Түрі],"&lt;&gt;Пайда",tblDaily[Күнделікті])</f>
        <v>107.10000000000014</v>
      </c>
      <c r="E56" s="47">
        <f>SUMIF(tblDaily[Түрі],"Пайда",tblDaily[Ай сайынғы])-SUMIF(tblDaily[Түрі],"&lt;&gt;Пайда",tblDaily[Ай сайынғы])</f>
        <v>3257.625</v>
      </c>
      <c r="F56" s="47">
        <f>SUMIF(tblDaily[Түрі],"Пайда",tblDaily[Жыл сайынғы])-SUMIF(tblDaily[Түрі],"&lt;&gt;Пайда",tblDaily[Жыл сайынғы])</f>
        <v>39091.500000000015</v>
      </c>
    </row>
  </sheetData>
  <mergeCells count="3">
    <mergeCell ref="H2:Q2"/>
    <mergeCell ref="B10:F10"/>
    <mergeCell ref="B2:E2"/>
  </mergeCells>
  <conditionalFormatting sqref="D13:F56">
    <cfRule type="expression" dxfId="25" priority="1">
      <formula>(MOD(ROW(),2)=0)*($B13&lt;&gt;"Пайда")</formula>
    </cfRule>
    <cfRule type="expression" dxfId="24" priority="8">
      <formula>(MOD(ROW(),2)=0)*($B13="Пайда")</formula>
    </cfRule>
  </conditionalFormatting>
  <conditionalFormatting sqref="F13:F56">
    <cfRule type="expression" dxfId="23" priority="2">
      <formula>(MOD(ROW(),2)&lt;&gt;0)*($B13&lt;&gt;"Пайда")</formula>
    </cfRule>
    <cfRule type="expression" dxfId="22" priority="5">
      <formula>(MOD(ROW(),2)&lt;&gt;0)*($B13="Пайда")</formula>
    </cfRule>
  </conditionalFormatting>
  <conditionalFormatting sqref="E13:E56">
    <cfRule type="expression" dxfId="21" priority="3">
      <formula>(MOD(ROW(),2)&lt;&gt;0)*($B13&lt;&gt;"Пайда")</formula>
    </cfRule>
    <cfRule type="expression" dxfId="20" priority="6">
      <formula>(MOD(ROW(),2)&lt;&gt;0)*($B13="Пайда")</formula>
    </cfRule>
  </conditionalFormatting>
  <conditionalFormatting sqref="D13:D56">
    <cfRule type="expression" dxfId="19" priority="4">
      <formula>(MOD(ROW(),2)&lt;&gt;0)*($B13&lt;&gt;"Пайда")</formula>
    </cfRule>
    <cfRule type="expression" dxfId="18" priority="7">
      <formula>(MOD(ROW(),2)&lt;&gt;0)*($B13="Пайда")</formula>
    </cfRule>
  </conditionalFormatting>
  <conditionalFormatting sqref="B13:C56">
    <cfRule type="expression" dxfId="17" priority="9">
      <formula>(MOD(ROW(),2)&lt;&gt;0)*($B13="Пайда")</formula>
    </cfRule>
    <cfRule type="expression" dxfId="16" priority="10">
      <formula>(MOD(ROW(),2)=0)*($B13="Пайда")</formula>
    </cfRule>
  </conditionalFormatting>
  <dataValidations count="1">
    <dataValidation type="list" allowBlank="1" showInputMessage="1" showErrorMessage="1" sqref="B13:B55">
      <formula1>"Пайда,Шығындар,Тәуелсіз,Сақтаулар"</formula1>
    </dataValidation>
  </dataValidations>
  <pageMargins left="0.25" right="0.25" top="0.75" bottom="0.75" header="0.3" footer="0.3"/>
  <pageSetup paperSize="9" fitToHeight="0" orientation="portrait" r:id="rId1"/>
  <rowBreaks count="1" manualBreakCount="1">
    <brk id="45" max="16383" man="1"/>
  </rowBreak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A33922BAE4C84F4E8C6723C7BE9E79680400BFF6824391BA584FB1AA5C503251C8CC" ma:contentTypeVersion="63" ma:contentTypeDescription="Create a new document." ma:contentTypeScope="" ma:versionID="57565a98534b5cf67015471775c6c611">
  <xsd:schema xmlns:xsd="http://www.w3.org/2001/XMLSchema" xmlns:xs="http://www.w3.org/2001/XMLSchema" xmlns:p="http://schemas.microsoft.com/office/2006/metadata/properties" xmlns:ns2="c616140f-eae5-4fa4-a535-c7b81538bbde" targetNamespace="http://schemas.microsoft.com/office/2006/metadata/properties" ma:root="true" ma:fieldsID="c1dd8d3e80f057fdccdfffedab9cfa9e" ns2:_="">
    <xsd:import namespace="c616140f-eae5-4fa4-a535-c7b81538bbde"/>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6140f-eae5-4fa4-a535-c7b81538bbde"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4dfe82e0-ce6f-4a2f-ab3a-6cab0b7c077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F1CB9F61-99DD-48E1-86D3-386750907DEC}" ma:internalName="CSXSubmissionMarket" ma:readOnly="false" ma:showField="MarketName" ma:web="c616140f-eae5-4fa4-a535-c7b81538bbde">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50ec31a0-6b58-412d-a4c5-810551e015b4}"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5714661-F889-4248-A724-C41E726AD770}" ma:internalName="InProjectListLookup" ma:readOnly="true" ma:showField="InProjectLis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befa2f5-5f22-4fe5-ac17-4c6ecd47c20c}"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5714661-F889-4248-A724-C41E726AD770}" ma:internalName="LastCompleteVersionLookup" ma:readOnly="true" ma:showField="LastComplete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5714661-F889-4248-A724-C41E726AD770}" ma:internalName="LastPreviewErrorLookup" ma:readOnly="true" ma:showField="LastPreview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5714661-F889-4248-A724-C41E726AD770}" ma:internalName="LastPreviewResultLookup" ma:readOnly="true" ma:showField="LastPreview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5714661-F889-4248-A724-C41E726AD770}" ma:internalName="LastPreviewAttemptDateLookup" ma:readOnly="true" ma:showField="LastPreview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5714661-F889-4248-A724-C41E726AD770}" ma:internalName="LastPreviewedByLookup" ma:readOnly="true" ma:showField="LastPreview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5714661-F889-4248-A724-C41E726AD770}" ma:internalName="LastPreviewTimeLookup" ma:readOnly="true" ma:showField="LastPreview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5714661-F889-4248-A724-C41E726AD770}" ma:internalName="LastPreviewVersionLookup" ma:readOnly="true" ma:showField="LastPreview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5714661-F889-4248-A724-C41E726AD770}" ma:internalName="LastPublishErrorLookup" ma:readOnly="true" ma:showField="LastPublishError"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5714661-F889-4248-A724-C41E726AD770}" ma:internalName="LastPublishResultLookup" ma:readOnly="true" ma:showField="LastPublishResult"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5714661-F889-4248-A724-C41E726AD770}" ma:internalName="LastPublishAttemptDateLookup" ma:readOnly="true" ma:showField="LastPublishAttemptDat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5714661-F889-4248-A724-C41E726AD770}" ma:internalName="LastPublishedByLookup" ma:readOnly="true" ma:showField="LastPublishedBy"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5714661-F889-4248-A724-C41E726AD770}" ma:internalName="LastPublishTimeLookup" ma:readOnly="true" ma:showField="LastPublishTi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5714661-F889-4248-A724-C41E726AD770}" ma:internalName="LastPublishVersionLookup" ma:readOnly="true" ma:showField="LastPublishVersion"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23F778A-BEA3-4F80-ACAA-DA37C2D16360}" ma:internalName="LocLastLocAttemptVersionLookup" ma:readOnly="false" ma:showField="LastLocAttemptVersion" ma:web="c616140f-eae5-4fa4-a535-c7b81538bbde">
      <xsd:simpleType>
        <xsd:restriction base="dms:Lookup"/>
      </xsd:simpleType>
    </xsd:element>
    <xsd:element name="LocLastLocAttemptVersionTypeLookup" ma:index="71" nillable="true" ma:displayName="Loc Last Loc Attempt Version Type" ma:default="" ma:list="{D23F778A-BEA3-4F80-ACAA-DA37C2D16360}" ma:internalName="LocLastLocAttemptVersionTypeLookup" ma:readOnly="true" ma:showField="LastLocAttemptVersionType" ma:web="c616140f-eae5-4fa4-a535-c7b81538bbde">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23F778A-BEA3-4F80-ACAA-DA37C2D16360}" ma:internalName="LocNewPublishedVersionLookup" ma:readOnly="true" ma:showField="NewPublishedVersion" ma:web="c616140f-eae5-4fa4-a535-c7b81538bbde">
      <xsd:simpleType>
        <xsd:restriction base="dms:Lookup"/>
      </xsd:simpleType>
    </xsd:element>
    <xsd:element name="LocOverallHandbackStatusLookup" ma:index="75" nillable="true" ma:displayName="Loc Overall Handback Status" ma:default="" ma:list="{D23F778A-BEA3-4F80-ACAA-DA37C2D16360}" ma:internalName="LocOverallHandbackStatusLookup" ma:readOnly="true" ma:showField="OverallHandbackStatus" ma:web="c616140f-eae5-4fa4-a535-c7b81538bbde">
      <xsd:simpleType>
        <xsd:restriction base="dms:Lookup"/>
      </xsd:simpleType>
    </xsd:element>
    <xsd:element name="LocOverallLocStatusLookup" ma:index="76" nillable="true" ma:displayName="Loc Overall Localize Status" ma:default="" ma:list="{D23F778A-BEA3-4F80-ACAA-DA37C2D16360}" ma:internalName="LocOverallLocStatusLookup" ma:readOnly="true" ma:showField="OverallLocStatus" ma:web="c616140f-eae5-4fa4-a535-c7b81538bbde">
      <xsd:simpleType>
        <xsd:restriction base="dms:Lookup"/>
      </xsd:simpleType>
    </xsd:element>
    <xsd:element name="LocOverallPreviewStatusLookup" ma:index="77" nillable="true" ma:displayName="Loc Overall Preview Status" ma:default="" ma:list="{D23F778A-BEA3-4F80-ACAA-DA37C2D16360}" ma:internalName="LocOverallPreviewStatusLookup" ma:readOnly="true" ma:showField="OverallPreviewStatus" ma:web="c616140f-eae5-4fa4-a535-c7b81538bbde">
      <xsd:simpleType>
        <xsd:restriction base="dms:Lookup"/>
      </xsd:simpleType>
    </xsd:element>
    <xsd:element name="LocOverallPublishStatusLookup" ma:index="78" nillable="true" ma:displayName="Loc Overall Publish Status" ma:default="" ma:list="{D23F778A-BEA3-4F80-ACAA-DA37C2D16360}" ma:internalName="LocOverallPublishStatusLookup" ma:readOnly="true" ma:showField="OverallPublishStatus" ma:web="c616140f-eae5-4fa4-a535-c7b81538bbde">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23F778A-BEA3-4F80-ACAA-DA37C2D16360}" ma:internalName="LocProcessedForHandoffsLookup" ma:readOnly="true" ma:showField="ProcessedForHandoffs" ma:web="c616140f-eae5-4fa4-a535-c7b81538bbde">
      <xsd:simpleType>
        <xsd:restriction base="dms:Lookup"/>
      </xsd:simpleType>
    </xsd:element>
    <xsd:element name="LocProcessedForMarketsLookup" ma:index="81" nillable="true" ma:displayName="Loc Processed For Markets" ma:default="" ma:list="{D23F778A-BEA3-4F80-ACAA-DA37C2D16360}" ma:internalName="LocProcessedForMarketsLookup" ma:readOnly="true" ma:showField="ProcessedForMarkets" ma:web="c616140f-eae5-4fa4-a535-c7b81538bbde">
      <xsd:simpleType>
        <xsd:restriction base="dms:Lookup"/>
      </xsd:simpleType>
    </xsd:element>
    <xsd:element name="LocPublishedDependentAssetsLookup" ma:index="82" nillable="true" ma:displayName="Loc Published Dependent Assets" ma:default="" ma:list="{D23F778A-BEA3-4F80-ACAA-DA37C2D16360}" ma:internalName="LocPublishedDependentAssetsLookup" ma:readOnly="true" ma:showField="PublishedDependentAssets" ma:web="c616140f-eae5-4fa4-a535-c7b81538bbde">
      <xsd:simpleType>
        <xsd:restriction base="dms:Lookup"/>
      </xsd:simpleType>
    </xsd:element>
    <xsd:element name="LocPublishedLinkedAssetsLookup" ma:index="83" nillable="true" ma:displayName="Loc Published Linked Assets" ma:default="" ma:list="{D23F778A-BEA3-4F80-ACAA-DA37C2D16360}" ma:internalName="LocPublishedLinkedAssetsLookup" ma:readOnly="true" ma:showField="PublishedLinkedAssets" ma:web="c616140f-eae5-4fa4-a535-c7b81538bbde">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0c103ddf-91d5-4b9e-8016-572e1885683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F1CB9F61-99DD-48E1-86D3-386750907DEC}" ma:internalName="Markets" ma:readOnly="false" ma:showField="MarketName"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5714661-F889-4248-A724-C41E726AD770}" ma:internalName="NumOfRatingsLookup" ma:readOnly="true" ma:showField="NumOfRating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5714661-F889-4248-A724-C41E726AD770}" ma:internalName="PublishStatusLookup" ma:readOnly="false" ma:showField="PublishStatus"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aa88b2a6-1a50-4128-b87b-114c770acc60}"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0b65973-db38-4b04-8b31-5b485a7eae30}" ma:internalName="TaxCatchAll" ma:showField="CatchAllData"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0b65973-db38-4b04-8b31-5b485a7eae30}" ma:internalName="TaxCatchAllLabel" ma:readOnly="true" ma:showField="CatchAllDataLabel" ma:web="c616140f-eae5-4fa4-a535-c7b81538bbde">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c616140f-eae5-4fa4-a535-c7b81538bbde" xsi:nil="true"/>
    <AssetExpire xmlns="c616140f-eae5-4fa4-a535-c7b81538bbde">2029-01-01T08:00:00+00:00</AssetExpire>
    <CampaignTagsTaxHTField0 xmlns="c616140f-eae5-4fa4-a535-c7b81538bbde">
      <Terms xmlns="http://schemas.microsoft.com/office/infopath/2007/PartnerControls"/>
    </CampaignTagsTaxHTField0>
    <IntlLangReviewDate xmlns="c616140f-eae5-4fa4-a535-c7b81538bbde" xsi:nil="true"/>
    <TPFriendlyName xmlns="c616140f-eae5-4fa4-a535-c7b81538bbde" xsi:nil="true"/>
    <IntlLangReview xmlns="c616140f-eae5-4fa4-a535-c7b81538bbde">false</IntlLangReview>
    <LocLastLocAttemptVersionLookup xmlns="c616140f-eae5-4fa4-a535-c7b81538bbde">848678</LocLastLocAttemptVersionLookup>
    <PolicheckWords xmlns="c616140f-eae5-4fa4-a535-c7b81538bbde" xsi:nil="true"/>
    <SubmitterId xmlns="c616140f-eae5-4fa4-a535-c7b81538bbde" xsi:nil="true"/>
    <AcquiredFrom xmlns="c616140f-eae5-4fa4-a535-c7b81538bbde">Internal MS</AcquiredFrom>
    <EditorialStatus xmlns="c616140f-eae5-4fa4-a535-c7b81538bbde">Complete</EditorialStatus>
    <Markets xmlns="c616140f-eae5-4fa4-a535-c7b81538bbde"/>
    <OriginAsset xmlns="c616140f-eae5-4fa4-a535-c7b81538bbde" xsi:nil="true"/>
    <AssetStart xmlns="c616140f-eae5-4fa4-a535-c7b81538bbde">2012-07-27T02:54:00+00:00</AssetStart>
    <FriendlyTitle xmlns="c616140f-eae5-4fa4-a535-c7b81538bbde" xsi:nil="true"/>
    <MarketSpecific xmlns="c616140f-eae5-4fa4-a535-c7b81538bbde">false</MarketSpecific>
    <TPNamespace xmlns="c616140f-eae5-4fa4-a535-c7b81538bbde" xsi:nil="true"/>
    <PublishStatusLookup xmlns="c616140f-eae5-4fa4-a535-c7b81538bbde">
      <Value>174015</Value>
    </PublishStatusLookup>
    <APAuthor xmlns="c616140f-eae5-4fa4-a535-c7b81538bbde">
      <UserInfo>
        <DisplayName>REDMOND\v-sa</DisplayName>
        <AccountId>2467</AccountId>
        <AccountType/>
      </UserInfo>
    </APAuthor>
    <TPCommandLine xmlns="c616140f-eae5-4fa4-a535-c7b81538bbde" xsi:nil="true"/>
    <IntlLangReviewer xmlns="c616140f-eae5-4fa4-a535-c7b81538bbde" xsi:nil="true"/>
    <OpenTemplate xmlns="c616140f-eae5-4fa4-a535-c7b81538bbde">true</OpenTemplate>
    <CSXSubmissionDate xmlns="c616140f-eae5-4fa4-a535-c7b81538bbde" xsi:nil="true"/>
    <TaxCatchAll xmlns="c616140f-eae5-4fa4-a535-c7b81538bbde"/>
    <Manager xmlns="c616140f-eae5-4fa4-a535-c7b81538bbde" xsi:nil="true"/>
    <NumericId xmlns="c616140f-eae5-4fa4-a535-c7b81538bbde" xsi:nil="true"/>
    <ParentAssetId xmlns="c616140f-eae5-4fa4-a535-c7b81538bbde" xsi:nil="true"/>
    <OriginalSourceMarket xmlns="c616140f-eae5-4fa4-a535-c7b81538bbde">english</OriginalSourceMarket>
    <ApprovalStatus xmlns="c616140f-eae5-4fa4-a535-c7b81538bbde">InProgress</ApprovalStatus>
    <TPComponent xmlns="c616140f-eae5-4fa4-a535-c7b81538bbde" xsi:nil="true"/>
    <EditorialTags xmlns="c616140f-eae5-4fa4-a535-c7b81538bbde" xsi:nil="true"/>
    <TPExecutable xmlns="c616140f-eae5-4fa4-a535-c7b81538bbde" xsi:nil="true"/>
    <TPLaunchHelpLink xmlns="c616140f-eae5-4fa4-a535-c7b81538bbde" xsi:nil="true"/>
    <LocComments xmlns="c616140f-eae5-4fa4-a535-c7b81538bbde" xsi:nil="true"/>
    <LocRecommendedHandoff xmlns="c616140f-eae5-4fa4-a535-c7b81538bbde" xsi:nil="true"/>
    <SourceTitle xmlns="c616140f-eae5-4fa4-a535-c7b81538bbde" xsi:nil="true"/>
    <CSXUpdate xmlns="c616140f-eae5-4fa4-a535-c7b81538bbde">false</CSXUpdate>
    <IntlLocPriority xmlns="c616140f-eae5-4fa4-a535-c7b81538bbde" xsi:nil="true"/>
    <UAProjectedTotalWords xmlns="c616140f-eae5-4fa4-a535-c7b81538bbde" xsi:nil="true"/>
    <AssetType xmlns="c616140f-eae5-4fa4-a535-c7b81538bbde">TP</AssetType>
    <MachineTranslated xmlns="c616140f-eae5-4fa4-a535-c7b81538bbde">false</MachineTranslated>
    <OutputCachingOn xmlns="c616140f-eae5-4fa4-a535-c7b81538bbde">false</OutputCachingOn>
    <TemplateStatus xmlns="c616140f-eae5-4fa4-a535-c7b81538bbde">Complete</TemplateStatus>
    <IsSearchable xmlns="c616140f-eae5-4fa4-a535-c7b81538bbde">true</IsSearchable>
    <ContentItem xmlns="c616140f-eae5-4fa4-a535-c7b81538bbde" xsi:nil="true"/>
    <HandoffToMSDN xmlns="c616140f-eae5-4fa4-a535-c7b81538bbde" xsi:nil="true"/>
    <ShowIn xmlns="c616140f-eae5-4fa4-a535-c7b81538bbde">Show everywhere</ShowIn>
    <ThumbnailAssetId xmlns="c616140f-eae5-4fa4-a535-c7b81538bbde" xsi:nil="true"/>
    <UALocComments xmlns="c616140f-eae5-4fa4-a535-c7b81538bbde" xsi:nil="true"/>
    <UALocRecommendation xmlns="c616140f-eae5-4fa4-a535-c7b81538bbde">Localize</UALocRecommendation>
    <LastModifiedDateTime xmlns="c616140f-eae5-4fa4-a535-c7b81538bbde" xsi:nil="true"/>
    <LegacyData xmlns="c616140f-eae5-4fa4-a535-c7b81538bbde" xsi:nil="true"/>
    <LocManualTestRequired xmlns="c616140f-eae5-4fa4-a535-c7b81538bbde">false</LocManualTestRequired>
    <LocMarketGroupTiers2 xmlns="c616140f-eae5-4fa4-a535-c7b81538bbde" xsi:nil="true"/>
    <ClipArtFilename xmlns="c616140f-eae5-4fa4-a535-c7b81538bbde" xsi:nil="true"/>
    <TPApplication xmlns="c616140f-eae5-4fa4-a535-c7b81538bbde" xsi:nil="true"/>
    <CSXHash xmlns="c616140f-eae5-4fa4-a535-c7b81538bbde" xsi:nil="true"/>
    <DirectSourceMarket xmlns="c616140f-eae5-4fa4-a535-c7b81538bbde">english</DirectSourceMarket>
    <PrimaryImageGen xmlns="c616140f-eae5-4fa4-a535-c7b81538bbde">false</PrimaryImageGen>
    <PlannedPubDate xmlns="c616140f-eae5-4fa4-a535-c7b81538bbde" xsi:nil="true"/>
    <CSXSubmissionMarket xmlns="c616140f-eae5-4fa4-a535-c7b81538bbde" xsi:nil="true"/>
    <Downloads xmlns="c616140f-eae5-4fa4-a535-c7b81538bbde">0</Downloads>
    <ArtSampleDocs xmlns="c616140f-eae5-4fa4-a535-c7b81538bbde" xsi:nil="true"/>
    <TrustLevel xmlns="c616140f-eae5-4fa4-a535-c7b81538bbde">1 Microsoft Managed Content</TrustLevel>
    <BlockPublish xmlns="c616140f-eae5-4fa4-a535-c7b81538bbde">false</BlockPublish>
    <TPLaunchHelpLinkType xmlns="c616140f-eae5-4fa4-a535-c7b81538bbde">Template</TPLaunchHelpLinkType>
    <LocalizationTagsTaxHTField0 xmlns="c616140f-eae5-4fa4-a535-c7b81538bbde">
      <Terms xmlns="http://schemas.microsoft.com/office/infopath/2007/PartnerControls"/>
    </LocalizationTagsTaxHTField0>
    <BusinessGroup xmlns="c616140f-eae5-4fa4-a535-c7b81538bbde" xsi:nil="true"/>
    <Providers xmlns="c616140f-eae5-4fa4-a535-c7b81538bbde" xsi:nil="true"/>
    <TemplateTemplateType xmlns="c616140f-eae5-4fa4-a535-c7b81538bbde">Excel 2007 Default</TemplateTemplateType>
    <TimesCloned xmlns="c616140f-eae5-4fa4-a535-c7b81538bbde" xsi:nil="true"/>
    <TPAppVersion xmlns="c616140f-eae5-4fa4-a535-c7b81538bbde" xsi:nil="true"/>
    <VoteCount xmlns="c616140f-eae5-4fa4-a535-c7b81538bbde" xsi:nil="true"/>
    <FeatureTagsTaxHTField0 xmlns="c616140f-eae5-4fa4-a535-c7b81538bbde">
      <Terms xmlns="http://schemas.microsoft.com/office/infopath/2007/PartnerControls"/>
    </FeatureTagsTaxHTField0>
    <Provider xmlns="c616140f-eae5-4fa4-a535-c7b81538bbde" xsi:nil="true"/>
    <UACurrentWords xmlns="c616140f-eae5-4fa4-a535-c7b81538bbde" xsi:nil="true"/>
    <AssetId xmlns="c616140f-eae5-4fa4-a535-c7b81538bbde">TP103107653</AssetId>
    <TPClientViewer xmlns="c616140f-eae5-4fa4-a535-c7b81538bbde" xsi:nil="true"/>
    <DSATActionTaken xmlns="c616140f-eae5-4fa4-a535-c7b81538bbde" xsi:nil="true"/>
    <APEditor xmlns="c616140f-eae5-4fa4-a535-c7b81538bbde">
      <UserInfo>
        <DisplayName/>
        <AccountId xsi:nil="true"/>
        <AccountType/>
      </UserInfo>
    </APEditor>
    <TPInstallLocation xmlns="c616140f-eae5-4fa4-a535-c7b81538bbde" xsi:nil="true"/>
    <OOCacheId xmlns="c616140f-eae5-4fa4-a535-c7b81538bbde" xsi:nil="true"/>
    <IsDeleted xmlns="c616140f-eae5-4fa4-a535-c7b81538bbde">false</IsDeleted>
    <PublishTargets xmlns="c616140f-eae5-4fa4-a535-c7b81538bbde">OfficeOnlineVNext</PublishTargets>
    <ApprovalLog xmlns="c616140f-eae5-4fa4-a535-c7b81538bbde" xsi:nil="true"/>
    <BugNumber xmlns="c616140f-eae5-4fa4-a535-c7b81538bbde" xsi:nil="true"/>
    <CrawlForDependencies xmlns="c616140f-eae5-4fa4-a535-c7b81538bbde">false</CrawlForDependencies>
    <InternalTagsTaxHTField0 xmlns="c616140f-eae5-4fa4-a535-c7b81538bbde">
      <Terms xmlns="http://schemas.microsoft.com/office/infopath/2007/PartnerControls"/>
    </InternalTagsTaxHTField0>
    <LastHandOff xmlns="c616140f-eae5-4fa4-a535-c7b81538bbde" xsi:nil="true"/>
    <Milestone xmlns="c616140f-eae5-4fa4-a535-c7b81538bbde" xsi:nil="true"/>
    <OriginalRelease xmlns="c616140f-eae5-4fa4-a535-c7b81538bbde">15</OriginalRelease>
    <RecommendationsModifier xmlns="c616140f-eae5-4fa4-a535-c7b81538bbde" xsi:nil="true"/>
    <ScenarioTagsTaxHTField0 xmlns="c616140f-eae5-4fa4-a535-c7b81538bbde">
      <Terms xmlns="http://schemas.microsoft.com/office/infopath/2007/PartnerControls"/>
    </ScenarioTagsTaxHTField0>
    <UANotes xmlns="c616140f-eae5-4fa4-a535-c7b81538bbde" xsi:nil="true"/>
  </documentManagement>
</p:properties>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9CDB27C-D906-422C-A0BA-7730B669FB1F}"/>
</file>

<file path=customXml/itemProps2.xml><?xml version="1.0" encoding="utf-8"?>
<ds:datastoreItem xmlns:ds="http://schemas.openxmlformats.org/officeDocument/2006/customXml" ds:itemID="{C60EDC96-2002-4DF1-ACDC-B42F339A6FBA}"/>
</file>

<file path=customXml/itemProps3.xml><?xml version="1.0" encoding="utf-8"?>
<ds:datastoreItem xmlns:ds="http://schemas.openxmlformats.org/officeDocument/2006/customXml" ds:itemID="{D17A89AD-7C17-4D39-9F87-A4BF75A997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Бағыттауыш</vt:lpstr>
      <vt:lpstr>Жылдық ақша ағыны</vt:lpstr>
      <vt:lpstr>Ай сайынғы ақша ағыны</vt:lpstr>
      <vt:lpstr>Күнделікті ақша ағыны</vt:lpstr>
      <vt:lpstr>MonthlyCashFlowToDate</vt:lpstr>
      <vt:lpstr>'Ай сайынғы ақша ағыны'!Басыпшығару_Бөлігі</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2012-07-26T19:57:19Z</dcterms:created>
  <dcterms:modified xsi:type="dcterms:W3CDTF">2012-11-01T15:44:41Z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0x010100A33922BAE4C84F4E8C6723C7BE9E79680400BFF6824391BA584FB1AA5C503251C8CC</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