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en-US\Desktop\12\"/>
    </mc:Choice>
  </mc:AlternateContent>
  <bookViews>
    <workbookView xWindow="0" yWindow="0" windowWidth="19440" windowHeight="14235"/>
  </bookViews>
  <sheets>
    <sheet name="Деректерді енгізу" sheetId="1" r:id="rId1"/>
    <sheet name="Сату туралы есеп" sheetId="2" r:id="rId2"/>
    <sheet name="Сатылымдар болжамы" sheetId="5" r:id="rId3"/>
  </sheets>
  <definedNames>
    <definedName name="_xlnm.Print_Titles" localSheetId="1">'Сату туралы есеп'!$B:$D,'Сату туралы есеп'!$4:$4</definedName>
    <definedName name="Басыпшығару_Бөлігі" localSheetId="2">'Сатылымдар болжамы'!$B$2:$J$43</definedName>
    <definedName name="Басыпшығару_тақырыптары" localSheetId="1">'Сату туралы есеп'!$B:$E,'Сату туралы есеп'!$5:$5</definedName>
    <definedName name="БолжамКүні">'Сатылымдар болжамы'!$D$3</definedName>
    <definedName name="жАй">'Сатылымдар болжамы'!$G$2</definedName>
    <definedName name="жЖыл">'Сатылымдар болжамы'!$I$2</definedName>
    <definedName name="жКҮН">'Сатылымдар болжамы'!$D$3</definedName>
    <definedName name="жКҮН_">'Сатылымдар болжамы'!$H$2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B6" i="1" l="1"/>
  <c r="H6" i="1" s="1"/>
  <c r="I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J6" i="1" l="1"/>
  <c r="K6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J1" i="1"/>
  <c r="K8" i="1" l="1"/>
  <c r="J8" i="1"/>
  <c r="H8" i="1"/>
  <c r="I8" i="1" s="1"/>
  <c r="K10" i="1"/>
  <c r="J10" i="1"/>
  <c r="H10" i="1"/>
  <c r="I10" i="1" s="1"/>
  <c r="K12" i="1"/>
  <c r="J12" i="1"/>
  <c r="H12" i="1"/>
  <c r="I12" i="1" s="1"/>
  <c r="K14" i="1"/>
  <c r="J14" i="1"/>
  <c r="H14" i="1"/>
  <c r="I14" i="1" s="1"/>
  <c r="K16" i="1"/>
  <c r="J16" i="1"/>
  <c r="H16" i="1"/>
  <c r="I16" i="1" s="1"/>
  <c r="K18" i="1"/>
  <c r="J18" i="1"/>
  <c r="H18" i="1"/>
  <c r="I18" i="1" s="1"/>
  <c r="K20" i="1"/>
  <c r="J20" i="1"/>
  <c r="H20" i="1"/>
  <c r="I20" i="1" s="1"/>
  <c r="K22" i="1"/>
  <c r="J22" i="1"/>
  <c r="H22" i="1"/>
  <c r="I22" i="1" s="1"/>
  <c r="K24" i="1"/>
  <c r="J24" i="1"/>
  <c r="H24" i="1"/>
  <c r="I24" i="1" s="1"/>
  <c r="H7" i="1"/>
  <c r="I7" i="1" s="1"/>
  <c r="N7" i="1"/>
  <c r="K7" i="1"/>
  <c r="L7" i="1"/>
  <c r="J7" i="1"/>
  <c r="N9" i="1"/>
  <c r="L9" i="1"/>
  <c r="H9" i="1"/>
  <c r="I9" i="1" s="1"/>
  <c r="K9" i="1"/>
  <c r="J9" i="1"/>
  <c r="H11" i="1"/>
  <c r="I11" i="1" s="1"/>
  <c r="N11" i="1"/>
  <c r="K11" i="1"/>
  <c r="L11" i="1"/>
  <c r="J11" i="1"/>
  <c r="N13" i="1"/>
  <c r="L13" i="1"/>
  <c r="H13" i="1"/>
  <c r="I13" i="1" s="1"/>
  <c r="K13" i="1"/>
  <c r="J13" i="1"/>
  <c r="H15" i="1"/>
  <c r="I15" i="1" s="1"/>
  <c r="N15" i="1"/>
  <c r="K15" i="1"/>
  <c r="L15" i="1"/>
  <c r="J15" i="1"/>
  <c r="N17" i="1"/>
  <c r="L17" i="1"/>
  <c r="H17" i="1"/>
  <c r="I17" i="1" s="1"/>
  <c r="K17" i="1"/>
  <c r="J17" i="1"/>
  <c r="H19" i="1"/>
  <c r="I19" i="1" s="1"/>
  <c r="N19" i="1"/>
  <c r="K19" i="1"/>
  <c r="L19" i="1"/>
  <c r="J19" i="1"/>
  <c r="N21" i="1"/>
  <c r="L21" i="1"/>
  <c r="H21" i="1"/>
  <c r="I21" i="1" s="1"/>
  <c r="M20" i="1" s="1"/>
  <c r="K21" i="1"/>
  <c r="J21" i="1"/>
  <c r="H23" i="1"/>
  <c r="I23" i="1" s="1"/>
  <c r="N23" i="1"/>
  <c r="K23" i="1"/>
  <c r="L23" i="1"/>
  <c r="J23" i="1"/>
  <c r="M24" i="1"/>
  <c r="M12" i="1"/>
  <c r="M6" i="1"/>
  <c r="P6" i="1" s="1"/>
  <c r="M17" i="1"/>
  <c r="M9" i="1"/>
  <c r="N8" i="1"/>
  <c r="N12" i="1"/>
  <c r="N16" i="1"/>
  <c r="N20" i="1"/>
  <c r="N24" i="1"/>
  <c r="L8" i="1"/>
  <c r="L12" i="1"/>
  <c r="L16" i="1"/>
  <c r="L20" i="1"/>
  <c r="L24" i="1"/>
  <c r="L6" i="1"/>
  <c r="O6" i="1" s="1"/>
  <c r="M23" i="1"/>
  <c r="M19" i="1"/>
  <c r="M15" i="1"/>
  <c r="M11" i="1"/>
  <c r="M7" i="1"/>
  <c r="N10" i="1"/>
  <c r="N14" i="1"/>
  <c r="N18" i="1"/>
  <c r="N22" i="1"/>
  <c r="O7" i="1"/>
  <c r="L10" i="1"/>
  <c r="L14" i="1"/>
  <c r="L18" i="1"/>
  <c r="O23" i="1" s="1"/>
  <c r="L22" i="1"/>
  <c r="N6" i="1"/>
  <c r="Q7" i="1" s="1"/>
  <c r="Q9" i="1"/>
  <c r="Q17" i="1"/>
  <c r="O11" i="1"/>
  <c r="O15" i="1"/>
  <c r="Q20" i="1"/>
  <c r="O10" i="1"/>
  <c r="O18" i="1"/>
  <c r="P7" i="1"/>
  <c r="D3" i="5"/>
  <c r="I14" i="5" s="1"/>
  <c r="O19" i="1" l="1"/>
  <c r="M13" i="1"/>
  <c r="M8" i="1"/>
  <c r="P9" i="1" s="1"/>
  <c r="M22" i="1"/>
  <c r="P8" i="1"/>
  <c r="Q12" i="1"/>
  <c r="Q6" i="1"/>
  <c r="M21" i="1"/>
  <c r="M16" i="1"/>
  <c r="O8" i="1"/>
  <c r="O12" i="1"/>
  <c r="O9" i="1"/>
  <c r="M10" i="1"/>
  <c r="M18" i="1"/>
  <c r="O24" i="1"/>
  <c r="O22" i="1"/>
  <c r="O14" i="1"/>
  <c r="Q24" i="1"/>
  <c r="Q16" i="1"/>
  <c r="Q8" i="1"/>
  <c r="Q21" i="1"/>
  <c r="Q13" i="1"/>
  <c r="O20" i="1"/>
  <c r="O17" i="1"/>
  <c r="Q23" i="1"/>
  <c r="Q19" i="1"/>
  <c r="Q15" i="1"/>
  <c r="Q11" i="1"/>
  <c r="O21" i="1"/>
  <c r="O13" i="1"/>
  <c r="M14" i="1"/>
  <c r="O16" i="1"/>
  <c r="Q22" i="1"/>
  <c r="Q18" i="1"/>
  <c r="Q14" i="1"/>
  <c r="Q10" i="1"/>
  <c r="D14" i="5"/>
  <c r="F14" i="5"/>
  <c r="H7" i="5"/>
  <c r="H8" i="5"/>
  <c r="G7" i="5"/>
  <c r="C10" i="5"/>
  <c r="C7" i="5"/>
  <c r="D7" i="5"/>
  <c r="G10" i="5"/>
  <c r="G6" i="5"/>
  <c r="C8" i="5"/>
  <c r="G8" i="5"/>
  <c r="D8" i="5"/>
  <c r="C6" i="5"/>
  <c r="P13" i="1" l="1"/>
  <c r="P10" i="1"/>
  <c r="P21" i="1"/>
  <c r="P24" i="1"/>
  <c r="P16" i="1"/>
  <c r="P19" i="1"/>
  <c r="P11" i="1"/>
  <c r="P22" i="1"/>
  <c r="P14" i="1"/>
  <c r="P17" i="1"/>
  <c r="P12" i="1"/>
  <c r="P15" i="1"/>
  <c r="P18" i="1"/>
  <c r="P20" i="1"/>
  <c r="P23" i="1"/>
  <c r="J7" i="5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<sst xmlns="http://schemas.openxmlformats.org/spreadsheetml/2006/main" count="94" uniqueCount="57">
  <si>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НиК</t>
  </si>
  <si>
    <t>Contoso Pharmaceuticals</t>
  </si>
  <si>
    <t>Хабаршы</t>
  </si>
  <si>
    <t>Батыс</t>
  </si>
  <si>
    <t>Өнер мектебі</t>
  </si>
  <si>
    <t>Нұрлан зерттеуі</t>
  </si>
  <si>
    <t>Жалпы қорытынды</t>
  </si>
  <si>
    <t>%</t>
  </si>
  <si>
    <t>Саны</t>
  </si>
  <si>
    <t>Табыс</t>
  </si>
  <si>
    <t>Қалдық</t>
  </si>
  <si>
    <t>Тапсырыстар саны</t>
  </si>
  <si>
    <t>Орташа тапсырыс мәні</t>
  </si>
  <si>
    <t>Сатылымдар</t>
  </si>
  <si>
    <t>Жыл басынан бергі %</t>
  </si>
  <si>
    <t>АЙ</t>
  </si>
  <si>
    <t>ТОҚСАН</t>
  </si>
  <si>
    <t xml:space="preserve">АЙ </t>
  </si>
  <si>
    <t xml:space="preserve">ТОҚСАН </t>
  </si>
  <si>
    <t xml:space="preserve">ЖЫЛ САЙЫНҒЫ </t>
  </si>
  <si>
    <t>ЖЫЛ</t>
  </si>
  <si>
    <t>КҮН</t>
  </si>
  <si>
    <t>КОМПАНИЯ</t>
  </si>
  <si>
    <t>МӨЛШЕРІ</t>
  </si>
  <si>
    <t>ЖОСПАРЛАНҒАН</t>
  </si>
  <si>
    <t>ҚҰНЫ</t>
  </si>
  <si>
    <t>ТАБЫС</t>
  </si>
  <si>
    <t>АЙ НӨМІРІ (ЖАСЫРЫН)</t>
  </si>
  <si>
    <t>БОЛЖАМ</t>
  </si>
  <si>
    <t>ҚОРЫТЫНДЫ</t>
  </si>
  <si>
    <r>
      <rPr>
        <sz val="22"/>
        <color theme="3"/>
        <rFont val="Arial Black"/>
        <family val="2"/>
        <scheme val="major"/>
      </rPr>
      <t xml:space="preserve">АЙ САЙЫНҒЫ </t>
    </r>
    <r>
      <rPr>
        <sz val="22"/>
        <color theme="4"/>
        <rFont val="Arial"/>
        <family val="2"/>
        <scheme val="minor"/>
      </rPr>
      <t>САТЫЛЫМ БОЛЖАМДАРЫ</t>
    </r>
  </si>
  <si>
    <t>ОСЫ АЙ</t>
  </si>
  <si>
    <t>НАҚТЫ</t>
  </si>
  <si>
    <t>ЖОСПАР</t>
  </si>
  <si>
    <t>АЙЫРМАШЫЛЫҚ</t>
  </si>
  <si>
    <t>ЖЫЛ БАСЫНАН БЕРГІ БАЗАЛЫҚ АКТИВ</t>
  </si>
  <si>
    <t>ЖЫЛ БАСЫНАН БЕРГІ ЖОСПАР</t>
  </si>
  <si>
    <t>ЖЫЛ БАСЫНАН БЕРГІ АЙЫРМАШЫЛЫҚ</t>
  </si>
  <si>
    <t>КЕЛЕСІ АЙ</t>
  </si>
  <si>
    <t>КЕЛЕСІ ТОҚСАН</t>
  </si>
  <si>
    <t>КЕЛЕСІ ЖЫЛ</t>
  </si>
  <si>
    <t>САТЫЛЫМДАР ЖУРНАЛЫ</t>
  </si>
  <si>
    <t>ЖЫЛДЫҚ БОЛЖАМ</t>
  </si>
  <si>
    <t>ТАБЫС АҒЫНЫ</t>
  </si>
  <si>
    <t>АЙЛЫҚ БОЛЖАМ</t>
  </si>
  <si>
    <t>ТОҚСАНДЫҚ БОЛЖАМ</t>
  </si>
  <si>
    <r>
      <rPr>
        <sz val="22"/>
        <color theme="3"/>
        <rFont val="Arial Black"/>
        <family val="2"/>
        <scheme val="major"/>
      </rPr>
      <t xml:space="preserve">АЙ САЙЫНҒЫ </t>
    </r>
    <r>
      <rPr>
        <sz val="22"/>
        <color theme="4"/>
        <rFont val="Arial"/>
        <family val="2"/>
        <scheme val="minor"/>
      </rPr>
      <t>САТУ ТУРАЛЫ ЕСЕП</t>
    </r>
  </si>
  <si>
    <t>ЖАЛПЫ САТЫЛЫМДАР</t>
  </si>
  <si>
    <t xml:space="preserve"> </t>
  </si>
  <si>
    <t>АЙ 2</t>
  </si>
  <si>
    <t>ТОҚСАН 3</t>
  </si>
  <si>
    <t xml:space="preserve">ЖЫЛ </t>
  </si>
  <si>
    <t>2013 Қорытынды</t>
  </si>
  <si>
    <t>Тоқсан 2 Қорытынды</t>
  </si>
  <si>
    <t>Тоқсан 3 Қорытынды</t>
  </si>
  <si>
    <t>Тоқсан 4 Қорытынды</t>
  </si>
  <si>
    <r>
      <rPr>
        <b/>
        <sz val="22"/>
        <color theme="3"/>
        <rFont val="Arial Black"/>
        <family val="2"/>
        <scheme val="major"/>
      </rPr>
      <t xml:space="preserve">АЙ САЙЫНҒЫ </t>
    </r>
    <r>
      <rPr>
        <b/>
        <sz val="22"/>
        <color theme="4"/>
        <rFont val="Arial Black"/>
        <family val="2"/>
        <scheme val="major"/>
      </rPr>
      <t>ДЕРЕКТЕРДІ ЕНГІЗУ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</si>
</sst>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0.00"/>
    <numFmt numFmtId="165" formatCode="mmmm"/>
    <numFmt numFmtId="166" formatCode="_(0"/>
    <numFmt numFmtId="167" formatCode="_(mmmm"/>
    <numFmt numFmtId="168" formatCode="&quot;Т&quot;#,##0.00"/>
    <numFmt numFmtId="169" formatCode="&quot;Тоқсан &quot;0"/>
    <numFmt numFmtId="170" formatCode="&quot; Тоқсан &quot;0"/>
  </numFmts>
  <fonts count="19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22"/>
      <name val="Arial Black"/>
      <family val="2"/>
      <scheme val="major"/>
    </font>
    <font>
      <b/>
      <sz val="22"/>
      <color theme="3"/>
      <name val="Arial Black"/>
      <family val="2"/>
      <scheme val="major"/>
    </font>
    <font>
      <b/>
      <sz val="22"/>
      <color theme="4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164" fontId="10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6" fontId="10" fillId="0" borderId="0" xfId="0" applyNumberFormat="1" applyFont="1">
      <alignment vertical="center"/>
    </xf>
    <xf numFmtId="16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3" fillId="5" borderId="0" xfId="0" applyNumberFormat="1" applyFont="1" applyFill="1" applyBorder="1" applyAlignment="1">
      <alignment horizontal="left"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168" fontId="9" fillId="5" borderId="1" xfId="0" applyNumberFormat="1" applyFont="1" applyFill="1" applyBorder="1" applyAlignment="1">
      <alignment horizontal="left" vertical="center" indent="1"/>
    </xf>
    <xf numFmtId="168" fontId="11" fillId="0" borderId="3" xfId="0" applyNumberFormat="1" applyFont="1" applyBorder="1" applyAlignment="1">
      <alignment horizontal="left"/>
    </xf>
    <xf numFmtId="168" fontId="0" fillId="0" borderId="0" xfId="0" applyNumberFormat="1">
      <alignment vertical="center"/>
    </xf>
    <xf numFmtId="168" fontId="10" fillId="0" borderId="0" xfId="0" applyNumberFormat="1" applyFont="1">
      <alignment vertical="center"/>
    </xf>
    <xf numFmtId="0" fontId="15" fillId="0" borderId="0" xfId="0" applyFont="1">
      <alignment vertical="center"/>
    </xf>
    <xf numFmtId="169" fontId="0" fillId="0" borderId="0" xfId="0" applyNumberFormat="1">
      <alignment vertical="center"/>
    </xf>
    <xf numFmtId="170" fontId="0" fillId="0" borderId="0" xfId="0" applyNumberFormat="1">
      <alignment vertical="center"/>
    </xf>
    <xf numFmtId="169" fontId="3" fillId="5" borderId="0" xfId="0" applyNumberFormat="1" applyFont="1" applyFill="1" applyBorder="1" applyAlignment="1">
      <alignment horizontal="left" vertical="center"/>
    </xf>
    <xf numFmtId="165" fontId="0" fillId="0" borderId="0" xfId="0" applyNumberFormat="1">
      <alignment vertical="center"/>
    </xf>
    <xf numFmtId="0" fontId="16" fillId="0" borderId="0" xfId="0" applyFont="1" applyFill="1" applyAlignment="1">
      <alignment vertical="center"/>
    </xf>
  </cellXfs>
  <cellStyles count="5">
    <cellStyle name="1-тақырып" xfId="2" builtinId="16" customBuiltin="1"/>
    <cellStyle name="2-тақырып" xfId="3" builtinId="17" customBuiltin="1"/>
    <cellStyle name="4-тақырып" xfId="4" builtinId="19" customBuiltin="1"/>
    <cellStyle name="Қалыпты" xfId="0" builtinId="0" customBuiltin="1"/>
    <cellStyle name="Үтір" xfId="1" builtinId="3"/>
  </cellStyles>
  <dxfs count="41">
    <dxf>
      <numFmt numFmtId="168" formatCode="&quot;Т&quot;#,##0.00"/>
    </dxf>
    <dxf>
      <font>
        <b/>
      </font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font>
        <b/>
      </font>
    </dxf>
    <dxf>
      <numFmt numFmtId="168" formatCode="&quot;Т&quot;#,##0.00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5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оқсан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Тоқсан &quot;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Сату туралы есеп Table Style" defaultPivotStyle="Monthly Сату туралы есеп PivotTable Style">
    <tableStyle name="Monthly Сату туралы есеп PivotTable Style" table="0" count="8">
      <tableStyleElement type="wholeTable" dxfId="40"/>
      <tableStyleElement type="headerRow" dxfId="39"/>
      <tableStyleElement type="totalRow" dxfId="38"/>
      <tableStyleElement type="secondSubtotalRow" dxfId="37"/>
      <tableStyleElement type="thirdSubtotalRow" dxfId="36"/>
      <tableStyleElement type="firstRowSubheading" dxfId="35"/>
      <tableStyleElement type="secondRowSubheading" dxfId="34"/>
      <tableStyleElement type="thirdRowSubheading" dxfId="33"/>
    </tableStyle>
    <tableStyle name="Monthly Сату туралы есеп Table Style" pivot="0" count="2">
      <tableStyleElement type="wholeTable" dxfId="32"/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'Деректерді енгізу'!$D$5</c:f>
              <c:strCache>
                <c:ptCount val="1"/>
                <c:pt idx="0">
                  <c:v>МӨЛШЕРІ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енгізу'!$D$6:$D$24</c:f>
              <c:numCache>
                <c:formatCode>"Т"#\ ##0.00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'Деректерді енгізу'!$E$5</c:f>
              <c:strCache>
                <c:ptCount val="1"/>
                <c:pt idx="0">
                  <c:v>ЖОСПАРЛАНҒАН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енгізу'!$E$6:$E$24</c:f>
              <c:numCache>
                <c:formatCode>"Т"#\ ##0.00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'Деректерді енгізу'!$F$5</c:f>
              <c:strCache>
                <c:ptCount val="1"/>
                <c:pt idx="0">
                  <c:v>ҚҰНЫ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енгізу'!$F$6:$F$24</c:f>
              <c:numCache>
                <c:formatCode>"Т"#\ ##0.00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'Деректерді енгізу'!$G$5</c:f>
              <c:strCache>
                <c:ptCount val="1"/>
                <c:pt idx="0">
                  <c:v>ТАБЫС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енгізу'!$G$6:$G$24</c:f>
              <c:numCache>
                <c:formatCode>"Т"#\ ##0.00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077976"/>
        <c:axId val="161078360"/>
      </c:lineChart>
      <c:dateAx>
        <c:axId val="161077976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kk-KZ"/>
          </a:p>
        </c:txPr>
        <c:crossAx val="161078360"/>
        <c:crosses val="autoZero"/>
        <c:auto val="1"/>
        <c:lblOffset val="100"/>
        <c:baseTimeUnit val="days"/>
        <c:majorUnit val="1"/>
        <c:majorTimeUnit val="months"/>
      </c:dateAx>
      <c:valAx>
        <c:axId val="16107836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Т&quot;#\ 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kk-KZ"/>
          </a:p>
        </c:txPr>
        <c:crossAx val="161077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kk-K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'Деректерді енгізу'!$O$5</c:f>
              <c:strCache>
                <c:ptCount val="1"/>
                <c:pt idx="0">
                  <c:v>АЙ 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енгізу'!$O$6:$O$24</c:f>
              <c:numCache>
                <c:formatCode>"Т"#\ ##0.00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02176"/>
        <c:axId val="170669872"/>
      </c:lineChart>
      <c:dateAx>
        <c:axId val="16020217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0669872"/>
        <c:crosses val="autoZero"/>
        <c:auto val="1"/>
        <c:lblOffset val="100"/>
        <c:baseTimeUnit val="days"/>
        <c:majorUnit val="1"/>
        <c:majorTimeUnit val="months"/>
      </c:dateAx>
      <c:valAx>
        <c:axId val="1706698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Т&quot;#\ 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kk-KZ"/>
          </a:p>
        </c:txPr>
        <c:crossAx val="1602021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kk-K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'Деректерді енгізу'!$P$5</c:f>
              <c:strCache>
                <c:ptCount val="1"/>
                <c:pt idx="0">
                  <c:v>ТОҚСАН 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енгізу'!$P$6:$P$24</c:f>
              <c:numCache>
                <c:formatCode>"Т"#\ ##0.00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53224"/>
        <c:axId val="170287704"/>
      </c:lineChart>
      <c:dateAx>
        <c:axId val="17015322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0287704"/>
        <c:crosses val="autoZero"/>
        <c:auto val="1"/>
        <c:lblOffset val="100"/>
        <c:baseTimeUnit val="days"/>
        <c:majorUnit val="1"/>
        <c:majorTimeUnit val="months"/>
      </c:dateAx>
      <c:valAx>
        <c:axId val="17028770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Т&quot;#\ 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kk-KZ"/>
          </a:p>
        </c:txPr>
        <c:crossAx val="170153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kk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'Деректерді енгізу'!$Q$5</c:f>
              <c:strCache>
                <c:ptCount val="1"/>
                <c:pt idx="0">
                  <c:v>ЖЫЛ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енгізу'!$Q$6:$Q$24</c:f>
              <c:numCache>
                <c:formatCode>"Т"#\ ##0.00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93944"/>
        <c:axId val="170317440"/>
      </c:lineChart>
      <c:dateAx>
        <c:axId val="17029394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0317440"/>
        <c:crosses val="autoZero"/>
        <c:auto val="1"/>
        <c:lblOffset val="100"/>
        <c:baseTimeUnit val="days"/>
        <c:majorUnit val="1"/>
        <c:majorTimeUnit val="months"/>
      </c:dateAx>
      <c:valAx>
        <c:axId val="1703174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Т&quot;#\ 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kk-KZ"/>
          </a:p>
        </c:txPr>
        <c:crossAx val="1702939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kk-K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'Деректерді енгізу'!$G$5</c:f>
              <c:strCache>
                <c:ptCount val="1"/>
                <c:pt idx="0">
                  <c:v>ТАБЫС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'Деректерді енгізу'!$B$6:$B$24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'Деректерді енгізу'!$G$6:$G$24</c:f>
              <c:numCache>
                <c:formatCode>"Т"#\ ##0.00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373416"/>
        <c:axId val="170373800"/>
      </c:lineChart>
      <c:dateAx>
        <c:axId val="17037341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0373800"/>
        <c:crosses val="autoZero"/>
        <c:auto val="1"/>
        <c:lblOffset val="100"/>
        <c:baseTimeUnit val="days"/>
        <c:majorUnit val="1"/>
        <c:majorTimeUnit val="months"/>
      </c:dateAx>
      <c:valAx>
        <c:axId val="17037380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Т&quot;#\ 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kk-KZ"/>
          </a:p>
        </c:txPr>
        <c:crossAx val="1703734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kk-K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72;&#1090;&#1099;&#1083;&#1099;&#1084;&#1076;&#1072;&#1088; &#1073;&#1086;&#1083;&#1078;&#1072;&#1084;&#1099;'!A1"/><Relationship Id="rId1" Type="http://schemas.openxmlformats.org/officeDocument/2006/relationships/hyperlink" Target="#'&#1057;&#1072;&#1090;&#1091; &#1090;&#1091;&#1088;&#1072;&#1083;&#1099; &#1077;&#1089;&#1077;&#108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72;&#1090;&#1099;&#1083;&#1099;&#1084;&#1076;&#1072;&#1088; &#1073;&#1086;&#1083;&#1078;&#1072;&#1084;&#1099;'!A1"/><Relationship Id="rId1" Type="http://schemas.openxmlformats.org/officeDocument/2006/relationships/hyperlink" Target="#'&#1044;&#1077;&#1088;&#1077;&#1082;&#1090;&#1077;&#1088;&#1076;&#1110; &#1077;&#1085;&#1075;&#1110;&#1079;&#1091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&#1057;&#1072;&#1090;&#1091; &#1090;&#1091;&#1088;&#1072;&#1083;&#1099; &#1077;&#1089;&#1077;&#1087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&#1044;&#1077;&#1088;&#1077;&#1082;&#1090;&#1077;&#1088;&#1076;&#1110; &#1077;&#1085;&#1075;&#1110;&#1079;&#1091;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76200</xdr:rowOff>
    </xdr:from>
    <xdr:to>
      <xdr:col>8</xdr:col>
      <xdr:colOff>782575</xdr:colOff>
      <xdr:row>1</xdr:row>
      <xdr:rowOff>304800</xdr:rowOff>
    </xdr:to>
    <xdr:sp macro="" textlink="">
      <xdr:nvSpPr>
        <xdr:cNvPr id="2" name="Сату туралы есеп" descr="Click to view Сату туралы есеп sheet." title="Сату туралы есеп navigation button">
          <a:hlinkClick xmlns:r="http://schemas.openxmlformats.org/officeDocument/2006/relationships" r:id="rId1" tooltip="Сауда есебі парағын көру үшін басыңыз"/>
        </xdr:cNvPr>
        <xdr:cNvSpPr/>
      </xdr:nvSpPr>
      <xdr:spPr>
        <a:xfrm>
          <a:off x="6600825" y="219075"/>
          <a:ext cx="13255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  <a:latin typeface="+mn-lt"/>
            </a:rPr>
            <a:t>Сату туралы есеп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8</xdr:col>
      <xdr:colOff>838200</xdr:colOff>
      <xdr:row>1</xdr:row>
      <xdr:rowOff>76201</xdr:rowOff>
    </xdr:from>
    <xdr:to>
      <xdr:col>11</xdr:col>
      <xdr:colOff>609600</xdr:colOff>
      <xdr:row>1</xdr:row>
      <xdr:rowOff>304800</xdr:rowOff>
    </xdr:to>
    <xdr:sp macro="" textlink="">
      <xdr:nvSpPr>
        <xdr:cNvPr id="3" name="Сауда болжамы" descr="Click to view Сауда болжамы sheet." title="Сауда болжамы navigation button">
          <a:hlinkClick xmlns:r="http://schemas.openxmlformats.org/officeDocument/2006/relationships" r:id="rId2" tooltip="Сауда болжамы парағын көру үшін басыңыз"/>
        </xdr:cNvPr>
        <xdr:cNvSpPr/>
      </xdr:nvSpPr>
      <xdr:spPr>
        <a:xfrm>
          <a:off x="7981950" y="219076"/>
          <a:ext cx="1590675" cy="22859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</a:rPr>
            <a:t>Сатылымдар болжамы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1</xdr:row>
      <xdr:rowOff>66675</xdr:rowOff>
    </xdr:from>
    <xdr:to>
      <xdr:col>6</xdr:col>
      <xdr:colOff>323849</xdr:colOff>
      <xdr:row>1</xdr:row>
      <xdr:rowOff>304275</xdr:rowOff>
    </xdr:to>
    <xdr:sp macro="" textlink="">
      <xdr:nvSpPr>
        <xdr:cNvPr id="7" name="Сату туралы есеп" descr="Click to view Деректерді енгізу sheet." title="Деректерді енгізу navigation button">
          <a:hlinkClick xmlns:r="http://schemas.openxmlformats.org/officeDocument/2006/relationships" r:id="rId1" tooltip="Деректерді енгізу парағын көру үшін басыңыз"/>
        </xdr:cNvPr>
        <xdr:cNvSpPr/>
      </xdr:nvSpPr>
      <xdr:spPr>
        <a:xfrm>
          <a:off x="6419851" y="209550"/>
          <a:ext cx="1504948" cy="237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  <a:latin typeface="+mn-lt"/>
            </a:rPr>
            <a:t>Деректерді енгізу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6</xdr:col>
      <xdr:colOff>371475</xdr:colOff>
      <xdr:row>1</xdr:row>
      <xdr:rowOff>66676</xdr:rowOff>
    </xdr:from>
    <xdr:to>
      <xdr:col>10</xdr:col>
      <xdr:colOff>9524</xdr:colOff>
      <xdr:row>1</xdr:row>
      <xdr:rowOff>304276</xdr:rowOff>
    </xdr:to>
    <xdr:sp macro="" textlink="">
      <xdr:nvSpPr>
        <xdr:cNvPr id="8" name="Сауда болжамы" descr="Click to view Сауда болжамы sheet." title="Сауда болжамы navigation button">
          <a:hlinkClick xmlns:r="http://schemas.openxmlformats.org/officeDocument/2006/relationships" r:id="rId2" tooltip="Сауда болжамы парағын көру үшін басыңыз"/>
        </xdr:cNvPr>
        <xdr:cNvSpPr/>
      </xdr:nvSpPr>
      <xdr:spPr>
        <a:xfrm>
          <a:off x="7972425" y="209551"/>
          <a:ext cx="1771649" cy="237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</a:rPr>
            <a:t>Сатылымдар болжамы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7</xdr:col>
      <xdr:colOff>1314450</xdr:colOff>
      <xdr:row>28</xdr:row>
      <xdr:rowOff>19050</xdr:rowOff>
    </xdr:to>
    <xdr:graphicFrame macro="">
      <xdr:nvGraphicFramePr>
        <xdr:cNvPr id="4" name="Сауда журналы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Айлық болжам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195264</xdr:colOff>
      <xdr:row>30</xdr:row>
      <xdr:rowOff>9525</xdr:rowOff>
    </xdr:from>
    <xdr:to>
      <xdr:col>7</xdr:col>
      <xdr:colOff>1362076</xdr:colOff>
      <xdr:row>35</xdr:row>
      <xdr:rowOff>123825</xdr:rowOff>
    </xdr:to>
    <xdr:graphicFrame macro="">
      <xdr:nvGraphicFramePr>
        <xdr:cNvPr id="6" name="Тоқсандық болжам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Жылдық болжам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7</xdr:col>
      <xdr:colOff>1352550</xdr:colOff>
      <xdr:row>43</xdr:row>
      <xdr:rowOff>64345</xdr:rowOff>
    </xdr:to>
    <xdr:graphicFrame macro="">
      <xdr:nvGraphicFramePr>
        <xdr:cNvPr id="8" name="Табыс ағымы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1219200</xdr:colOff>
      <xdr:row>1</xdr:row>
      <xdr:rowOff>85724</xdr:rowOff>
    </xdr:from>
    <xdr:to>
      <xdr:col>7</xdr:col>
      <xdr:colOff>142875</xdr:colOff>
      <xdr:row>1</xdr:row>
      <xdr:rowOff>323849</xdr:rowOff>
    </xdr:to>
    <xdr:sp macro="" textlink="">
      <xdr:nvSpPr>
        <xdr:cNvPr id="10" name="Сату туралы есеп" descr="Click to view Деректерді енгізу sheet." title="Деректерді енгізу navigation button">
          <a:hlinkClick xmlns:r="http://schemas.openxmlformats.org/officeDocument/2006/relationships" r:id="rId6" tooltip="Деректерді енгізу парағын көру үшін басыңыз"/>
        </xdr:cNvPr>
        <xdr:cNvSpPr/>
      </xdr:nvSpPr>
      <xdr:spPr>
        <a:xfrm>
          <a:off x="6715125" y="228599"/>
          <a:ext cx="1495425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  <a:latin typeface="+mn-lt"/>
            </a:rPr>
            <a:t>Деректерді енгізу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7</xdr:col>
      <xdr:colOff>200025</xdr:colOff>
      <xdr:row>1</xdr:row>
      <xdr:rowOff>85725</xdr:rowOff>
    </xdr:from>
    <xdr:to>
      <xdr:col>7</xdr:col>
      <xdr:colOff>1628775</xdr:colOff>
      <xdr:row>1</xdr:row>
      <xdr:rowOff>323850</xdr:rowOff>
    </xdr:to>
    <xdr:sp macro="" textlink="">
      <xdr:nvSpPr>
        <xdr:cNvPr id="11" name="Сауда болжамы" descr="Click to view Сату туралы есеп sheet." title="Сату туралы есеп navigation button">
          <a:hlinkClick xmlns:r="http://schemas.openxmlformats.org/officeDocument/2006/relationships" r:id="rId7" tooltip="Сауда есебі парағын көру үшін басыңыз"/>
        </xdr:cNvPr>
        <xdr:cNvSpPr/>
      </xdr:nvSpPr>
      <xdr:spPr>
        <a:xfrm>
          <a:off x="8267700" y="228600"/>
          <a:ext cx="1428750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k-KZ" sz="1000">
              <a:solidFill>
                <a:schemeClr val="bg1"/>
              </a:solidFill>
            </a:rPr>
            <a:t>Сату туралы есеп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211.421478356482" createdVersion="5" refreshedVersion="5" minRefreshableVersion="3" recordCount="19">
  <cacheSource type="worksheet">
    <worksheetSource name="tblData"/>
  </cacheSource>
  <cacheFields count="16">
    <cacheField name="КҮН" numFmtId="14">
      <sharedItems containsSemiMixedTypes="0" containsNonDate="0" containsDate="1" containsString="0" minDate="2013-04-23T00:00:00" maxDate="2013-12-12T00:00:00"/>
    </cacheField>
    <cacheField name="КОМПАНИЯ" numFmtId="0">
      <sharedItems count="6">
        <s v="НиК"/>
        <s v="Contoso Pharmaceuticals"/>
        <s v="Хабаршы"/>
        <s v="Батыс"/>
        <s v="Өнер мектебі"/>
        <s v="Нұрлан зерттеуі"/>
      </sharedItems>
    </cacheField>
    <cacheField name="МӨЛШЕРІ" numFmtId="168">
      <sharedItems containsSemiMixedTypes="0" containsString="0" containsNumber="1" containsInteger="1" minValue="4400" maxValue="9500"/>
    </cacheField>
    <cacheField name="ЖОСПАРЛАНҒАН" numFmtId="168">
      <sharedItems containsSemiMixedTypes="0" containsString="0" containsNumber="1" containsInteger="1" minValue="4200" maxValue="10000"/>
    </cacheField>
    <cacheField name="ҚҰНЫ" numFmtId="168">
      <sharedItems containsSemiMixedTypes="0" containsString="0" containsNumber="1" containsInteger="1" minValue="2600" maxValue="8500"/>
    </cacheField>
    <cacheField name="ТАБЫС" numFmtId="168">
      <sharedItems containsSemiMixedTypes="0" containsString="0" containsNumber="1" containsInteger="1" minValue="900" maxValue="1950"/>
    </cacheField>
    <cacheField name="АЙ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ТОҚСАН" numFmtId="169">
      <sharedItems containsSemiMixedTypes="0" containsString="0" containsNumber="1" containsInteger="1" minValue="2" maxValue="4" count="3">
        <n v="2"/>
        <n v="3"/>
        <n v="4"/>
      </sharedItems>
    </cacheField>
    <cacheField name="ЖЫЛ" numFmtId="0">
      <sharedItems containsSemiMixedTypes="0" containsString="0" containsNumber="1" containsInteger="1" minValue="2013" maxValue="2013" count="1">
        <n v="2013"/>
      </sharedItems>
    </cacheField>
    <cacheField name="АЙ НӨМІРІ (ЖАСЫРЫН)" numFmtId="0">
      <sharedItems containsSemiMixedTypes="0" containsString="0" containsNumber="1" containsInteger="1" minValue="4" maxValue="12"/>
    </cacheField>
    <cacheField name="АЙ " numFmtId="168">
      <sharedItems containsSemiMixedTypes="0" containsString="0" containsNumber="1" containsInteger="1" minValue="8700" maxValue="25600"/>
    </cacheField>
    <cacheField name="ТОҚСАН " numFmtId="168">
      <sharedItems containsSemiMixedTypes="0" containsString="0" containsNumber="1" containsInteger="1" minValue="43900" maxValue="50800"/>
    </cacheField>
    <cacheField name="ЖЫЛ САЙЫНҒЫ " numFmtId="168">
      <sharedItems containsSemiMixedTypes="0" containsString="0" containsNumber="1" containsInteger="1" minValue="143800" maxValue="143800"/>
    </cacheField>
    <cacheField name="АЙ 2" numFmtId="168">
      <sharedItems containsSemiMixedTypes="0" containsString="0" containsNumber="1" minValue="10776.470588235294" maxValue="29000"/>
    </cacheField>
    <cacheField name="ТОҚСАН 3" numFmtId="168">
      <sharedItems containsSemiMixedTypes="0" containsString="0" containsNumber="1" minValue="41288.23529411765" maxValue="50800"/>
    </cacheField>
    <cacheField name="ЖЫЛ " numFmtId="168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Жиынтық кесте1" cacheId="6" applyNumberFormats="0" applyBorderFormats="0" applyFontFormats="0" applyPatternFormats="0" applyAlignmentFormats="0" applyWidthHeightFormats="1" dataCaption="Мәндер" updatedVersion="5" minRefreshableVersion="3" showDrill="0" useAutoFormatting="1" itemPrintTitles="1" createdVersion="5" indent="0" compact="0" compactData="0" multipleFieldFilters="0">
  <location ref="B4:F27" firstHeaderRow="1" firstDataRow="1" firstDataCol="4"/>
  <pivotFields count="16">
    <pivotField compact="0" numFmtId="14" outline="0" showAll="0"/>
    <pivotField axis="axisRow" compact="0" outline="0" showAll="0">
      <items count="7">
        <item x="1"/>
        <item x="3"/>
        <item x="0"/>
        <item x="5"/>
        <item x="4"/>
        <item x="2"/>
        <item t="default"/>
      </items>
    </pivotField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axis="axisRow" compact="0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9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5"/>
    </i>
    <i r="2">
      <x v="4"/>
      <x v="1"/>
    </i>
    <i r="3">
      <x v="4"/>
    </i>
    <i r="2">
      <x v="5"/>
      <x/>
    </i>
    <i r="3">
      <x v="3"/>
    </i>
    <i r="3">
      <x v="5"/>
    </i>
    <i t="default" r="1">
      <x v="1"/>
    </i>
    <i r="1">
      <x v="2"/>
      <x v="6"/>
      <x v="1"/>
    </i>
    <i r="2">
      <x v="7"/>
      <x v="3"/>
    </i>
    <i r="3">
      <x v="4"/>
    </i>
    <i r="2">
      <x v="8"/>
      <x/>
    </i>
    <i t="default" r="1">
      <x v="2"/>
    </i>
    <i t="default">
      <x/>
    </i>
    <i t="grand">
      <x/>
    </i>
  </rowItems>
  <colItems count="1">
    <i/>
  </colItems>
  <dataFields count="1">
    <dataField name="ЖАЛПЫ САТЫЛЫМДАР" fld="2" baseField="0" baseItem="0" numFmtId="168"/>
  </dataFields>
  <formats count="3">
    <format dxfId="8">
      <pivotArea outline="0" collapsedLevelsAreSubtotals="1" fieldPosition="0"/>
    </format>
    <format dxfId="7">
      <pivotArea outline="0" collapsedLevelsAreSubtotals="1" fieldPosition="0">
        <references count="1">
          <reference field="8" count="0" selected="0" defaultSubtotal="1"/>
        </references>
      </pivotArea>
    </format>
    <format dxfId="6">
      <pivotArea dataOnly="0" labelOnly="1" fieldPosition="0">
        <references count="1">
          <reference field="8" count="0" defaultSubtotal="1"/>
        </references>
      </pivotArea>
    </format>
  </formats>
  <pivotTableStyleInfo name="Monthly Сату туралы есеп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30" dataDxfId="29">
  <autoFilter ref="B5:Q24"/>
  <tableColumns count="16">
    <tableColumn id="1" name="КҮН" dataDxfId="28"/>
    <tableColumn id="2" name="КОМПАНИЯ" dataDxfId="27"/>
    <tableColumn id="3" name="МӨЛШЕРІ" dataDxfId="26"/>
    <tableColumn id="4" name="ЖОСПАРЛАНҒАН" dataDxfId="25"/>
    <tableColumn id="5" name="ҚҰНЫ" dataDxfId="24"/>
    <tableColumn id="16" name="ТАБЫС" dataDxfId="23">
      <calculatedColumnFormula>tblData[[#This Row],[МӨЛШЕРІ]]-tblData[[#This Row],[ҚҰНЫ]]</calculatedColumnFormula>
    </tableColumn>
    <tableColumn id="6" name="АЙ" dataDxfId="22">
      <calculatedColumnFormula>DATE(YEAR('Деректерді енгізу'!$B6),MONTH('Деректерді енгізу'!$B6),1)</calculatedColumnFormula>
    </tableColumn>
    <tableColumn id="7" name="ТОҚСАН" dataDxfId="21">
      <calculatedColumnFormula>LOOKUP(MONTH('Деректерді енгізу'!$H6),{1,1;2,1;3,1;4,2;5,2;6,2;7,3;8,3;9,3;10,4;11,4;12,4})</calculatedColumnFormula>
    </tableColumn>
    <tableColumn id="8" name="ЖЫЛ" dataDxfId="20">
      <calculatedColumnFormula>YEAR('Деректерді енгізу'!$B6)</calculatedColumnFormula>
    </tableColumn>
    <tableColumn id="12" name="АЙ НӨМІРІ (ЖАСЫРЫН)" dataDxfId="19">
      <calculatedColumnFormula>MONTH(tblData[[#This Row],[КҮН]])</calculatedColumnFormula>
    </tableColumn>
    <tableColumn id="9" name="АЙ " dataDxfId="18">
      <calculatedColumnFormula>SUMIFS(tblData[МӨЛШЕРІ],tblData[КҮН],"&gt;="&amp;EOMONTH(tblData[[#This Row],[КҮН]],-1)+1,tblData[КҮН],"&lt;="&amp;EOMONTH(tblData[[#This Row],[КҮН]],0))</calculatedColumnFormula>
    </tableColumn>
    <tableColumn id="10" name="ТОҚСАН " dataDxfId="17">
      <calculatedColumnFormula>SUMIFS(tblData[МӨЛШЕРІ],tblData[КҮН],"&gt;="&amp;DATE(YEAR(tblData[[#This Row],[КҮН]]),1,1),tblData[КҮН],"&lt;="&amp;DATE(YEAR(tblData[[#This Row],[КҮН]]),12,31),tblData[ТОҚСАН],tblData[[#This Row],[ТОҚСАН]])</calculatedColumnFormula>
    </tableColumn>
    <tableColumn id="11" name="ЖЫЛ САЙЫНҒЫ " dataDxfId="16">
      <calculatedColumnFormula>SUMIFS(tblData[МӨЛШЕРІ],tblData[КҮН],"&gt;="&amp;DATE(YEAR(tblData[[#This Row],[КҮН]]),1,1),tblData[КҮН],"&lt;="&amp;DATE(YEAR(tblData[[#This Row],[КҮН]]),12,31))</calculatedColumnFormula>
    </tableColumn>
    <tableColumn id="13" name="АЙ 2" dataDxfId="15">
      <calculatedColumnFormula>IFERROR(TREND($L$6:INDEX($L:$L,ROW(),1),$K$6:INDEX($K:$K,ROW(),1),IF(MONTH(tblData[[#This Row],[КҮН]])=12,13,MONTH(tblData[[#This Row],[КҮН]])+1)),"")</calculatedColumnFormula>
    </tableColumn>
    <tableColumn id="14" name="ТОҚСАН 3" dataDxfId="14">
      <calculatedColumnFormula>IFERROR(TREND($M$6:INDEX($M:$M,ROW(),1),$I$6:INDEX($I:$I,ROW(),1),IF(tblData[[#This Row],[ТОҚСАН]]=4,5,tblData[[#This Row],[ТОҚСАН]]+1)),"")</calculatedColumnFormula>
    </tableColumn>
    <tableColumn id="15" name="ЖЫЛ " dataDxfId="13">
      <calculatedColumnFormula>IFERROR(TREND($N$6:INDEX($N:$N,ROW(),1),$J$6:INDEX($J:$J,ROW(),1),tblData[[#This Row],[ЖЫЛ]]+1),"")</calculatedColumnFormula>
    </tableColumn>
  </tableColumns>
  <tableStyleInfo name="Monthly Сату туралы есеп Table Style" showFirstColumn="0" showLastColumn="0" showRowStripes="0" showColumnStripes="0"/>
  <extLst>
    <ext xmlns:x14="http://schemas.microsoft.com/office/spreadsheetml/2009/9/main" uri="{504A1905-F514-4f6f-8877-14C23A59335A}">
      <x14:table altText="Айлық деректерді енгізу кестесі" altTextSummary="Күні, компания, мөлшері, жоспарланған, құны, табысы, ай, тоқсан және жыл секілді кестеге айлық деректерді енгізіңіз. Ағымдағы және болжалды деректер есептелетін болады."/>
    </ext>
  </extLst>
</table>
</file>

<file path=xl/theme/theme1.xml><?xml version="1.0" encoding="utf-8"?>
<a:theme xmlns:a="http://schemas.openxmlformats.org/drawingml/2006/main" name="Office Theme">
  <a:themeElements>
    <a:clrScheme name="Monthly Сату туралы есеп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Сату туралы есеп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24" style="3" customWidth="1"/>
    <col min="6" max="6" width="12.83203125" style="3" customWidth="1"/>
    <col min="7" max="7" width="16.83203125" style="3" customWidth="1"/>
    <col min="8" max="8" width="14.33203125" style="3" customWidth="1"/>
    <col min="9" max="9" width="17.5" style="3" customWidth="1"/>
    <col min="10" max="10" width="13.6640625" style="3" customWidth="1"/>
    <col min="11" max="11" width="0.6640625" style="3" customWidth="1"/>
    <col min="12" max="12" width="13.83203125" style="3" customWidth="1"/>
    <col min="13" max="13" width="16.33203125" style="3" customWidth="1"/>
    <col min="14" max="14" width="23.83203125" style="3" customWidth="1"/>
    <col min="15" max="15" width="14" style="3" customWidth="1"/>
    <col min="16" max="16" width="13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73" t="s">
        <v>56</v>
      </c>
      <c r="I2" s="70"/>
    </row>
    <row r="3" spans="2:17" customFormat="1" ht="17.25" customHeight="1" x14ac:dyDescent="0.2">
      <c r="L3" s="23" t="s">
        <v>29</v>
      </c>
      <c r="M3" s="6"/>
      <c r="N3" s="6"/>
      <c r="O3" s="23" t="s">
        <v>28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56" t="s">
        <v>21</v>
      </c>
      <c r="C5" s="56" t="s">
        <v>22</v>
      </c>
      <c r="D5" s="44" t="s">
        <v>23</v>
      </c>
      <c r="E5" s="44" t="s">
        <v>24</v>
      </c>
      <c r="F5" s="44" t="s">
        <v>25</v>
      </c>
      <c r="G5" s="44" t="s">
        <v>26</v>
      </c>
      <c r="H5" s="44" t="s">
        <v>15</v>
      </c>
      <c r="I5" s="44" t="s">
        <v>16</v>
      </c>
      <c r="J5" s="44" t="s">
        <v>20</v>
      </c>
      <c r="K5" s="44" t="s">
        <v>27</v>
      </c>
      <c r="L5" s="44" t="s">
        <v>17</v>
      </c>
      <c r="M5" s="44" t="s">
        <v>18</v>
      </c>
      <c r="N5" s="44" t="s">
        <v>19</v>
      </c>
      <c r="O5" s="44" t="s">
        <v>49</v>
      </c>
      <c r="P5" s="44" t="s">
        <v>50</v>
      </c>
      <c r="Q5" s="44" t="s">
        <v>51</v>
      </c>
    </row>
    <row r="6" spans="2:17" ht="17.25" customHeight="1" x14ac:dyDescent="0.2">
      <c r="B6" s="58">
        <f>40657+(365*2)</f>
        <v>41387</v>
      </c>
      <c r="C6" s="4" t="s">
        <v>0</v>
      </c>
      <c r="D6" s="60">
        <v>6400</v>
      </c>
      <c r="E6" s="60">
        <v>6200</v>
      </c>
      <c r="F6" s="60">
        <v>4450</v>
      </c>
      <c r="G6" s="61">
        <f>tblData[[#This Row],[МӨЛШЕРІ]]-tblData[[#This Row],[ҚҰНЫ]]</f>
        <v>1950</v>
      </c>
      <c r="H6" s="5">
        <f>DATE(YEAR('Деректерді енгізу'!$B6),MONTH('Деректерді енгізу'!$B6),1)</f>
        <v>41365</v>
      </c>
      <c r="I6" s="71">
        <f>LOOKUP(MONTH('Деректерді енгізу'!$H6),{1,1;2,1;3,1;4,2;5,2;6,2;7,3;8,3;9,3;10,4;11,4;12,4})</f>
        <v>2</v>
      </c>
      <c r="J6" s="7">
        <f>YEAR('Деректерді енгізу'!$B6)</f>
        <v>2013</v>
      </c>
      <c r="K6" s="8">
        <f>MONTH(tblData[[#This Row],[КҮН]])</f>
        <v>4</v>
      </c>
      <c r="L6" s="62">
        <f>SUMIFS(tblData[МӨЛШЕРІ],tblData[КҮН],"&gt;="&amp;EOMONTH(tblData[[#This Row],[КҮН]],-1)+1,tblData[КҮН],"&lt;="&amp;EOMONTH(tblData[[#This Row],[КҮН]],0))</f>
        <v>14600</v>
      </c>
      <c r="M6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6" s="62">
        <f>SUMIFS(tblData[МӨЛШЕРІ],tblData[КҮН],"&gt;="&amp;DATE(YEAR(tblData[[#This Row],[КҮН]]),1,1),tblData[КҮН],"&lt;="&amp;DATE(YEAR(tblData[[#This Row],[КҮН]]),12,31))</f>
        <v>143800</v>
      </c>
      <c r="O6" s="63">
        <f>IFERROR(TREND($L$6:INDEX($L:$L,ROW(),1),$K$6:INDEX($K:$K,ROW(),1),IF(MONTH(tblData[[#This Row],[КҮН]])=12,13,MONTH(tblData[[#This Row],[КҮН]])+1)),"")</f>
        <v>14600</v>
      </c>
      <c r="P6" s="63">
        <f>IFERROR(TREND($M$6:INDEX($M:$M,ROW(),1),$I$6:INDEX($I:$I,ROW(),1),IF(tblData[[#This Row],[ТОҚСАН]]=4,5,tblData[[#This Row],[ТОҚСАН]]+1)),"")</f>
        <v>50800</v>
      </c>
      <c r="Q6" s="63">
        <f>IFERROR(TREND($N$6:INDEX($N:$N,ROW(),1),$J$6:INDEX($J:$J,ROW(),1),tblData[[#This Row],[ЖЫЛ]]+1),"")</f>
        <v>143800</v>
      </c>
    </row>
    <row r="7" spans="2:17" ht="17.25" customHeight="1" x14ac:dyDescent="0.2">
      <c r="B7" s="58">
        <f>40659+(365*2)</f>
        <v>41389</v>
      </c>
      <c r="C7" s="4" t="s">
        <v>1</v>
      </c>
      <c r="D7" s="60">
        <v>8200</v>
      </c>
      <c r="E7" s="60">
        <v>8000</v>
      </c>
      <c r="F7" s="60">
        <v>6400</v>
      </c>
      <c r="G7" s="61">
        <f>tblData[[#This Row],[МӨЛШЕРІ]]-tblData[[#This Row],[ҚҰНЫ]]</f>
        <v>1800</v>
      </c>
      <c r="H7" s="5">
        <f>DATE(YEAR('Деректерді енгізу'!$B7),MONTH('Деректерді енгізу'!$B7),1)</f>
        <v>41365</v>
      </c>
      <c r="I7" s="71">
        <f>LOOKUP(MONTH('Деректерді енгізу'!$H7),{1,1;2,1;3,1;4,2;5,2;6,2;7,3;8,3;9,3;10,4;11,4;12,4})</f>
        <v>2</v>
      </c>
      <c r="J7" s="7">
        <f>YEAR('Деректерді енгізу'!$B7)</f>
        <v>2013</v>
      </c>
      <c r="K7" s="8">
        <f>MONTH(tblData[[#This Row],[КҮН]])</f>
        <v>4</v>
      </c>
      <c r="L7" s="62">
        <f>SUMIFS(tblData[МӨЛШЕРІ],tblData[КҮН],"&gt;="&amp;EOMONTH(tblData[[#This Row],[КҮН]],-1)+1,tblData[КҮН],"&lt;="&amp;EOMONTH(tblData[[#This Row],[КҮН]],0))</f>
        <v>14600</v>
      </c>
      <c r="M7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7" s="62">
        <f>SUMIFS(tblData[МӨЛШЕРІ],tblData[КҮН],"&gt;="&amp;DATE(YEAR(tblData[[#This Row],[КҮН]]),1,1),tblData[КҮН],"&lt;="&amp;DATE(YEAR(tblData[[#This Row],[КҮН]]),12,31))</f>
        <v>143800</v>
      </c>
      <c r="O7" s="63">
        <f>IFERROR(TREND($L$6:INDEX($L:$L,ROW(),1),$K$6:INDEX($K:$K,ROW(),1),IF(MONTH(tblData[[#This Row],[КҮН]])=12,13,MONTH(tblData[[#This Row],[КҮН]])+1)),"")</f>
        <v>14600</v>
      </c>
      <c r="P7" s="63">
        <f>IFERROR(TREND($M$6:INDEX($M:$M,ROW(),1),$I$6:INDEX($I:$I,ROW(),1),IF(tblData[[#This Row],[ТОҚСАН]]=4,5,tblData[[#This Row],[ТОҚСАН]]+1)),"")</f>
        <v>50800</v>
      </c>
      <c r="Q7" s="63">
        <f>IFERROR(TREND($N$6:INDEX($N:$N,ROW(),1),$J$6:INDEX($J:$J,ROW(),1),tblData[[#This Row],[ЖЫЛ]]+1),"")</f>
        <v>143800</v>
      </c>
    </row>
    <row r="8" spans="2:17" ht="17.25" customHeight="1" x14ac:dyDescent="0.2">
      <c r="B8" s="58">
        <f>40671+(365*2)</f>
        <v>41401</v>
      </c>
      <c r="C8" s="4" t="s">
        <v>2</v>
      </c>
      <c r="D8" s="60">
        <v>4400</v>
      </c>
      <c r="E8" s="60">
        <v>4200</v>
      </c>
      <c r="F8" s="60">
        <v>2600</v>
      </c>
      <c r="G8" s="61">
        <f>tblData[[#This Row],[МӨЛШЕРІ]]-tblData[[#This Row],[ҚҰНЫ]]</f>
        <v>1800</v>
      </c>
      <c r="H8" s="5">
        <f>DATE(YEAR('Деректерді енгізу'!$B8),MONTH('Деректерді енгізу'!$B8),1)</f>
        <v>41395</v>
      </c>
      <c r="I8" s="71">
        <f>LOOKUP(MONTH('Деректерді енгізу'!$H8),{1,1;2,1;3,1;4,2;5,2;6,2;7,3;8,3;9,3;10,4;11,4;12,4})</f>
        <v>2</v>
      </c>
      <c r="J8" s="7">
        <f>YEAR('Деректерді енгізу'!$B8)</f>
        <v>2013</v>
      </c>
      <c r="K8" s="8">
        <f>MONTH(tblData[[#This Row],[КҮН]])</f>
        <v>5</v>
      </c>
      <c r="L8" s="62">
        <f>SUMIFS(tblData[МӨЛШЕРІ],tblData[КҮН],"&gt;="&amp;EOMONTH(tblData[[#This Row],[КҮН]],-1)+1,tblData[КҮН],"&lt;="&amp;EOMONTH(tblData[[#This Row],[КҮН]],0))</f>
        <v>21800</v>
      </c>
      <c r="M8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8" s="62">
        <f>SUMIFS(tblData[МӨЛШЕРІ],tblData[КҮН],"&gt;="&amp;DATE(YEAR(tblData[[#This Row],[КҮН]]),1,1),tblData[КҮН],"&lt;="&amp;DATE(YEAR(tblData[[#This Row],[КҮН]]),12,31))</f>
        <v>143800</v>
      </c>
      <c r="O8" s="63">
        <f>IFERROR(TREND($L$6:INDEX($L:$L,ROW(),1),$K$6:INDEX($K:$K,ROW(),1),IF(MONTH(tblData[[#This Row],[КҮН]])=12,13,MONTH(tblData[[#This Row],[КҮН]])+1)),"")</f>
        <v>28999.999999999996</v>
      </c>
      <c r="P8" s="63">
        <f>IFERROR(TREND($M$6:INDEX($M:$M,ROW(),1),$I$6:INDEX($I:$I,ROW(),1),IF(tblData[[#This Row],[ТОҚСАН]]=4,5,tblData[[#This Row],[ТОҚСАН]]+1)),"")</f>
        <v>50800</v>
      </c>
      <c r="Q8" s="63">
        <f>IFERROR(TREND($N$6:INDEX($N:$N,ROW(),1),$J$6:INDEX($J:$J,ROW(),1),tblData[[#This Row],[ЖЫЛ]]+1),"")</f>
        <v>143800</v>
      </c>
    </row>
    <row r="9" spans="2:17" ht="17.25" customHeight="1" x14ac:dyDescent="0.2">
      <c r="B9" s="58">
        <f>40678+(365*2)</f>
        <v>41408</v>
      </c>
      <c r="C9" s="4" t="s">
        <v>3</v>
      </c>
      <c r="D9" s="60">
        <v>5400</v>
      </c>
      <c r="E9" s="60">
        <v>5500</v>
      </c>
      <c r="F9" s="60">
        <v>4500</v>
      </c>
      <c r="G9" s="61">
        <f>tblData[[#This Row],[МӨЛШЕРІ]]-tblData[[#This Row],[ҚҰНЫ]]</f>
        <v>900</v>
      </c>
      <c r="H9" s="5">
        <f>DATE(YEAR('Деректерді енгізу'!$B9),MONTH('Деректерді енгізу'!$B9),1)</f>
        <v>41395</v>
      </c>
      <c r="I9" s="71">
        <f>LOOKUP(MONTH('Деректерді енгізу'!$H9),{1,1;2,1;3,1;4,2;5,2;6,2;7,3;8,3;9,3;10,4;11,4;12,4})</f>
        <v>2</v>
      </c>
      <c r="J9" s="7">
        <f>YEAR('Деректерді енгізу'!$B9)</f>
        <v>2013</v>
      </c>
      <c r="K9" s="8">
        <f>MONTH(tblData[[#This Row],[КҮН]])</f>
        <v>5</v>
      </c>
      <c r="L9" s="62">
        <f>SUMIFS(tblData[МӨЛШЕРІ],tblData[КҮН],"&gt;="&amp;EOMONTH(tblData[[#This Row],[КҮН]],-1)+1,tblData[КҮН],"&lt;="&amp;EOMONTH(tblData[[#This Row],[КҮН]],0))</f>
        <v>21800</v>
      </c>
      <c r="M9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9" s="62">
        <f>SUMIFS(tblData[МӨЛШЕРІ],tblData[КҮН],"&gt;="&amp;DATE(YEAR(tblData[[#This Row],[КҮН]]),1,1),tblData[КҮН],"&lt;="&amp;DATE(YEAR(tblData[[#This Row],[КҮН]]),12,31))</f>
        <v>143800</v>
      </c>
      <c r="O9" s="63">
        <f>IFERROR(TREND($L$6:INDEX($L:$L,ROW(),1),$K$6:INDEX($K:$K,ROW(),1),IF(MONTH(tblData[[#This Row],[КҮН]])=12,13,MONTH(tblData[[#This Row],[КҮН]])+1)),"")</f>
        <v>29000</v>
      </c>
      <c r="P9" s="63">
        <f>IFERROR(TREND($M$6:INDEX($M:$M,ROW(),1),$I$6:INDEX($I:$I,ROW(),1),IF(tblData[[#This Row],[ТОҚСАН]]=4,5,tblData[[#This Row],[ТОҚСАН]]+1)),"")</f>
        <v>50800</v>
      </c>
      <c r="Q9" s="63">
        <f>IFERROR(TREND($N$6:INDEX($N:$N,ROW(),1),$J$6:INDEX($J:$J,ROW(),1),tblData[[#This Row],[ЖЫЛ]]+1),"")</f>
        <v>143800</v>
      </c>
    </row>
    <row r="10" spans="2:17" ht="17.25" customHeight="1" x14ac:dyDescent="0.2">
      <c r="B10" s="58">
        <f>40678+(365*2)</f>
        <v>41408</v>
      </c>
      <c r="C10" s="4" t="s">
        <v>4</v>
      </c>
      <c r="D10" s="60">
        <v>5800</v>
      </c>
      <c r="E10" s="60">
        <v>6000</v>
      </c>
      <c r="F10" s="60">
        <v>4500</v>
      </c>
      <c r="G10" s="61">
        <f>tblData[[#This Row],[МӨЛШЕРІ]]-tblData[[#This Row],[ҚҰНЫ]]</f>
        <v>1300</v>
      </c>
      <c r="H10" s="5">
        <f>DATE(YEAR('Деректерді енгізу'!$B10),MONTH('Деректерді енгізу'!$B10),1)</f>
        <v>41395</v>
      </c>
      <c r="I10" s="71">
        <f>LOOKUP(MONTH('Деректерді енгізу'!$H10),{1,1;2,1;3,1;4,2;5,2;6,2;7,3;8,3;9,3;10,4;11,4;12,4})</f>
        <v>2</v>
      </c>
      <c r="J10" s="7">
        <f>YEAR('Деректерді енгізу'!$B10)</f>
        <v>2013</v>
      </c>
      <c r="K10" s="8">
        <f>MONTH(tblData[[#This Row],[КҮН]])</f>
        <v>5</v>
      </c>
      <c r="L10" s="62">
        <f>SUMIFS(tblData[МӨЛШЕРІ],tblData[КҮН],"&gt;="&amp;EOMONTH(tblData[[#This Row],[КҮН]],-1)+1,tblData[КҮН],"&lt;="&amp;EOMONTH(tblData[[#This Row],[КҮН]],0))</f>
        <v>21800</v>
      </c>
      <c r="M10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10" s="62">
        <f>SUMIFS(tblData[МӨЛШЕРІ],tblData[КҮН],"&gt;="&amp;DATE(YEAR(tblData[[#This Row],[КҮН]]),1,1),tblData[КҮН],"&lt;="&amp;DATE(YEAR(tblData[[#This Row],[КҮН]]),12,31))</f>
        <v>143800</v>
      </c>
      <c r="O10" s="63">
        <f>IFERROR(TREND($L$6:INDEX($L:$L,ROW(),1),$K$6:INDEX($K:$K,ROW(),1),IF(MONTH(tblData[[#This Row],[КҮН]])=12,13,MONTH(tblData[[#This Row],[КҮН]])+1)),"")</f>
        <v>29000</v>
      </c>
      <c r="P10" s="63">
        <f>IFERROR(TREND($M$6:INDEX($M:$M,ROW(),1),$I$6:INDEX($I:$I,ROW(),1),IF(tblData[[#This Row],[ТОҚСАН]]=4,5,tblData[[#This Row],[ТОҚСАН]]+1)),"")</f>
        <v>50800</v>
      </c>
      <c r="Q10" s="63">
        <f>IFERROR(TREND($N$6:INDEX($N:$N,ROW(),1),$J$6:INDEX($J:$J,ROW(),1),tblData[[#This Row],[ЖЫЛ]]+1),"")</f>
        <v>143800</v>
      </c>
    </row>
    <row r="11" spans="2:17" ht="17.25" customHeight="1" x14ac:dyDescent="0.2">
      <c r="B11" s="58">
        <f>40693+(365*2)</f>
        <v>41423</v>
      </c>
      <c r="C11" s="4" t="s">
        <v>5</v>
      </c>
      <c r="D11" s="60">
        <v>6200</v>
      </c>
      <c r="E11" s="60">
        <v>6000</v>
      </c>
      <c r="F11" s="60">
        <v>4500</v>
      </c>
      <c r="G11" s="61">
        <f>tblData[[#This Row],[МӨЛШЕРІ]]-tblData[[#This Row],[ҚҰНЫ]]</f>
        <v>1700</v>
      </c>
      <c r="H11" s="5">
        <f>DATE(YEAR('Деректерді енгізу'!$B11),MONTH('Деректерді енгізу'!$B11),1)</f>
        <v>41395</v>
      </c>
      <c r="I11" s="71">
        <f>LOOKUP(MONTH('Деректерді енгізу'!$H11),{1,1;2,1;3,1;4,2;5,2;6,2;7,3;8,3;9,3;10,4;11,4;12,4})</f>
        <v>2</v>
      </c>
      <c r="J11" s="7">
        <f>YEAR('Деректерді енгізу'!$B11)</f>
        <v>2013</v>
      </c>
      <c r="K11" s="8">
        <f>MONTH(tblData[[#This Row],[КҮН]])</f>
        <v>5</v>
      </c>
      <c r="L11" s="62">
        <f>SUMIFS(tblData[МӨЛШЕРІ],tblData[КҮН],"&gt;="&amp;EOMONTH(tblData[[#This Row],[КҮН]],-1)+1,tblData[КҮН],"&lt;="&amp;EOMONTH(tblData[[#This Row],[КҮН]],0))</f>
        <v>21800</v>
      </c>
      <c r="M11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11" s="62">
        <f>SUMIFS(tblData[МӨЛШЕРІ],tblData[КҮН],"&gt;="&amp;DATE(YEAR(tblData[[#This Row],[КҮН]]),1,1),tblData[КҮН],"&lt;="&amp;DATE(YEAR(tblData[[#This Row],[КҮН]]),12,31))</f>
        <v>143800</v>
      </c>
      <c r="O11" s="63">
        <f>IFERROR(TREND($L$6:INDEX($L:$L,ROW(),1),$K$6:INDEX($K:$K,ROW(),1),IF(MONTH(tblData[[#This Row],[КҮН]])=12,13,MONTH(tblData[[#This Row],[КҮН]])+1)),"")</f>
        <v>29000</v>
      </c>
      <c r="P11" s="63">
        <f>IFERROR(TREND($M$6:INDEX($M:$M,ROW(),1),$I$6:INDEX($I:$I,ROW(),1),IF(tblData[[#This Row],[ТОҚСАН]]=4,5,tblData[[#This Row],[ТОҚСАН]]+1)),"")</f>
        <v>50800</v>
      </c>
      <c r="Q11" s="63">
        <f>IFERROR(TREND($N$6:INDEX($N:$N,ROW(),1),$J$6:INDEX($J:$J,ROW(),1),tblData[[#This Row],[ЖЫЛ]]+1),"")</f>
        <v>143800</v>
      </c>
    </row>
    <row r="12" spans="2:17" ht="17.25" customHeight="1" x14ac:dyDescent="0.2">
      <c r="B12" s="58">
        <f>40705+(365*2)</f>
        <v>41435</v>
      </c>
      <c r="C12" s="4" t="s">
        <v>0</v>
      </c>
      <c r="D12" s="60">
        <v>6900</v>
      </c>
      <c r="E12" s="60">
        <v>7500</v>
      </c>
      <c r="F12" s="60">
        <v>5400</v>
      </c>
      <c r="G12" s="61">
        <f>tblData[[#This Row],[МӨЛШЕРІ]]-tblData[[#This Row],[ҚҰНЫ]]</f>
        <v>1500</v>
      </c>
      <c r="H12" s="5">
        <f>DATE(YEAR('Деректерді енгізу'!$B12),MONTH('Деректерді енгізу'!$B12),1)</f>
        <v>41426</v>
      </c>
      <c r="I12" s="71">
        <f>LOOKUP(MONTH('Деректерді енгізу'!$H12),{1,1;2,1;3,1;4,2;5,2;6,2;7,3;8,3;9,3;10,4;11,4;12,4})</f>
        <v>2</v>
      </c>
      <c r="J12" s="7">
        <f>YEAR('Деректерді енгізу'!$B12)</f>
        <v>2013</v>
      </c>
      <c r="K12" s="8">
        <f>MONTH(tblData[[#This Row],[КҮН]])</f>
        <v>6</v>
      </c>
      <c r="L12" s="62">
        <f>SUMIFS(tblData[МӨЛШЕРІ],tblData[КҮН],"&gt;="&amp;EOMONTH(tblData[[#This Row],[КҮН]],-1)+1,tblData[КҮН],"&lt;="&amp;EOMONTH(tblData[[#This Row],[КҮН]],0))</f>
        <v>14400</v>
      </c>
      <c r="M12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12" s="62">
        <f>SUMIFS(tblData[МӨЛШЕРІ],tblData[КҮН],"&gt;="&amp;DATE(YEAR(tblData[[#This Row],[КҮН]]),1,1),tblData[КҮН],"&lt;="&amp;DATE(YEAR(tblData[[#This Row],[КҮН]]),12,31))</f>
        <v>143800</v>
      </c>
      <c r="O12" s="63">
        <f>IFERROR(TREND($L$6:INDEX($L:$L,ROW(),1),$K$6:INDEX($K:$K,ROW(),1),IF(MONTH(tblData[[#This Row],[КҮН]])=12,13,MONTH(tblData[[#This Row],[КҮН]])+1)),"")</f>
        <v>21600.000000000004</v>
      </c>
      <c r="P12" s="63">
        <f>IFERROR(TREND($M$6:INDEX($M:$M,ROW(),1),$I$6:INDEX($I:$I,ROW(),1),IF(tblData[[#This Row],[ТОҚСАН]]=4,5,tblData[[#This Row],[ТОҚСАН]]+1)),"")</f>
        <v>50800</v>
      </c>
      <c r="Q12" s="63">
        <f>IFERROR(TREND($N$6:INDEX($N:$N,ROW(),1),$J$6:INDEX($J:$J,ROW(),1),tblData[[#This Row],[ЖЫЛ]]+1),"")</f>
        <v>143800</v>
      </c>
    </row>
    <row r="13" spans="2:17" ht="17.25" customHeight="1" x14ac:dyDescent="0.2">
      <c r="B13" s="58">
        <f>40716+(365*2)</f>
        <v>41446</v>
      </c>
      <c r="C13" s="4" t="s">
        <v>1</v>
      </c>
      <c r="D13" s="60">
        <v>7500</v>
      </c>
      <c r="E13" s="60">
        <v>7200</v>
      </c>
      <c r="F13" s="60">
        <v>6500</v>
      </c>
      <c r="G13" s="61">
        <f>tblData[[#This Row],[МӨЛШЕРІ]]-tblData[[#This Row],[ҚҰНЫ]]</f>
        <v>1000</v>
      </c>
      <c r="H13" s="5">
        <f>DATE(YEAR('Деректерді енгізу'!$B13),MONTH('Деректерді енгізу'!$B13),1)</f>
        <v>41426</v>
      </c>
      <c r="I13" s="71">
        <f>LOOKUP(MONTH('Деректерді енгізу'!$H13),{1,1;2,1;3,1;4,2;5,2;6,2;7,3;8,3;9,3;10,4;11,4;12,4})</f>
        <v>2</v>
      </c>
      <c r="J13" s="7">
        <f>YEAR('Деректерді енгізу'!$B13)</f>
        <v>2013</v>
      </c>
      <c r="K13" s="8">
        <f>MONTH(tblData[[#This Row],[КҮН]])</f>
        <v>6</v>
      </c>
      <c r="L13" s="62">
        <f>SUMIFS(tblData[МӨЛШЕРІ],tblData[КҮН],"&gt;="&amp;EOMONTH(tblData[[#This Row],[КҮН]],-1)+1,tblData[КҮН],"&lt;="&amp;EOMONTH(tblData[[#This Row],[КҮН]],0))</f>
        <v>14400</v>
      </c>
      <c r="M13" s="62">
        <f>SUMIFS(tblData[МӨЛШЕРІ],tblData[КҮН],"&gt;="&amp;DATE(YEAR(tblData[[#This Row],[КҮН]]),1,1),tblData[КҮН],"&lt;="&amp;DATE(YEAR(tblData[[#This Row],[КҮН]]),12,31),tblData[ТОҚСАН],tblData[[#This Row],[ТОҚСАН]])</f>
        <v>50800</v>
      </c>
      <c r="N13" s="62">
        <f>SUMIFS(tblData[МӨЛШЕРІ],tblData[КҮН],"&gt;="&amp;DATE(YEAR(tblData[[#This Row],[КҮН]]),1,1),tblData[КҮН],"&lt;="&amp;DATE(YEAR(tblData[[#This Row],[КҮН]]),12,31))</f>
        <v>143800</v>
      </c>
      <c r="O13" s="63">
        <f>IFERROR(TREND($L$6:INDEX($L:$L,ROW(),1),$K$6:INDEX($K:$K,ROW(),1),IF(MONTH(tblData[[#This Row],[КҮН]])=12,13,MONTH(tblData[[#This Row],[КҮН]])+1)),"")</f>
        <v>17950</v>
      </c>
      <c r="P13" s="63">
        <f>IFERROR(TREND($M$6:INDEX($M:$M,ROW(),1),$I$6:INDEX($I:$I,ROW(),1),IF(tblData[[#This Row],[ТОҚСАН]]=4,5,tblData[[#This Row],[ТОҚСАН]]+1)),"")</f>
        <v>50800</v>
      </c>
      <c r="Q13" s="63">
        <f>IFERROR(TREND($N$6:INDEX($N:$N,ROW(),1),$J$6:INDEX($J:$J,ROW(),1),tblData[[#This Row],[ЖЫЛ]]+1),"")</f>
        <v>143800</v>
      </c>
    </row>
    <row r="14" spans="2:17" ht="17.25" customHeight="1" x14ac:dyDescent="0.2">
      <c r="B14" s="58">
        <f>40731+(365*2)</f>
        <v>41461</v>
      </c>
      <c r="C14" s="4" t="s">
        <v>2</v>
      </c>
      <c r="D14" s="60">
        <v>8700</v>
      </c>
      <c r="E14" s="60">
        <v>8500</v>
      </c>
      <c r="F14" s="60">
        <v>7250</v>
      </c>
      <c r="G14" s="61">
        <f>tblData[[#This Row],[МӨЛШЕРІ]]-tblData[[#This Row],[ҚҰНЫ]]</f>
        <v>1450</v>
      </c>
      <c r="H14" s="5">
        <f>DATE(YEAR('Деректерді енгізу'!$B14),MONTH('Деректерді енгізу'!$B14),1)</f>
        <v>41456</v>
      </c>
      <c r="I14" s="71">
        <f>LOOKUP(MONTH('Деректерді енгізу'!$H14),{1,1;2,1;3,1;4,2;5,2;6,2;7,3;8,3;9,3;10,4;11,4;12,4})</f>
        <v>3</v>
      </c>
      <c r="J14" s="7">
        <f>YEAR('Деректерді енгізу'!$B14)</f>
        <v>2013</v>
      </c>
      <c r="K14" s="8">
        <f>MONTH(tblData[[#This Row],[КҮН]])</f>
        <v>7</v>
      </c>
      <c r="L14" s="62">
        <f>SUMIFS(tblData[МӨЛШЕРІ],tblData[КҮН],"&gt;="&amp;EOMONTH(tblData[[#This Row],[КҮН]],-1)+1,tblData[КҮН],"&lt;="&amp;EOMONTH(tblData[[#This Row],[КҮН]],0))</f>
        <v>8700</v>
      </c>
      <c r="M14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4" s="62">
        <f>SUMIFS(tblData[МӨЛШЕРІ],tblData[КҮН],"&gt;="&amp;DATE(YEAR(tblData[[#This Row],[КҮН]]),1,1),tblData[КҮН],"&lt;="&amp;DATE(YEAR(tblData[[#This Row],[КҮН]]),12,31))</f>
        <v>143800</v>
      </c>
      <c r="O14" s="63">
        <f>IFERROR(TREND($L$6:INDEX($L:$L,ROW(),1),$K$6:INDEX($K:$K,ROW(),1),IF(MONTH(tblData[[#This Row],[КҮН]])=12,13,MONTH(tblData[[#This Row],[КҮН]])+1)),"")</f>
        <v>10776.470588235294</v>
      </c>
      <c r="P14" s="63">
        <f>IFERROR(TREND($M$6:INDEX($M:$M,ROW(),1),$I$6:INDEX($I:$I,ROW(),1),IF(tblData[[#This Row],[ТОҚСАН]]=4,5,tblData[[#This Row],[ТОҚСАН]]+1)),"")</f>
        <v>47400</v>
      </c>
      <c r="Q14" s="63">
        <f>IFERROR(TREND($N$6:INDEX($N:$N,ROW(),1),$J$6:INDEX($J:$J,ROW(),1),tblData[[#This Row],[ЖЫЛ]]+1),"")</f>
        <v>143800</v>
      </c>
    </row>
    <row r="15" spans="2:17" ht="17.25" customHeight="1" x14ac:dyDescent="0.2">
      <c r="B15" s="58">
        <f>40761+(365*2)</f>
        <v>41491</v>
      </c>
      <c r="C15" s="4" t="s">
        <v>3</v>
      </c>
      <c r="D15" s="60">
        <v>8500</v>
      </c>
      <c r="E15" s="60">
        <v>8300</v>
      </c>
      <c r="F15" s="60">
        <v>7100</v>
      </c>
      <c r="G15" s="61">
        <f>tblData[[#This Row],[МӨЛШЕРІ]]-tblData[[#This Row],[ҚҰНЫ]]</f>
        <v>1400</v>
      </c>
      <c r="H15" s="5">
        <f>DATE(YEAR('Деректерді енгізу'!$B15),MONTH('Деректерді енгізу'!$B15),1)</f>
        <v>41487</v>
      </c>
      <c r="I15" s="71">
        <f>LOOKUP(MONTH('Деректерді енгізу'!$H15),{1,1;2,1;3,1;4,2;5,2;6,2;7,3;8,3;9,3;10,4;11,4;12,4})</f>
        <v>3</v>
      </c>
      <c r="J15" s="7">
        <f>YEAR('Деректерді енгізу'!$B15)</f>
        <v>2013</v>
      </c>
      <c r="K15" s="8">
        <f>MONTH(tblData[[#This Row],[КҮН]])</f>
        <v>8</v>
      </c>
      <c r="L15" s="62">
        <f>SUMIFS(tblData[МӨЛШЕРІ],tblData[КҮН],"&gt;="&amp;EOMONTH(tblData[[#This Row],[КҮН]],-1)+1,tblData[КҮН],"&lt;="&amp;EOMONTH(tblData[[#This Row],[КҮН]],0))</f>
        <v>16400</v>
      </c>
      <c r="M15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5" s="62">
        <f>SUMIFS(tblData[МӨЛШЕРІ],tblData[КҮН],"&gt;="&amp;DATE(YEAR(tblData[[#This Row],[КҮН]]),1,1),tblData[КҮН],"&lt;="&amp;DATE(YEAR(tblData[[#This Row],[КҮН]]),12,31))</f>
        <v>143800</v>
      </c>
      <c r="O15" s="63">
        <f>IFERROR(TREND($L$6:INDEX($L:$L,ROW(),1),$K$6:INDEX($K:$K,ROW(),1),IF(MONTH(tblData[[#This Row],[КҮН]])=12,13,MONTH(tblData[[#This Row],[КҮН]])+1)),"")</f>
        <v>12455.862068965516</v>
      </c>
      <c r="P15" s="63">
        <f>IFERROR(TREND($M$6:INDEX($M:$M,ROW(),1),$I$6:INDEX($I:$I,ROW(),1),IF(tblData[[#This Row],[ТОҚСАН]]=4,5,tblData[[#This Row],[ТОҚСАН]]+1)),"")</f>
        <v>47400</v>
      </c>
      <c r="Q15" s="63">
        <f>IFERROR(TREND($N$6:INDEX($N:$N,ROW(),1),$J$6:INDEX($J:$J,ROW(),1),tblData[[#This Row],[ЖЫЛ]]+1),"")</f>
        <v>143800</v>
      </c>
    </row>
    <row r="16" spans="2:17" ht="17.25" customHeight="1" x14ac:dyDescent="0.2">
      <c r="B16" s="58">
        <f>40775+(365*2)</f>
        <v>41505</v>
      </c>
      <c r="C16" s="4" t="s">
        <v>4</v>
      </c>
      <c r="D16" s="60">
        <v>7900</v>
      </c>
      <c r="E16" s="60">
        <v>7700</v>
      </c>
      <c r="F16" s="60">
        <v>6600</v>
      </c>
      <c r="G16" s="61">
        <f>tblData[[#This Row],[МӨЛШЕРІ]]-tblData[[#This Row],[ҚҰНЫ]]</f>
        <v>1300</v>
      </c>
      <c r="H16" s="5">
        <f>DATE(YEAR('Деректерді енгізу'!$B16),MONTH('Деректерді енгізу'!$B16),1)</f>
        <v>41487</v>
      </c>
      <c r="I16" s="71">
        <f>LOOKUP(MONTH('Деректерді енгізу'!$H16),{1,1;2,1;3,1;4,2;5,2;6,2;7,3;8,3;9,3;10,4;11,4;12,4})</f>
        <v>3</v>
      </c>
      <c r="J16" s="7">
        <f>YEAR('Деректерді енгізу'!$B16)</f>
        <v>2013</v>
      </c>
      <c r="K16" s="8">
        <f>MONTH(tblData[[#This Row],[КҮН]])</f>
        <v>8</v>
      </c>
      <c r="L16" s="62">
        <f>SUMIFS(tblData[МӨЛШЕРІ],tblData[КҮН],"&gt;="&amp;EOMONTH(tblData[[#This Row],[КҮН]],-1)+1,tblData[КҮН],"&lt;="&amp;EOMONTH(tblData[[#This Row],[КҮН]],0))</f>
        <v>16400</v>
      </c>
      <c r="M16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6" s="62">
        <f>SUMIFS(tblData[МӨЛШЕРІ],tblData[КҮН],"&gt;="&amp;DATE(YEAR(tblData[[#This Row],[КҮН]]),1,1),tblData[КҮН],"&lt;="&amp;DATE(YEAR(tblData[[#This Row],[КҮН]]),12,31))</f>
        <v>143800</v>
      </c>
      <c r="O16" s="63">
        <f>IFERROR(TREND($L$6:INDEX($L:$L,ROW(),1),$K$6:INDEX($K:$K,ROW(),1),IF(MONTH(tblData[[#This Row],[КҮН]])=12,13,MONTH(tblData[[#This Row],[КҮН]])+1)),"")</f>
        <v>13667.567567567567</v>
      </c>
      <c r="P16" s="63">
        <f>IFERROR(TREND($M$6:INDEX($M:$M,ROW(),1),$I$6:INDEX($I:$I,ROW(),1),IF(tblData[[#This Row],[ТОҚСАН]]=4,5,tblData[[#This Row],[ТОҚСАН]]+1)),"")</f>
        <v>47400.000000000007</v>
      </c>
      <c r="Q16" s="63">
        <f>IFERROR(TREND($N$6:INDEX($N:$N,ROW(),1),$J$6:INDEX($J:$J,ROW(),1),tblData[[#This Row],[ЖЫЛ]]+1),"")</f>
        <v>143800</v>
      </c>
    </row>
    <row r="17" spans="2:17" ht="17.25" customHeight="1" x14ac:dyDescent="0.2">
      <c r="B17" s="58">
        <f>40791+(365*2)</f>
        <v>41521</v>
      </c>
      <c r="C17" s="4" t="s">
        <v>5</v>
      </c>
      <c r="D17" s="60">
        <v>9100</v>
      </c>
      <c r="E17" s="60">
        <v>8900</v>
      </c>
      <c r="F17" s="60">
        <v>7900</v>
      </c>
      <c r="G17" s="61">
        <f>tblData[[#This Row],[МӨЛШЕРІ]]-tblData[[#This Row],[ҚҰНЫ]]</f>
        <v>1200</v>
      </c>
      <c r="H17" s="5">
        <f>DATE(YEAR('Деректерді енгізу'!$B17),MONTH('Деректерді енгізу'!$B17),1)</f>
        <v>41518</v>
      </c>
      <c r="I17" s="71">
        <f>LOOKUP(MONTH('Деректерді енгізу'!$H17),{1,1;2,1;3,1;4,2;5,2;6,2;7,3;8,3;9,3;10,4;11,4;12,4})</f>
        <v>3</v>
      </c>
      <c r="J17" s="7">
        <f>YEAR('Деректерді енгізу'!$B17)</f>
        <v>2013</v>
      </c>
      <c r="K17" s="8">
        <f>MONTH(tblData[[#This Row],[КҮН]])</f>
        <v>9</v>
      </c>
      <c r="L17" s="62">
        <f>SUMIFS(tblData[МӨЛШЕРІ],tblData[КҮН],"&gt;="&amp;EOMONTH(tblData[[#This Row],[КҮН]],-1)+1,tblData[КҮН],"&lt;="&amp;EOMONTH(tblData[[#This Row],[КҮН]],0))</f>
        <v>24000</v>
      </c>
      <c r="M17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7" s="62">
        <f>SUMIFS(tblData[МӨЛШЕРІ],tblData[КҮН],"&gt;="&amp;DATE(YEAR(tblData[[#This Row],[КҮН]]),1,1),tblData[КҮН],"&lt;="&amp;DATE(YEAR(tblData[[#This Row],[КҮН]]),12,31))</f>
        <v>143800</v>
      </c>
      <c r="O17" s="63">
        <f>IFERROR(TREND($L$6:INDEX($L:$L,ROW(),1),$K$6:INDEX($K:$K,ROW(),1),IF(MONTH(tblData[[#This Row],[КҮН]])=12,13,MONTH(tblData[[#This Row],[КҮН]])+1)),"")</f>
        <v>17651.666666666668</v>
      </c>
      <c r="P17" s="63">
        <f>IFERROR(TREND($M$6:INDEX($M:$M,ROW(),1),$I$6:INDEX($I:$I,ROW(),1),IF(tblData[[#This Row],[ТОҚСАН]]=4,5,tblData[[#This Row],[ТОҚСАН]]+1)),"")</f>
        <v>47400</v>
      </c>
      <c r="Q17" s="63">
        <f>IFERROR(TREND($N$6:INDEX($N:$N,ROW(),1),$J$6:INDEX($J:$J,ROW(),1),tblData[[#This Row],[ЖЫЛ]]+1),"")</f>
        <v>143800</v>
      </c>
    </row>
    <row r="18" spans="2:17" ht="17.25" customHeight="1" x14ac:dyDescent="0.2">
      <c r="B18" s="58">
        <f>40807+(365*2)</f>
        <v>41537</v>
      </c>
      <c r="C18" s="4" t="s">
        <v>1</v>
      </c>
      <c r="D18" s="60">
        <v>5600</v>
      </c>
      <c r="E18" s="60">
        <v>5800</v>
      </c>
      <c r="F18" s="60">
        <v>4500</v>
      </c>
      <c r="G18" s="61">
        <f>tblData[[#This Row],[МӨЛШЕРІ]]-tblData[[#This Row],[ҚҰНЫ]]</f>
        <v>1100</v>
      </c>
      <c r="H18" s="5">
        <f>DATE(YEAR('Деректерді енгізу'!$B18),MONTH('Деректерді енгізу'!$B18),1)</f>
        <v>41518</v>
      </c>
      <c r="I18" s="71">
        <f>LOOKUP(MONTH('Деректерді енгізу'!$H18),{1,1;2,1;3,1;4,2;5,2;6,2;7,3;8,3;9,3;10,4;11,4;12,4})</f>
        <v>3</v>
      </c>
      <c r="J18" s="7">
        <f>YEAR('Деректерді енгізу'!$B18)</f>
        <v>2013</v>
      </c>
      <c r="K18" s="8">
        <f>MONTH(tblData[[#This Row],[КҮН]])</f>
        <v>9</v>
      </c>
      <c r="L18" s="62">
        <f>SUMIFS(tblData[МӨЛШЕРІ],tblData[КҮН],"&gt;="&amp;EOMONTH(tblData[[#This Row],[КҮН]],-1)+1,tblData[КҮН],"&lt;="&amp;EOMONTH(tblData[[#This Row],[КҮН]],0))</f>
        <v>24000</v>
      </c>
      <c r="M18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8" s="62">
        <f>SUMIFS(tblData[МӨЛШЕРІ],tblData[КҮН],"&gt;="&amp;DATE(YEAR(tblData[[#This Row],[КҮН]]),1,1),tblData[КҮН],"&lt;="&amp;DATE(YEAR(tblData[[#This Row],[КҮН]]),12,31))</f>
        <v>143800</v>
      </c>
      <c r="O18" s="63">
        <f>IFERROR(TREND($L$6:INDEX($L:$L,ROW(),1),$K$6:INDEX($K:$K,ROW(),1),IF(MONTH(tblData[[#This Row],[КҮН]])=12,13,MONTH(tblData[[#This Row],[КҮН]])+1)),"")</f>
        <v>19877.911646586344</v>
      </c>
      <c r="P18" s="63">
        <f>IFERROR(TREND($M$6:INDEX($M:$M,ROW(),1),$I$6:INDEX($I:$I,ROW(),1),IF(tblData[[#This Row],[ТОҚСАН]]=4,5,tblData[[#This Row],[ТОҚСАН]]+1)),"")</f>
        <v>47400</v>
      </c>
      <c r="Q18" s="63">
        <f>IFERROR(TREND($N$6:INDEX($N:$N,ROW(),1),$J$6:INDEX($J:$J,ROW(),1),tblData[[#This Row],[ЖЫЛ]]+1),"")</f>
        <v>143800</v>
      </c>
    </row>
    <row r="19" spans="2:17" ht="17.25" customHeight="1" x14ac:dyDescent="0.2">
      <c r="B19" s="58">
        <f>40812+(365*2)</f>
        <v>41542</v>
      </c>
      <c r="C19" s="4" t="s">
        <v>2</v>
      </c>
      <c r="D19" s="60">
        <v>9300</v>
      </c>
      <c r="E19" s="60">
        <v>9100</v>
      </c>
      <c r="F19" s="60">
        <v>7500</v>
      </c>
      <c r="G19" s="61">
        <f>tblData[[#This Row],[МӨЛШЕРІ]]-tblData[[#This Row],[ҚҰНЫ]]</f>
        <v>1800</v>
      </c>
      <c r="H19" s="5">
        <f>DATE(YEAR('Деректерді енгізу'!$B19),MONTH('Деректерді енгізу'!$B19),1)</f>
        <v>41518</v>
      </c>
      <c r="I19" s="71">
        <f>LOOKUP(MONTH('Деректерді енгізу'!$H19),{1,1;2,1;3,1;4,2;5,2;6,2;7,3;8,3;9,3;10,4;11,4;12,4})</f>
        <v>3</v>
      </c>
      <c r="J19" s="7">
        <f>YEAR('Деректерді енгізу'!$B19)</f>
        <v>2013</v>
      </c>
      <c r="K19" s="8">
        <f>MONTH(tblData[[#This Row],[КҮН]])</f>
        <v>9</v>
      </c>
      <c r="L19" s="62">
        <f>SUMIFS(tblData[МӨЛШЕРІ],tblData[КҮН],"&gt;="&amp;EOMONTH(tblData[[#This Row],[КҮН]],-1)+1,tblData[КҮН],"&lt;="&amp;EOMONTH(tblData[[#This Row],[КҮН]],0))</f>
        <v>24000</v>
      </c>
      <c r="M19" s="62">
        <f>SUMIFS(tblData[МӨЛШЕРІ],tblData[КҮН],"&gt;="&amp;DATE(YEAR(tblData[[#This Row],[КҮН]]),1,1),tblData[КҮН],"&lt;="&amp;DATE(YEAR(tblData[[#This Row],[КҮН]]),12,31),tblData[ТОҚСАН],tblData[[#This Row],[ТОҚСАН]])</f>
        <v>49100</v>
      </c>
      <c r="N19" s="62">
        <f>SUMIFS(tblData[МӨЛШЕРІ],tblData[КҮН],"&gt;="&amp;DATE(YEAR(tblData[[#This Row],[КҮН]]),1,1),tblData[КҮН],"&lt;="&amp;DATE(YEAR(tblData[[#This Row],[КҮН]]),12,31))</f>
        <v>143800</v>
      </c>
      <c r="O19" s="63">
        <f>IFERROR(TREND($L$6:INDEX($L:$L,ROW(),1),$K$6:INDEX($K:$K,ROW(),1),IF(MONTH(tblData[[#This Row],[КҮН]])=12,13,MONTH(tblData[[#This Row],[КҮН]])+1)),"")</f>
        <v>21138.050314465407</v>
      </c>
      <c r="P19" s="63">
        <f>IFERROR(TREND($M$6:INDEX($M:$M,ROW(),1),$I$6:INDEX($I:$I,ROW(),1),IF(tblData[[#This Row],[ТОҚСАН]]=4,5,tblData[[#This Row],[ТОҚСАН]]+1)),"")</f>
        <v>47400</v>
      </c>
      <c r="Q19" s="63">
        <f>IFERROR(TREND($N$6:INDEX($N:$N,ROW(),1),$J$6:INDEX($J:$J,ROW(),1),tblData[[#This Row],[ЖЫЛ]]+1),"")</f>
        <v>143800</v>
      </c>
    </row>
    <row r="20" spans="2:17" ht="17.25" customHeight="1" x14ac:dyDescent="0.2">
      <c r="B20" s="58">
        <f>40832+(365*2)</f>
        <v>41562</v>
      </c>
      <c r="C20" s="4" t="s">
        <v>3</v>
      </c>
      <c r="D20" s="60">
        <v>8800</v>
      </c>
      <c r="E20" s="60">
        <v>9350</v>
      </c>
      <c r="F20" s="60">
        <v>7100</v>
      </c>
      <c r="G20" s="61">
        <f>tblData[[#This Row],[МӨЛШЕРІ]]-tblData[[#This Row],[ҚҰНЫ]]</f>
        <v>1700</v>
      </c>
      <c r="H20" s="5">
        <f>DATE(YEAR('Деректерді енгізу'!$B20),MONTH('Деректерді енгізу'!$B20),1)</f>
        <v>41548</v>
      </c>
      <c r="I20" s="71">
        <f>LOOKUP(MONTH('Деректерді енгізу'!$H20),{1,1;2,1;3,1;4,2;5,2;6,2;7,3;8,3;9,3;10,4;11,4;12,4})</f>
        <v>4</v>
      </c>
      <c r="J20" s="7">
        <f>YEAR('Деректерді енгізу'!$B20)</f>
        <v>2013</v>
      </c>
      <c r="K20" s="8">
        <f>MONTH(tblData[[#This Row],[КҮН]])</f>
        <v>10</v>
      </c>
      <c r="L20" s="62">
        <f>SUMIFS(tblData[МӨЛШЕРІ],tblData[КҮН],"&gt;="&amp;EOMONTH(tblData[[#This Row],[КҮН]],-1)+1,tblData[КҮН],"&lt;="&amp;EOMONTH(tblData[[#This Row],[КҮН]],0))</f>
        <v>8800</v>
      </c>
      <c r="M20" s="62">
        <f>SUMIFS(tblData[МӨЛШЕРІ],tblData[КҮН],"&gt;="&amp;DATE(YEAR(tblData[[#This Row],[КҮН]]),1,1),tblData[КҮН],"&lt;="&amp;DATE(YEAR(tblData[[#This Row],[КҮН]]),12,31),tblData[ТОҚСАН],tblData[[#This Row],[ТОҚСАН]])</f>
        <v>43900</v>
      </c>
      <c r="N20" s="62">
        <f>SUMIFS(tblData[МӨЛШЕРІ],tblData[КҮН],"&gt;="&amp;DATE(YEAR(tblData[[#This Row],[КҮН]]),1,1),tblData[КҮН],"&lt;="&amp;DATE(YEAR(tblData[[#This Row],[КҮН]]),12,31))</f>
        <v>143800</v>
      </c>
      <c r="O20" s="63">
        <f>IFERROR(TREND($L$6:INDEX($L:$L,ROW(),1),$K$6:INDEX($K:$K,ROW(),1),IF(MONTH(tblData[[#This Row],[КҮН]])=12,13,MONTH(tblData[[#This Row],[КҮН]])+1)),"")</f>
        <v>17951.744186046511</v>
      </c>
      <c r="P20" s="63">
        <f>IFERROR(TREND($M$6:INDEX($M:$M,ROW(),1),$I$6:INDEX($I:$I,ROW(),1),IF(tblData[[#This Row],[ТОҚСАН]]=4,5,tblData[[#This Row],[ТОҚСАН]]+1)),"")</f>
        <v>43258.139534883725</v>
      </c>
      <c r="Q20" s="63">
        <f>IFERROR(TREND($N$6:INDEX($N:$N,ROW(),1),$J$6:INDEX($J:$J,ROW(),1),tblData[[#This Row],[ЖЫЛ]]+1),"")</f>
        <v>143800</v>
      </c>
    </row>
    <row r="21" spans="2:17" ht="17.25" customHeight="1" x14ac:dyDescent="0.2">
      <c r="B21" s="58">
        <f>40853+(365*2)</f>
        <v>41583</v>
      </c>
      <c r="C21" s="4" t="s">
        <v>4</v>
      </c>
      <c r="D21" s="60">
        <v>9100</v>
      </c>
      <c r="E21" s="60">
        <v>9200</v>
      </c>
      <c r="F21" s="60">
        <v>7850</v>
      </c>
      <c r="G21" s="61">
        <f>tblData[[#This Row],[МӨЛШЕРІ]]-tblData[[#This Row],[ҚҰНЫ]]</f>
        <v>1250</v>
      </c>
      <c r="H21" s="5">
        <f>DATE(YEAR('Деректерді енгізу'!$B21),MONTH('Деректерді енгізу'!$B21),1)</f>
        <v>41579</v>
      </c>
      <c r="I21" s="71">
        <f>LOOKUP(MONTH('Деректерді енгізу'!$H21),{1,1;2,1;3,1;4,2;5,2;6,2;7,3;8,3;9,3;10,4;11,4;12,4})</f>
        <v>4</v>
      </c>
      <c r="J21" s="7">
        <f>YEAR('Деректерді енгізу'!$B21)</f>
        <v>2013</v>
      </c>
      <c r="K21" s="8">
        <f>MONTH(tblData[[#This Row],[КҮН]])</f>
        <v>11</v>
      </c>
      <c r="L21" s="62">
        <f>SUMIFS(tblData[МӨЛШЕРІ],tblData[КҮН],"&gt;="&amp;EOMONTH(tblData[[#This Row],[КҮН]],-1)+1,tblData[КҮН],"&lt;="&amp;EOMONTH(tblData[[#This Row],[КҮН]],0))</f>
        <v>25600</v>
      </c>
      <c r="M21" s="62">
        <f>SUMIFS(tblData[МӨЛШЕРІ],tblData[КҮН],"&gt;="&amp;DATE(YEAR(tblData[[#This Row],[КҮН]]),1,1),tblData[КҮН],"&lt;="&amp;DATE(YEAR(tblData[[#This Row],[КҮН]]),12,31),tblData[ТОҚСАН],tblData[[#This Row],[ТОҚСАН]])</f>
        <v>43900</v>
      </c>
      <c r="N21" s="62">
        <f>SUMIFS(tblData[МӨЛШЕРІ],tblData[КҮН],"&gt;="&amp;DATE(YEAR(tblData[[#This Row],[КҮН]]),1,1),tblData[КҮН],"&lt;="&amp;DATE(YEAR(tblData[[#This Row],[КҮН]]),12,31))</f>
        <v>143800</v>
      </c>
      <c r="O21" s="63">
        <f>IFERROR(TREND($L$6:INDEX($L:$L,ROW(),1),$K$6:INDEX($K:$K,ROW(),1),IF(MONTH(tblData[[#This Row],[КҮН]])=12,13,MONTH(tblData[[#This Row],[КҮН]])+1)),"")</f>
        <v>20556.130108423687</v>
      </c>
      <c r="P21" s="63">
        <f>IFERROR(TREND($M$6:INDEX($M:$M,ROW(),1),$I$6:INDEX($I:$I,ROW(),1),IF(tblData[[#This Row],[ТОҚСАН]]=4,5,tblData[[#This Row],[ТОҚСАН]]+1)),"")</f>
        <v>42312.903225806447</v>
      </c>
      <c r="Q21" s="63">
        <f>IFERROR(TREND($N$6:INDEX($N:$N,ROW(),1),$J$6:INDEX($J:$J,ROW(),1),tblData[[#This Row],[ЖЫЛ]]+1),"")</f>
        <v>143800</v>
      </c>
    </row>
    <row r="22" spans="2:17" ht="17.25" customHeight="1" x14ac:dyDescent="0.2">
      <c r="B22" s="58">
        <f>40874+(365*2)</f>
        <v>41604</v>
      </c>
      <c r="C22" s="4" t="s">
        <v>5</v>
      </c>
      <c r="D22" s="60">
        <v>9000</v>
      </c>
      <c r="E22" s="60">
        <v>10000</v>
      </c>
      <c r="F22" s="60">
        <v>7575</v>
      </c>
      <c r="G22" s="61">
        <f>tblData[[#This Row],[МӨЛШЕРІ]]-tblData[[#This Row],[ҚҰНЫ]]</f>
        <v>1425</v>
      </c>
      <c r="H22" s="5">
        <f>DATE(YEAR('Деректерді енгізу'!$B22),MONTH('Деректерді енгізу'!$B22),1)</f>
        <v>41579</v>
      </c>
      <c r="I22" s="71">
        <f>LOOKUP(MONTH('Деректерді енгізу'!$H22),{1,1;2,1;3,1;4,2;5,2;6,2;7,3;8,3;9,3;10,4;11,4;12,4})</f>
        <v>4</v>
      </c>
      <c r="J22" s="7">
        <f>YEAR('Деректерді енгізу'!$B22)</f>
        <v>2013</v>
      </c>
      <c r="K22" s="8">
        <f>MONTH(tblData[[#This Row],[КҮН]])</f>
        <v>11</v>
      </c>
      <c r="L22" s="62">
        <f>SUMIFS(tblData[МӨЛШЕРІ],tblData[КҮН],"&gt;="&amp;EOMONTH(tblData[[#This Row],[КҮН]],-1)+1,tblData[КҮН],"&lt;="&amp;EOMONTH(tblData[[#This Row],[КҮН]],0))</f>
        <v>25600</v>
      </c>
      <c r="M22" s="62">
        <f>SUMIFS(tblData[МӨЛШЕРІ],tblData[КҮН],"&gt;="&amp;DATE(YEAR(tblData[[#This Row],[КҮН]]),1,1),tblData[КҮН],"&lt;="&amp;DATE(YEAR(tblData[[#This Row],[КҮН]]),12,31),tblData[ТОҚСАН],tblData[[#This Row],[ТОҚСАН]])</f>
        <v>43900</v>
      </c>
      <c r="N22" s="62">
        <f>SUMIFS(tblData[МӨЛШЕРІ],tblData[КҮН],"&gt;="&amp;DATE(YEAR(tblData[[#This Row],[КҮН]]),1,1),tblData[КҮН],"&lt;="&amp;DATE(YEAR(tblData[[#This Row],[КҮН]]),12,31))</f>
        <v>143800</v>
      </c>
      <c r="O22" s="63">
        <f>IFERROR(TREND($L$6:INDEX($L:$L,ROW(),1),$K$6:INDEX($K:$K,ROW(),1),IF(MONTH(tblData[[#This Row],[КҮН]])=12,13,MONTH(tblData[[#This Row],[КҮН]])+1)),"")</f>
        <v>21997.139141742522</v>
      </c>
      <c r="P22" s="63">
        <f>IFERROR(TREND($M$6:INDEX($M:$M,ROW(),1),$I$6:INDEX($I:$I,ROW(),1),IF(tblData[[#This Row],[ТОҚСАН]]=4,5,tblData[[#This Row],[ТОҚСАН]]+1)),"")</f>
        <v>41811.111111111109</v>
      </c>
      <c r="Q22" s="63">
        <f>IFERROR(TREND($N$6:INDEX($N:$N,ROW(),1),$J$6:INDEX($J:$J,ROW(),1),tblData[[#This Row],[ЖЫЛ]]+1),"")</f>
        <v>143800</v>
      </c>
    </row>
    <row r="23" spans="2:17" ht="17.25" customHeight="1" x14ac:dyDescent="0.2">
      <c r="B23" s="58">
        <f>40878+(365*2)</f>
        <v>41608</v>
      </c>
      <c r="C23" s="4" t="s">
        <v>5</v>
      </c>
      <c r="D23" s="60">
        <v>7500</v>
      </c>
      <c r="E23" s="60">
        <v>8000</v>
      </c>
      <c r="F23" s="60">
        <v>5850</v>
      </c>
      <c r="G23" s="61">
        <f>tblData[[#This Row],[МӨЛШЕРІ]]-tblData[[#This Row],[ҚҰНЫ]]</f>
        <v>1650</v>
      </c>
      <c r="H23" s="5">
        <f>DATE(YEAR('Деректерді енгізу'!$B23),MONTH('Деректерді енгізу'!$B23),1)</f>
        <v>41579</v>
      </c>
      <c r="I23" s="71">
        <f>LOOKUP(MONTH('Деректерді енгізу'!$H23),{1,1;2,1;3,1;4,2;5,2;6,2;7,3;8,3;9,3;10,4;11,4;12,4})</f>
        <v>4</v>
      </c>
      <c r="J23" s="7">
        <f>YEAR('Деректерді енгізу'!$B23)</f>
        <v>2013</v>
      </c>
      <c r="K23" s="8">
        <f>MONTH(tblData[[#This Row],[КҮН]])</f>
        <v>11</v>
      </c>
      <c r="L23" s="62">
        <f>SUMIFS(tblData[МӨЛШЕРІ],tblData[КҮН],"&gt;="&amp;EOMONTH(tblData[[#This Row],[КҮН]],-1)+1,tblData[КҮН],"&lt;="&amp;EOMONTH(tblData[[#This Row],[КҮН]],0))</f>
        <v>25600</v>
      </c>
      <c r="M23" s="62">
        <f>SUMIFS(tblData[МӨЛШЕРІ],tblData[КҮН],"&gt;="&amp;DATE(YEAR(tblData[[#This Row],[КҮН]]),1,1),tblData[КҮН],"&lt;="&amp;DATE(YEAR(tblData[[#This Row],[КҮН]]),12,31),tblData[ТОҚСАН],tblData[[#This Row],[ТОҚСАН]])</f>
        <v>43900</v>
      </c>
      <c r="N23" s="62">
        <f>SUMIFS(tblData[МӨЛШЕРІ],tblData[КҮН],"&gt;="&amp;DATE(YEAR(tblData[[#This Row],[КҮН]]),1,1),tblData[КҮН],"&lt;="&amp;DATE(YEAR(tblData[[#This Row],[КҮН]]),12,31))</f>
        <v>143800</v>
      </c>
      <c r="O23" s="63">
        <f>IFERROR(TREND($L$6:INDEX($L:$L,ROW(),1),$K$6:INDEX($K:$K,ROW(),1),IF(MONTH(tblData[[#This Row],[КҮН]])=12,13,MONTH(tblData[[#This Row],[КҮН]])+1)),"")</f>
        <v>22917.634523175278</v>
      </c>
      <c r="P23" s="63">
        <f>IFERROR(TREND($M$6:INDEX($M:$M,ROW(),1),$I$6:INDEX($I:$I,ROW(),1),IF(tblData[[#This Row],[ТОҚСАН]]=4,5,tblData[[#This Row],[ТОҚСАН]]+1)),"")</f>
        <v>41500</v>
      </c>
      <c r="Q23" s="63">
        <f>IFERROR(TREND($N$6:INDEX($N:$N,ROW(),1),$J$6:INDEX($J:$J,ROW(),1),tblData[[#This Row],[ЖЫЛ]]+1),"")</f>
        <v>143800</v>
      </c>
    </row>
    <row r="24" spans="2:17" ht="17.25" customHeight="1" x14ac:dyDescent="0.2">
      <c r="B24" s="58">
        <f>40889+(365*2)</f>
        <v>41619</v>
      </c>
      <c r="C24" s="4" t="s">
        <v>1</v>
      </c>
      <c r="D24" s="60">
        <v>9500</v>
      </c>
      <c r="E24" s="60">
        <v>9200</v>
      </c>
      <c r="F24" s="60">
        <v>8500</v>
      </c>
      <c r="G24" s="61">
        <f>tblData[[#This Row],[МӨЛШЕРІ]]-tblData[[#This Row],[ҚҰНЫ]]</f>
        <v>1000</v>
      </c>
      <c r="H24" s="5">
        <f>DATE(YEAR('Деректерді енгізу'!$B24),MONTH('Деректерді енгізу'!$B24),1)</f>
        <v>41609</v>
      </c>
      <c r="I24" s="71">
        <f>LOOKUP(MONTH('Деректерді енгізу'!$H24),{1,1;2,1;3,1;4,2;5,2;6,2;7,3;8,3;9,3;10,4;11,4;12,4})</f>
        <v>4</v>
      </c>
      <c r="J24" s="7">
        <f>YEAR('Деректерді енгізу'!$B24)</f>
        <v>2013</v>
      </c>
      <c r="K24" s="8">
        <f>MONTH(tblData[[#This Row],[КҮН]])</f>
        <v>12</v>
      </c>
      <c r="L24" s="62">
        <f>SUMIFS(tblData[МӨЛШЕРІ],tblData[КҮН],"&gt;="&amp;EOMONTH(tblData[[#This Row],[КҮН]],-1)+1,tblData[КҮН],"&lt;="&amp;EOMONTH(tblData[[#This Row],[КҮН]],0))</f>
        <v>9500</v>
      </c>
      <c r="M24" s="62">
        <f>SUMIFS(tblData[МӨЛШЕРІ],tblData[КҮН],"&gt;="&amp;DATE(YEAR(tblData[[#This Row],[КҮН]]),1,1),tblData[КҮН],"&lt;="&amp;DATE(YEAR(tblData[[#This Row],[КҮН]]),12,31),tblData[ТОҚСАН],tblData[[#This Row],[ТОҚСАН]])</f>
        <v>43900</v>
      </c>
      <c r="N24" s="62">
        <f>SUMIFS(tblData[МӨЛШЕРІ],tblData[КҮН],"&gt;="&amp;DATE(YEAR(tblData[[#This Row],[КҮН]]),1,1),tblData[КҮН],"&lt;="&amp;DATE(YEAR(tblData[[#This Row],[КҮН]]),12,31))</f>
        <v>143800</v>
      </c>
      <c r="O24" s="63">
        <f>IFERROR(TREND($L$6:INDEX($L:$L,ROW(),1),$K$6:INDEX($K:$K,ROW(),1),IF(MONTH(tblData[[#This Row],[КҮН]])=12,13,MONTH(tblData[[#This Row],[КҮН]])+1)),"")</f>
        <v>20504.314720812181</v>
      </c>
      <c r="P24" s="63">
        <f>IFERROR(TREND($M$6:INDEX($M:$M,ROW(),1),$I$6:INDEX($I:$I,ROW(),1),IF(tblData[[#This Row],[ТОҚСАН]]=4,5,tblData[[#This Row],[ТОҚСАН]]+1)),"")</f>
        <v>41288.23529411765</v>
      </c>
      <c r="Q24" s="63">
        <f>IFERROR(TREND($N$6:INDEX($N:$N,ROW(),1),$J$6:INDEX($J:$J,ROW(),1),tblData[[#This Row],[ЖЫЛ]]+1),"")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76"/>
  <sheetViews>
    <sheetView showGridLines="0" zoomScaleNormal="100" workbookViewId="0"/>
  </sheetViews>
  <sheetFormatPr defaultRowHeight="17.25" customHeight="1" x14ac:dyDescent="0.2"/>
  <cols>
    <col min="1" max="1" width="2" style="32" customWidth="1"/>
    <col min="2" max="2" width="24.1640625" style="29" customWidth="1"/>
    <col min="3" max="3" width="21.1640625" style="29" customWidth="1"/>
    <col min="4" max="4" width="19.83203125" style="30" customWidth="1"/>
    <col min="5" max="5" width="31" style="30" customWidth="1"/>
    <col min="6" max="6" width="24.1640625" style="31" customWidth="1"/>
    <col min="7" max="16384" width="9.33203125" style="32"/>
  </cols>
  <sheetData>
    <row r="1" spans="1:6" s="28" customFormat="1" ht="11.25" customHeight="1" x14ac:dyDescent="0.2">
      <c r="B1" s="29"/>
      <c r="C1" s="29"/>
      <c r="D1" s="30"/>
      <c r="E1" s="30"/>
      <c r="F1" s="31"/>
    </row>
    <row r="2" spans="1:6" customFormat="1" ht="33.75" x14ac:dyDescent="0.2">
      <c r="B2" s="2" t="s">
        <v>46</v>
      </c>
    </row>
    <row r="3" spans="1:6" ht="17.25" customHeight="1" x14ac:dyDescent="0.2">
      <c r="A3" s="28"/>
    </row>
    <row r="4" spans="1:6" ht="11.25" x14ac:dyDescent="0.2">
      <c r="A4" s="28"/>
      <c r="B4" s="59" t="s">
        <v>20</v>
      </c>
      <c r="C4" s="59" t="s">
        <v>16</v>
      </c>
      <c r="D4" s="59" t="s">
        <v>15</v>
      </c>
      <c r="E4" s="59" t="s">
        <v>22</v>
      </c>
      <c r="F4" t="s">
        <v>47</v>
      </c>
    </row>
    <row r="5" spans="1:6" ht="17.25" customHeight="1" x14ac:dyDescent="0.2">
      <c r="B5" s="39">
        <v>2013</v>
      </c>
      <c r="C5" s="69">
        <v>2</v>
      </c>
      <c r="D5" s="72">
        <v>41365</v>
      </c>
      <c r="E5" s="39" t="s">
        <v>1</v>
      </c>
      <c r="F5" s="66">
        <v>8200</v>
      </c>
    </row>
    <row r="6" spans="1:6" ht="17.25" customHeight="1" x14ac:dyDescent="0.2">
      <c r="B6"/>
      <c r="C6"/>
      <c r="D6"/>
      <c r="E6" s="39" t="s">
        <v>0</v>
      </c>
      <c r="F6" s="66">
        <v>6400</v>
      </c>
    </row>
    <row r="7" spans="1:6" ht="17.25" customHeight="1" x14ac:dyDescent="0.2">
      <c r="B7"/>
      <c r="C7"/>
      <c r="D7" s="72">
        <v>41395</v>
      </c>
      <c r="E7" s="39" t="s">
        <v>3</v>
      </c>
      <c r="F7" s="66">
        <v>5400</v>
      </c>
    </row>
    <row r="8" spans="1:6" ht="17.25" customHeight="1" x14ac:dyDescent="0.2">
      <c r="B8"/>
      <c r="C8"/>
      <c r="D8"/>
      <c r="E8" s="39" t="s">
        <v>5</v>
      </c>
      <c r="F8" s="66">
        <v>6200</v>
      </c>
    </row>
    <row r="9" spans="1:6" ht="17.25" customHeight="1" x14ac:dyDescent="0.2">
      <c r="B9"/>
      <c r="C9"/>
      <c r="D9"/>
      <c r="E9" s="39" t="s">
        <v>4</v>
      </c>
      <c r="F9" s="66">
        <v>5800</v>
      </c>
    </row>
    <row r="10" spans="1:6" ht="17.25" customHeight="1" x14ac:dyDescent="0.2">
      <c r="B10"/>
      <c r="C10"/>
      <c r="D10"/>
      <c r="E10" s="39" t="s">
        <v>2</v>
      </c>
      <c r="F10" s="66">
        <v>4400</v>
      </c>
    </row>
    <row r="11" spans="1:6" ht="17.25" customHeight="1" x14ac:dyDescent="0.2">
      <c r="B11"/>
      <c r="C11"/>
      <c r="D11" s="72">
        <v>41426</v>
      </c>
      <c r="E11" s="39" t="s">
        <v>1</v>
      </c>
      <c r="F11" s="66">
        <v>7500</v>
      </c>
    </row>
    <row r="12" spans="1:6" ht="17.25" customHeight="1" x14ac:dyDescent="0.2">
      <c r="B12"/>
      <c r="C12"/>
      <c r="D12"/>
      <c r="E12" s="39" t="s">
        <v>0</v>
      </c>
      <c r="F12" s="66">
        <v>6900</v>
      </c>
    </row>
    <row r="13" spans="1:6" ht="17.25" customHeight="1" x14ac:dyDescent="0.2">
      <c r="B13"/>
      <c r="C13" s="69" t="s">
        <v>53</v>
      </c>
      <c r="D13" s="39"/>
      <c r="E13" s="39"/>
      <c r="F13" s="66">
        <v>50800</v>
      </c>
    </row>
    <row r="14" spans="1:6" ht="17.25" customHeight="1" x14ac:dyDescent="0.2">
      <c r="B14"/>
      <c r="C14" s="69">
        <v>3</v>
      </c>
      <c r="D14" s="72">
        <v>41456</v>
      </c>
      <c r="E14" s="39" t="s">
        <v>2</v>
      </c>
      <c r="F14" s="66">
        <v>8700</v>
      </c>
    </row>
    <row r="15" spans="1:6" ht="17.25" customHeight="1" x14ac:dyDescent="0.2">
      <c r="B15"/>
      <c r="C15"/>
      <c r="D15" s="72">
        <v>41487</v>
      </c>
      <c r="E15" s="39" t="s">
        <v>3</v>
      </c>
      <c r="F15" s="66">
        <v>8500</v>
      </c>
    </row>
    <row r="16" spans="1:6" ht="17.25" customHeight="1" x14ac:dyDescent="0.2">
      <c r="B16"/>
      <c r="C16"/>
      <c r="D16"/>
      <c r="E16" s="39" t="s">
        <v>4</v>
      </c>
      <c r="F16" s="66">
        <v>7900</v>
      </c>
    </row>
    <row r="17" spans="2:6" ht="17.25" customHeight="1" x14ac:dyDescent="0.2">
      <c r="B17"/>
      <c r="C17"/>
      <c r="D17" s="72">
        <v>41518</v>
      </c>
      <c r="E17" s="39" t="s">
        <v>1</v>
      </c>
      <c r="F17" s="66">
        <v>5600</v>
      </c>
    </row>
    <row r="18" spans="2:6" ht="17.25" customHeight="1" x14ac:dyDescent="0.2">
      <c r="B18"/>
      <c r="C18"/>
      <c r="D18"/>
      <c r="E18" s="39" t="s">
        <v>5</v>
      </c>
      <c r="F18" s="66">
        <v>9100</v>
      </c>
    </row>
    <row r="19" spans="2:6" ht="17.25" customHeight="1" x14ac:dyDescent="0.2">
      <c r="B19"/>
      <c r="C19"/>
      <c r="D19"/>
      <c r="E19" s="39" t="s">
        <v>2</v>
      </c>
      <c r="F19" s="66">
        <v>9300</v>
      </c>
    </row>
    <row r="20" spans="2:6" ht="17.25" customHeight="1" x14ac:dyDescent="0.2">
      <c r="B20"/>
      <c r="C20" s="69" t="s">
        <v>54</v>
      </c>
      <c r="D20" s="39"/>
      <c r="E20" s="39"/>
      <c r="F20" s="66">
        <v>49100</v>
      </c>
    </row>
    <row r="21" spans="2:6" ht="17.25" customHeight="1" x14ac:dyDescent="0.2">
      <c r="B21"/>
      <c r="C21" s="69">
        <v>4</v>
      </c>
      <c r="D21" s="72">
        <v>41548</v>
      </c>
      <c r="E21" s="39" t="s">
        <v>3</v>
      </c>
      <c r="F21" s="66">
        <v>8800</v>
      </c>
    </row>
    <row r="22" spans="2:6" ht="17.25" customHeight="1" x14ac:dyDescent="0.2">
      <c r="B22"/>
      <c r="C22"/>
      <c r="D22" s="72">
        <v>41579</v>
      </c>
      <c r="E22" s="39" t="s">
        <v>5</v>
      </c>
      <c r="F22" s="66">
        <v>16500</v>
      </c>
    </row>
    <row r="23" spans="2:6" ht="11.25" x14ac:dyDescent="0.2">
      <c r="B23"/>
      <c r="C23"/>
      <c r="D23"/>
      <c r="E23" s="39" t="s">
        <v>4</v>
      </c>
      <c r="F23" s="66">
        <v>9100</v>
      </c>
    </row>
    <row r="24" spans="2:6" ht="17.25" customHeight="1" x14ac:dyDescent="0.2">
      <c r="B24"/>
      <c r="C24"/>
      <c r="D24" s="72">
        <v>41609</v>
      </c>
      <c r="E24" s="39" t="s">
        <v>1</v>
      </c>
      <c r="F24" s="66">
        <v>9500</v>
      </c>
    </row>
    <row r="25" spans="2:6" ht="17.25" customHeight="1" x14ac:dyDescent="0.2">
      <c r="B25"/>
      <c r="C25" s="69" t="s">
        <v>55</v>
      </c>
      <c r="D25" s="39"/>
      <c r="E25" s="39"/>
      <c r="F25" s="66">
        <v>43900</v>
      </c>
    </row>
    <row r="26" spans="2:6" ht="11.25" x14ac:dyDescent="0.2">
      <c r="B26" s="33" t="s">
        <v>52</v>
      </c>
      <c r="C26" s="33"/>
      <c r="D26" s="33"/>
      <c r="E26" s="33"/>
      <c r="F26" s="67">
        <v>143800</v>
      </c>
    </row>
    <row r="27" spans="2:6" ht="17.25" customHeight="1" x14ac:dyDescent="0.2">
      <c r="B27" s="39" t="s">
        <v>6</v>
      </c>
      <c r="C27"/>
      <c r="D27"/>
      <c r="E27"/>
      <c r="F27" s="66">
        <v>143800</v>
      </c>
    </row>
    <row r="28" spans="2:6" ht="11.25" x14ac:dyDescent="0.2">
      <c r="B28"/>
      <c r="C28"/>
      <c r="D28"/>
      <c r="E28"/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</row>
    <row r="31" spans="2:6" ht="11.25" x14ac:dyDescent="0.2">
      <c r="B31"/>
      <c r="C31"/>
      <c r="D31"/>
      <c r="E31"/>
    </row>
    <row r="32" spans="2:6" ht="11.25" x14ac:dyDescent="0.2">
      <c r="B32"/>
      <c r="C32"/>
      <c r="D32"/>
      <c r="E32"/>
    </row>
    <row r="33" spans="2:5" ht="11.25" x14ac:dyDescent="0.2">
      <c r="B33"/>
      <c r="C33"/>
      <c r="D33"/>
      <c r="E33"/>
    </row>
    <row r="34" spans="2:5" ht="11.25" x14ac:dyDescent="0.2">
      <c r="B34"/>
      <c r="C34"/>
      <c r="D34"/>
      <c r="E34"/>
    </row>
    <row r="35" spans="2:5" ht="11.25" x14ac:dyDescent="0.2">
      <c r="B35"/>
      <c r="C35"/>
      <c r="D35"/>
      <c r="E35"/>
    </row>
    <row r="36" spans="2:5" ht="11.25" x14ac:dyDescent="0.2">
      <c r="B36"/>
      <c r="C36"/>
      <c r="D36"/>
      <c r="E36"/>
    </row>
    <row r="37" spans="2:5" ht="11.25" x14ac:dyDescent="0.2">
      <c r="B37"/>
      <c r="C37"/>
    </row>
    <row r="38" spans="2:5" ht="11.25" x14ac:dyDescent="0.2">
      <c r="B38"/>
      <c r="C38"/>
    </row>
    <row r="39" spans="2:5" ht="11.25" x14ac:dyDescent="0.2">
      <c r="B39"/>
      <c r="C39"/>
    </row>
    <row r="40" spans="2:5" ht="11.25" x14ac:dyDescent="0.2">
      <c r="B40"/>
      <c r="C40"/>
    </row>
    <row r="41" spans="2:5" ht="11.25" x14ac:dyDescent="0.2">
      <c r="B41"/>
      <c r="C41"/>
    </row>
    <row r="42" spans="2:5" ht="11.25" x14ac:dyDescent="0.2">
      <c r="B42"/>
      <c r="C42"/>
    </row>
    <row r="53" spans="2:6" ht="17.25" customHeight="1" x14ac:dyDescent="0.2">
      <c r="B53" s="68"/>
      <c r="C53"/>
      <c r="D53"/>
      <c r="E53"/>
      <c r="F53" s="57"/>
    </row>
    <row r="54" spans="2:6" ht="17.25" customHeight="1" x14ac:dyDescent="0.2">
      <c r="B54" s="38"/>
      <c r="C54" s="40"/>
      <c r="D54" s="41"/>
      <c r="E54"/>
      <c r="F54" s="27"/>
    </row>
    <row r="55" spans="2:6" ht="17.25" customHeight="1" x14ac:dyDescent="0.2">
      <c r="B55" s="35"/>
      <c r="C55" s="35"/>
      <c r="D55" s="35"/>
      <c r="E55"/>
      <c r="F55" s="27"/>
    </row>
    <row r="56" spans="2:6" ht="17.25" customHeight="1" x14ac:dyDescent="0.2">
      <c r="B56" s="35"/>
      <c r="C56" s="35"/>
      <c r="D56" s="41"/>
      <c r="E56"/>
      <c r="F56" s="27"/>
    </row>
    <row r="57" spans="2:6" ht="17.25" customHeight="1" x14ac:dyDescent="0.2">
      <c r="B57" s="35"/>
      <c r="C57" s="35"/>
      <c r="D57" s="35"/>
      <c r="E57"/>
      <c r="F57" s="27"/>
    </row>
    <row r="58" spans="2:6" ht="17.25" customHeight="1" x14ac:dyDescent="0.2">
      <c r="B58" s="35"/>
      <c r="C58" s="35"/>
      <c r="D58" s="35"/>
      <c r="E58"/>
      <c r="F58" s="27"/>
    </row>
    <row r="59" spans="2:6" ht="17.25" customHeight="1" x14ac:dyDescent="0.2">
      <c r="B59" s="35"/>
      <c r="C59" s="35"/>
      <c r="D59" s="35"/>
      <c r="E59"/>
      <c r="F59" s="27"/>
    </row>
    <row r="60" spans="2:6" ht="17.25" customHeight="1" x14ac:dyDescent="0.2">
      <c r="B60" s="35"/>
      <c r="C60" s="35"/>
      <c r="D60" s="41"/>
      <c r="E60"/>
      <c r="F60" s="27"/>
    </row>
    <row r="61" spans="2:6" ht="17.25" customHeight="1" x14ac:dyDescent="0.2">
      <c r="B61" s="35"/>
      <c r="C61" s="35"/>
      <c r="D61" s="35"/>
      <c r="E61"/>
      <c r="F61" s="27"/>
    </row>
    <row r="62" spans="2:6" ht="17.25" customHeight="1" x14ac:dyDescent="0.2">
      <c r="B62" s="35"/>
      <c r="C62" s="39"/>
      <c r="D62"/>
      <c r="E62"/>
      <c r="F62" s="27"/>
    </row>
    <row r="63" spans="2:6" ht="17.25" customHeight="1" x14ac:dyDescent="0.2">
      <c r="B63" s="35"/>
      <c r="C63" s="40"/>
      <c r="D63" s="41"/>
      <c r="E63"/>
      <c r="F63" s="27"/>
    </row>
    <row r="64" spans="2:6" ht="17.25" customHeight="1" x14ac:dyDescent="0.2">
      <c r="B64" s="35"/>
      <c r="C64" s="35"/>
      <c r="D64" s="41"/>
      <c r="E64"/>
      <c r="F64" s="27"/>
    </row>
    <row r="65" spans="2:6" ht="17.25" customHeight="1" x14ac:dyDescent="0.2">
      <c r="B65" s="35"/>
      <c r="C65" s="35"/>
      <c r="D65" s="35"/>
      <c r="E65"/>
      <c r="F65" s="27"/>
    </row>
    <row r="66" spans="2:6" ht="17.25" customHeight="1" x14ac:dyDescent="0.2">
      <c r="B66" s="35"/>
      <c r="C66" s="35"/>
      <c r="D66" s="41"/>
      <c r="E66"/>
      <c r="F66" s="27"/>
    </row>
    <row r="67" spans="2:6" ht="17.25" customHeight="1" x14ac:dyDescent="0.2">
      <c r="B67" s="35"/>
      <c r="C67" s="35"/>
      <c r="D67" s="35"/>
      <c r="E67"/>
      <c r="F67" s="27"/>
    </row>
    <row r="68" spans="2:6" ht="17.25" customHeight="1" x14ac:dyDescent="0.2">
      <c r="B68" s="35"/>
      <c r="C68" s="35"/>
      <c r="D68" s="35"/>
      <c r="E68"/>
      <c r="F68" s="27"/>
    </row>
    <row r="69" spans="2:6" ht="17.25" customHeight="1" x14ac:dyDescent="0.2">
      <c r="B69" s="35"/>
      <c r="C69" s="39"/>
      <c r="D69"/>
      <c r="E69"/>
      <c r="F69" s="27"/>
    </row>
    <row r="70" spans="2:6" ht="17.25" customHeight="1" x14ac:dyDescent="0.2">
      <c r="B70" s="35"/>
      <c r="C70" s="40"/>
      <c r="D70" s="41"/>
      <c r="E70"/>
      <c r="F70" s="27"/>
    </row>
    <row r="71" spans="2:6" ht="17.25" customHeight="1" x14ac:dyDescent="0.2">
      <c r="B71" s="35"/>
      <c r="C71" s="35"/>
      <c r="D71" s="41"/>
      <c r="E71"/>
      <c r="F71" s="27"/>
    </row>
    <row r="72" spans="2:6" ht="17.25" customHeight="1" x14ac:dyDescent="0.2">
      <c r="B72" s="35"/>
      <c r="C72" s="35"/>
      <c r="D72" s="35"/>
      <c r="E72"/>
      <c r="F72" s="27"/>
    </row>
    <row r="73" spans="2:6" ht="17.25" customHeight="1" x14ac:dyDescent="0.2">
      <c r="B73" s="35"/>
      <c r="C73" s="35"/>
      <c r="D73" s="41"/>
      <c r="E73"/>
      <c r="F73" s="27"/>
    </row>
    <row r="74" spans="2:6" ht="17.25" customHeight="1" x14ac:dyDescent="0.2">
      <c r="B74" s="35"/>
      <c r="C74" s="39"/>
      <c r="D74"/>
      <c r="E74"/>
      <c r="F74" s="27"/>
    </row>
    <row r="75" spans="2:6" ht="17.25" customHeight="1" x14ac:dyDescent="0.2">
      <c r="B75" s="37"/>
      <c r="C75" s="33"/>
      <c r="D75" s="33"/>
      <c r="E75" s="33"/>
      <c r="F75" s="34"/>
    </row>
    <row r="76" spans="2:6" ht="17.25" customHeight="1" x14ac:dyDescent="0.2">
      <c r="B76" s="36"/>
      <c r="C76"/>
      <c r="D76"/>
      <c r="E76"/>
      <c r="F76" s="27"/>
    </row>
  </sheetData>
  <conditionalFormatting sqref="E1:E3 E37:E51 E77:E1048553">
    <cfRule type="expression" dxfId="12" priority="5">
      <formula>(LEN($E1)&gt;0)*(LEN($D2)&gt;0)</formula>
    </cfRule>
  </conditionalFormatting>
  <conditionalFormatting sqref="D1:D3 D72 D37:D55 F77:F1048576 D74:D1048576 F1:F4 F30:F53">
    <cfRule type="expression" dxfId="11" priority="4">
      <formula>(LEN($D1)&gt;0)*(LEN($C1)=0)</formula>
    </cfRule>
  </conditionalFormatting>
  <conditionalFormatting sqref="E1048554:E1048576">
    <cfRule type="expression" dxfId="10" priority="11">
      <formula>(LEN($E1048554)&gt;0)*(LEN($D1)&gt;0)</formula>
    </cfRule>
  </conditionalFormatting>
  <conditionalFormatting sqref="E52">
    <cfRule type="expression" dxfId="9" priority="15">
      <formula>(LEN($E52)&gt;0)*(LEN(#REF!)&gt;0)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3" customWidth="1"/>
    <col min="3" max="4" width="16" customWidth="1"/>
    <col min="5" max="5" width="23.1640625" customWidth="1"/>
    <col min="6" max="6" width="16" customWidth="1"/>
    <col min="7" max="7" width="45" customWidth="1"/>
    <col min="8" max="8" width="36.6640625" customWidth="1"/>
    <col min="9" max="9" width="45.1640625" customWidth="1"/>
    <col min="10" max="10" width="25" customWidth="1"/>
  </cols>
  <sheetData>
    <row r="2" spans="2:10" ht="33.75" x14ac:dyDescent="0.2">
      <c r="B2" s="2" t="s">
        <v>30</v>
      </c>
    </row>
    <row r="3" spans="2:10" ht="27.75" customHeight="1" x14ac:dyDescent="0.2">
      <c r="B3" s="20" t="str">
        <f ca="1">"БҮГІНГІ КҮН: "&amp;UPPER(TEXT(TODAY(),"Д-МММ-ГГГГ"))</f>
        <v>БҮГІНГІ КҮН: 29-ҚАЗ-2012</v>
      </c>
      <c r="D3" s="22">
        <f ca="1">--TRIM(RIGHT(B3,LEN(B3)-FIND(":",B3)))</f>
        <v>41211</v>
      </c>
    </row>
    <row r="4" spans="2:10" ht="15" customHeight="1" x14ac:dyDescent="0.2"/>
    <row r="5" spans="2:10" ht="18.75" customHeight="1" x14ac:dyDescent="0.2">
      <c r="B5" s="55" t="s">
        <v>31</v>
      </c>
      <c r="C5" s="54" t="s">
        <v>32</v>
      </c>
      <c r="D5" s="54" t="s">
        <v>33</v>
      </c>
      <c r="E5" s="54" t="s">
        <v>34</v>
      </c>
      <c r="F5" s="54" t="s">
        <v>7</v>
      </c>
      <c r="G5" s="54" t="s">
        <v>35</v>
      </c>
      <c r="H5" s="54" t="s">
        <v>36</v>
      </c>
      <c r="I5" s="54" t="s">
        <v>37</v>
      </c>
      <c r="J5" s="43" t="s">
        <v>14</v>
      </c>
    </row>
    <row r="6" spans="2:10" s="3" customFormat="1" ht="15" customHeight="1" x14ac:dyDescent="0.2">
      <c r="B6" s="9" t="s">
        <v>8</v>
      </c>
      <c r="C6" s="49">
        <f ca="1">COUNTIF('Деректерді енгізу'!$B$6:$B$24,"&gt;="&amp;DATE(жЖыл,MONTH(жКҮН),1))-COUNTIF('Деректерді енгізу'!$B$6:$B$24,"&gt;"&amp;EOMONTH(жКҮН,0))</f>
        <v>0</v>
      </c>
      <c r="D6" s="53"/>
      <c r="E6" s="11"/>
      <c r="F6" s="12"/>
      <c r="G6" s="49">
        <f ca="1">COUNTIF(tblData[КҮН],"&lt;="&amp;EOMONTH(жКҮН,0))</f>
        <v>0</v>
      </c>
      <c r="H6" s="10"/>
      <c r="I6" s="10"/>
      <c r="J6" s="13"/>
    </row>
    <row r="7" spans="2:10" s="3" customFormat="1" ht="15" customHeight="1" x14ac:dyDescent="0.2">
      <c r="B7" s="14" t="s">
        <v>13</v>
      </c>
      <c r="C7" s="64">
        <f ca="1">SUMIF(tblData[КҮН],"&gt;="&amp;DATE(жЖыл,MONTH(жКҮН),1),tblData[МӨЛШЕРІ])-SUMIF(tblData[КҮН],"&gt;"&amp;EOMONTH(жКҮН,0),tblData[МӨЛШЕРІ])</f>
        <v>0</v>
      </c>
      <c r="D7" s="64">
        <f ca="1">SUMIF('Деректерді енгізу'!$B$6:$B$24,"&gt;="&amp;DATE(жЖыл,MONTH(жКҮН),1),'Деректерді енгізу'!$E$6:$E$24)-SUMIF('Деректерді енгізу'!$B$6:$B$24,"&gt;"&amp;EOMONTH(жКҮН,0),'Деректерді енгізу'!$E$6:$E$24)</f>
        <v>0</v>
      </c>
      <c r="E7" s="64">
        <f ca="1">D7-C7</f>
        <v>0</v>
      </c>
      <c r="F7" s="51" t="str">
        <f ca="1">IFERROR(D7/C7,"-")</f>
        <v>-</v>
      </c>
      <c r="G7" s="64">
        <f ca="1">SUMIF(tblData[КҮН],"&lt;="&amp;EOMONTH(жКҮН,0),tblData[МӨЛШЕРІ])</f>
        <v>0</v>
      </c>
      <c r="H7" s="64">
        <f ca="1">SUMIF(tblData[КҮН],"&lt;="&amp;EOMONTH(жКҮН,0),tblData[ЖОСПАРЛАНҒАН])</f>
        <v>0</v>
      </c>
      <c r="I7" s="64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9</v>
      </c>
      <c r="C8" s="64">
        <f ca="1">(SUMIF(tblData[КҮН],"&gt;="&amp;DATE(жЖыл,MONTH(жКҮН),1),tblData[МӨЛШЕРІ])-SUMIF(tblData[КҮН],"&gt;"&amp;EOMONTH(жКҮН,0),tblData[МӨЛШЕРІ]))-(SUMIF(tblData[КҮН],"&gt;="&amp;DATE(жЖыл,MONTH(жКҮН),1),tblData[ҚҰНЫ])-SUMIF(tblData[КҮН],"&gt;"&amp;EOMONTH(жКҮН,0),tblData[ҚҰНЫ]))</f>
        <v>0</v>
      </c>
      <c r="D8" s="64">
        <f ca="1">(SUMIF('Деректерді енгізу'!$B$6:$B$24,"&gt;="&amp;DATE(жЖыл,MONTH(жКҮН),1),'Деректерді енгізу'!$E$6:$E$24)-SUMIF('Деректерді енгізу'!$B$6:$B$24,"&gt;"&amp;EOMONTH(жКҮН,0),'Деректерді енгізу'!$E$6:$E$24))-(SUMIF('Деректерді енгізу'!$B$6:$B$24,"&gt;="&amp;DATE(жЖыл,MONTH(жКҮН),1),'Деректерді енгізу'!$F$6:$F$24)-SUMIF('Деректерді енгізу'!$B$6:$B$24,"&gt;"&amp;EOMONTH(жКҮН,0),'Деректерді енгізу'!$F$6:$F$24))</f>
        <v>0</v>
      </c>
      <c r="E8" s="64">
        <f ca="1">D8-C8</f>
        <v>0</v>
      </c>
      <c r="F8" s="51" t="str">
        <f ca="1">IFERROR(D8/C8,"-")</f>
        <v>-</v>
      </c>
      <c r="G8" s="64">
        <f ca="1">SUMIF('Деректерді енгізу'!$B$6:$B$24,"&lt;="&amp;EOMONTH(жКҮН,0),'Деректерді енгізу'!$F$6:$F$24)</f>
        <v>0</v>
      </c>
      <c r="H8" s="64">
        <f ca="1">SUMIF(tblData[КҮН],"&lt;="&amp;EOMONTH(жКҮН,0),tblData[ҚҰНЫ])</f>
        <v>0</v>
      </c>
      <c r="I8" s="64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10</v>
      </c>
      <c r="C9" s="51" t="str">
        <f ca="1">IFERROR(C8/C7,"-")</f>
        <v>-</v>
      </c>
      <c r="D9" s="51" t="str">
        <f ca="1">IFERROR(D8/D7,"-")</f>
        <v>-</v>
      </c>
      <c r="E9" s="51"/>
      <c r="F9" s="51" t="str">
        <f ca="1">IFERROR(F8/F7,"-")</f>
        <v>-</v>
      </c>
      <c r="G9" s="51" t="str">
        <f ca="1">IFERROR(G8/G7,"")</f>
        <v/>
      </c>
      <c r="H9" s="51" t="str">
        <f ca="1">IFERROR(H8/H7,"")</f>
        <v/>
      </c>
      <c r="I9" s="51"/>
      <c r="J9" s="15" t="str">
        <f ca="1">IFERROR(J8/J7,"")</f>
        <v/>
      </c>
    </row>
    <row r="10" spans="2:10" s="3" customFormat="1" ht="15" customHeight="1" x14ac:dyDescent="0.2">
      <c r="B10" s="14" t="s">
        <v>11</v>
      </c>
      <c r="C10" s="52">
        <f ca="1">COUNTIF(tblData[КҮН],"&gt;="&amp;DATE(жЖыл,MONTH(жКҮН),1))-COUNTIF(tblData[КҮН],"&gt;"&amp;EOMONTH(жКҮН,0))</f>
        <v>0</v>
      </c>
      <c r="D10" s="16"/>
      <c r="E10" s="16"/>
      <c r="F10" s="16"/>
      <c r="G10" s="52">
        <f ca="1">COUNTIF(tblData[КҮН],"&gt;"&amp;EOMONTH(жКҮН,0))</f>
        <v>19</v>
      </c>
      <c r="H10" s="16"/>
      <c r="I10" s="16"/>
      <c r="J10" s="17"/>
    </row>
    <row r="11" spans="2:10" s="3" customFormat="1" ht="15" customHeight="1" x14ac:dyDescent="0.2">
      <c r="B11" s="14" t="s">
        <v>12</v>
      </c>
      <c r="C11" s="50" t="str">
        <f ca="1">IFERROR(C7/C10,"-")</f>
        <v>-</v>
      </c>
      <c r="D11" s="16"/>
      <c r="E11" s="16"/>
      <c r="F11" s="16"/>
      <c r="G11" s="64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42" t="s">
        <v>28</v>
      </c>
      <c r="C13" s="42"/>
      <c r="D13" s="42" t="s">
        <v>38</v>
      </c>
      <c r="E13" s="48"/>
      <c r="F13" s="42" t="s">
        <v>39</v>
      </c>
      <c r="G13" s="48"/>
      <c r="H13" s="42"/>
      <c r="I13" s="42" t="s">
        <v>40</v>
      </c>
      <c r="J13" s="18"/>
    </row>
    <row r="14" spans="2:10" x14ac:dyDescent="0.2">
      <c r="B14" s="45" t="s">
        <v>13</v>
      </c>
      <c r="C14" s="45"/>
      <c r="D14" s="65">
        <f ca="1">TREND(tblData[[АЙ ]],tblData[АЙ НӨМІРІ (ЖАСЫРЫН)],IF(MONTH(жКҮН)=12,13,MONTH(жКҮН)+1))</f>
        <v>19802.707275803721</v>
      </c>
      <c r="E14" s="47"/>
      <c r="F14" s="65">
        <f ca="1">TREND(tblData[[ТОҚСАН ]],tblData[АЙ НӨМІРІ (ЖАСЫРЫН)],IF(MONTH(жКҮН)=12,13,MONTH(жКҮН)+1))</f>
        <v>45107.445008460243</v>
      </c>
      <c r="G14" s="47"/>
      <c r="H14" s="46"/>
      <c r="I14" s="65">
        <f ca="1">TREND(tblData[[ЖЫЛ САЙЫНҒЫ ]],tblData[АЙ НӨМІРІ (ЖАСЫРЫН)],IF(MONTH(жКҮН)=12,13,MONTH(жКҮН)+1))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41</v>
      </c>
    </row>
    <row r="30" spans="2:6" s="21" customFormat="1" ht="27" customHeight="1" x14ac:dyDescent="0.2">
      <c r="B30" s="21" t="s">
        <v>44</v>
      </c>
      <c r="F30" s="21" t="s">
        <v>45</v>
      </c>
    </row>
    <row r="38" spans="2:10" s="21" customFormat="1" ht="27" customHeight="1" x14ac:dyDescent="0.2">
      <c r="B38" s="21" t="s">
        <v>42</v>
      </c>
      <c r="F38" s="21" t="s">
        <v>43</v>
      </c>
    </row>
    <row r="43" spans="2:10" x14ac:dyDescent="0.2">
      <c r="J43" t="s">
        <v>48</v>
      </c>
    </row>
  </sheetData>
  <conditionalFormatting sqref="E2">
    <cfRule type="expression" dxfId="5" priority="3">
      <formula>(LEN($E2)&gt;0)*(LEN($D3)&gt;0)</formula>
    </cfRule>
  </conditionalFormatting>
  <conditionalFormatting sqref="D2">
    <cfRule type="expression" dxfId="4" priority="2">
      <formula>(LEN($D2)&gt;0)*(LEN($C2)=0)</formula>
    </cfRule>
  </conditionalFormatting>
  <conditionalFormatting sqref="F2">
    <cfRule type="expression" dxfId="3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16140f-eae5-4fa4-a535-c7b81538bbde" xsi:nil="true"/>
    <AssetExpire xmlns="c616140f-eae5-4fa4-a535-c7b81538bbde">2029-01-01T08:00:00+00:00</AssetExpire>
    <CampaignTagsTaxHTField0 xmlns="c616140f-eae5-4fa4-a535-c7b81538bbde">
      <Terms xmlns="http://schemas.microsoft.com/office/infopath/2007/PartnerControls"/>
    </CampaignTagsTaxHTField0>
    <IntlLangReviewDate xmlns="c616140f-eae5-4fa4-a535-c7b81538bbde" xsi:nil="true"/>
    <TPFriendlyName xmlns="c616140f-eae5-4fa4-a535-c7b81538bbde" xsi:nil="true"/>
    <IntlLangReview xmlns="c616140f-eae5-4fa4-a535-c7b81538bbde">false</IntlLangReview>
    <LocLastLocAttemptVersionLookup xmlns="c616140f-eae5-4fa4-a535-c7b81538bbde">845880</LocLastLocAttemptVersionLookup>
    <PolicheckWords xmlns="c616140f-eae5-4fa4-a535-c7b81538bbde" xsi:nil="true"/>
    <SubmitterId xmlns="c616140f-eae5-4fa4-a535-c7b81538bbde" xsi:nil="true"/>
    <AcquiredFrom xmlns="c616140f-eae5-4fa4-a535-c7b81538bbde">Ішкі MS</AcquiredFrom>
    <EditorialStatus xmlns="c616140f-eae5-4fa4-a535-c7b81538bbde" xsi:nil="true"/>
    <Markets xmlns="c616140f-eae5-4fa4-a535-c7b81538bbde"/>
    <OriginAsset xmlns="c616140f-eae5-4fa4-a535-c7b81538bbde" xsi:nil="true"/>
    <AssetStart xmlns="c616140f-eae5-4fa4-a535-c7b81538bbde">2012-06-28T22:27:47+00:00</AssetStart>
    <FriendlyTitle xmlns="c616140f-eae5-4fa4-a535-c7b81538bbde" xsi:nil="true"/>
    <MarketSpecific xmlns="c616140f-eae5-4fa4-a535-c7b81538bbde">false</MarketSpecific>
    <TPNamespace xmlns="c616140f-eae5-4fa4-a535-c7b81538bbde" xsi:nil="true"/>
    <PublishStatusLookup xmlns="c616140f-eae5-4fa4-a535-c7b81538bbde">
      <Value>171684</Value>
    </PublishStatusLookup>
    <APAuthor xmlns="c616140f-eae5-4fa4-a535-c7b81538bbde">
      <UserInfo>
        <DisplayName/>
        <AccountId>2566</AccountId>
        <AccountType/>
      </UserInfo>
    </APAuthor>
    <TPCommandLine xmlns="c616140f-eae5-4fa4-a535-c7b81538bbde" xsi:nil="true"/>
    <IntlLangReviewer xmlns="c616140f-eae5-4fa4-a535-c7b81538bbde" xsi:nil="true"/>
    <OpenTemplate xmlns="c616140f-eae5-4fa4-a535-c7b81538bbde">true</OpenTemplate>
    <CSXSubmissionDate xmlns="c616140f-eae5-4fa4-a535-c7b81538bbde" xsi:nil="true"/>
    <TaxCatchAll xmlns="c616140f-eae5-4fa4-a535-c7b81538bbde"/>
    <Manager xmlns="c616140f-eae5-4fa4-a535-c7b81538bbde" xsi:nil="true"/>
    <NumericId xmlns="c616140f-eae5-4fa4-a535-c7b81538bbde" xsi:nil="true"/>
    <ParentAssetId xmlns="c616140f-eae5-4fa4-a535-c7b81538bbde" xsi:nil="true"/>
    <OriginalSourceMarket xmlns="c616140f-eae5-4fa4-a535-c7b81538bbde">english</OriginalSourceMarket>
    <ApprovalStatus xmlns="c616140f-eae5-4fa4-a535-c7b81538bbde">InProgress</ApprovalStatus>
    <TPComponent xmlns="c616140f-eae5-4fa4-a535-c7b81538bbde" xsi:nil="true"/>
    <EditorialTags xmlns="c616140f-eae5-4fa4-a535-c7b81538bbde" xsi:nil="true"/>
    <TPExecutable xmlns="c616140f-eae5-4fa4-a535-c7b81538bbde" xsi:nil="true"/>
    <TPLaunchHelpLink xmlns="c616140f-eae5-4fa4-a535-c7b81538bbde" xsi:nil="true"/>
    <LocComments xmlns="c616140f-eae5-4fa4-a535-c7b81538bbde" xsi:nil="true"/>
    <LocRecommendedHandoff xmlns="c616140f-eae5-4fa4-a535-c7b81538bbde" xsi:nil="true"/>
    <SourceTitle xmlns="c616140f-eae5-4fa4-a535-c7b81538bbde" xsi:nil="true"/>
    <CSXUpdate xmlns="c616140f-eae5-4fa4-a535-c7b81538bbde">false</CSXUpdate>
    <IntlLocPriority xmlns="c616140f-eae5-4fa4-a535-c7b81538bbde" xsi:nil="true"/>
    <UAProjectedTotalWords xmlns="c616140f-eae5-4fa4-a535-c7b81538bbde" xsi:nil="true"/>
    <AssetType xmlns="c616140f-eae5-4fa4-a535-c7b81538bbde" xsi:nil="true"/>
    <MachineTranslated xmlns="c616140f-eae5-4fa4-a535-c7b81538bbde">false</MachineTranslated>
    <OutputCachingOn xmlns="c616140f-eae5-4fa4-a535-c7b81538bbde">false</OutputCachingOn>
    <TemplateStatus xmlns="c616140f-eae5-4fa4-a535-c7b81538bbde">Аяқтау</TemplateStatus>
    <IsSearchable xmlns="c616140f-eae5-4fa4-a535-c7b81538bbde">false</IsSearchable>
    <ContentItem xmlns="c616140f-eae5-4fa4-a535-c7b81538bbde" xsi:nil="true"/>
    <HandoffToMSDN xmlns="c616140f-eae5-4fa4-a535-c7b81538bbde" xsi:nil="true"/>
    <ShowIn xmlns="c616140f-eae5-4fa4-a535-c7b81538bbde">Барлық жерде көрсету</ShowIn>
    <ThumbnailAssetId xmlns="c616140f-eae5-4fa4-a535-c7b81538bbde" xsi:nil="true"/>
    <UALocComments xmlns="c616140f-eae5-4fa4-a535-c7b81538bbde" xsi:nil="true"/>
    <UALocRecommendation xmlns="c616140f-eae5-4fa4-a535-c7b81538bbde">Аудару</UALocRecommendation>
    <LastModifiedDateTime xmlns="c616140f-eae5-4fa4-a535-c7b81538bbde" xsi:nil="true"/>
    <LegacyData xmlns="c616140f-eae5-4fa4-a535-c7b81538bbde" xsi:nil="true"/>
    <LocManualTestRequired xmlns="c616140f-eae5-4fa4-a535-c7b81538bbde">false</LocManualTestRequired>
    <LocMarketGroupTiers2 xmlns="c616140f-eae5-4fa4-a535-c7b81538bbde" xsi:nil="true"/>
    <ClipArtFilename xmlns="c616140f-eae5-4fa4-a535-c7b81538bbde" xsi:nil="true"/>
    <TPApplication xmlns="c616140f-eae5-4fa4-a535-c7b81538bbde" xsi:nil="true"/>
    <CSXHash xmlns="c616140f-eae5-4fa4-a535-c7b81538bbde" xsi:nil="true"/>
    <DirectSourceMarket xmlns="c616140f-eae5-4fa4-a535-c7b81538bbde">english</DirectSourceMarket>
    <PrimaryImageGen xmlns="c616140f-eae5-4fa4-a535-c7b81538bbde">false</PrimaryImageGen>
    <PlannedPubDate xmlns="c616140f-eae5-4fa4-a535-c7b81538bbde" xsi:nil="true"/>
    <CSXSubmissionMarket xmlns="c616140f-eae5-4fa4-a535-c7b81538bbde" xsi:nil="true"/>
    <Downloads xmlns="c616140f-eae5-4fa4-a535-c7b81538bbde">0</Downloads>
    <ArtSampleDocs xmlns="c616140f-eae5-4fa4-a535-c7b81538bbde" xsi:nil="true"/>
    <TrustLevel xmlns="c616140f-eae5-4fa4-a535-c7b81538bbde">1 Microsoft корпорациясы басқаратын мазмұн</TrustLevel>
    <BlockPublish xmlns="c616140f-eae5-4fa4-a535-c7b81538bbde">false</BlockPublish>
    <TPLaunchHelpLinkType xmlns="c616140f-eae5-4fa4-a535-c7b81538bbde">Үлгі</TPLaunchHelpLinkType>
    <LocalizationTagsTaxHTField0 xmlns="c616140f-eae5-4fa4-a535-c7b81538bbde">
      <Terms xmlns="http://schemas.microsoft.com/office/infopath/2007/PartnerControls"/>
    </LocalizationTagsTaxHTField0>
    <BusinessGroup xmlns="c616140f-eae5-4fa4-a535-c7b81538bbde" xsi:nil="true"/>
    <Providers xmlns="c616140f-eae5-4fa4-a535-c7b81538bbde" xsi:nil="true"/>
    <TemplateTemplateType xmlns="c616140f-eae5-4fa4-a535-c7b81538bbde">Excel Spreadsheet Template</TemplateTemplateType>
    <TimesCloned xmlns="c616140f-eae5-4fa4-a535-c7b81538bbde" xsi:nil="true"/>
    <TPAppVersion xmlns="c616140f-eae5-4fa4-a535-c7b81538bbde" xsi:nil="true"/>
    <VoteCount xmlns="c616140f-eae5-4fa4-a535-c7b81538bbde" xsi:nil="true"/>
    <FeatureTagsTaxHTField0 xmlns="c616140f-eae5-4fa4-a535-c7b81538bbde">
      <Terms xmlns="http://schemas.microsoft.com/office/infopath/2007/PartnerControls"/>
    </FeatureTagsTaxHTField0>
    <Provider xmlns="c616140f-eae5-4fa4-a535-c7b81538bbde" xsi:nil="true"/>
    <UACurrentWords xmlns="c616140f-eae5-4fa4-a535-c7b81538bbde" xsi:nil="true"/>
    <AssetId xmlns="c616140f-eae5-4fa4-a535-c7b81538bbde">TP102929974</AssetId>
    <TPClientViewer xmlns="c616140f-eae5-4fa4-a535-c7b81538bbde" xsi:nil="true"/>
    <DSATActionTaken xmlns="c616140f-eae5-4fa4-a535-c7b81538bbde" xsi:nil="true"/>
    <APEditor xmlns="c616140f-eae5-4fa4-a535-c7b81538bbde">
      <UserInfo>
        <DisplayName/>
        <AccountId xsi:nil="true"/>
        <AccountType/>
      </UserInfo>
    </APEditor>
    <TPInstallLocation xmlns="c616140f-eae5-4fa4-a535-c7b81538bbde" xsi:nil="true"/>
    <OOCacheId xmlns="c616140f-eae5-4fa4-a535-c7b81538bbde" xsi:nil="true"/>
    <IsDeleted xmlns="c616140f-eae5-4fa4-a535-c7b81538bbde">false</IsDeleted>
    <PublishTargets xmlns="c616140f-eae5-4fa4-a535-c7b81538bbde">OfficeOnlineVNext</PublishTargets>
    <ApprovalLog xmlns="c616140f-eae5-4fa4-a535-c7b81538bbde" xsi:nil="true"/>
    <BugNumber xmlns="c616140f-eae5-4fa4-a535-c7b81538bbde" xsi:nil="true"/>
    <CrawlForDependencies xmlns="c616140f-eae5-4fa4-a535-c7b81538bbde">false</CrawlForDependencies>
    <InternalTagsTaxHTField0 xmlns="c616140f-eae5-4fa4-a535-c7b81538bbde">
      <Terms xmlns="http://schemas.microsoft.com/office/infopath/2007/PartnerControls"/>
    </InternalTagsTaxHTField0>
    <LastHandOff xmlns="c616140f-eae5-4fa4-a535-c7b81538bbde" xsi:nil="true"/>
    <Milestone xmlns="c616140f-eae5-4fa4-a535-c7b81538bbde" xsi:nil="true"/>
    <OriginalRelease xmlns="c616140f-eae5-4fa4-a535-c7b81538bbde">15</OriginalRelease>
    <RecommendationsModifier xmlns="c616140f-eae5-4fa4-a535-c7b81538bbde" xsi:nil="true"/>
    <ScenarioTagsTaxHTField0 xmlns="c616140f-eae5-4fa4-a535-c7b81538bbde">
      <Terms xmlns="http://schemas.microsoft.com/office/infopath/2007/PartnerControls"/>
    </ScenarioTagsTaxHTField0>
    <UANotes xmlns="c616140f-eae5-4fa4-a535-c7b81538bbde" xsi:nil="true"/>
  </documentManagement>
</p:properties>
</file>

<file path=customXml/itemProps1.xml><?xml version="1.0" encoding="utf-8"?>
<ds:datastoreItem xmlns:ds="http://schemas.openxmlformats.org/officeDocument/2006/customXml" ds:itemID="{4DABFC91-B887-4CE3-B8E8-897D15A69045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3</vt:i4>
      </vt:variant>
      <vt:variant>
        <vt:lpstr>Атаулы ауқымдар</vt:lpstr>
      </vt:variant>
      <vt:variant>
        <vt:i4>8</vt:i4>
      </vt:variant>
    </vt:vector>
  </HeadingPairs>
  <TitlesOfParts>
    <vt:vector size="11" baseType="lpstr">
      <vt:lpstr>Деректерді енгізу</vt:lpstr>
      <vt:lpstr>Сату туралы есеп</vt:lpstr>
      <vt:lpstr>Сатылымдар болжамы</vt:lpstr>
      <vt:lpstr>'Сату туралы есеп'!Print_Titles</vt:lpstr>
      <vt:lpstr>'Сатылымдар болжамы'!Басыпшығару_Бөлігі</vt:lpstr>
      <vt:lpstr>'Сату туралы есеп'!Басыпшығару_тақырыптары</vt:lpstr>
      <vt:lpstr>БолжамКүні</vt:lpstr>
      <vt:lpstr>жАй</vt:lpstr>
      <vt:lpstr>жЖыл</vt:lpstr>
      <vt:lpstr>жКҮН</vt:lpstr>
      <vt:lpstr>жКҮН_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2012-06-20T20:17:06Z</dcterms:created>
  <dcterms:modified xsi:type="dcterms:W3CDTF">2012-10-29T02:10:29Z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0x010100A33922BAE4C84F4E8C6723C7BE9E79680400BFF6824391BA584FB1AA5C503251C8CC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