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504"/>
  <workbookPr codeName="ThisWorkbook"/>
  <mc:AlternateContent xmlns:mc="http://schemas.openxmlformats.org/markup-compatibility/2006">
    <mc:Choice Requires="x15">
      <x15ac:absPath xmlns:x15ac="http://schemas.microsoft.com/office/spreadsheetml/2010/11/ac" url="C:\Users\admin\Desktop\ja-JP\"/>
    </mc:Choice>
  </mc:AlternateContent>
  <bookViews>
    <workbookView xWindow="-120" yWindow="-120" windowWidth="28890" windowHeight="16110" xr2:uid="{00000000-000D-0000-FFFF-FFFF00000000}"/>
  </bookViews>
  <sheets>
    <sheet name="開始" sheetId="2" r:id="rId1"/>
    <sheet name="個人予算" sheetId="1" r:id="rId2"/>
  </sheets>
  <definedNames>
    <definedName name="印刷領域_設定">OFFSET(個人予算!$C$2,,,MATCH(REPT("z",255),個人予算!$C:$C),最後の列)</definedName>
    <definedName name="最後の列">COUNTA(個人予算!$4:$4)+1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06" i="1" l="1"/>
  <c r="P107" i="1"/>
  <c r="Q2" i="1"/>
  <c r="P17" i="1"/>
  <c r="P16" i="1"/>
  <c r="P13" i="1"/>
  <c r="P15" i="1"/>
  <c r="P14" i="1"/>
  <c r="E103" i="1"/>
  <c r="F103" i="1"/>
  <c r="G103" i="1"/>
  <c r="H103" i="1"/>
  <c r="I103" i="1"/>
  <c r="J103" i="1"/>
  <c r="K103" i="1"/>
  <c r="L103" i="1"/>
  <c r="M103" i="1"/>
  <c r="N103" i="1"/>
  <c r="O103" i="1"/>
  <c r="D103" i="1"/>
  <c r="E95" i="1"/>
  <c r="F95" i="1"/>
  <c r="G95" i="1"/>
  <c r="H95" i="1"/>
  <c r="I95" i="1"/>
  <c r="J95" i="1"/>
  <c r="K95" i="1"/>
  <c r="L95" i="1"/>
  <c r="M95" i="1"/>
  <c r="N95" i="1"/>
  <c r="O95" i="1"/>
  <c r="D95" i="1"/>
  <c r="E87" i="1"/>
  <c r="F87" i="1"/>
  <c r="G87" i="1"/>
  <c r="H87" i="1"/>
  <c r="I87" i="1"/>
  <c r="J87" i="1"/>
  <c r="K87" i="1"/>
  <c r="L87" i="1"/>
  <c r="M87" i="1"/>
  <c r="N87" i="1"/>
  <c r="O87" i="1"/>
  <c r="D87" i="1"/>
  <c r="E79" i="1"/>
  <c r="F79" i="1"/>
  <c r="G79" i="1"/>
  <c r="H79" i="1"/>
  <c r="I79" i="1"/>
  <c r="J79" i="1"/>
  <c r="K79" i="1"/>
  <c r="L79" i="1"/>
  <c r="M79" i="1"/>
  <c r="N79" i="1"/>
  <c r="O79" i="1"/>
  <c r="D79" i="1"/>
  <c r="E69" i="1"/>
  <c r="F69" i="1"/>
  <c r="G69" i="1"/>
  <c r="H69" i="1"/>
  <c r="I69" i="1"/>
  <c r="J69" i="1"/>
  <c r="K69" i="1"/>
  <c r="L69" i="1"/>
  <c r="M69" i="1"/>
  <c r="N69" i="1"/>
  <c r="O69" i="1"/>
  <c r="D69" i="1"/>
  <c r="E62" i="1"/>
  <c r="F62" i="1"/>
  <c r="G62" i="1"/>
  <c r="H62" i="1"/>
  <c r="I62" i="1"/>
  <c r="J62" i="1"/>
  <c r="K62" i="1"/>
  <c r="L62" i="1"/>
  <c r="M62" i="1"/>
  <c r="N62" i="1"/>
  <c r="O62" i="1"/>
  <c r="D62" i="1"/>
  <c r="E53" i="1"/>
  <c r="F53" i="1"/>
  <c r="G53" i="1"/>
  <c r="H53" i="1"/>
  <c r="I53" i="1"/>
  <c r="J53" i="1"/>
  <c r="K53" i="1"/>
  <c r="L53" i="1"/>
  <c r="M53" i="1"/>
  <c r="N53" i="1"/>
  <c r="O53" i="1"/>
  <c r="D53" i="1"/>
  <c r="P99" i="1"/>
  <c r="P100" i="1"/>
  <c r="P101" i="1"/>
  <c r="P102" i="1"/>
  <c r="P98" i="1"/>
  <c r="P91" i="1"/>
  <c r="P92" i="1"/>
  <c r="P93" i="1"/>
  <c r="P94" i="1"/>
  <c r="P90" i="1"/>
  <c r="P83" i="1"/>
  <c r="P84" i="1"/>
  <c r="P85" i="1"/>
  <c r="P86" i="1"/>
  <c r="P82" i="1"/>
  <c r="P73" i="1"/>
  <c r="P74" i="1"/>
  <c r="P75" i="1"/>
  <c r="P76" i="1"/>
  <c r="P77" i="1"/>
  <c r="P78" i="1"/>
  <c r="P72" i="1"/>
  <c r="P66" i="1"/>
  <c r="P67" i="1"/>
  <c r="P68" i="1"/>
  <c r="P65" i="1"/>
  <c r="P57" i="1"/>
  <c r="P58" i="1"/>
  <c r="P59" i="1"/>
  <c r="P60" i="1"/>
  <c r="P61" i="1"/>
  <c r="P56" i="1"/>
  <c r="P47" i="1"/>
  <c r="P48" i="1"/>
  <c r="P49" i="1"/>
  <c r="P50" i="1"/>
  <c r="P51" i="1"/>
  <c r="P52" i="1"/>
  <c r="P46" i="1"/>
  <c r="E43" i="1"/>
  <c r="F43" i="1"/>
  <c r="G43" i="1"/>
  <c r="H43" i="1"/>
  <c r="I43" i="1"/>
  <c r="J43" i="1"/>
  <c r="K43" i="1"/>
  <c r="L43" i="1"/>
  <c r="M43" i="1"/>
  <c r="N43" i="1"/>
  <c r="O43" i="1"/>
  <c r="D43" i="1"/>
  <c r="P40" i="1"/>
  <c r="P41" i="1"/>
  <c r="P42" i="1"/>
  <c r="P39" i="1"/>
  <c r="E36" i="1"/>
  <c r="F36" i="1"/>
  <c r="G36" i="1"/>
  <c r="H36" i="1"/>
  <c r="I36" i="1"/>
  <c r="J36" i="1"/>
  <c r="K36" i="1"/>
  <c r="L36" i="1"/>
  <c r="M36" i="1"/>
  <c r="N36" i="1"/>
  <c r="O36" i="1"/>
  <c r="D36" i="1"/>
  <c r="P31" i="1"/>
  <c r="P32" i="1"/>
  <c r="P33" i="1"/>
  <c r="P34" i="1"/>
  <c r="P35" i="1"/>
  <c r="P30" i="1"/>
  <c r="E27" i="1"/>
  <c r="F27" i="1"/>
  <c r="G27" i="1"/>
  <c r="H27" i="1"/>
  <c r="I27" i="1"/>
  <c r="J27" i="1"/>
  <c r="K27" i="1"/>
  <c r="L27" i="1"/>
  <c r="M27" i="1"/>
  <c r="N27" i="1"/>
  <c r="O27" i="1"/>
  <c r="D27" i="1"/>
  <c r="P22" i="1"/>
  <c r="P23" i="1"/>
  <c r="P24" i="1"/>
  <c r="P25" i="1"/>
  <c r="P26" i="1"/>
  <c r="P21" i="1"/>
  <c r="E18" i="1"/>
  <c r="F18" i="1"/>
  <c r="G18" i="1"/>
  <c r="H18" i="1"/>
  <c r="I18" i="1"/>
  <c r="J18" i="1"/>
  <c r="K18" i="1"/>
  <c r="L18" i="1"/>
  <c r="M18" i="1"/>
  <c r="N18" i="1"/>
  <c r="O18" i="1"/>
  <c r="D18" i="1"/>
  <c r="P43" i="1"/>
  <c r="P95" i="1"/>
  <c r="P87" i="1"/>
  <c r="P79" i="1"/>
  <c r="P69" i="1"/>
  <c r="P62" i="1"/>
  <c r="P53" i="1"/>
  <c r="L106" i="1"/>
  <c r="P36" i="1"/>
  <c r="P27" i="1"/>
  <c r="P18" i="1"/>
  <c r="K106" i="1"/>
  <c r="J106" i="1"/>
  <c r="I106" i="1"/>
  <c r="D106" i="1"/>
  <c r="H106" i="1"/>
  <c r="O106" i="1"/>
  <c r="N106" i="1"/>
  <c r="M106" i="1"/>
  <c r="E106" i="1"/>
  <c r="G106" i="1"/>
  <c r="F106" i="1"/>
  <c r="P103" i="1"/>
  <c r="O9" i="1"/>
  <c r="G9" i="1"/>
  <c r="L9" i="1"/>
  <c r="N9" i="1"/>
  <c r="F9" i="1"/>
  <c r="E9" i="1"/>
  <c r="I9" i="1"/>
  <c r="H9" i="1"/>
  <c r="D9" i="1"/>
  <c r="M9" i="1"/>
  <c r="K9" i="1"/>
  <c r="P8" i="1"/>
  <c r="P7" i="1"/>
  <c r="J9" i="1"/>
  <c r="P6" i="1"/>
  <c r="D107" i="1"/>
  <c r="L107" i="1"/>
  <c r="J107" i="1"/>
  <c r="I107" i="1"/>
  <c r="F107" i="1"/>
  <c r="N107" i="1"/>
  <c r="H107" i="1"/>
  <c r="K107" i="1"/>
  <c r="M107" i="1"/>
  <c r="G107" i="1"/>
  <c r="O107" i="1"/>
  <c r="E107" i="1"/>
  <c r="P9" i="1"/>
</calcChain>
</file>

<file path=xl/sharedStrings.xml><?xml version="1.0" encoding="utf-8"?>
<sst xmlns="http://schemas.openxmlformats.org/spreadsheetml/2006/main" count="325" uniqueCount="115">
  <si>
    <t>テンプレートについて</t>
  </si>
  <si>
    <t>このテンプレートを使用し、月間と年間の予算を管理します。</t>
  </si>
  <si>
    <t>各テーブルでスパークライン​​が自動的に更新されます。</t>
  </si>
  <si>
    <t>注: </t>
  </si>
  <si>
    <t>個人予算ワークシートの列 A に詳細な指示が記載されています。このテキストは意図的に表示されません。テキストを削除するには、列 A を選択し、[削除] を選択します。テキストを再表示するには、列 A を選択し、フォントの色を変更します。</t>
  </si>
  <si>
    <t>テーブルの詳細については、テーブル内で Shift キーを押し、F10 キーを押して、[テーブル] オプションを選択し、[代替テキスト] を選択します。</t>
  </si>
  <si>
    <t>このワークシートでは、単純な個人予算を作成します。このワークシートの使用方法に関する役立つ説明がこの列にある各セルに表示されます。下向き矢印で開始します。</t>
  </si>
  <si>
    <t>このワークシートのタイトルが右のセルに表示されます。セル Q2 に年を入力します。次の指示はセル A4 に表示されます。</t>
  </si>
  <si>
    <t>ラベルはセル C4 から P4 に表示されます。</t>
  </si>
  <si>
    <t>セル C5 から順に、詳細を収入のテーブルに入力します。次の指示はセル A11 に表示されます。</t>
  </si>
  <si>
    <t>ラベルはセル C11 から P11 までに表示されます。</t>
  </si>
  <si>
    <t>セル C12 から順に、自宅の経費をテーブルに入力します。次の指示はセル A20 に表示されます。</t>
  </si>
  <si>
    <t>セル C20 から順に、毎日の支出をテーブルに入力します。次の指示はセル A29 に表示されます。</t>
  </si>
  <si>
    <t>セル C29 から順に、交通費をテーブルに入力します。次の指示はセル A38 に表示されます。</t>
  </si>
  <si>
    <t>セル C38 から順に、娯楽費をテーブルに入力します。次の指示がセル A45 に表示されます。</t>
  </si>
  <si>
    <t>セル C12 から順に、医療費をテーブルに入力します。次の指示はセル A55 に表示されます。</t>
  </si>
  <si>
    <t>セル C55 から順に、休暇の支出をテーブルに入力します。次の指示はセル A64 に表示されます。</t>
  </si>
  <si>
    <t>セル C64 から順に、レクリエーションの支出をテーブルに入力します。次の指示はセル A71 に表示されます。</t>
  </si>
  <si>
    <t>セル C71 から順に、会費と購読料のテーブルに経費を入力します。次の指示はセル A81 に表示されます。</t>
  </si>
  <si>
    <t>セル C81 から順に、個人経費をテーブルに入力します。次の指示はセル A89 に表示されます。</t>
  </si>
  <si>
    <t>セル C89 から順に、金融債務をテーブルに入力します。次の指示はセル A97 に表示されます。</t>
  </si>
  <si>
    <t>セル C97 から順に、雑費を入力します。次の指示はセル A105 に表示されます。</t>
  </si>
  <si>
    <t>収益</t>
  </si>
  <si>
    <t>収入</t>
  </si>
  <si>
    <t>給料</t>
  </si>
  <si>
    <t>利息/配当金</t>
  </si>
  <si>
    <t>その他</t>
  </si>
  <si>
    <t>合計</t>
  </si>
  <si>
    <t>自宅</t>
  </si>
  <si>
    <t>住宅ローン</t>
  </si>
  <si>
    <t>保険</t>
  </si>
  <si>
    <t>修理費</t>
  </si>
  <si>
    <t>点検費</t>
  </si>
  <si>
    <t>水道光熱費</t>
  </si>
  <si>
    <t>生活費</t>
  </si>
  <si>
    <t xml:space="preserve">食料品 </t>
  </si>
  <si>
    <t>保育</t>
  </si>
  <si>
    <t>ドライ クリーニング</t>
  </si>
  <si>
    <t>外食</t>
  </si>
  <si>
    <t>ハウスクリーニング サービス</t>
  </si>
  <si>
    <t>犬の散歩代行</t>
  </si>
  <si>
    <t>交通費</t>
  </si>
  <si>
    <t>光熱費</t>
  </si>
  <si>
    <t>保険料</t>
  </si>
  <si>
    <t>修繕費</t>
  </si>
  <si>
    <t>洗車/整備サービス</t>
  </si>
  <si>
    <t>駐車場</t>
  </si>
  <si>
    <t>公共交通費</t>
  </si>
  <si>
    <t>娯楽</t>
  </si>
  <si>
    <t>ケーブル TV</t>
  </si>
  <si>
    <t>ビデオ/DVD レンタル</t>
  </si>
  <si>
    <t>映画/演劇</t>
  </si>
  <si>
    <t>コンサート/クラブ</t>
  </si>
  <si>
    <t>医療保険</t>
  </si>
  <si>
    <t>スポーツ クラブ会費</t>
  </si>
  <si>
    <t>処方薬</t>
  </si>
  <si>
    <t>市販薬</t>
  </si>
  <si>
    <t>患者負担金/自己負担費</t>
  </si>
  <si>
    <t>獣医/ペット医薬品</t>
  </si>
  <si>
    <t>生命保険</t>
  </si>
  <si>
    <t>休暇</t>
  </si>
  <si>
    <t>航空運賃</t>
  </si>
  <si>
    <t>宿泊費</t>
  </si>
  <si>
    <t>食費</t>
  </si>
  <si>
    <t>お土産</t>
  </si>
  <si>
    <t>ペット ホテル</t>
  </si>
  <si>
    <t>レンタカー</t>
  </si>
  <si>
    <t>レクリエーション</t>
  </si>
  <si>
    <t>ジム費</t>
  </si>
  <si>
    <t>スポーツ用品</t>
  </si>
  <si>
    <t>チーム会費</t>
  </si>
  <si>
    <t>玩具/子供用品</t>
  </si>
  <si>
    <t>会費/購読料</t>
  </si>
  <si>
    <t>雑誌</t>
  </si>
  <si>
    <t>新聞</t>
  </si>
  <si>
    <t>インターネット接続</t>
  </si>
  <si>
    <t>公共ラジオ</t>
  </si>
  <si>
    <t>公共テレビ</t>
  </si>
  <si>
    <t>宗教団体</t>
  </si>
  <si>
    <t>募金/寄付</t>
  </si>
  <si>
    <t>私用</t>
  </si>
  <si>
    <t>衣料品</t>
  </si>
  <si>
    <t>贈答品</t>
  </si>
  <si>
    <t>美容/理容費</t>
  </si>
  <si>
    <t>書籍</t>
  </si>
  <si>
    <t>音楽 (CD など)</t>
  </si>
  <si>
    <t>金融債務</t>
  </si>
  <si>
    <t>定期預金</t>
  </si>
  <si>
    <t>年金 (401k、ロスIRA)</t>
  </si>
  <si>
    <t>クレジット カード支払</t>
  </si>
  <si>
    <t>所得税 (追加)</t>
  </si>
  <si>
    <t>その他の債務</t>
  </si>
  <si>
    <t>雑支払</t>
  </si>
  <si>
    <t>支出合計</t>
  </si>
  <si>
    <t>現金の不足/余剰</t>
  </si>
  <si>
    <t>1 月</t>
  </si>
  <si>
    <t>2 月</t>
  </si>
  <si>
    <t>3 月</t>
  </si>
  <si>
    <t>4 月</t>
  </si>
  <si>
    <t>5 月</t>
  </si>
  <si>
    <t>6 月</t>
  </si>
  <si>
    <t>7 月</t>
  </si>
  <si>
    <t>8 月</t>
  </si>
  <si>
    <t>9 月</t>
  </si>
  <si>
    <t>10 月</t>
  </si>
  <si>
    <t>11 月</t>
  </si>
  <si>
    <t>12 月</t>
  </si>
  <si>
    <t>年</t>
  </si>
  <si>
    <t>年度</t>
  </si>
  <si>
    <t>スパークライン</t>
  </si>
  <si>
    <t>集計</t>
    <phoneticPr fontId="24"/>
  </si>
  <si>
    <t>支出</t>
    <phoneticPr fontId="24"/>
  </si>
  <si>
    <t>収益と支出をそれぞれのテーブルに入力し、毎月や毎年の現金の不足や余剰を計算します。</t>
    <phoneticPr fontId="24"/>
  </si>
  <si>
    <t>セル C105 から始まるテーブルで合計が自動計算されます。毎月と年間に対して、支出合計と現金の不足または余剰が計算され、スパークラインが更新されます。</t>
    <phoneticPr fontId="24"/>
  </si>
  <si>
    <t>個人予算</t>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</si>
</sst>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7" formatCode="&quot;¥&quot;#,##0.00;&quot;¥&quot;\-#,##0.00"/>
    <numFmt numFmtId="42" formatCode="_ &quot;¥&quot;* #,##0_ ;_ &quot;¥&quot;* \-#,##0_ ;_ &quot;¥&quot;* &quot;-&quot;_ ;_ @_ "/>
    <numFmt numFmtId="44" formatCode="_ &quot;¥&quot;* #,##0.00_ ;_ &quot;¥&quot;* \-#,##0.00_ ;_ &quot;¥&quot;* &quot;-&quot;??_ ;_ @_ "/>
    <numFmt numFmtId="176" formatCode="_(* #,##0_);_(* \(#,##0\);_(* &quot;-&quot;_);_(@_)"/>
    <numFmt numFmtId="177" formatCode="_(* #,##0.00_);_(* \(#,##0.00\);_(* &quot;-&quot;??_);_(@_)"/>
  </numFmts>
  <fonts count="38" x14ac:knownFonts="1">
    <font>
      <sz val="10"/>
      <color theme="1" tint="0.14993743705557422"/>
      <name val="Meiryo UI"/>
      <family val="2"/>
    </font>
    <font>
      <b/>
      <sz val="10"/>
      <color theme="1" tint="0.14990691854609822"/>
      <name val="Gill Sans MT"/>
      <family val="2"/>
      <scheme val="major"/>
    </font>
    <font>
      <sz val="11"/>
      <color theme="1"/>
      <name val="Meiryo UI"/>
      <family val="2"/>
    </font>
    <font>
      <sz val="11"/>
      <color theme="0"/>
      <name val="Meiryo UI"/>
      <family val="2"/>
    </font>
    <font>
      <sz val="11"/>
      <color rgb="FF9C0006"/>
      <name val="Meiryo UI"/>
      <family val="2"/>
    </font>
    <font>
      <b/>
      <sz val="11"/>
      <color rgb="FFFA7D00"/>
      <name val="Meiryo UI"/>
      <family val="2"/>
    </font>
    <font>
      <b/>
      <sz val="11"/>
      <color theme="0"/>
      <name val="Meiryo UI"/>
      <family val="2"/>
    </font>
    <font>
      <sz val="10"/>
      <color theme="1" tint="0.14993743705557422"/>
      <name val="Meiryo UI"/>
      <family val="2"/>
    </font>
    <font>
      <i/>
      <sz val="11"/>
      <color rgb="FF7F7F7F"/>
      <name val="Meiryo UI"/>
      <family val="2"/>
    </font>
    <font>
      <sz val="11"/>
      <color rgb="FF006100"/>
      <name val="Meiryo UI"/>
      <family val="2"/>
    </font>
    <font>
      <sz val="22"/>
      <color theme="1" tint="0.14993743705557422"/>
      <name val="Meiryo UI"/>
      <family val="2"/>
    </font>
    <font>
      <sz val="11"/>
      <color theme="1" tint="0.14993743705557422"/>
      <name val="Meiryo UI"/>
      <family val="2"/>
    </font>
    <font>
      <b/>
      <sz val="10"/>
      <color theme="1" tint="0.14990691854609822"/>
      <name val="Meiryo UI"/>
      <family val="2"/>
    </font>
    <font>
      <sz val="11"/>
      <color rgb="FF3F3F76"/>
      <name val="Meiryo UI"/>
      <family val="2"/>
    </font>
    <font>
      <sz val="11"/>
      <color rgb="FFFA7D00"/>
      <name val="Meiryo UI"/>
      <family val="2"/>
    </font>
    <font>
      <sz val="11"/>
      <color rgb="FF9C5700"/>
      <name val="Meiryo UI"/>
      <family val="2"/>
    </font>
    <font>
      <b/>
      <sz val="11"/>
      <color rgb="FF3F3F3F"/>
      <name val="Meiryo UI"/>
      <family val="2"/>
    </font>
    <font>
      <sz val="18"/>
      <color theme="3"/>
      <name val="Meiryo UI"/>
      <family val="2"/>
    </font>
    <font>
      <b/>
      <sz val="11"/>
      <color theme="1"/>
      <name val="Meiryo UI"/>
      <family val="2"/>
    </font>
    <font>
      <sz val="11"/>
      <color rgb="FFFF0000"/>
      <name val="Meiryo UI"/>
      <family val="2"/>
    </font>
    <font>
      <sz val="16"/>
      <color theme="0"/>
      <name val="Meiryo UI"/>
      <family val="2"/>
    </font>
    <font>
      <sz val="10"/>
      <color theme="1" tint="0.14993743705557422"/>
      <name val="Meiryo UI"/>
      <family val="3"/>
      <charset val="128"/>
    </font>
    <font>
      <sz val="11"/>
      <color theme="1" tint="0.14993743705557422"/>
      <name val="Meiryo UI"/>
      <family val="3"/>
      <charset val="128"/>
    </font>
    <font>
      <b/>
      <sz val="11"/>
      <color theme="1" tint="0.14993743705557422"/>
      <name val="Meiryo UI"/>
      <family val="3"/>
      <charset val="128"/>
    </font>
    <font>
      <sz val="6"/>
      <name val="ＭＳ Ｐゴシック"/>
      <family val="3"/>
      <charset val="128"/>
    </font>
    <font>
      <sz val="10"/>
      <color rgb="FFF7F7F7"/>
      <name val="Meiryo UI"/>
      <family val="3"/>
      <charset val="128"/>
    </font>
    <font>
      <sz val="11"/>
      <color rgb="FFF7F7F7"/>
      <name val="Meiryo UI"/>
      <family val="3"/>
      <charset val="128"/>
    </font>
    <font>
      <b/>
      <sz val="25"/>
      <color rgb="FF000000"/>
      <name val="Meiryo UI"/>
      <family val="3"/>
      <charset val="128"/>
    </font>
    <font>
      <sz val="10"/>
      <color theme="0"/>
      <name val="Meiryo UI"/>
      <family val="3"/>
      <charset val="128"/>
    </font>
    <font>
      <sz val="11"/>
      <color theme="1" tint="0.34998626667073579"/>
      <name val="Meiryo UI"/>
      <family val="3"/>
      <charset val="128"/>
    </font>
    <font>
      <b/>
      <sz val="10"/>
      <color theme="4"/>
      <name val="Meiryo UI"/>
      <family val="3"/>
      <charset val="128"/>
    </font>
    <font>
      <sz val="10"/>
      <color theme="4" tint="-0.499984740745262"/>
      <name val="Meiryo UI"/>
      <family val="3"/>
      <charset val="128"/>
    </font>
    <font>
      <b/>
      <sz val="10"/>
      <color theme="5"/>
      <name val="Meiryo UI"/>
      <family val="3"/>
      <charset val="128"/>
    </font>
    <font>
      <sz val="10"/>
      <color theme="5" tint="-0.499984740745262"/>
      <name val="Meiryo UI"/>
      <family val="3"/>
      <charset val="128"/>
    </font>
    <font>
      <sz val="10"/>
      <color theme="4" tint="0.79998168889431442"/>
      <name val="Meiryo UI"/>
      <family val="3"/>
      <charset val="128"/>
    </font>
    <font>
      <sz val="10"/>
      <color theme="5" tint="0.79998168889431442"/>
      <name val="Meiryo UI"/>
      <family val="3"/>
      <charset val="128"/>
    </font>
    <font>
      <b/>
      <sz val="10"/>
      <color theme="0"/>
      <name val="Meiryo UI"/>
      <family val="3"/>
      <charset val="128"/>
    </font>
    <font>
      <b/>
      <sz val="10"/>
      <color theme="1"/>
      <name val="Meiryo UI"/>
      <family val="3"/>
      <charset val="128"/>
    </font>
  </fonts>
  <fills count="47">
    <fill>
      <patternFill patternType="none"/>
    </fill>
    <fill>
      <patternFill patternType="gray125"/>
    </fill>
    <fill>
      <gradientFill degree="90">
        <stop position="0">
          <color theme="0"/>
        </stop>
        <stop position="1">
          <color theme="5" tint="0.80001220740379042"/>
        </stop>
      </gradientFill>
    </fill>
    <fill>
      <patternFill patternType="solid">
        <fgColor theme="4" tint="0.79998168889431442"/>
        <bgColor indexed="64"/>
      </patternFill>
    </fill>
    <fill>
      <patternFill patternType="solid">
        <fgColor theme="5"/>
        <bgColor indexed="64"/>
      </patternFill>
    </fill>
    <fill>
      <patternFill patternType="solid">
        <fgColor theme="4"/>
        <bgColor indexed="64"/>
      </patternFill>
    </fill>
    <fill>
      <patternFill patternType="solid">
        <fgColor theme="0"/>
        <bgColor auto="1"/>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1"/>
        <bgColor indexed="64"/>
      </patternFill>
    </fill>
    <fill>
      <patternFill patternType="solid">
        <fgColor theme="1" tint="0.34998626667073579"/>
        <bgColor indexed="64"/>
      </patternFill>
    </fill>
    <fill>
      <patternFill patternType="solid">
        <fgColor theme="0"/>
        <bgColor indexed="64"/>
      </patternFill>
    </fill>
    <fill>
      <patternFill patternType="solid">
        <fgColor theme="5" tint="0.59999389629810485"/>
        <bgColor indexed="64"/>
      </patternFill>
    </fill>
    <fill>
      <patternFill patternType="solid">
        <fgColor rgb="FFF7F7F7"/>
        <bgColor indexed="64"/>
      </patternFill>
    </fill>
    <fill>
      <patternFill patternType="solid">
        <fgColor theme="5"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medium">
        <color theme="4" tint="-0.24994659260841701"/>
      </bottom>
      <diagonal/>
    </border>
    <border>
      <left/>
      <right/>
      <top style="medium">
        <color theme="1"/>
      </top>
      <bottom/>
      <diagonal/>
    </border>
    <border>
      <left/>
      <right/>
      <top/>
      <bottom style="medium">
        <color theme="1"/>
      </bottom>
      <diagonal/>
    </border>
    <border>
      <left/>
      <right style="thick">
        <color theme="4"/>
      </right>
      <top/>
      <bottom/>
      <diagonal/>
    </border>
    <border>
      <left/>
      <right style="thick">
        <color theme="5"/>
      </right>
      <top/>
      <bottom/>
      <diagonal/>
    </border>
    <border>
      <left style="thick">
        <color theme="5"/>
      </left>
      <right/>
      <top/>
      <bottom/>
      <diagonal/>
    </border>
    <border>
      <left style="thick">
        <color theme="4"/>
      </left>
      <right/>
      <top/>
      <bottom/>
      <diagonal/>
    </border>
    <border>
      <left style="medium">
        <color theme="4"/>
      </left>
      <right/>
      <top/>
      <bottom style="thick">
        <color theme="0"/>
      </bottom>
      <diagonal/>
    </border>
    <border>
      <left/>
      <right/>
      <top/>
      <bottom style="thick">
        <color theme="0"/>
      </bottom>
      <diagonal/>
    </border>
    <border>
      <left/>
      <right style="medium">
        <color theme="4" tint="0.79998168889431442"/>
      </right>
      <top/>
      <bottom/>
      <diagonal/>
    </border>
    <border>
      <left/>
      <right style="medium">
        <color theme="5" tint="0.79998168889431442"/>
      </right>
      <top/>
      <bottom/>
      <diagonal/>
    </border>
    <border>
      <left style="thin">
        <color theme="5"/>
      </left>
      <right/>
      <top/>
      <bottom style="thick">
        <color theme="0"/>
      </bottom>
      <diagonal/>
    </border>
    <border>
      <left style="thick">
        <color theme="4"/>
      </left>
      <right/>
      <top/>
      <bottom style="thick">
        <color theme="0"/>
      </bottom>
      <diagonal/>
    </border>
    <border>
      <left style="thick">
        <color theme="5"/>
      </left>
      <right/>
      <top/>
      <bottom style="thick">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14" borderId="0">
      <alignment vertical="center"/>
    </xf>
    <xf numFmtId="0" fontId="10" fillId="0" borderId="0" applyNumberFormat="0" applyFill="0" applyProtection="0">
      <alignment vertical="center"/>
    </xf>
    <xf numFmtId="0" fontId="11" fillId="0" borderId="1" applyNumberFormat="0" applyFill="0" applyProtection="0">
      <alignment vertical="center"/>
    </xf>
    <xf numFmtId="0" fontId="12" fillId="6" borderId="0" applyNumberFormat="0" applyProtection="0">
      <alignment horizontal="left" vertical="center" indent="1"/>
    </xf>
    <xf numFmtId="0" fontId="1" fillId="2" borderId="0" applyNumberFormat="0" applyProtection="0">
      <alignment vertical="center"/>
    </xf>
    <xf numFmtId="177" fontId="7" fillId="0" borderId="0" applyFont="0" applyFill="0" applyBorder="0" applyAlignment="0" applyProtection="0"/>
    <xf numFmtId="176"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9" fontId="7" fillId="0" borderId="0" applyFont="0" applyFill="0" applyBorder="0" applyAlignment="0" applyProtection="0"/>
    <xf numFmtId="0" fontId="17" fillId="0" borderId="0" applyNumberFormat="0" applyFill="0" applyBorder="0" applyAlignment="0" applyProtection="0"/>
    <xf numFmtId="0" fontId="9" fillId="16" borderId="0" applyNumberFormat="0" applyBorder="0" applyAlignment="0" applyProtection="0"/>
    <xf numFmtId="0" fontId="4" fillId="17" borderId="0" applyNumberFormat="0" applyBorder="0" applyAlignment="0" applyProtection="0"/>
    <xf numFmtId="0" fontId="15" fillId="18" borderId="0" applyNumberFormat="0" applyBorder="0" applyAlignment="0" applyProtection="0"/>
    <xf numFmtId="0" fontId="13" fillId="19" borderId="15" applyNumberFormat="0" applyAlignment="0" applyProtection="0"/>
    <xf numFmtId="0" fontId="16" fillId="20" borderId="16" applyNumberFormat="0" applyAlignment="0" applyProtection="0"/>
    <xf numFmtId="0" fontId="5" fillId="20" borderId="15" applyNumberFormat="0" applyAlignment="0" applyProtection="0"/>
    <xf numFmtId="0" fontId="14" fillId="0" borderId="17" applyNumberFormat="0" applyFill="0" applyAlignment="0" applyProtection="0"/>
    <xf numFmtId="0" fontId="6" fillId="21" borderId="18" applyNumberFormat="0" applyAlignment="0" applyProtection="0"/>
    <xf numFmtId="0" fontId="19" fillId="0" borderId="0" applyNumberFormat="0" applyFill="0" applyBorder="0" applyAlignment="0" applyProtection="0"/>
    <xf numFmtId="0" fontId="7" fillId="22" borderId="19" applyNumberFormat="0" applyFont="0" applyAlignment="0" applyProtection="0"/>
    <xf numFmtId="0" fontId="8" fillId="0" borderId="0" applyNumberFormat="0" applyFill="0" applyBorder="0" applyAlignment="0" applyProtection="0"/>
    <xf numFmtId="0" fontId="18" fillId="0" borderId="20" applyNumberFormat="0" applyFill="0" applyAlignment="0" applyProtection="0"/>
    <xf numFmtId="0" fontId="3"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3"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3"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3"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3"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cellStyleXfs>
  <cellXfs count="69">
    <xf numFmtId="0" fontId="0" fillId="14" borderId="0" xfId="0">
      <alignment vertical="center"/>
    </xf>
    <xf numFmtId="0" fontId="20" fillId="15" borderId="0" xfId="0" applyFont="1" applyFill="1" applyAlignment="1">
      <alignment horizontal="center" vertical="center"/>
    </xf>
    <xf numFmtId="0" fontId="21" fillId="14" borderId="0" xfId="0" applyFont="1">
      <alignment vertical="center"/>
    </xf>
    <xf numFmtId="0" fontId="22" fillId="14" borderId="0" xfId="0" applyFont="1" applyAlignment="1">
      <alignment vertical="center" wrapText="1"/>
    </xf>
    <xf numFmtId="0" fontId="23" fillId="14" borderId="0" xfId="0" applyFont="1" applyAlignment="1">
      <alignment vertical="center" wrapText="1"/>
    </xf>
    <xf numFmtId="0" fontId="25" fillId="14" borderId="0" xfId="0" applyFont="1" applyAlignment="1">
      <alignment wrapText="1"/>
    </xf>
    <xf numFmtId="0" fontId="21" fillId="14" borderId="0" xfId="0" applyFont="1" applyAlignment="1">
      <alignment horizontal="right" vertical="center"/>
    </xf>
    <xf numFmtId="0" fontId="26" fillId="14" borderId="0" xfId="0" applyFont="1" applyAlignment="1">
      <alignment vertical="center" wrapText="1"/>
    </xf>
    <xf numFmtId="0" fontId="28" fillId="14" borderId="3" xfId="0" applyFont="1" applyBorder="1">
      <alignment vertical="center"/>
    </xf>
    <xf numFmtId="0" fontId="21" fillId="14" borderId="2" xfId="0" applyFont="1" applyBorder="1" applyAlignment="1">
      <alignment horizontal="right" vertical="center"/>
    </xf>
    <xf numFmtId="0" fontId="21" fillId="5" borderId="0" xfId="0" applyFont="1" applyFill="1">
      <alignment vertical="center"/>
    </xf>
    <xf numFmtId="0" fontId="29" fillId="0" borderId="0" xfId="2" applyFont="1" applyBorder="1" applyAlignment="1">
      <alignment horizontal="left" vertical="center" indent="1"/>
    </xf>
    <xf numFmtId="0" fontId="29" fillId="0" borderId="0" xfId="2" applyFont="1" applyBorder="1" applyAlignment="1">
      <alignment horizontal="right" vertical="center"/>
    </xf>
    <xf numFmtId="0" fontId="30" fillId="0" borderId="0" xfId="3" applyFont="1" applyFill="1">
      <alignment horizontal="left" vertical="center" indent="1"/>
    </xf>
    <xf numFmtId="0" fontId="28" fillId="12" borderId="0" xfId="0" applyFont="1" applyFill="1">
      <alignment vertical="center"/>
    </xf>
    <xf numFmtId="0" fontId="31" fillId="0" borderId="0" xfId="0" applyFont="1" applyFill="1" applyAlignment="1">
      <alignment horizontal="left" vertical="center" indent="1"/>
    </xf>
    <xf numFmtId="7" fontId="31" fillId="0" borderId="0" xfId="0" applyNumberFormat="1" applyFont="1" applyFill="1" applyAlignment="1">
      <alignment horizontal="right" vertical="center"/>
    </xf>
    <xf numFmtId="7" fontId="31" fillId="7" borderId="0" xfId="0" applyNumberFormat="1" applyFont="1" applyFill="1" applyAlignment="1">
      <alignment horizontal="right" vertical="center"/>
    </xf>
    <xf numFmtId="0" fontId="31" fillId="7" borderId="8" xfId="0" applyFont="1" applyFill="1" applyBorder="1" applyAlignment="1">
      <alignment horizontal="left" vertical="center" indent="1"/>
    </xf>
    <xf numFmtId="7" fontId="31" fillId="7" borderId="9" xfId="0" applyNumberFormat="1" applyFont="1" applyFill="1" applyBorder="1" applyAlignment="1">
      <alignment horizontal="right" vertical="center"/>
    </xf>
    <xf numFmtId="0" fontId="31" fillId="7" borderId="9" xfId="0" applyFont="1" applyFill="1" applyBorder="1" applyAlignment="1">
      <alignment horizontal="right" vertical="center"/>
    </xf>
    <xf numFmtId="0" fontId="21" fillId="4" borderId="0" xfId="0" applyFont="1" applyFill="1">
      <alignment vertical="center"/>
    </xf>
    <xf numFmtId="0" fontId="32" fillId="0" borderId="0" xfId="3" applyFont="1" applyFill="1">
      <alignment horizontal="left" vertical="center" indent="1"/>
    </xf>
    <xf numFmtId="0" fontId="33" fillId="0" borderId="0" xfId="0" applyFont="1" applyFill="1" applyAlignment="1">
      <alignment horizontal="left" vertical="center" indent="1"/>
    </xf>
    <xf numFmtId="7" fontId="33" fillId="0" borderId="0" xfId="0" applyNumberFormat="1" applyFont="1" applyFill="1" applyAlignment="1">
      <alignment horizontal="right" vertical="center"/>
    </xf>
    <xf numFmtId="7" fontId="33" fillId="7" borderId="0" xfId="0" applyNumberFormat="1" applyFont="1" applyFill="1" applyAlignment="1">
      <alignment horizontal="right" vertical="center"/>
    </xf>
    <xf numFmtId="0" fontId="25" fillId="14" borderId="0" xfId="0" applyFont="1" applyAlignment="1">
      <alignment vertical="center" wrapText="1"/>
    </xf>
    <xf numFmtId="0" fontId="33" fillId="7" borderId="12" xfId="0" applyFont="1" applyFill="1" applyBorder="1" applyAlignment="1">
      <alignment horizontal="left" vertical="center" indent="1"/>
    </xf>
    <xf numFmtId="7" fontId="33" fillId="7" borderId="9" xfId="0" applyNumberFormat="1" applyFont="1" applyFill="1" applyBorder="1" applyAlignment="1">
      <alignment horizontal="right" vertical="center"/>
    </xf>
    <xf numFmtId="0" fontId="33" fillId="7" borderId="9" xfId="0" applyFont="1" applyFill="1" applyBorder="1" applyAlignment="1">
      <alignment horizontal="right" vertical="center"/>
    </xf>
    <xf numFmtId="0" fontId="21" fillId="14" borderId="4" xfId="0" applyFont="1" applyBorder="1">
      <alignment vertical="center"/>
    </xf>
    <xf numFmtId="0" fontId="30" fillId="12" borderId="0" xfId="0" applyFont="1" applyFill="1" applyAlignment="1">
      <alignment horizontal="left" vertical="center" indent="1"/>
    </xf>
    <xf numFmtId="0" fontId="34" fillId="3" borderId="0" xfId="0" applyFont="1" applyFill="1">
      <alignment vertical="center"/>
    </xf>
    <xf numFmtId="0" fontId="21" fillId="12" borderId="0" xfId="0" applyFont="1" applyFill="1" applyAlignment="1">
      <alignment horizontal="left" vertical="center" indent="1"/>
    </xf>
    <xf numFmtId="7" fontId="21" fillId="3" borderId="0" xfId="0" applyNumberFormat="1" applyFont="1" applyFill="1" applyAlignment="1">
      <alignment horizontal="right" vertical="center"/>
    </xf>
    <xf numFmtId="7" fontId="21" fillId="12" borderId="0" xfId="0" applyNumberFormat="1" applyFont="1" applyFill="1" applyAlignment="1">
      <alignment horizontal="right" vertical="center"/>
    </xf>
    <xf numFmtId="7" fontId="21" fillId="7" borderId="0" xfId="0" applyNumberFormat="1" applyFont="1" applyFill="1" applyAlignment="1">
      <alignment horizontal="right" vertical="center"/>
    </xf>
    <xf numFmtId="0" fontId="21" fillId="7" borderId="13" xfId="0" applyFont="1" applyFill="1" applyBorder="1" applyAlignment="1">
      <alignment horizontal="left" vertical="center" indent="1"/>
    </xf>
    <xf numFmtId="7" fontId="21" fillId="8" borderId="9" xfId="0" applyNumberFormat="1" applyFont="1" applyFill="1" applyBorder="1" applyAlignment="1">
      <alignment horizontal="right" vertical="center"/>
    </xf>
    <xf numFmtId="7" fontId="21" fillId="7" borderId="9" xfId="0" applyNumberFormat="1" applyFont="1" applyFill="1" applyBorder="1" applyAlignment="1">
      <alignment horizontal="right" vertical="center"/>
    </xf>
    <xf numFmtId="0" fontId="21" fillId="7" borderId="9" xfId="0" applyFont="1" applyFill="1" applyBorder="1" applyAlignment="1">
      <alignment horizontal="right" vertical="center"/>
    </xf>
    <xf numFmtId="0" fontId="30" fillId="0" borderId="0" xfId="0" applyFont="1" applyFill="1" applyAlignment="1">
      <alignment horizontal="left" vertical="center" indent="1"/>
    </xf>
    <xf numFmtId="0" fontId="34" fillId="3" borderId="10" xfId="0" applyFont="1" applyFill="1" applyBorder="1" applyAlignment="1">
      <alignment horizontal="right" vertical="center"/>
    </xf>
    <xf numFmtId="0" fontId="21" fillId="0" borderId="0" xfId="0" applyFont="1" applyFill="1" applyAlignment="1">
      <alignment horizontal="left" vertical="center" indent="1"/>
    </xf>
    <xf numFmtId="7" fontId="21" fillId="0" borderId="0" xfId="0" applyNumberFormat="1" applyFont="1" applyFill="1" applyAlignment="1">
      <alignment horizontal="right" vertical="center"/>
    </xf>
    <xf numFmtId="0" fontId="21" fillId="14" borderId="5" xfId="0" applyFont="1" applyBorder="1">
      <alignment vertical="center"/>
    </xf>
    <xf numFmtId="0" fontId="32" fillId="0" borderId="0" xfId="0" applyFont="1" applyFill="1" applyAlignment="1">
      <alignment horizontal="left" vertical="center" indent="1"/>
    </xf>
    <xf numFmtId="0" fontId="35" fillId="9" borderId="11" xfId="0" applyFont="1" applyFill="1" applyBorder="1" applyAlignment="1">
      <alignment horizontal="right" vertical="center"/>
    </xf>
    <xf numFmtId="7" fontId="21" fillId="9" borderId="0" xfId="0" applyNumberFormat="1" applyFont="1" applyFill="1" applyAlignment="1">
      <alignment horizontal="right" vertical="center"/>
    </xf>
    <xf numFmtId="0" fontId="21" fillId="7" borderId="14" xfId="0" applyFont="1" applyFill="1" applyBorder="1" applyAlignment="1">
      <alignment horizontal="left" vertical="center" indent="1"/>
    </xf>
    <xf numFmtId="7" fontId="21" fillId="13" borderId="9" xfId="0" applyNumberFormat="1" applyFont="1" applyFill="1" applyBorder="1" applyAlignment="1">
      <alignment horizontal="right" vertical="center"/>
    </xf>
    <xf numFmtId="0" fontId="21" fillId="0" borderId="6" xfId="0" applyFont="1" applyFill="1" applyBorder="1" applyAlignment="1">
      <alignment horizontal="left" vertical="center" indent="1"/>
    </xf>
    <xf numFmtId="0" fontId="34" fillId="3" borderId="10" xfId="0" applyFont="1" applyFill="1" applyBorder="1">
      <alignment vertical="center"/>
    </xf>
    <xf numFmtId="0" fontId="21" fillId="0" borderId="7" xfId="0" applyFont="1" applyFill="1" applyBorder="1" applyAlignment="1">
      <alignment horizontal="left" vertical="center" indent="1"/>
    </xf>
    <xf numFmtId="0" fontId="34" fillId="3" borderId="0" xfId="0" applyFont="1" applyFill="1" applyAlignment="1">
      <alignment horizontal="right" vertical="center"/>
    </xf>
    <xf numFmtId="0" fontId="28" fillId="0" borderId="0" xfId="0" applyFont="1" applyFill="1" applyAlignment="1">
      <alignment horizontal="right" vertical="center"/>
    </xf>
    <xf numFmtId="0" fontId="35" fillId="9" borderId="0" xfId="0" applyFont="1" applyFill="1" applyAlignment="1">
      <alignment horizontal="right" vertical="center"/>
    </xf>
    <xf numFmtId="0" fontId="36" fillId="10" borderId="0" xfId="3" applyFont="1" applyFill="1">
      <alignment horizontal="left" vertical="center" indent="1"/>
    </xf>
    <xf numFmtId="0" fontId="36" fillId="11" borderId="0" xfId="3" applyFont="1" applyFill="1" applyAlignment="1">
      <alignment horizontal="right" vertical="center"/>
    </xf>
    <xf numFmtId="0" fontId="36" fillId="10" borderId="0" xfId="3" applyFont="1" applyFill="1" applyAlignment="1">
      <alignment horizontal="right" vertical="center"/>
    </xf>
    <xf numFmtId="0" fontId="37" fillId="10" borderId="0" xfId="3" applyFont="1" applyFill="1">
      <alignment horizontal="left" vertical="center" indent="1"/>
    </xf>
    <xf numFmtId="0" fontId="28" fillId="10" borderId="0" xfId="0" applyFont="1" applyFill="1" applyAlignment="1">
      <alignment horizontal="left" vertical="center" indent="1"/>
    </xf>
    <xf numFmtId="7" fontId="28" fillId="11" borderId="0" xfId="0" applyNumberFormat="1" applyFont="1" applyFill="1" applyAlignment="1">
      <alignment horizontal="right" vertical="center"/>
    </xf>
    <xf numFmtId="7" fontId="28" fillId="10" borderId="0" xfId="0" applyNumberFormat="1" applyFont="1" applyFill="1" applyAlignment="1">
      <alignment horizontal="right" vertical="center"/>
    </xf>
    <xf numFmtId="0" fontId="28" fillId="10" borderId="0" xfId="0" applyFont="1" applyFill="1">
      <alignment vertical="center"/>
    </xf>
    <xf numFmtId="0" fontId="28" fillId="11" borderId="0" xfId="0" applyFont="1" applyFill="1">
      <alignment vertical="center"/>
    </xf>
    <xf numFmtId="0" fontId="27" fillId="14" borderId="0" xfId="0" applyFont="1" applyAlignment="1"/>
    <xf numFmtId="0" fontId="21" fillId="14" borderId="3" xfId="0" applyFont="1" applyBorder="1" applyAlignment="1">
      <alignment horizontal="center" vertical="center"/>
    </xf>
    <xf numFmtId="0" fontId="21" fillId="14" borderId="0" xfId="0" applyFont="1">
      <alignment vertical="center"/>
    </xf>
  </cellXfs>
  <cellStyles count="47">
    <cellStyle name="20% - アクセント 1" xfId="24" builtinId="30" customBuiltin="1"/>
    <cellStyle name="20% - アクセント 2" xfId="28" builtinId="34" customBuiltin="1"/>
    <cellStyle name="20% - アクセント 3" xfId="32" builtinId="38" customBuiltin="1"/>
    <cellStyle name="20% - アクセント 4" xfId="36" builtinId="42" customBuiltin="1"/>
    <cellStyle name="20% - アクセント 5" xfId="40" builtinId="46" customBuiltin="1"/>
    <cellStyle name="20% - アクセント 6" xfId="44" builtinId="50" customBuiltin="1"/>
    <cellStyle name="40% - アクセント 1" xfId="25" builtinId="31" customBuiltin="1"/>
    <cellStyle name="40% - アクセント 2" xfId="29" builtinId="35" customBuiltin="1"/>
    <cellStyle name="40% - アクセント 3" xfId="33" builtinId="39" customBuiltin="1"/>
    <cellStyle name="40% - アクセント 4" xfId="37" builtinId="43" customBuiltin="1"/>
    <cellStyle name="40% - アクセント 5" xfId="41" builtinId="47" customBuiltin="1"/>
    <cellStyle name="40% - アクセント 6" xfId="45" builtinId="51" customBuiltin="1"/>
    <cellStyle name="60% - アクセント 1" xfId="26" builtinId="32" customBuiltin="1"/>
    <cellStyle name="60% - アクセント 2" xfId="30" builtinId="36" customBuiltin="1"/>
    <cellStyle name="60% - アクセント 3" xfId="34" builtinId="40" customBuiltin="1"/>
    <cellStyle name="60% - アクセント 4" xfId="38" builtinId="44" customBuiltin="1"/>
    <cellStyle name="60% - アクセント 5" xfId="42" builtinId="48" customBuiltin="1"/>
    <cellStyle name="60% - アクセント 6" xfId="46" builtinId="52" customBuiltin="1"/>
    <cellStyle name="アクセント 1" xfId="23" builtinId="29" customBuiltin="1"/>
    <cellStyle name="アクセント 2" xfId="27" builtinId="33" customBuiltin="1"/>
    <cellStyle name="アクセント 3" xfId="31" builtinId="37" customBuiltin="1"/>
    <cellStyle name="アクセント 4" xfId="35" builtinId="41" customBuiltin="1"/>
    <cellStyle name="アクセント 5" xfId="39" builtinId="45" customBuiltin="1"/>
    <cellStyle name="アクセント 6" xfId="43" builtinId="49" customBuiltin="1"/>
    <cellStyle name="タイトル" xfId="10" builtinId="15" customBuiltin="1"/>
    <cellStyle name="チェック セル" xfId="18" builtinId="23" customBuiltin="1"/>
    <cellStyle name="どちらでもない" xfId="13" builtinId="28" customBuiltin="1"/>
    <cellStyle name="パーセント" xfId="9" builtinId="5" customBuiltin="1"/>
    <cellStyle name="メモ" xfId="20" builtinId="10" customBuiltin="1"/>
    <cellStyle name="リンク セル" xfId="17" builtinId="24" customBuiltin="1"/>
    <cellStyle name="悪い" xfId="12" builtinId="27" customBuiltin="1"/>
    <cellStyle name="計算" xfId="16" builtinId="22" customBuiltin="1"/>
    <cellStyle name="警告文" xfId="19" builtinId="11" customBuiltin="1"/>
    <cellStyle name="桁区切り" xfId="6" builtinId="6" customBuiltin="1"/>
    <cellStyle name="桁区切り [0.00]" xfId="5" builtinId="3" customBuiltin="1"/>
    <cellStyle name="見出し 1" xfId="1" builtinId="16" customBuiltin="1"/>
    <cellStyle name="見出し 2" xfId="2" builtinId="17" customBuiltin="1"/>
    <cellStyle name="見出し 3" xfId="3" builtinId="18" customBuiltin="1"/>
    <cellStyle name="見出し 4" xfId="4" builtinId="19" hidden="1" customBuiltin="1"/>
    <cellStyle name="集計" xfId="22" builtinId="25" customBuiltin="1"/>
    <cellStyle name="出力" xfId="15" builtinId="21" customBuiltin="1"/>
    <cellStyle name="説明文" xfId="21" builtinId="53" customBuiltin="1"/>
    <cellStyle name="通貨" xfId="8" builtinId="7" customBuiltin="1"/>
    <cellStyle name="通貨 [0.00]" xfId="7" builtinId="4" customBuiltin="1"/>
    <cellStyle name="入力" xfId="14" builtinId="20" customBuiltin="1"/>
    <cellStyle name="標準" xfId="0" builtinId="0" customBuiltin="1"/>
    <cellStyle name="良い" xfId="11" builtinId="26" customBuiltin="1"/>
  </cellStyles>
  <dxfs count="441">
    <dxf>
      <font>
        <strike val="0"/>
        <outline val="0"/>
        <shadow val="0"/>
        <u val="none"/>
        <vertAlign val="baseline"/>
        <sz val="10"/>
        <color theme="0"/>
        <name val="Meiryo UI"/>
        <family val="3"/>
        <charset val="128"/>
        <scheme val="none"/>
      </font>
      <numFmt numFmtId="11" formatCode="&quot;¥&quot;#,##0.00;&quot;¥&quot;\-#,##0.00"/>
      <fill>
        <patternFill patternType="solid">
          <fgColor indexed="64"/>
          <bgColor theme="1"/>
        </patternFill>
      </fill>
      <alignment horizontal="right" textRotation="0" wrapText="0" indent="0" justifyLastLine="0" shrinkToFit="0" readingOrder="0"/>
    </dxf>
    <dxf>
      <font>
        <strike val="0"/>
        <outline val="0"/>
        <shadow val="0"/>
        <u val="none"/>
        <vertAlign val="baseline"/>
        <sz val="10"/>
        <color theme="0"/>
        <name val="Meiryo UI"/>
        <family val="3"/>
        <charset val="128"/>
        <scheme val="none"/>
      </font>
      <numFmt numFmtId="11" formatCode="&quot;¥&quot;#,##0.00;&quot;¥&quot;\-#,##0.00"/>
      <fill>
        <patternFill patternType="solid">
          <fgColor indexed="64"/>
          <bgColor theme="1" tint="0.34998626667073579"/>
        </patternFill>
      </fill>
      <alignment horizontal="right" textRotation="0" wrapText="0" indent="0" justifyLastLine="0" shrinkToFit="0" readingOrder="0"/>
    </dxf>
    <dxf>
      <font>
        <strike val="0"/>
        <outline val="0"/>
        <shadow val="0"/>
        <u val="none"/>
        <vertAlign val="baseline"/>
        <sz val="10"/>
        <color theme="0"/>
        <name val="Meiryo UI"/>
        <family val="3"/>
        <charset val="128"/>
        <scheme val="none"/>
      </font>
      <numFmt numFmtId="11" formatCode="&quot;¥&quot;#,##0.00;&quot;¥&quot;\-#,##0.00"/>
      <fill>
        <patternFill patternType="solid">
          <fgColor indexed="64"/>
          <bgColor theme="1"/>
        </patternFill>
      </fill>
      <alignment horizontal="right" textRotation="0" wrapText="0" indent="0" justifyLastLine="0" shrinkToFit="0" readingOrder="0"/>
    </dxf>
    <dxf>
      <font>
        <strike val="0"/>
        <outline val="0"/>
        <shadow val="0"/>
        <u val="none"/>
        <vertAlign val="baseline"/>
        <sz val="10"/>
        <color theme="0"/>
        <name val="Meiryo UI"/>
        <family val="3"/>
        <charset val="128"/>
        <scheme val="none"/>
      </font>
      <numFmt numFmtId="11" formatCode="&quot;¥&quot;#,##0.00;&quot;¥&quot;\-#,##0.00"/>
      <fill>
        <patternFill patternType="solid">
          <fgColor indexed="64"/>
          <bgColor theme="1" tint="0.34998626667073579"/>
        </patternFill>
      </fill>
      <alignment horizontal="right" textRotation="0" wrapText="0" indent="0" justifyLastLine="0" shrinkToFit="0" readingOrder="0"/>
    </dxf>
    <dxf>
      <font>
        <strike val="0"/>
        <outline val="0"/>
        <shadow val="0"/>
        <u val="none"/>
        <vertAlign val="baseline"/>
        <sz val="10"/>
        <color theme="0"/>
        <name val="Meiryo UI"/>
        <family val="3"/>
        <charset val="128"/>
        <scheme val="none"/>
      </font>
      <numFmt numFmtId="11" formatCode="&quot;¥&quot;#,##0.00;&quot;¥&quot;\-#,##0.00"/>
      <fill>
        <patternFill patternType="solid">
          <fgColor indexed="64"/>
          <bgColor theme="1"/>
        </patternFill>
      </fill>
      <alignment horizontal="right" textRotation="0" wrapText="0" indent="0" justifyLastLine="0" shrinkToFit="0" readingOrder="0"/>
    </dxf>
    <dxf>
      <font>
        <strike val="0"/>
        <outline val="0"/>
        <shadow val="0"/>
        <u val="none"/>
        <vertAlign val="baseline"/>
        <sz val="10"/>
        <color theme="0"/>
        <name val="Meiryo UI"/>
        <family val="3"/>
        <charset val="128"/>
        <scheme val="none"/>
      </font>
      <numFmt numFmtId="11" formatCode="&quot;¥&quot;#,##0.00;&quot;¥&quot;\-#,##0.00"/>
      <fill>
        <patternFill patternType="solid">
          <fgColor indexed="64"/>
          <bgColor theme="1" tint="0.34998626667073579"/>
        </patternFill>
      </fill>
      <alignment horizontal="right" textRotation="0" wrapText="0" indent="0" justifyLastLine="0" shrinkToFit="0" readingOrder="0"/>
    </dxf>
    <dxf>
      <font>
        <strike val="0"/>
        <outline val="0"/>
        <shadow val="0"/>
        <u val="none"/>
        <vertAlign val="baseline"/>
        <sz val="10"/>
        <color theme="0"/>
        <name val="Meiryo UI"/>
        <family val="3"/>
        <charset val="128"/>
        <scheme val="none"/>
      </font>
      <numFmt numFmtId="11" formatCode="&quot;¥&quot;#,##0.00;&quot;¥&quot;\-#,##0.00"/>
      <fill>
        <patternFill patternType="solid">
          <fgColor indexed="64"/>
          <bgColor theme="1"/>
        </patternFill>
      </fill>
      <alignment horizontal="right" textRotation="0" wrapText="0" indent="0" justifyLastLine="0" shrinkToFit="0" readingOrder="0"/>
    </dxf>
    <dxf>
      <font>
        <strike val="0"/>
        <outline val="0"/>
        <shadow val="0"/>
        <u val="none"/>
        <vertAlign val="baseline"/>
        <sz val="10"/>
        <color theme="0"/>
        <name val="Meiryo UI"/>
        <family val="3"/>
        <charset val="128"/>
        <scheme val="none"/>
      </font>
      <numFmt numFmtId="11" formatCode="&quot;¥&quot;#,##0.00;&quot;¥&quot;\-#,##0.00"/>
      <fill>
        <patternFill patternType="solid">
          <fgColor indexed="64"/>
          <bgColor theme="1" tint="0.34998626667073579"/>
        </patternFill>
      </fill>
      <alignment horizontal="right" textRotation="0" wrapText="0" indent="0" justifyLastLine="0" shrinkToFit="0" readingOrder="0"/>
    </dxf>
    <dxf>
      <font>
        <strike val="0"/>
        <outline val="0"/>
        <shadow val="0"/>
        <u val="none"/>
        <vertAlign val="baseline"/>
        <sz val="10"/>
        <color theme="0"/>
        <name val="Meiryo UI"/>
        <family val="3"/>
        <charset val="128"/>
        <scheme val="none"/>
      </font>
      <numFmt numFmtId="11" formatCode="&quot;¥&quot;#,##0.00;&quot;¥&quot;\-#,##0.00"/>
      <fill>
        <patternFill patternType="solid">
          <fgColor indexed="64"/>
          <bgColor theme="1"/>
        </patternFill>
      </fill>
      <alignment horizontal="right" textRotation="0" wrapText="0" indent="0" justifyLastLine="0" shrinkToFit="0" readingOrder="0"/>
    </dxf>
    <dxf>
      <font>
        <strike val="0"/>
        <outline val="0"/>
        <shadow val="0"/>
        <u val="none"/>
        <vertAlign val="baseline"/>
        <sz val="10"/>
        <color theme="0"/>
        <name val="Meiryo UI"/>
        <family val="3"/>
        <charset val="128"/>
        <scheme val="none"/>
      </font>
      <numFmt numFmtId="11" formatCode="&quot;¥&quot;#,##0.00;&quot;¥&quot;\-#,##0.00"/>
      <fill>
        <patternFill patternType="solid">
          <fgColor indexed="64"/>
          <bgColor theme="1" tint="0.34998626667073579"/>
        </patternFill>
      </fill>
      <alignment horizontal="right" textRotation="0" wrapText="0" indent="0" justifyLastLine="0" shrinkToFit="0" readingOrder="0"/>
    </dxf>
    <dxf>
      <font>
        <strike val="0"/>
        <outline val="0"/>
        <shadow val="0"/>
        <u val="none"/>
        <vertAlign val="baseline"/>
        <sz val="10"/>
        <color theme="0"/>
        <name val="Meiryo UI"/>
        <family val="3"/>
        <charset val="128"/>
        <scheme val="none"/>
      </font>
      <numFmt numFmtId="11" formatCode="&quot;¥&quot;#,##0.00;&quot;¥&quot;\-#,##0.00"/>
      <fill>
        <patternFill patternType="solid">
          <fgColor indexed="64"/>
          <bgColor theme="1"/>
        </patternFill>
      </fill>
      <alignment horizontal="right" textRotation="0" wrapText="0" indent="0" justifyLastLine="0" shrinkToFit="0" readingOrder="0"/>
    </dxf>
    <dxf>
      <font>
        <strike val="0"/>
        <outline val="0"/>
        <shadow val="0"/>
        <u val="none"/>
        <vertAlign val="baseline"/>
        <sz val="10"/>
        <color theme="0"/>
        <name val="Meiryo UI"/>
        <family val="3"/>
        <charset val="128"/>
        <scheme val="none"/>
      </font>
      <numFmt numFmtId="11" formatCode="&quot;¥&quot;#,##0.00;&quot;¥&quot;\-#,##0.00"/>
      <fill>
        <patternFill patternType="solid">
          <fgColor indexed="64"/>
          <bgColor theme="1" tint="0.34998626667073579"/>
        </patternFill>
      </fill>
      <alignment horizontal="right" textRotation="0" wrapText="0" indent="0" justifyLastLine="0" shrinkToFit="0" readingOrder="0"/>
    </dxf>
    <dxf>
      <font>
        <strike val="0"/>
        <outline val="0"/>
        <shadow val="0"/>
        <u val="none"/>
        <vertAlign val="baseline"/>
        <sz val="10"/>
        <color theme="0"/>
        <name val="Meiryo UI"/>
        <family val="3"/>
        <charset val="128"/>
        <scheme val="none"/>
      </font>
      <numFmt numFmtId="11" formatCode="&quot;¥&quot;#,##0.00;&quot;¥&quot;\-#,##0.00"/>
      <fill>
        <patternFill patternType="solid">
          <fgColor indexed="64"/>
          <bgColor theme="1"/>
        </patternFill>
      </fill>
      <alignment horizontal="right" textRotation="0" wrapText="0" indent="0" justifyLastLine="0" shrinkToFit="0" readingOrder="0"/>
    </dxf>
    <dxf>
      <font>
        <strike val="0"/>
        <outline val="0"/>
        <shadow val="0"/>
        <u val="none"/>
        <vertAlign val="baseline"/>
        <sz val="10"/>
        <color theme="0"/>
        <name val="Meiryo UI"/>
        <family val="3"/>
        <charset val="128"/>
        <scheme val="none"/>
      </font>
      <numFmt numFmtId="11" formatCode="&quot;¥&quot;#,##0.00;&quot;¥&quot;\-#,##0.00"/>
      <fill>
        <patternFill patternType="solid">
          <fgColor indexed="64"/>
          <bgColor theme="1" tint="0.34998626667073579"/>
        </patternFill>
      </fill>
      <alignment horizontal="right" textRotation="0" wrapText="0" indent="0" justifyLastLine="0" shrinkToFit="0" readingOrder="0"/>
    </dxf>
    <dxf>
      <font>
        <strike val="0"/>
        <outline val="0"/>
        <shadow val="0"/>
        <u val="none"/>
        <vertAlign val="baseline"/>
        <sz val="10"/>
        <color theme="0"/>
        <name val="Meiryo UI"/>
        <family val="3"/>
        <charset val="128"/>
        <scheme val="none"/>
      </font>
      <fill>
        <patternFill patternType="solid">
          <fgColor indexed="64"/>
          <bgColor theme="1"/>
        </patternFill>
      </fill>
      <alignment horizontal="left" vertical="center" textRotation="0" wrapText="0" relativeIndent="1" justifyLastLine="0" shrinkToFit="0" readingOrder="0"/>
    </dxf>
    <dxf>
      <font>
        <strike val="0"/>
        <outline val="0"/>
        <shadow val="0"/>
        <u val="none"/>
        <vertAlign val="baseline"/>
        <sz val="10"/>
        <color theme="0"/>
        <name val="Meiryo UI"/>
        <family val="3"/>
        <charset val="128"/>
        <scheme val="none"/>
      </font>
      <fill>
        <patternFill patternType="solid">
          <fgColor indexed="64"/>
          <bgColor theme="1"/>
        </patternFill>
      </fill>
    </dxf>
    <dxf>
      <font>
        <strike val="0"/>
        <outline val="0"/>
        <shadow val="0"/>
        <u val="none"/>
        <vertAlign val="baseline"/>
        <sz val="10"/>
        <color theme="0"/>
        <name val="Meiryo UI"/>
        <family val="3"/>
        <charset val="128"/>
        <scheme val="none"/>
      </font>
      <fill>
        <patternFill patternType="solid">
          <fgColor indexed="64"/>
          <bgColor theme="1"/>
        </patternFill>
      </fill>
    </dxf>
    <dxf>
      <font>
        <b val="0"/>
        <i val="0"/>
        <strike val="0"/>
        <condense val="0"/>
        <extend val="0"/>
        <outline val="0"/>
        <shadow val="0"/>
        <u val="none"/>
        <vertAlign val="baseline"/>
        <sz val="10"/>
        <color theme="1" tint="0.14993743705557422"/>
        <name val="Meiryo UI"/>
        <family val="3"/>
        <charset val="128"/>
        <scheme val="none"/>
      </fon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fill>
        <patternFill patternType="solid">
          <fgColor indexed="64"/>
          <bgColor theme="0" tint="-4.9989318521683403E-2"/>
        </patternFill>
      </fill>
      <alignment horizontal="left" vertical="center" textRotation="0" wrapText="0" indent="1" justifyLastLine="0" shrinkToFit="0" readingOrder="0"/>
      <border diagonalUp="0" diagonalDown="0" outline="0">
        <left style="thick">
          <color theme="4"/>
        </left>
        <right/>
        <top/>
        <bottom style="thick">
          <color theme="0"/>
        </bottom>
      </border>
    </dxf>
    <dxf>
      <font>
        <strike val="0"/>
        <outline val="0"/>
        <shadow val="0"/>
        <u val="none"/>
        <vertAlign val="baseline"/>
        <name val="Meiryo UI"/>
        <family val="3"/>
        <charset val="128"/>
        <scheme val="none"/>
      </font>
      <alignment horizontal="left" vertical="center" textRotation="0" wrapText="0" indent="1" justifyLastLine="0" shrinkToFit="0" readingOrder="0"/>
    </dxf>
    <dxf>
      <font>
        <strike val="0"/>
        <outline val="0"/>
        <shadow val="0"/>
        <u val="none"/>
        <vertAlign val="baseline"/>
        <name val="Meiryo UI"/>
        <family val="3"/>
        <charset val="128"/>
        <scheme val="none"/>
      </font>
      <fill>
        <patternFill patternType="none">
          <bgColor auto="1"/>
        </patternFill>
      </fill>
    </dxf>
    <dxf>
      <font>
        <strike val="0"/>
        <outline val="0"/>
        <shadow val="0"/>
        <u val="none"/>
        <vertAlign val="baseline"/>
        <name val="Meiryo UI"/>
        <family val="3"/>
        <charset val="128"/>
        <scheme val="none"/>
      </font>
      <fill>
        <patternFill patternType="none">
          <bgColor auto="1"/>
        </patternFill>
      </fill>
    </dxf>
    <dxf>
      <font>
        <strike val="0"/>
        <outline val="0"/>
        <shadow val="0"/>
        <u val="none"/>
        <vertAlign val="baseline"/>
        <name val="Meiryo UI"/>
        <family val="3"/>
        <charset val="128"/>
        <scheme val="none"/>
      </font>
      <fill>
        <patternFill patternType="none">
          <bgColor auto="1"/>
        </patternFill>
      </fill>
    </dxf>
    <dxf>
      <font>
        <b val="0"/>
        <i val="0"/>
        <strike val="0"/>
        <condense val="0"/>
        <extend val="0"/>
        <outline val="0"/>
        <shadow val="0"/>
        <u val="none"/>
        <vertAlign val="baseline"/>
        <sz val="10"/>
        <color theme="1" tint="0.14993743705557422"/>
        <name val="Meiryo UI"/>
        <family val="3"/>
        <charset val="128"/>
        <scheme val="none"/>
      </fon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fill>
        <patternFill patternType="solid">
          <fgColor indexed="64"/>
          <bgColor theme="0" tint="-4.9989318521683403E-2"/>
        </patternFill>
      </fill>
      <alignment horizontal="left" vertical="center" textRotation="0" wrapText="0" indent="1" justifyLastLine="0" shrinkToFit="0" readingOrder="0"/>
      <border diagonalUp="0" diagonalDown="0" outline="0">
        <left style="thick">
          <color theme="4"/>
        </left>
        <right/>
        <top/>
        <bottom style="thick">
          <color theme="0"/>
        </bottom>
      </border>
    </dxf>
    <dxf>
      <font>
        <strike val="0"/>
        <outline val="0"/>
        <shadow val="0"/>
        <u val="none"/>
        <vertAlign val="baseline"/>
        <name val="Meiryo UI"/>
        <family val="3"/>
        <charset val="128"/>
        <scheme val="none"/>
      </font>
      <fill>
        <patternFill patternType="none">
          <bgColor auto="1"/>
        </patternFill>
      </fill>
      <alignment horizontal="left" vertical="center" textRotation="0" wrapText="0" relativeIndent="1" justifyLastLine="0" shrinkToFit="0" readingOrder="0"/>
    </dxf>
    <dxf>
      <font>
        <strike val="0"/>
        <outline val="0"/>
        <shadow val="0"/>
        <u val="none"/>
        <vertAlign val="baseline"/>
        <name val="Meiryo UI"/>
        <family val="3"/>
        <charset val="128"/>
        <scheme val="none"/>
      </font>
      <fill>
        <patternFill patternType="none">
          <bgColor auto="1"/>
        </patternFill>
      </fill>
    </dxf>
    <dxf>
      <font>
        <strike val="0"/>
        <outline val="0"/>
        <shadow val="0"/>
        <u val="none"/>
        <vertAlign val="baseline"/>
        <name val="Meiryo UI"/>
        <family val="3"/>
        <charset val="128"/>
        <scheme val="none"/>
      </font>
      <fill>
        <patternFill patternType="none">
          <bgColor auto="1"/>
        </patternFill>
      </fill>
    </dxf>
    <dxf>
      <font>
        <strike val="0"/>
        <outline val="0"/>
        <shadow val="0"/>
        <u val="none"/>
        <vertAlign val="baseline"/>
        <name val="Meiryo UI"/>
        <family val="3"/>
        <charset val="128"/>
        <scheme val="none"/>
      </font>
      <fill>
        <patternFill patternType="none">
          <bgColor auto="1"/>
        </patternFill>
      </fill>
    </dxf>
    <dxf>
      <font>
        <b val="0"/>
        <i val="0"/>
        <strike val="0"/>
        <condense val="0"/>
        <extend val="0"/>
        <outline val="0"/>
        <shadow val="0"/>
        <u val="none"/>
        <vertAlign val="baseline"/>
        <sz val="10"/>
        <color theme="1" tint="0.14993743705557422"/>
        <name val="Meiryo UI"/>
        <family val="3"/>
        <charset val="128"/>
        <scheme val="none"/>
      </fon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fill>
        <patternFill patternType="solid">
          <fgColor indexed="64"/>
          <bgColor theme="0" tint="-4.9989318521683403E-2"/>
        </patternFill>
      </fill>
      <alignment horizontal="left" vertical="center" textRotation="0" wrapText="0" indent="1" justifyLastLine="0" shrinkToFit="0" readingOrder="0"/>
      <border diagonalUp="0" diagonalDown="0" outline="0">
        <left style="thick">
          <color theme="5"/>
        </left>
        <right/>
        <top/>
        <bottom style="thick">
          <color theme="0"/>
        </bottom>
      </border>
    </dxf>
    <dxf>
      <font>
        <strike val="0"/>
        <outline val="0"/>
        <shadow val="0"/>
        <u val="none"/>
        <vertAlign val="baseline"/>
        <name val="Meiryo UI"/>
        <family val="3"/>
        <charset val="128"/>
        <scheme val="none"/>
      </font>
      <fill>
        <patternFill patternType="none">
          <bgColor auto="1"/>
        </patternFill>
      </fill>
      <alignment horizontal="left" vertical="center" textRotation="0" wrapText="0" relativeIndent="1" justifyLastLine="0" shrinkToFit="0" readingOrder="0"/>
    </dxf>
    <dxf>
      <font>
        <strike val="0"/>
        <outline val="0"/>
        <shadow val="0"/>
        <u val="none"/>
        <vertAlign val="baseline"/>
        <name val="Meiryo UI"/>
        <family val="3"/>
        <charset val="128"/>
        <scheme val="none"/>
      </font>
      <fill>
        <patternFill patternType="none">
          <bgColor auto="1"/>
        </patternFill>
      </fill>
    </dxf>
    <dxf>
      <font>
        <strike val="0"/>
        <outline val="0"/>
        <shadow val="0"/>
        <u val="none"/>
        <vertAlign val="baseline"/>
        <name val="Meiryo UI"/>
        <family val="3"/>
        <charset val="128"/>
        <scheme val="none"/>
      </font>
      <fill>
        <patternFill patternType="none">
          <bgColor auto="1"/>
        </patternFill>
      </fill>
    </dxf>
    <dxf>
      <font>
        <strike val="0"/>
        <outline val="0"/>
        <shadow val="0"/>
        <u val="none"/>
        <vertAlign val="baseline"/>
        <name val="Meiryo UI"/>
        <family val="3"/>
        <charset val="128"/>
        <scheme val="none"/>
      </font>
      <fill>
        <patternFill patternType="none">
          <bgColor auto="1"/>
        </patternFill>
      </fill>
    </dxf>
    <dxf>
      <font>
        <b val="0"/>
        <i val="0"/>
        <strike val="0"/>
        <condense val="0"/>
        <extend val="0"/>
        <outline val="0"/>
        <shadow val="0"/>
        <u val="none"/>
        <vertAlign val="baseline"/>
        <sz val="10"/>
        <color theme="1" tint="0.14993743705557422"/>
        <name val="Meiryo UI"/>
        <family val="3"/>
        <charset val="128"/>
        <scheme val="none"/>
      </fon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solid">
          <fgColor indexed="64"/>
          <bgColor theme="5" tint="0.79998168889431442"/>
        </patternFill>
      </fill>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solid">
          <fgColor indexed="64"/>
          <bgColor theme="5" tint="0.79998168889431442"/>
        </patternFill>
      </fill>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solid">
          <fgColor indexed="64"/>
          <bgColor theme="5" tint="0.79998168889431442"/>
        </patternFill>
      </fill>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solid">
          <fgColor indexed="64"/>
          <bgColor theme="5" tint="0.79998168889431442"/>
        </patternFill>
      </fill>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solid">
          <fgColor indexed="64"/>
          <bgColor theme="5" tint="0.79998168889431442"/>
        </patternFill>
      </fill>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solid">
          <fgColor indexed="64"/>
          <bgColor theme="5" tint="0.79998168889431442"/>
        </patternFill>
      </fill>
    </dxf>
    <dxf>
      <font>
        <b val="0"/>
        <i val="0"/>
        <strike val="0"/>
        <condense val="0"/>
        <extend val="0"/>
        <outline val="0"/>
        <shadow val="0"/>
        <u val="none"/>
        <vertAlign val="baseline"/>
        <sz val="10"/>
        <color theme="1" tint="0.14993743705557422"/>
        <name val="Meiryo UI"/>
        <family val="3"/>
        <charset val="128"/>
        <scheme val="none"/>
      </font>
      <fill>
        <patternFill patternType="solid">
          <fgColor indexed="64"/>
          <bgColor theme="0" tint="-4.9989318521683403E-2"/>
        </patternFill>
      </fill>
      <alignment horizontal="left" vertical="center" textRotation="0" wrapText="0" indent="1" justifyLastLine="0" shrinkToFit="0" readingOrder="0"/>
      <border diagonalUp="0" diagonalDown="0" outline="0">
        <left style="thick">
          <color theme="5"/>
        </left>
        <right/>
        <top/>
        <bottom style="thick">
          <color theme="0"/>
        </bottom>
      </border>
    </dxf>
    <dxf>
      <font>
        <strike val="0"/>
        <outline val="0"/>
        <shadow val="0"/>
        <u val="none"/>
        <vertAlign val="baseline"/>
        <name val="Meiryo UI"/>
        <family val="3"/>
        <charset val="128"/>
        <scheme val="none"/>
      </font>
      <fill>
        <patternFill patternType="none">
          <bgColor auto="1"/>
        </patternFill>
      </fill>
      <alignment horizontal="left" vertical="center" textRotation="0" wrapText="0" relativeIndent="1" justifyLastLine="0" shrinkToFit="0" readingOrder="0"/>
    </dxf>
    <dxf>
      <font>
        <strike val="0"/>
        <outline val="0"/>
        <shadow val="0"/>
        <u val="none"/>
        <vertAlign val="baseline"/>
        <name val="Meiryo UI"/>
        <family val="3"/>
        <charset val="128"/>
        <scheme val="none"/>
      </font>
      <fill>
        <patternFill patternType="none">
          <bgColor auto="1"/>
        </patternFill>
      </fill>
    </dxf>
    <dxf>
      <font>
        <strike val="0"/>
        <outline val="0"/>
        <shadow val="0"/>
        <u val="none"/>
        <vertAlign val="baseline"/>
        <name val="Meiryo UI"/>
        <family val="3"/>
        <charset val="128"/>
        <scheme val="none"/>
      </font>
      <fill>
        <patternFill patternType="none">
          <bgColor auto="1"/>
        </patternFill>
      </fill>
    </dxf>
    <dxf>
      <font>
        <strike val="0"/>
        <outline val="0"/>
        <shadow val="0"/>
        <u val="none"/>
        <vertAlign val="baseline"/>
        <name val="Meiryo UI"/>
        <family val="3"/>
        <charset val="128"/>
        <scheme val="none"/>
      </font>
      <fill>
        <patternFill patternType="none">
          <bgColor auto="1"/>
        </patternFill>
      </fill>
    </dxf>
    <dxf>
      <font>
        <b val="0"/>
        <i val="0"/>
        <strike val="0"/>
        <condense val="0"/>
        <extend val="0"/>
        <outline val="0"/>
        <shadow val="0"/>
        <u val="none"/>
        <vertAlign val="baseline"/>
        <sz val="10"/>
        <color theme="1" tint="0.14993743705557422"/>
        <name val="Meiryo UI"/>
        <family val="3"/>
        <charset val="128"/>
        <scheme val="none"/>
      </fon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left/>
        <right/>
        <top/>
        <bottom style="thick">
          <color theme="0"/>
        </bottom>
      </border>
    </dxf>
    <dxf>
      <font>
        <strike val="0"/>
        <outline val="0"/>
        <shadow val="0"/>
        <u val="none"/>
        <vertAlign val="baseline"/>
        <name val="Meiryo UI"/>
        <family val="3"/>
        <charset val="128"/>
        <scheme val="none"/>
      </font>
      <fill>
        <patternFill patternType="solid">
          <fgColor indexed="64"/>
          <bgColor theme="4" tint="0.79998168889431442"/>
        </patternFill>
      </fill>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left/>
        <right/>
        <top/>
        <bottom style="thick">
          <color theme="0"/>
        </bottom>
      </border>
    </dxf>
    <dxf>
      <font>
        <strike val="0"/>
        <outline val="0"/>
        <shadow val="0"/>
        <u val="none"/>
        <vertAlign val="baseline"/>
        <name val="Meiryo UI"/>
        <family val="3"/>
        <charset val="128"/>
        <scheme val="none"/>
      </font>
      <numFmt numFmtId="178" formatCode="&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left/>
        <right/>
        <top/>
        <bottom style="thick">
          <color theme="0"/>
        </bottom>
      </border>
    </dxf>
    <dxf>
      <font>
        <strike val="0"/>
        <outline val="0"/>
        <shadow val="0"/>
        <u val="none"/>
        <vertAlign val="baseline"/>
        <name val="Meiryo UI"/>
        <family val="3"/>
        <charset val="128"/>
        <scheme val="none"/>
      </font>
      <fill>
        <patternFill patternType="solid">
          <fgColor indexed="64"/>
          <bgColor theme="4" tint="0.79998168889431442"/>
        </patternFill>
      </fill>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left/>
        <right/>
        <top/>
        <bottom style="thick">
          <color theme="0"/>
        </bottom>
      </border>
    </dxf>
    <dxf>
      <font>
        <strike val="0"/>
        <outline val="0"/>
        <shadow val="0"/>
        <u val="none"/>
        <vertAlign val="baseline"/>
        <name val="Meiryo UI"/>
        <family val="3"/>
        <charset val="128"/>
        <scheme val="none"/>
      </font>
      <numFmt numFmtId="178" formatCode="&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left/>
        <right/>
        <top/>
        <bottom style="thick">
          <color theme="0"/>
        </bottom>
      </border>
    </dxf>
    <dxf>
      <font>
        <strike val="0"/>
        <outline val="0"/>
        <shadow val="0"/>
        <u val="none"/>
        <vertAlign val="baseline"/>
        <name val="Meiryo UI"/>
        <family val="3"/>
        <charset val="128"/>
        <scheme val="none"/>
      </font>
      <fill>
        <patternFill patternType="solid">
          <fgColor indexed="64"/>
          <bgColor theme="4" tint="0.79998168889431442"/>
        </patternFill>
      </fill>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left/>
        <right/>
        <top/>
        <bottom style="thick">
          <color theme="0"/>
        </bottom>
      </border>
    </dxf>
    <dxf>
      <font>
        <strike val="0"/>
        <outline val="0"/>
        <shadow val="0"/>
        <u val="none"/>
        <vertAlign val="baseline"/>
        <name val="Meiryo UI"/>
        <family val="3"/>
        <charset val="128"/>
        <scheme val="none"/>
      </font>
      <numFmt numFmtId="178" formatCode="&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left/>
        <right/>
        <top/>
        <bottom style="thick">
          <color theme="0"/>
        </bottom>
      </border>
    </dxf>
    <dxf>
      <font>
        <strike val="0"/>
        <outline val="0"/>
        <shadow val="0"/>
        <u val="none"/>
        <vertAlign val="baseline"/>
        <name val="Meiryo UI"/>
        <family val="3"/>
        <charset val="128"/>
        <scheme val="none"/>
      </font>
      <fill>
        <patternFill patternType="solid">
          <fgColor indexed="64"/>
          <bgColor theme="4" tint="0.79998168889431442"/>
        </patternFill>
      </fill>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left/>
        <right/>
        <top/>
        <bottom style="thick">
          <color theme="0"/>
        </bottom>
      </border>
    </dxf>
    <dxf>
      <font>
        <strike val="0"/>
        <outline val="0"/>
        <shadow val="0"/>
        <u val="none"/>
        <vertAlign val="baseline"/>
        <name val="Meiryo UI"/>
        <family val="3"/>
        <charset val="128"/>
        <scheme val="none"/>
      </font>
      <numFmt numFmtId="178" formatCode="&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left/>
        <right/>
        <top/>
        <bottom style="thick">
          <color theme="0"/>
        </bottom>
      </border>
    </dxf>
    <dxf>
      <font>
        <strike val="0"/>
        <outline val="0"/>
        <shadow val="0"/>
        <u val="none"/>
        <vertAlign val="baseline"/>
        <name val="Meiryo UI"/>
        <family val="3"/>
        <charset val="128"/>
        <scheme val="none"/>
      </font>
      <fill>
        <patternFill patternType="solid">
          <fgColor indexed="64"/>
          <bgColor theme="4" tint="0.79998168889431442"/>
        </patternFill>
      </fill>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left/>
        <right/>
        <top/>
        <bottom style="thick">
          <color theme="0"/>
        </bottom>
      </border>
    </dxf>
    <dxf>
      <font>
        <strike val="0"/>
        <outline val="0"/>
        <shadow val="0"/>
        <u val="none"/>
        <vertAlign val="baseline"/>
        <name val="Meiryo UI"/>
        <family val="3"/>
        <charset val="128"/>
        <scheme val="none"/>
      </font>
      <numFmt numFmtId="178" formatCode="&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left/>
        <right/>
        <top/>
        <bottom style="thick">
          <color theme="0"/>
        </bottom>
      </border>
    </dxf>
    <dxf>
      <font>
        <strike val="0"/>
        <outline val="0"/>
        <shadow val="0"/>
        <u val="none"/>
        <vertAlign val="baseline"/>
        <name val="Meiryo UI"/>
        <family val="3"/>
        <charset val="128"/>
        <scheme val="none"/>
      </font>
      <fill>
        <patternFill patternType="solid">
          <fgColor indexed="64"/>
          <bgColor theme="4" tint="0.79998168889431442"/>
        </patternFill>
      </fill>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left/>
        <right/>
        <top/>
        <bottom style="thick">
          <color theme="0"/>
        </bottom>
      </border>
    </dxf>
    <dxf>
      <font>
        <strike val="0"/>
        <outline val="0"/>
        <shadow val="0"/>
        <u val="none"/>
        <vertAlign val="baseline"/>
        <name val="Meiryo UI"/>
        <family val="3"/>
        <charset val="128"/>
        <scheme val="none"/>
      </font>
      <numFmt numFmtId="178" formatCode="&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left/>
        <right/>
        <top/>
        <bottom style="thick">
          <color theme="0"/>
        </bottom>
      </border>
    </dxf>
    <dxf>
      <font>
        <strike val="0"/>
        <outline val="0"/>
        <shadow val="0"/>
        <u val="none"/>
        <vertAlign val="baseline"/>
        <name val="Meiryo UI"/>
        <family val="3"/>
        <charset val="128"/>
        <scheme val="none"/>
      </font>
      <fill>
        <patternFill patternType="solid">
          <fgColor indexed="64"/>
          <bgColor theme="4" tint="0.79998168889431442"/>
        </patternFill>
      </fill>
    </dxf>
    <dxf>
      <font>
        <b val="0"/>
        <i val="0"/>
        <strike val="0"/>
        <condense val="0"/>
        <extend val="0"/>
        <outline val="0"/>
        <shadow val="0"/>
        <u val="none"/>
        <vertAlign val="baseline"/>
        <sz val="10"/>
        <color theme="1" tint="0.14993743705557422"/>
        <name val="Meiryo UI"/>
        <family val="3"/>
        <charset val="128"/>
        <scheme val="none"/>
      </font>
      <fill>
        <patternFill patternType="solid">
          <fgColor indexed="64"/>
          <bgColor theme="0" tint="-4.9989318521683403E-2"/>
        </patternFill>
      </fill>
      <alignment horizontal="left" vertical="center" textRotation="0" wrapText="0" indent="1" justifyLastLine="0" shrinkToFit="0" readingOrder="0"/>
      <border diagonalUp="0" diagonalDown="0" outline="0">
        <left style="thick">
          <color theme="4"/>
        </left>
        <right/>
        <top/>
        <bottom style="thick">
          <color theme="0"/>
        </bottom>
      </border>
    </dxf>
    <dxf>
      <font>
        <strike val="0"/>
        <outline val="0"/>
        <shadow val="0"/>
        <u val="none"/>
        <vertAlign val="baseline"/>
        <name val="Meiryo UI"/>
        <family val="3"/>
        <charset val="128"/>
        <scheme val="none"/>
      </font>
      <fill>
        <patternFill patternType="none">
          <bgColor auto="1"/>
        </patternFill>
      </fill>
      <alignment horizontal="left" vertical="center" textRotation="0" wrapText="0" relativeIndent="1" justifyLastLine="0" shrinkToFit="0" readingOrder="0"/>
    </dxf>
    <dxf>
      <font>
        <strike val="0"/>
        <outline val="0"/>
        <shadow val="0"/>
        <u val="none"/>
        <vertAlign val="baseline"/>
        <name val="Meiryo UI"/>
        <family val="3"/>
        <charset val="128"/>
        <scheme val="none"/>
      </font>
      <fill>
        <patternFill patternType="none">
          <bgColor auto="1"/>
        </patternFill>
      </fill>
    </dxf>
    <dxf>
      <font>
        <strike val="0"/>
        <outline val="0"/>
        <shadow val="0"/>
        <u val="none"/>
        <vertAlign val="baseline"/>
        <name val="Meiryo UI"/>
        <family val="3"/>
        <charset val="128"/>
        <scheme val="none"/>
      </font>
      <fill>
        <patternFill patternType="none">
          <bgColor auto="1"/>
        </patternFill>
      </fill>
    </dxf>
    <dxf>
      <font>
        <strike val="0"/>
        <outline val="0"/>
        <shadow val="0"/>
        <u val="none"/>
        <vertAlign val="baseline"/>
        <name val="Meiryo UI"/>
        <family val="3"/>
        <charset val="128"/>
        <scheme val="none"/>
      </font>
      <fill>
        <patternFill patternType="none">
          <bgColor auto="1"/>
        </patternFill>
      </fill>
    </dxf>
    <dxf>
      <font>
        <b val="0"/>
        <i val="0"/>
        <strike val="0"/>
        <condense val="0"/>
        <extend val="0"/>
        <outline val="0"/>
        <shadow val="0"/>
        <u val="none"/>
        <vertAlign val="baseline"/>
        <sz val="10"/>
        <color theme="1" tint="0.14993743705557422"/>
        <name val="Meiryo UI"/>
        <family val="3"/>
        <charset val="128"/>
        <scheme val="none"/>
      </fon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fill>
        <patternFill patternType="solid">
          <fgColor indexed="64"/>
          <bgColor theme="0" tint="-4.9989318521683403E-2"/>
        </patternFill>
      </fill>
      <alignment horizontal="left" vertical="center" textRotation="0" wrapText="0" indent="1" justifyLastLine="0" shrinkToFit="0" readingOrder="0"/>
      <border diagonalUp="0" diagonalDown="0" outline="0">
        <left style="thick">
          <color theme="4"/>
        </left>
        <right/>
        <top/>
        <bottom style="thick">
          <color theme="0"/>
        </bottom>
      </border>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fill>
        <patternFill patternType="none">
          <bgColor auto="1"/>
        </patternFill>
      </fill>
    </dxf>
    <dxf>
      <font>
        <strike val="0"/>
        <outline val="0"/>
        <shadow val="0"/>
        <u val="none"/>
        <vertAlign val="baseline"/>
        <name val="Meiryo UI"/>
        <family val="3"/>
        <charset val="128"/>
        <scheme val="none"/>
      </font>
      <fill>
        <patternFill patternType="none">
          <bgColor auto="1"/>
        </patternFill>
      </fill>
    </dxf>
    <dxf>
      <font>
        <strike val="0"/>
        <outline val="0"/>
        <shadow val="0"/>
        <u val="none"/>
        <vertAlign val="baseline"/>
        <name val="Meiryo UI"/>
        <family val="3"/>
        <charset val="128"/>
        <scheme val="none"/>
      </font>
      <fill>
        <patternFill patternType="none">
          <bgColor auto="1"/>
        </patternFill>
      </fill>
    </dxf>
    <dxf>
      <font>
        <b val="0"/>
        <i val="0"/>
        <strike val="0"/>
        <condense val="0"/>
        <extend val="0"/>
        <outline val="0"/>
        <shadow val="0"/>
        <u val="none"/>
        <vertAlign val="baseline"/>
        <sz val="10"/>
        <color theme="1" tint="0.14993743705557422"/>
        <name val="Meiryo UI"/>
        <family val="3"/>
        <charset val="128"/>
        <scheme val="none"/>
      </fon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fill>
        <patternFill patternType="solid">
          <fgColor indexed="64"/>
          <bgColor theme="0" tint="-4.9989318521683403E-2"/>
        </patternFill>
      </fill>
      <alignment horizontal="left" vertical="center" textRotation="0" wrapText="0" indent="1" justifyLastLine="0" shrinkToFit="0" readingOrder="0"/>
      <border diagonalUp="0" diagonalDown="0" outline="0">
        <left style="thick">
          <color theme="5"/>
        </left>
        <right/>
        <top/>
        <bottom style="thick">
          <color theme="0"/>
        </bottom>
      </border>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fill>
        <patternFill patternType="none">
          <bgColor auto="1"/>
        </patternFill>
      </fill>
    </dxf>
    <dxf>
      <font>
        <strike val="0"/>
        <outline val="0"/>
        <shadow val="0"/>
        <u val="none"/>
        <vertAlign val="baseline"/>
        <name val="Meiryo UI"/>
        <family val="3"/>
        <charset val="128"/>
        <scheme val="none"/>
      </font>
      <fill>
        <patternFill patternType="none">
          <bgColor auto="1"/>
        </patternFill>
      </fill>
    </dxf>
    <dxf>
      <font>
        <strike val="0"/>
        <outline val="0"/>
        <shadow val="0"/>
        <u val="none"/>
        <vertAlign val="baseline"/>
        <name val="Meiryo UI"/>
        <family val="3"/>
        <charset val="128"/>
        <scheme val="none"/>
      </font>
      <fill>
        <patternFill patternType="none">
          <bgColor auto="1"/>
        </patternFill>
      </fill>
    </dxf>
    <dxf>
      <font>
        <b val="0"/>
        <i val="0"/>
        <strike val="0"/>
        <condense val="0"/>
        <extend val="0"/>
        <outline val="0"/>
        <shadow val="0"/>
        <u val="none"/>
        <vertAlign val="baseline"/>
        <sz val="10"/>
        <color theme="1" tint="0.14993743705557422"/>
        <name val="Meiryo UI"/>
        <family val="3"/>
        <charset val="128"/>
        <scheme val="none"/>
      </fon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fill>
        <patternFill patternType="solid">
          <fgColor indexed="64"/>
          <bgColor theme="0" tint="-4.9989318521683403E-2"/>
        </patternFill>
      </fill>
      <alignment horizontal="left" vertical="center" textRotation="0" wrapText="0" indent="1" justifyLastLine="0" shrinkToFit="0" readingOrder="0"/>
      <border diagonalUp="0" diagonalDown="0" outline="0">
        <left style="thick">
          <color theme="5"/>
        </left>
        <right/>
        <top/>
        <bottom style="thick">
          <color theme="0"/>
        </bottom>
      </border>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fill>
        <patternFill patternType="none">
          <bgColor auto="1"/>
        </patternFill>
      </fill>
    </dxf>
    <dxf>
      <font>
        <strike val="0"/>
        <outline val="0"/>
        <shadow val="0"/>
        <u val="none"/>
        <vertAlign val="baseline"/>
        <name val="Meiryo UI"/>
        <family val="3"/>
        <charset val="128"/>
        <scheme val="none"/>
      </font>
      <fill>
        <patternFill patternType="none">
          <bgColor auto="1"/>
        </patternFill>
      </fill>
    </dxf>
    <dxf>
      <font>
        <strike val="0"/>
        <outline val="0"/>
        <shadow val="0"/>
        <u val="none"/>
        <vertAlign val="baseline"/>
        <name val="Meiryo UI"/>
        <family val="3"/>
        <charset val="128"/>
        <scheme val="none"/>
      </font>
      <fill>
        <patternFill patternType="none">
          <bgColor auto="1"/>
        </patternFill>
      </fill>
    </dxf>
    <dxf>
      <font>
        <b val="0"/>
        <i val="0"/>
        <strike val="0"/>
        <condense val="0"/>
        <extend val="0"/>
        <outline val="0"/>
        <shadow val="0"/>
        <u val="none"/>
        <vertAlign val="baseline"/>
        <sz val="10"/>
        <color theme="1" tint="0.14993743705557422"/>
        <name val="Meiryo UI"/>
        <family val="3"/>
        <charset val="128"/>
        <scheme val="none"/>
      </fon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solid">
          <fgColor indexed="64"/>
          <bgColor theme="4" tint="0.79998168889431442"/>
        </patternFill>
      </fill>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solid">
          <fgColor indexed="64"/>
          <bgColor theme="4" tint="0.79998168889431442"/>
        </patternFill>
      </fill>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solid">
          <fgColor indexed="64"/>
          <bgColor theme="4" tint="0.79998168889431442"/>
        </patternFill>
      </fill>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solid">
          <fgColor indexed="64"/>
          <bgColor theme="4" tint="0.79998168889431442"/>
        </patternFill>
      </fill>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solid">
          <fgColor indexed="64"/>
          <bgColor theme="4" tint="0.79998168889431442"/>
        </patternFill>
      </fill>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solid">
          <fgColor indexed="64"/>
          <bgColor theme="4" tint="0.79998168889431442"/>
        </patternFill>
      </fill>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solid">
          <fgColor indexed="64"/>
          <bgColor theme="4" tint="0.79998168889431442"/>
        </patternFill>
      </fill>
    </dxf>
    <dxf>
      <font>
        <b val="0"/>
        <i val="0"/>
        <strike val="0"/>
        <condense val="0"/>
        <extend val="0"/>
        <outline val="0"/>
        <shadow val="0"/>
        <u val="none"/>
        <vertAlign val="baseline"/>
        <sz val="10"/>
        <color theme="1" tint="0.14993743705557422"/>
        <name val="Meiryo UI"/>
        <family val="3"/>
        <charset val="128"/>
        <scheme val="none"/>
      </font>
      <fill>
        <patternFill patternType="solid">
          <fgColor indexed="64"/>
          <bgColor theme="0" tint="-4.9989318521683403E-2"/>
        </patternFill>
      </fill>
      <alignment horizontal="left" vertical="center" textRotation="0" wrapText="0" indent="1" justifyLastLine="0" shrinkToFit="0" readingOrder="0"/>
      <border diagonalUp="0" diagonalDown="0" outline="0">
        <left style="thick">
          <color theme="4"/>
        </left>
        <right/>
        <top/>
        <bottom style="thick">
          <color theme="0"/>
        </bottom>
      </border>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fill>
        <patternFill patternType="none">
          <bgColor auto="1"/>
        </patternFill>
      </fill>
    </dxf>
    <dxf>
      <font>
        <strike val="0"/>
        <outline val="0"/>
        <shadow val="0"/>
        <u val="none"/>
        <vertAlign val="baseline"/>
        <name val="Meiryo UI"/>
        <family val="3"/>
        <charset val="128"/>
        <scheme val="none"/>
      </font>
      <fill>
        <patternFill patternType="none">
          <bgColor auto="1"/>
        </patternFill>
      </fill>
    </dxf>
    <dxf>
      <font>
        <strike val="0"/>
        <outline val="0"/>
        <shadow val="0"/>
        <u val="none"/>
        <vertAlign val="baseline"/>
        <name val="Meiryo UI"/>
        <family val="3"/>
        <charset val="128"/>
        <scheme val="none"/>
      </font>
      <fill>
        <patternFill patternType="none">
          <bgColor auto="1"/>
        </patternFill>
      </fill>
    </dxf>
    <dxf>
      <font>
        <b val="0"/>
        <i val="0"/>
        <strike val="0"/>
        <condense val="0"/>
        <extend val="0"/>
        <outline val="0"/>
        <shadow val="0"/>
        <u val="none"/>
        <vertAlign val="baseline"/>
        <sz val="10"/>
        <color theme="1" tint="0.14993743705557422"/>
        <name val="Meiryo UI"/>
        <family val="3"/>
        <charset val="128"/>
        <scheme val="none"/>
      </fon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solid">
          <fgColor indexed="64"/>
          <bgColor theme="4" tint="0.79998168889431442"/>
        </patternFill>
      </fill>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solid">
          <fgColor indexed="64"/>
          <bgColor theme="4" tint="0.79998168889431442"/>
        </patternFill>
      </fill>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solid">
          <fgColor indexed="64"/>
          <bgColor theme="4" tint="0.79998168889431442"/>
        </patternFill>
      </fill>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solid">
          <fgColor indexed="64"/>
          <bgColor theme="4" tint="0.79998168889431442"/>
        </patternFill>
      </fill>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solid">
          <fgColor indexed="64"/>
          <bgColor theme="4" tint="0.79998168889431442"/>
        </patternFill>
      </fill>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solid">
          <fgColor indexed="64"/>
          <bgColor theme="4" tint="0.79998168889431442"/>
        </patternFill>
      </fill>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solid">
          <fgColor indexed="64"/>
          <bgColor theme="4" tint="0.79998168889431442"/>
        </patternFill>
      </fill>
    </dxf>
    <dxf>
      <font>
        <b val="0"/>
        <i val="0"/>
        <strike val="0"/>
        <condense val="0"/>
        <extend val="0"/>
        <outline val="0"/>
        <shadow val="0"/>
        <u val="none"/>
        <vertAlign val="baseline"/>
        <sz val="10"/>
        <color theme="1" tint="0.14993743705557422"/>
        <name val="Meiryo UI"/>
        <family val="3"/>
        <charset val="128"/>
        <scheme val="none"/>
      </font>
      <fill>
        <patternFill patternType="solid">
          <fgColor indexed="64"/>
          <bgColor theme="0" tint="-4.9989318521683403E-2"/>
        </patternFill>
      </fill>
      <alignment horizontal="left" vertical="center" textRotation="0" wrapText="0" indent="1" justifyLastLine="0" shrinkToFit="0" readingOrder="0"/>
      <border diagonalUp="0" diagonalDown="0" outline="0">
        <left style="thick">
          <color theme="4"/>
        </left>
        <right/>
        <top/>
        <bottom style="thick">
          <color theme="0"/>
        </bottom>
      </border>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fill>
        <patternFill patternType="none">
          <bgColor auto="1"/>
        </patternFill>
      </fill>
    </dxf>
    <dxf>
      <font>
        <strike val="0"/>
        <outline val="0"/>
        <shadow val="0"/>
        <u val="none"/>
        <vertAlign val="baseline"/>
        <name val="Meiryo UI"/>
        <family val="3"/>
        <charset val="128"/>
        <scheme val="none"/>
      </font>
      <fill>
        <patternFill patternType="none">
          <fgColor indexed="64"/>
          <bgColor theme="0"/>
        </patternFill>
      </fill>
    </dxf>
    <dxf>
      <font>
        <strike val="0"/>
        <outline val="0"/>
        <shadow val="0"/>
        <u val="none"/>
        <vertAlign val="baseline"/>
        <name val="Meiryo UI"/>
        <family val="3"/>
        <charset val="128"/>
        <scheme val="none"/>
      </font>
      <fill>
        <patternFill patternType="none">
          <bgColor auto="1"/>
        </patternFill>
      </fill>
    </dxf>
    <dxf>
      <font>
        <b val="0"/>
        <i val="0"/>
        <strike val="0"/>
        <condense val="0"/>
        <extend val="0"/>
        <outline val="0"/>
        <shadow val="0"/>
        <u val="none"/>
        <vertAlign val="baseline"/>
        <sz val="10"/>
        <color theme="5" tint="-0.499984740745262"/>
        <name val="Meiryo UI"/>
        <family val="3"/>
        <charset val="128"/>
        <scheme val="none"/>
      </fon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5" tint="-0.49998474074526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5" tint="-0.49998474074526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sz val="10"/>
        <color theme="5" tint="-0.499984740745262"/>
        <name val="Meiryo UI"/>
        <family val="3"/>
        <charset val="128"/>
        <scheme val="none"/>
      </font>
      <numFmt numFmtId="11" formatCode="&quot;¥&quot;#,##0.00;&quot;¥&quot;\-#,##0.00"/>
    </dxf>
    <dxf>
      <font>
        <b val="0"/>
        <i val="0"/>
        <strike val="0"/>
        <condense val="0"/>
        <extend val="0"/>
        <outline val="0"/>
        <shadow val="0"/>
        <u val="none"/>
        <vertAlign val="baseline"/>
        <sz val="10"/>
        <color theme="5" tint="-0.49998474074526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sz val="10"/>
        <color theme="5" tint="-0.499984740745262"/>
        <name val="Meiryo UI"/>
        <family val="3"/>
        <charset val="128"/>
        <scheme val="none"/>
      </font>
      <numFmt numFmtId="11" formatCode="&quot;¥&quot;#,##0.00;&quot;¥&quot;\-#,##0.00"/>
    </dxf>
    <dxf>
      <font>
        <b val="0"/>
        <i val="0"/>
        <strike val="0"/>
        <condense val="0"/>
        <extend val="0"/>
        <outline val="0"/>
        <shadow val="0"/>
        <u val="none"/>
        <vertAlign val="baseline"/>
        <sz val="10"/>
        <color theme="5" tint="-0.49998474074526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sz val="10"/>
        <color theme="5" tint="-0.499984740745262"/>
        <name val="Meiryo UI"/>
        <family val="3"/>
        <charset val="128"/>
        <scheme val="none"/>
      </font>
      <numFmt numFmtId="11" formatCode="&quot;¥&quot;#,##0.00;&quot;¥&quot;\-#,##0.00"/>
    </dxf>
    <dxf>
      <font>
        <b val="0"/>
        <i val="0"/>
        <strike val="0"/>
        <condense val="0"/>
        <extend val="0"/>
        <outline val="0"/>
        <shadow val="0"/>
        <u val="none"/>
        <vertAlign val="baseline"/>
        <sz val="10"/>
        <color theme="5" tint="-0.49998474074526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sz val="10"/>
        <color theme="5" tint="-0.499984740745262"/>
        <name val="Meiryo UI"/>
        <family val="3"/>
        <charset val="128"/>
        <scheme val="none"/>
      </font>
      <numFmt numFmtId="11" formatCode="&quot;¥&quot;#,##0.00;&quot;¥&quot;\-#,##0.00"/>
    </dxf>
    <dxf>
      <font>
        <b val="0"/>
        <i val="0"/>
        <strike val="0"/>
        <condense val="0"/>
        <extend val="0"/>
        <outline val="0"/>
        <shadow val="0"/>
        <u val="none"/>
        <vertAlign val="baseline"/>
        <sz val="10"/>
        <color theme="5" tint="-0.49998474074526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sz val="10"/>
        <color theme="5" tint="-0.499984740745262"/>
        <name val="Meiryo UI"/>
        <family val="3"/>
        <charset val="128"/>
        <scheme val="none"/>
      </font>
      <numFmt numFmtId="11" formatCode="&quot;¥&quot;#,##0.00;&quot;¥&quot;\-#,##0.00"/>
    </dxf>
    <dxf>
      <font>
        <b val="0"/>
        <i val="0"/>
        <strike val="0"/>
        <condense val="0"/>
        <extend val="0"/>
        <outline val="0"/>
        <shadow val="0"/>
        <u val="none"/>
        <vertAlign val="baseline"/>
        <sz val="10"/>
        <color theme="5" tint="-0.49998474074526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sz val="10"/>
        <color theme="5" tint="-0.499984740745262"/>
        <name val="Meiryo UI"/>
        <family val="3"/>
        <charset val="128"/>
        <scheme val="none"/>
      </font>
      <numFmt numFmtId="11" formatCode="&quot;¥&quot;#,##0.00;&quot;¥&quot;\-#,##0.00"/>
    </dxf>
    <dxf>
      <font>
        <b val="0"/>
        <i val="0"/>
        <strike val="0"/>
        <condense val="0"/>
        <extend val="0"/>
        <outline val="0"/>
        <shadow val="0"/>
        <u val="none"/>
        <vertAlign val="baseline"/>
        <sz val="10"/>
        <color theme="5" tint="-0.49998474074526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sz val="10"/>
        <color theme="5" tint="-0.499984740745262"/>
        <name val="Meiryo UI"/>
        <family val="3"/>
        <charset val="128"/>
        <scheme val="none"/>
      </font>
      <numFmt numFmtId="11" formatCode="&quot;¥&quot;#,##0.00;&quot;¥&quot;\-#,##0.00"/>
    </dxf>
    <dxf>
      <font>
        <b val="0"/>
        <i val="0"/>
        <strike val="0"/>
        <condense val="0"/>
        <extend val="0"/>
        <outline val="0"/>
        <shadow val="0"/>
        <u val="none"/>
        <vertAlign val="baseline"/>
        <sz val="10"/>
        <color theme="5" tint="-0.49998474074526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sz val="10"/>
        <color theme="5" tint="-0.499984740745262"/>
        <name val="Meiryo UI"/>
        <family val="3"/>
        <charset val="128"/>
        <scheme val="none"/>
      </font>
      <numFmt numFmtId="11" formatCode="&quot;¥&quot;#,##0.00;&quot;¥&quot;\-#,##0.00"/>
    </dxf>
    <dxf>
      <font>
        <b val="0"/>
        <i val="0"/>
        <strike val="0"/>
        <condense val="0"/>
        <extend val="0"/>
        <outline val="0"/>
        <shadow val="0"/>
        <u val="none"/>
        <vertAlign val="baseline"/>
        <sz val="10"/>
        <color theme="5" tint="-0.49998474074526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sz val="10"/>
        <color theme="5" tint="-0.499984740745262"/>
        <name val="Meiryo UI"/>
        <family val="3"/>
        <charset val="128"/>
        <scheme val="none"/>
      </font>
      <numFmt numFmtId="11" formatCode="&quot;¥&quot;#,##0.00;&quot;¥&quot;\-#,##0.00"/>
    </dxf>
    <dxf>
      <font>
        <b val="0"/>
        <i val="0"/>
        <strike val="0"/>
        <condense val="0"/>
        <extend val="0"/>
        <outline val="0"/>
        <shadow val="0"/>
        <u val="none"/>
        <vertAlign val="baseline"/>
        <sz val="10"/>
        <color theme="5" tint="-0.49998474074526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5" tint="-0.49998474074526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5" tint="-0.49998474074526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5" tint="-0.499984740745262"/>
        <name val="Meiryo UI"/>
        <family val="3"/>
        <charset val="128"/>
        <scheme val="none"/>
      </font>
      <fill>
        <patternFill patternType="solid">
          <fgColor indexed="64"/>
          <bgColor theme="0" tint="-4.9989318521683403E-2"/>
        </patternFill>
      </fill>
      <alignment horizontal="left" vertical="center" textRotation="0" wrapText="0" indent="1" justifyLastLine="0" shrinkToFit="0" readingOrder="0"/>
      <border diagonalUp="0" diagonalDown="0" outline="0">
        <left style="thin">
          <color theme="5"/>
        </left>
        <right/>
        <top/>
        <bottom style="thick">
          <color theme="0"/>
        </bottom>
      </border>
    </dxf>
    <dxf>
      <font>
        <strike val="0"/>
        <outline val="0"/>
        <shadow val="0"/>
        <u val="none"/>
        <vertAlign val="baseline"/>
        <name val="Meiryo UI"/>
        <family val="3"/>
        <charset val="128"/>
        <scheme val="none"/>
      </font>
    </dxf>
    <dxf>
      <font>
        <strike val="0"/>
        <outline val="0"/>
        <shadow val="0"/>
        <u val="none"/>
        <vertAlign val="baseline"/>
        <sz val="10"/>
        <color theme="5" tint="-0.499984740745262"/>
        <name val="Meiryo UI"/>
        <family val="3"/>
        <charset val="128"/>
        <scheme val="none"/>
      </font>
      <fill>
        <patternFill patternType="none">
          <bgColor auto="1"/>
        </patternFill>
      </fill>
    </dxf>
    <dxf>
      <font>
        <strike val="0"/>
        <outline val="0"/>
        <shadow val="0"/>
        <u val="none"/>
        <vertAlign val="baseline"/>
        <sz val="10"/>
        <color theme="5" tint="-0.499984740745262"/>
        <name val="Meiryo UI"/>
        <family val="3"/>
        <charset val="128"/>
        <scheme val="none"/>
      </font>
      <fill>
        <patternFill patternType="none">
          <bgColor auto="1"/>
        </patternFill>
      </fill>
    </dxf>
    <dxf>
      <font>
        <strike val="0"/>
        <outline val="0"/>
        <shadow val="0"/>
        <u val="none"/>
        <vertAlign val="baseline"/>
        <sz val="10"/>
        <color theme="5" tint="-0.499984740745262"/>
        <name val="Meiryo UI"/>
        <family val="3"/>
        <charset val="128"/>
        <scheme val="none"/>
      </font>
      <fill>
        <patternFill patternType="none">
          <bgColor auto="1"/>
        </patternFill>
      </fill>
    </dxf>
    <dxf>
      <font>
        <b val="0"/>
        <i val="0"/>
        <strike val="0"/>
        <condense val="0"/>
        <extend val="0"/>
        <outline val="0"/>
        <shadow val="0"/>
        <u val="none"/>
        <vertAlign val="baseline"/>
        <sz val="10"/>
        <color theme="4" tint="-0.499984740745262"/>
        <name val="Meiryo UI"/>
        <family val="3"/>
        <charset val="128"/>
        <scheme val="none"/>
      </fon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4" tint="-0.49998474074526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4" tint="-0.49998474074526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4" tint="-0.49998474074526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4" tint="-0.49998474074526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4" tint="-0.49998474074526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4" tint="-0.49998474074526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4" tint="-0.49998474074526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4" tint="-0.49998474074526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4" tint="-0.49998474074526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4" tint="-0.49998474074526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4" tint="-0.49998474074526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4" tint="-0.49998474074526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4" tint="-0.49998474074526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4" tint="-0.499984740745262"/>
        <name val="Meiryo UI"/>
        <family val="3"/>
        <charset val="128"/>
        <scheme val="none"/>
      </font>
      <fill>
        <patternFill patternType="solid">
          <fgColor indexed="64"/>
          <bgColor theme="0" tint="-4.9989318521683403E-2"/>
        </patternFill>
      </fill>
      <alignment horizontal="left" vertical="center" textRotation="0" wrapText="0" indent="1" justifyLastLine="0" shrinkToFit="0" readingOrder="0"/>
      <border diagonalUp="0" diagonalDown="0" outline="0">
        <left style="medium">
          <color theme="4"/>
        </left>
        <right/>
        <top/>
        <bottom style="thick">
          <color theme="0"/>
        </bottom>
      </border>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fill>
        <patternFill patternType="none">
          <bgColor auto="1"/>
        </patternFill>
      </fill>
    </dxf>
    <dxf>
      <font>
        <strike val="0"/>
        <outline val="0"/>
        <shadow val="0"/>
        <u val="none"/>
        <vertAlign val="baseline"/>
        <sz val="10"/>
        <color theme="4" tint="-0.499984740745262"/>
        <name val="Meiryo UI"/>
        <family val="3"/>
        <charset val="128"/>
        <scheme val="none"/>
      </font>
      <fill>
        <patternFill patternType="none">
          <bgColor auto="1"/>
        </patternFill>
      </fill>
    </dxf>
    <dxf>
      <font>
        <strike val="0"/>
        <outline val="0"/>
        <shadow val="0"/>
        <u val="none"/>
        <vertAlign val="baseline"/>
        <name val="Meiryo UI"/>
        <family val="3"/>
        <charset val="128"/>
        <scheme val="none"/>
      </font>
      <fill>
        <patternFill patternType="none">
          <bgColor auto="1"/>
        </patternFill>
      </fill>
    </dxf>
    <dxf>
      <font>
        <color rgb="FF9C0006"/>
      </font>
    </dxf>
    <dxf>
      <font>
        <b/>
        <i val="0"/>
        <color theme="4" tint="-0.499984740745262"/>
      </font>
      <fill>
        <patternFill>
          <bgColor theme="4" tint="0.79998168889431442"/>
        </patternFill>
      </fill>
    </dxf>
    <dxf>
      <font>
        <b/>
        <i val="0"/>
        <color theme="4" tint="-0.499984740745262"/>
      </font>
      <fill>
        <patternFill>
          <bgColor theme="4" tint="0.79998168889431442"/>
        </patternFill>
      </fill>
    </dxf>
    <dxf>
      <font>
        <b val="0"/>
        <i val="0"/>
        <color theme="4" tint="-0.499984740745262"/>
      </font>
      <fill>
        <patternFill>
          <bgColor theme="4" tint="0.79998168889431442"/>
        </patternFill>
      </fill>
    </dxf>
    <dxf>
      <font>
        <b val="0"/>
        <i val="0"/>
        <color theme="4" tint="-0.499984740745262"/>
      </font>
      <fill>
        <patternFill patternType="solid">
          <fgColor theme="4" tint="0.79995117038483843"/>
          <bgColor theme="4" tint="0.79998168889431442"/>
        </patternFill>
      </fill>
    </dxf>
    <dxf>
      <font>
        <b/>
        <i val="0"/>
        <color theme="4" tint="-0.499984740745262"/>
      </font>
      <fill>
        <patternFill>
          <bgColor theme="4" tint="0.79998168889431442"/>
        </patternFill>
      </fill>
    </dxf>
    <dxf>
      <font>
        <b/>
        <i val="0"/>
        <color theme="4" tint="-0.499984740745262"/>
      </font>
    </dxf>
    <dxf>
      <font>
        <b val="0"/>
        <i val="0"/>
        <color theme="4" tint="-0.499984740745262"/>
      </font>
      <fill>
        <patternFill patternType="none">
          <bgColor auto="1"/>
        </patternFill>
      </fill>
      <border>
        <top style="thin">
          <color theme="4" tint="-0.24994659260841701"/>
        </top>
      </border>
    </dxf>
    <dxf>
      <border diagonalUp="0" diagonalDown="0">
        <left/>
        <right/>
        <top/>
        <bottom style="thin">
          <color theme="4" tint="-0.499984740745262"/>
        </bottom>
        <vertical/>
        <horizontal/>
      </border>
    </dxf>
    <dxf>
      <font>
        <b val="0"/>
        <i val="0"/>
        <color theme="4" tint="-0.499984740745262"/>
      </font>
      <border>
        <top style="thin">
          <color theme="4" tint="-0.24994659260841701"/>
        </top>
        <bottom style="thin">
          <color theme="4" tint="-0.24994659260841701"/>
        </bottom>
      </border>
    </dxf>
    <dxf>
      <font>
        <b/>
        <i val="0"/>
        <color theme="5" tint="-0.499984740745262"/>
      </font>
      <fill>
        <patternFill>
          <bgColor theme="5" tint="0.79998168889431442"/>
        </patternFill>
      </fill>
    </dxf>
    <dxf>
      <font>
        <b/>
        <i val="0"/>
        <color theme="5" tint="-0.499984740745262"/>
      </font>
      <fill>
        <patternFill>
          <bgColor theme="5" tint="0.79998168889431442"/>
        </patternFill>
      </fill>
    </dxf>
    <dxf>
      <font>
        <b val="0"/>
        <i val="0"/>
        <color theme="5" tint="-0.499984740745262"/>
      </font>
      <fill>
        <patternFill patternType="solid">
          <fgColor theme="5" tint="0.79998168889431442"/>
          <bgColor theme="5" tint="0.79998168889431442"/>
        </patternFill>
      </fill>
    </dxf>
    <dxf>
      <font>
        <b val="0"/>
        <i val="0"/>
        <color theme="5" tint="-0.499984740745262"/>
      </font>
      <fill>
        <patternFill patternType="solid">
          <fgColor theme="5" tint="0.79998168889431442"/>
          <bgColor theme="5" tint="0.79998168889431442"/>
        </patternFill>
      </fill>
    </dxf>
    <dxf>
      <font>
        <b/>
        <i val="0"/>
        <color theme="5" tint="-0.499984740745262"/>
      </font>
      <fill>
        <patternFill>
          <bgColor theme="5" tint="0.79998168889431442"/>
        </patternFill>
      </fill>
    </dxf>
    <dxf>
      <font>
        <b/>
        <i val="0"/>
        <color theme="5" tint="-0.499984740745262"/>
      </font>
    </dxf>
    <dxf>
      <font>
        <b val="0"/>
        <i val="0"/>
        <color theme="5" tint="-0.499984740745262"/>
      </font>
      <border>
        <top style="thin">
          <color theme="5" tint="-0.24994659260841701"/>
        </top>
      </border>
    </dxf>
    <dxf>
      <font>
        <b val="0"/>
        <i val="0"/>
        <color theme="5" tint="-0.499984740745262"/>
      </font>
      <border>
        <bottom style="thin">
          <color theme="5" tint="-0.24994659260841701"/>
        </bottom>
      </border>
    </dxf>
    <dxf>
      <font>
        <b val="0"/>
        <i val="0"/>
        <color theme="5" tint="-0.499984740745262"/>
      </font>
      <border>
        <top style="thin">
          <color theme="5" tint="-0.24994659260841701"/>
        </top>
        <bottom style="thin">
          <color theme="5" tint="-0.24994659260841701"/>
        </bottom>
      </border>
    </dxf>
    <dxf>
      <font>
        <b/>
        <i val="0"/>
        <color theme="6" tint="-0.499984740745262"/>
      </font>
      <fill>
        <patternFill>
          <bgColor theme="6" tint="0.79998168889431442"/>
        </patternFill>
      </fill>
    </dxf>
    <dxf>
      <font>
        <b/>
        <i val="0"/>
        <color theme="6" tint="-0.499984740745262"/>
      </font>
      <fill>
        <patternFill>
          <bgColor theme="6" tint="0.79998168889431442"/>
        </patternFill>
      </fill>
    </dxf>
    <dxf>
      <font>
        <b val="0"/>
        <i val="0"/>
        <color theme="6" tint="-0.499984740745262"/>
      </font>
      <fill>
        <patternFill patternType="solid">
          <fgColor theme="6" tint="0.79998168889431442"/>
          <bgColor theme="6" tint="0.79998168889431442"/>
        </patternFill>
      </fill>
    </dxf>
    <dxf>
      <font>
        <b val="0"/>
        <i val="0"/>
        <color theme="6" tint="-0.499984740745262"/>
      </font>
      <fill>
        <patternFill patternType="solid">
          <fgColor theme="6" tint="0.79998168889431442"/>
          <bgColor theme="6" tint="0.79998168889431442"/>
        </patternFill>
      </fill>
    </dxf>
    <dxf>
      <font>
        <b/>
        <i val="0"/>
        <color theme="6" tint="-0.499984740745262"/>
      </font>
      <fill>
        <patternFill>
          <bgColor theme="6" tint="0.79998168889431442"/>
        </patternFill>
      </fill>
    </dxf>
    <dxf>
      <font>
        <b/>
        <i val="0"/>
        <color theme="6" tint="-0.499984740745262"/>
      </font>
      <fill>
        <patternFill>
          <bgColor theme="6" tint="0.79998168889431442"/>
        </patternFill>
      </fill>
    </dxf>
    <dxf>
      <font>
        <b val="0"/>
        <i val="0"/>
        <color theme="6" tint="-0.499984740745262"/>
      </font>
      <border>
        <top style="thin">
          <color theme="6" tint="-0.24994659260841701"/>
        </top>
      </border>
    </dxf>
    <dxf>
      <font>
        <b val="0"/>
        <i val="0"/>
        <color theme="6" tint="-0.499984740745262"/>
      </font>
      <border>
        <bottom style="thin">
          <color theme="6" tint="-0.24994659260841701"/>
        </bottom>
      </border>
    </dxf>
    <dxf>
      <font>
        <b val="0"/>
        <i val="0"/>
        <color theme="6" tint="-0.499984740745262"/>
      </font>
      <border>
        <top style="thin">
          <color theme="6" tint="-0.24994659260841701"/>
        </top>
        <bottom style="thin">
          <color theme="6" tint="-0.24994659260841701"/>
        </bottom>
      </border>
    </dxf>
  </dxfs>
  <tableStyles count="3" defaultTableStyle="個人予算表 - 支出" defaultPivotStyle="PivotStyleLight16">
    <tableStyle name="個人予算表 - 合計" pivot="0" count="9" xr9:uid="{00000000-0011-0000-FFFF-FFFF02000000}">
      <tableStyleElement type="wholeTable" dxfId="440"/>
      <tableStyleElement type="headerRow" dxfId="439"/>
      <tableStyleElement type="totalRow" dxfId="438"/>
      <tableStyleElement type="firstColumn" dxfId="437"/>
      <tableStyleElement type="lastColumn" dxfId="436"/>
      <tableStyleElement type="firstRowStripe" dxfId="435"/>
      <tableStyleElement type="firstColumnStripe" dxfId="434"/>
      <tableStyleElement type="firstTotalCell" dxfId="433"/>
      <tableStyleElement type="lastTotalCell" dxfId="432"/>
    </tableStyle>
    <tableStyle name="個人予算表 - 支出" pivot="0" count="9" xr9:uid="{00000000-0011-0000-FFFF-FFFF01000000}">
      <tableStyleElement type="wholeTable" dxfId="431"/>
      <tableStyleElement type="headerRow" dxfId="430"/>
      <tableStyleElement type="totalRow" dxfId="429"/>
      <tableStyleElement type="firstColumn" dxfId="428"/>
      <tableStyleElement type="lastColumn" dxfId="427"/>
      <tableStyleElement type="firstRowStripe" dxfId="426"/>
      <tableStyleElement type="firstColumnStripe" dxfId="425"/>
      <tableStyleElement type="firstTotalCell" dxfId="424"/>
      <tableStyleElement type="lastTotalCell" dxfId="423"/>
    </tableStyle>
    <tableStyle name="個人予算表 - 収益" pivot="0" count="9" xr9:uid="{00000000-0011-0000-FFFF-FFFF00000000}">
      <tableStyleElement type="wholeTable" dxfId="422"/>
      <tableStyleElement type="headerRow" dxfId="421"/>
      <tableStyleElement type="totalRow" dxfId="420"/>
      <tableStyleElement type="firstColumn" dxfId="419"/>
      <tableStyleElement type="lastColumn" dxfId="418"/>
      <tableStyleElement type="firstRowStripe" dxfId="417"/>
      <tableStyleElement type="firstColumnStripe" dxfId="416"/>
      <tableStyleElement type="firstTotalCell" dxfId="415"/>
      <tableStyleElement type="lastTotalCell" dxfId="414"/>
    </tableStyle>
  </tableStyles>
  <colors>
    <mruColors>
      <color rgb="FFF7F7F7"/>
      <color rgb="FFF3F8FF"/>
      <color rgb="FFE6F8FA"/>
      <color rgb="FFEFF5FF"/>
      <color rgb="FFD6E8F6"/>
      <color rgb="FFE6EF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16</xdr:col>
      <xdr:colOff>29765</xdr:colOff>
      <xdr:row>1</xdr:row>
      <xdr:rowOff>188141</xdr:rowOff>
    </xdr:from>
    <xdr:to>
      <xdr:col>17</xdr:col>
      <xdr:colOff>19843</xdr:colOff>
      <xdr:row>2</xdr:row>
      <xdr:rowOff>9526</xdr:rowOff>
    </xdr:to>
    <xdr:sp macro="" textlink="$Q$2">
      <xdr:nvSpPr>
        <xdr:cNvPr id="3" name="長方形 2" descr="年">
          <a:extLst>
            <a:ext uri="{FF2B5EF4-FFF2-40B4-BE49-F238E27FC236}">
              <a16:creationId xmlns:a16="http://schemas.microsoft.com/office/drawing/2014/main" id="{38DB6D2F-4C80-408C-A4C7-B9C2F6BEA823}"/>
            </a:ext>
          </a:extLst>
        </xdr:cNvPr>
        <xdr:cNvSpPr/>
      </xdr:nvSpPr>
      <xdr:spPr>
        <a:xfrm flipH="1">
          <a:off x="15111015" y="346891"/>
          <a:ext cx="932656" cy="267869"/>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B5844B8A-4141-4FF4-9316-6625FB86BF57}" type="TxLink">
            <a:rPr lang="en-US" sz="1000" b="1" i="0" u="none" strike="noStrike">
              <a:solidFill>
                <a:schemeClr val="bg1"/>
              </a:solidFill>
              <a:latin typeface="Meiryo UI" panose="020B0604030504040204" pitchFamily="34" charset="-128"/>
              <a:ea typeface="Meiryo UI" panose="020B0604030504040204" pitchFamily="34" charset="-128"/>
              <a:cs typeface="verdana"/>
            </a:rPr>
            <a:pPr algn="ctr" rtl="0"/>
            <a:t>2019</a:t>
          </a:fld>
          <a:endParaRPr lang="en-US" sz="1200" b="1">
            <a:solidFill>
              <a:schemeClr val="bg1"/>
            </a:solidFill>
            <a:latin typeface="Meiryo UI" panose="020B0604030504040204" pitchFamily="34" charset="-128"/>
            <a:ea typeface="Meiryo UI" panose="020B0604030504040204" pitchFamily="34" charset="-128"/>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収入" displayName="収入" ref="C5:Q9" totalsRowCount="1" headerRowDxfId="412" dataDxfId="411" totalsRowDxfId="410">
  <autoFilter ref="C5:Q8"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000-000001000000}" name="収入" totalsRowLabel="集計" dataDxfId="409" totalsRowDxfId="408"/>
    <tableColumn id="2" xr3:uid="{00000000-0010-0000-0000-000002000000}" name="1 月" totalsRowFunction="sum" dataDxfId="407" totalsRowDxfId="406"/>
    <tableColumn id="3" xr3:uid="{00000000-0010-0000-0000-000003000000}" name="2 月" totalsRowFunction="sum" dataDxfId="405" totalsRowDxfId="404"/>
    <tableColumn id="4" xr3:uid="{00000000-0010-0000-0000-000004000000}" name="3 月" totalsRowFunction="sum" dataDxfId="403" totalsRowDxfId="402"/>
    <tableColumn id="5" xr3:uid="{00000000-0010-0000-0000-000005000000}" name="4 月" totalsRowFunction="sum" dataDxfId="401" totalsRowDxfId="400"/>
    <tableColumn id="6" xr3:uid="{00000000-0010-0000-0000-000006000000}" name="5 月" totalsRowFunction="sum" dataDxfId="399" totalsRowDxfId="398"/>
    <tableColumn id="7" xr3:uid="{00000000-0010-0000-0000-000007000000}" name="6 月" totalsRowFunction="sum" dataDxfId="397" totalsRowDxfId="396"/>
    <tableColumn id="8" xr3:uid="{00000000-0010-0000-0000-000008000000}" name="7 月" totalsRowFunction="sum" dataDxfId="395" totalsRowDxfId="394"/>
    <tableColumn id="9" xr3:uid="{00000000-0010-0000-0000-000009000000}" name="8 月" totalsRowFunction="sum" dataDxfId="393" totalsRowDxfId="392"/>
    <tableColumn id="10" xr3:uid="{00000000-0010-0000-0000-00000A000000}" name="9 月" totalsRowFunction="sum" dataDxfId="391" totalsRowDxfId="390"/>
    <tableColumn id="11" xr3:uid="{00000000-0010-0000-0000-00000B000000}" name="10 月" totalsRowFunction="sum" dataDxfId="389" totalsRowDxfId="388"/>
    <tableColumn id="12" xr3:uid="{00000000-0010-0000-0000-00000C000000}" name="11 月" totalsRowFunction="sum" dataDxfId="387" totalsRowDxfId="386"/>
    <tableColumn id="13" xr3:uid="{00000000-0010-0000-0000-00000D000000}" name="12 月" totalsRowFunction="sum" dataDxfId="385" totalsRowDxfId="384"/>
    <tableColumn id="14" xr3:uid="{00000000-0010-0000-0000-00000E000000}" name="年" totalsRowFunction="sum" dataDxfId="383" totalsRowDxfId="382">
      <calculatedColumnFormula>SUM(収入[[#This Row],[1 月]:[12 月]])</calculatedColumnFormula>
    </tableColumn>
    <tableColumn id="15" xr3:uid="{00000000-0010-0000-0000-00000F000000}" name="スパークライン" dataDxfId="381" totalsRowDxfId="380"/>
  </tableColumns>
  <tableStyleInfo showFirstColumn="1" showLastColumn="0" showRowStripes="0" showColumnStripes="1"/>
  <extLst>
    <ext xmlns:x14="http://schemas.microsoft.com/office/spreadsheetml/2009/9/main" uri="{504A1905-F514-4f6f-8877-14C23A59335A}">
      <x14:table altTextSummary="このテーブルに収入項目と毎月の金額を入力します。年額と毎月の合計は自動的に計算され、スパークラインが更新されます"/>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個人" displayName="個人" ref="C81:Q87" totalsRowCount="1" headerRowDxfId="115" dataDxfId="114" totalsRowDxfId="113">
  <autoFilter ref="C81:Q86"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900-000001000000}" name="私用" totalsRowLabel="集計" dataDxfId="112" totalsRowDxfId="111"/>
    <tableColumn id="2" xr3:uid="{00000000-0010-0000-0900-000002000000}" name="1 月" totalsRowFunction="sum" dataDxfId="110" totalsRowDxfId="109"/>
    <tableColumn id="3" xr3:uid="{00000000-0010-0000-0900-000003000000}" name="2 月" totalsRowFunction="sum" dataDxfId="108" totalsRowDxfId="107"/>
    <tableColumn id="4" xr3:uid="{00000000-0010-0000-0900-000004000000}" name="3 月" totalsRowFunction="sum" dataDxfId="106" totalsRowDxfId="105"/>
    <tableColumn id="5" xr3:uid="{00000000-0010-0000-0900-000005000000}" name="4 月" totalsRowFunction="sum" dataDxfId="104" totalsRowDxfId="103"/>
    <tableColumn id="6" xr3:uid="{00000000-0010-0000-0900-000006000000}" name="5 月" totalsRowFunction="sum" dataDxfId="102" totalsRowDxfId="101"/>
    <tableColumn id="7" xr3:uid="{00000000-0010-0000-0900-000007000000}" name="6 月" totalsRowFunction="sum" dataDxfId="100" totalsRowDxfId="99"/>
    <tableColumn id="8" xr3:uid="{00000000-0010-0000-0900-000008000000}" name="7 月" totalsRowFunction="sum" dataDxfId="98" totalsRowDxfId="97"/>
    <tableColumn id="9" xr3:uid="{00000000-0010-0000-0900-000009000000}" name="8 月" totalsRowFunction="sum" dataDxfId="96" totalsRowDxfId="95"/>
    <tableColumn id="10" xr3:uid="{00000000-0010-0000-0900-00000A000000}" name="9 月" totalsRowFunction="sum" dataDxfId="94" totalsRowDxfId="93"/>
    <tableColumn id="11" xr3:uid="{00000000-0010-0000-0900-00000B000000}" name="10 月" totalsRowFunction="sum" dataDxfId="92" totalsRowDxfId="91"/>
    <tableColumn id="12" xr3:uid="{00000000-0010-0000-0900-00000C000000}" name="11 月" totalsRowFunction="sum" dataDxfId="90" totalsRowDxfId="89"/>
    <tableColumn id="13" xr3:uid="{00000000-0010-0000-0900-00000D000000}" name="12 月" totalsRowFunction="sum" dataDxfId="88" totalsRowDxfId="87"/>
    <tableColumn id="14" xr3:uid="{00000000-0010-0000-0900-00000E000000}" name="年度" totalsRowFunction="sum" dataDxfId="86" totalsRowDxfId="85">
      <calculatedColumnFormula>SUM(個人[[#This Row],[1 月]:[12 月]])</calculatedColumnFormula>
    </tableColumn>
    <tableColumn id="15" xr3:uid="{00000000-0010-0000-0900-00000F000000}" name="スパークライン" dataDxfId="84" totalsRowDxfId="83"/>
  </tableColumns>
  <tableStyleInfo showFirstColumn="1" showLastColumn="0" showRowStripes="0" showColumnStripes="1"/>
  <extLst>
    <ext xmlns:x14="http://schemas.microsoft.com/office/spreadsheetml/2009/9/main" uri="{504A1905-F514-4f6f-8877-14C23A59335A}">
      <x14:table altTextSummary="このテーブルに個人経費項目と毎月の金額を入力します。年額と毎月の合計は自動的に計算され、スパークラインが更新されます"/>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金融​​" displayName="金融​​" ref="C89:Q95" totalsRowCount="1" headerRowDxfId="82" dataDxfId="81" totalsRowDxfId="80">
  <autoFilter ref="C89:Q94"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A00-000001000000}" name="金融債務" totalsRowLabel="集計" dataDxfId="79" totalsRowDxfId="78"/>
    <tableColumn id="2" xr3:uid="{00000000-0010-0000-0A00-000002000000}" name="1 月" totalsRowFunction="sum" dataDxfId="77" totalsRowDxfId="76"/>
    <tableColumn id="3" xr3:uid="{00000000-0010-0000-0A00-000003000000}" name="2 月" totalsRowFunction="sum" dataDxfId="75" totalsRowDxfId="74"/>
    <tableColumn id="4" xr3:uid="{00000000-0010-0000-0A00-000004000000}" name="3 月" totalsRowFunction="sum" dataDxfId="73" totalsRowDxfId="72"/>
    <tableColumn id="5" xr3:uid="{00000000-0010-0000-0A00-000005000000}" name="4 月" totalsRowFunction="sum" dataDxfId="71" totalsRowDxfId="70"/>
    <tableColumn id="6" xr3:uid="{00000000-0010-0000-0A00-000006000000}" name="5 月" totalsRowFunction="sum" dataDxfId="69" totalsRowDxfId="68"/>
    <tableColumn id="7" xr3:uid="{00000000-0010-0000-0A00-000007000000}" name="6 月" totalsRowFunction="sum" dataDxfId="67" totalsRowDxfId="66"/>
    <tableColumn id="8" xr3:uid="{00000000-0010-0000-0A00-000008000000}" name="7 月" totalsRowFunction="sum" dataDxfId="65" totalsRowDxfId="64"/>
    <tableColumn id="9" xr3:uid="{00000000-0010-0000-0A00-000009000000}" name="8 月" totalsRowFunction="sum" dataDxfId="63" totalsRowDxfId="62"/>
    <tableColumn id="10" xr3:uid="{00000000-0010-0000-0A00-00000A000000}" name="9 月" totalsRowFunction="sum" dataDxfId="61" totalsRowDxfId="60"/>
    <tableColumn id="11" xr3:uid="{00000000-0010-0000-0A00-00000B000000}" name="10 月" totalsRowFunction="sum" dataDxfId="59" totalsRowDxfId="58"/>
    <tableColumn id="12" xr3:uid="{00000000-0010-0000-0A00-00000C000000}" name="11 月" totalsRowFunction="sum" dataDxfId="57" totalsRowDxfId="56"/>
    <tableColumn id="13" xr3:uid="{00000000-0010-0000-0A00-00000D000000}" name="12 月" totalsRowFunction="sum" dataDxfId="55" totalsRowDxfId="54"/>
    <tableColumn id="14" xr3:uid="{00000000-0010-0000-0A00-00000E000000}" name="年度" totalsRowFunction="sum" dataDxfId="53" totalsRowDxfId="52">
      <calculatedColumnFormula>SUM(金融​​[[#This Row],[1 月]:[12 月]])</calculatedColumnFormula>
    </tableColumn>
    <tableColumn id="15" xr3:uid="{00000000-0010-0000-0A00-00000F000000}" name="スパークライン" dataDxfId="51" totalsRowDxfId="50"/>
  </tableColumns>
  <tableStyleInfo showFirstColumn="1" showLastColumn="0" showRowStripes="0" showColumnStripes="1"/>
  <extLst>
    <ext xmlns:x14="http://schemas.microsoft.com/office/spreadsheetml/2009/9/main" uri="{504A1905-F514-4f6f-8877-14C23A59335A}">
      <x14:table altTextSummary="このテーブルに金融債務項目と毎月の金額を入力します。年額と毎月の合計は自動的に計算され、スパークラインが更新されます"/>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雑費" displayName="雑費" ref="C97:Q103" totalsRowCount="1" headerRowDxfId="49" dataDxfId="48" totalsRowDxfId="47">
  <autoFilter ref="C97:Q102"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B00-000001000000}" name="雑支払" totalsRowLabel="集計" dataDxfId="46" totalsRowDxfId="45"/>
    <tableColumn id="2" xr3:uid="{00000000-0010-0000-0B00-000002000000}" name="1 月" totalsRowFunction="sum" dataDxfId="44" totalsRowDxfId="43"/>
    <tableColumn id="3" xr3:uid="{00000000-0010-0000-0B00-000003000000}" name="2 月" totalsRowFunction="sum" dataDxfId="42" totalsRowDxfId="41"/>
    <tableColumn id="4" xr3:uid="{00000000-0010-0000-0B00-000004000000}" name="3 月" totalsRowFunction="sum" dataDxfId="40" totalsRowDxfId="39"/>
    <tableColumn id="5" xr3:uid="{00000000-0010-0000-0B00-000005000000}" name="4 月" totalsRowFunction="sum" dataDxfId="38" totalsRowDxfId="37"/>
    <tableColumn id="6" xr3:uid="{00000000-0010-0000-0B00-000006000000}" name="5 月" totalsRowFunction="sum" dataDxfId="36" totalsRowDxfId="35"/>
    <tableColumn id="7" xr3:uid="{00000000-0010-0000-0B00-000007000000}" name="6 月" totalsRowFunction="sum" dataDxfId="34" totalsRowDxfId="33"/>
    <tableColumn id="8" xr3:uid="{00000000-0010-0000-0B00-000008000000}" name="7 月" totalsRowFunction="sum" dataDxfId="32" totalsRowDxfId="31"/>
    <tableColumn id="9" xr3:uid="{00000000-0010-0000-0B00-000009000000}" name="8 月" totalsRowFunction="sum" dataDxfId="30" totalsRowDxfId="29"/>
    <tableColumn id="10" xr3:uid="{00000000-0010-0000-0B00-00000A000000}" name="9 月" totalsRowFunction="sum" dataDxfId="28" totalsRowDxfId="27"/>
    <tableColumn id="11" xr3:uid="{00000000-0010-0000-0B00-00000B000000}" name="10 月" totalsRowFunction="sum" dataDxfId="26" totalsRowDxfId="25"/>
    <tableColumn id="12" xr3:uid="{00000000-0010-0000-0B00-00000C000000}" name="11 月" totalsRowFunction="sum" dataDxfId="24" totalsRowDxfId="23"/>
    <tableColumn id="13" xr3:uid="{00000000-0010-0000-0B00-00000D000000}" name="12 月" totalsRowFunction="sum" dataDxfId="22" totalsRowDxfId="21"/>
    <tableColumn id="14" xr3:uid="{00000000-0010-0000-0B00-00000E000000}" name="年" totalsRowFunction="sum" dataDxfId="20" totalsRowDxfId="19">
      <calculatedColumnFormula>SUM(雑費[[#This Row],[1 月]:[12 月]])</calculatedColumnFormula>
    </tableColumn>
    <tableColumn id="15" xr3:uid="{00000000-0010-0000-0B00-00000F000000}" name="スパークライン" dataDxfId="18" totalsRowDxfId="17"/>
  </tableColumns>
  <tableStyleInfo showFirstColumn="1" showLastColumn="0" showRowStripes="0" showColumnStripes="1"/>
  <extLst>
    <ext xmlns:x14="http://schemas.microsoft.com/office/spreadsheetml/2009/9/main" uri="{504A1905-F514-4f6f-8877-14C23A59335A}">
      <x14:table altTextSummary="このテーブルに雑費項目と支払を入力します。年額と毎月の合計は自動的に計算され、スパークラインが更新されます"/>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合計" displayName="合計" ref="C105:Q107" totalsRowShown="0" headerRowDxfId="16" dataDxfId="15">
  <tableColumns count="15">
    <tableColumn id="1" xr3:uid="{00000000-0010-0000-0C00-000001000000}" name="合計" dataDxfId="14"/>
    <tableColumn id="2" xr3:uid="{00000000-0010-0000-0C00-000002000000}" name="1 月" dataDxfId="13">
      <calculatedColumnFormula>収入[[#Totals],[1 月]]-D105</calculatedColumnFormula>
    </tableColumn>
    <tableColumn id="3" xr3:uid="{00000000-0010-0000-0C00-000003000000}" name="2 月" dataDxfId="12">
      <calculatedColumnFormula>収入[[#Totals],[2 月]]-E105</calculatedColumnFormula>
    </tableColumn>
    <tableColumn id="4" xr3:uid="{00000000-0010-0000-0C00-000004000000}" name="3 月" dataDxfId="11">
      <calculatedColumnFormula>収入[[#Totals],[3 月]]-F105</calculatedColumnFormula>
    </tableColumn>
    <tableColumn id="5" xr3:uid="{00000000-0010-0000-0C00-000005000000}" name="4 月" dataDxfId="10">
      <calculatedColumnFormula>収入[[#Totals],[4 月]]-G105</calculatedColumnFormula>
    </tableColumn>
    <tableColumn id="6" xr3:uid="{00000000-0010-0000-0C00-000006000000}" name="5 月" dataDxfId="9">
      <calculatedColumnFormula>収入[[#Totals],[5 月]]-H105</calculatedColumnFormula>
    </tableColumn>
    <tableColumn id="7" xr3:uid="{00000000-0010-0000-0C00-000007000000}" name="6 月" dataDxfId="8">
      <calculatedColumnFormula>収入[[#Totals],[6 月]]-I105</calculatedColumnFormula>
    </tableColumn>
    <tableColumn id="8" xr3:uid="{00000000-0010-0000-0C00-000008000000}" name="7 月" dataDxfId="7">
      <calculatedColumnFormula>収入[[#Totals],[7 月]]-J105</calculatedColumnFormula>
    </tableColumn>
    <tableColumn id="9" xr3:uid="{00000000-0010-0000-0C00-000009000000}" name="8 月" dataDxfId="6">
      <calculatedColumnFormula>収入[[#Totals],[8 月]]-K105</calculatedColumnFormula>
    </tableColumn>
    <tableColumn id="10" xr3:uid="{00000000-0010-0000-0C00-00000A000000}" name="9 月" dataDxfId="5">
      <calculatedColumnFormula>収入[[#Totals],[9 月]]-L105</calculatedColumnFormula>
    </tableColumn>
    <tableColumn id="11" xr3:uid="{00000000-0010-0000-0C00-00000B000000}" name="10 月" dataDxfId="4">
      <calculatedColumnFormula>収入[[#Totals],[10 月]]-M105</calculatedColumnFormula>
    </tableColumn>
    <tableColumn id="12" xr3:uid="{00000000-0010-0000-0C00-00000C000000}" name="11 月" dataDxfId="3">
      <calculatedColumnFormula>収入[[#Totals],[11 月]]-N105</calculatedColumnFormula>
    </tableColumn>
    <tableColumn id="13" xr3:uid="{00000000-0010-0000-0C00-00000D000000}" name="12 月" dataDxfId="2">
      <calculatedColumnFormula>収入[[#Totals],[12 月]]-O105</calculatedColumnFormula>
    </tableColumn>
    <tableColumn id="14" xr3:uid="{00000000-0010-0000-0C00-00000E000000}" name="年" dataDxfId="1">
      <calculatedColumnFormula>収入[[#Totals],[年]]-P105</calculatedColumnFormula>
    </tableColumn>
    <tableColumn id="15" xr3:uid="{00000000-0010-0000-0C00-00000F000000}" name="スパークライン" dataDxfId="0"/>
  </tableColumns>
  <tableStyleInfo showFirstColumn="1" showLastColumn="0" showRowStripes="0" showColumnStripes="1"/>
  <extLst>
    <ext xmlns:x14="http://schemas.microsoft.com/office/spreadsheetml/2009/9/main" uri="{504A1905-F514-4f6f-8877-14C23A59335A}">
      <x14:table altTextSummary="毎月と年間に対して、合計支出と現金の不足または余剰が計算されます。このテーブルでスパークラインが更新されます。"/>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自宅" displayName="自宅" ref="C12:Q18" totalsRowCount="1" headerRowDxfId="379" dataDxfId="378" totalsRowDxfId="377">
  <autoFilter ref="C12:Q17"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100-000001000000}" name="自宅" totalsRowLabel="集計" dataDxfId="376" totalsRowDxfId="375"/>
    <tableColumn id="2" xr3:uid="{00000000-0010-0000-0100-000002000000}" name="1 月" totalsRowFunction="sum" dataDxfId="374" totalsRowDxfId="373"/>
    <tableColumn id="3" xr3:uid="{00000000-0010-0000-0100-000003000000}" name="2 月" totalsRowFunction="sum" dataDxfId="372" totalsRowDxfId="371"/>
    <tableColumn id="4" xr3:uid="{00000000-0010-0000-0100-000004000000}" name="3 月" totalsRowFunction="sum" dataDxfId="370" totalsRowDxfId="369"/>
    <tableColumn id="5" xr3:uid="{00000000-0010-0000-0100-000005000000}" name="4 月" totalsRowFunction="sum" dataDxfId="368" totalsRowDxfId="367"/>
    <tableColumn id="6" xr3:uid="{00000000-0010-0000-0100-000006000000}" name="5 月" totalsRowFunction="sum" dataDxfId="366" totalsRowDxfId="365"/>
    <tableColumn id="7" xr3:uid="{00000000-0010-0000-0100-000007000000}" name="6 月" totalsRowFunction="sum" dataDxfId="364" totalsRowDxfId="363"/>
    <tableColumn id="8" xr3:uid="{00000000-0010-0000-0100-000008000000}" name="7 月" totalsRowFunction="sum" dataDxfId="362" totalsRowDxfId="361"/>
    <tableColumn id="9" xr3:uid="{00000000-0010-0000-0100-000009000000}" name="8 月" totalsRowFunction="sum" dataDxfId="360" totalsRowDxfId="359"/>
    <tableColumn id="10" xr3:uid="{00000000-0010-0000-0100-00000A000000}" name="9 月" totalsRowFunction="sum" dataDxfId="358" totalsRowDxfId="357"/>
    <tableColumn id="11" xr3:uid="{00000000-0010-0000-0100-00000B000000}" name="10 月" totalsRowFunction="sum" dataDxfId="356" totalsRowDxfId="355"/>
    <tableColumn id="12" xr3:uid="{00000000-0010-0000-0100-00000C000000}" name="11 月" totalsRowFunction="sum" dataDxfId="354" totalsRowDxfId="353"/>
    <tableColumn id="13" xr3:uid="{00000000-0010-0000-0100-00000D000000}" name="12 月" totalsRowFunction="sum" dataDxfId="352" totalsRowDxfId="351"/>
    <tableColumn id="14" xr3:uid="{00000000-0010-0000-0100-00000E000000}" name="年" totalsRowFunction="sum" dataDxfId="350" totalsRowDxfId="349">
      <calculatedColumnFormula>SUM(自宅[[#This Row],[1 月]:[12 月]])</calculatedColumnFormula>
    </tableColumn>
    <tableColumn id="15" xr3:uid="{00000000-0010-0000-0100-00000F000000}" name="スパークライン" dataDxfId="348" totalsRowDxfId="347"/>
  </tableColumns>
  <tableStyleInfo showFirstColumn="1" showLastColumn="0" showRowStripes="0" showColumnStripes="1"/>
  <extLst>
    <ext xmlns:x14="http://schemas.microsoft.com/office/spreadsheetml/2009/9/main" uri="{504A1905-F514-4f6f-8877-14C23A59335A}">
      <x14:table altTextSummary="このテーブルに自宅経費項目と毎月の金額を入力します。年額と毎月の合計は自動的に計算され、スパークラインが更新されます"/>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毎日" displayName="毎日" ref="C20:Q27" totalsRowCount="1" headerRowDxfId="346" dataDxfId="345" totalsRowDxfId="344">
  <autoFilter ref="C20:Q2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200-000001000000}" name="生活費" totalsRowLabel="集計" dataDxfId="343" totalsRowDxfId="342"/>
    <tableColumn id="2" xr3:uid="{00000000-0010-0000-0200-000002000000}" name="1 月" totalsRowFunction="sum" dataDxfId="341" totalsRowDxfId="340"/>
    <tableColumn id="3" xr3:uid="{00000000-0010-0000-0200-000003000000}" name="2 月" totalsRowFunction="sum" dataDxfId="339" totalsRowDxfId="338"/>
    <tableColumn id="4" xr3:uid="{00000000-0010-0000-0200-000004000000}" name="3 月" totalsRowFunction="sum" dataDxfId="337" totalsRowDxfId="336"/>
    <tableColumn id="5" xr3:uid="{00000000-0010-0000-0200-000005000000}" name="4 月" totalsRowFunction="sum" dataDxfId="335" totalsRowDxfId="334"/>
    <tableColumn id="6" xr3:uid="{00000000-0010-0000-0200-000006000000}" name="5 月" totalsRowFunction="sum" dataDxfId="333" totalsRowDxfId="332"/>
    <tableColumn id="7" xr3:uid="{00000000-0010-0000-0200-000007000000}" name="6 月" totalsRowFunction="sum" dataDxfId="331" totalsRowDxfId="330"/>
    <tableColumn id="8" xr3:uid="{00000000-0010-0000-0200-000008000000}" name="7 月" totalsRowFunction="sum" dataDxfId="329" totalsRowDxfId="328"/>
    <tableColumn id="9" xr3:uid="{00000000-0010-0000-0200-000009000000}" name="8 月" totalsRowFunction="sum" dataDxfId="327" totalsRowDxfId="326"/>
    <tableColumn id="10" xr3:uid="{00000000-0010-0000-0200-00000A000000}" name="9 月" totalsRowFunction="sum" dataDxfId="325" totalsRowDxfId="324"/>
    <tableColumn id="11" xr3:uid="{00000000-0010-0000-0200-00000B000000}" name="10 月" totalsRowFunction="sum" dataDxfId="323" totalsRowDxfId="322"/>
    <tableColumn id="12" xr3:uid="{00000000-0010-0000-0200-00000C000000}" name="11 月" totalsRowFunction="sum" dataDxfId="321" totalsRowDxfId="320"/>
    <tableColumn id="13" xr3:uid="{00000000-0010-0000-0200-00000D000000}" name="12 月" totalsRowFunction="sum" dataDxfId="319" totalsRowDxfId="318"/>
    <tableColumn id="14" xr3:uid="{00000000-0010-0000-0200-00000E000000}" name="年度" totalsRowFunction="sum" dataDxfId="317" totalsRowDxfId="316">
      <calculatedColumnFormula>SUM(毎日[[#This Row],[1 月]:[12 月]])</calculatedColumnFormula>
    </tableColumn>
    <tableColumn id="15" xr3:uid="{00000000-0010-0000-0200-00000F000000}" name="スパークライン" dataDxfId="315" totalsRowDxfId="314"/>
  </tableColumns>
  <tableStyleInfo showFirstColumn="1" showLastColumn="0" showRowStripes="0" showColumnStripes="1"/>
  <extLst>
    <ext xmlns:x14="http://schemas.microsoft.com/office/spreadsheetml/2009/9/main" uri="{504A1905-F514-4f6f-8877-14C23A59335A}">
      <x14:table altTextSummary="このテーブルに毎日の経費項目と毎月の金額を入力します。年額と毎月の合計は自動的に計算され、スパークラインが更新されます"/>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交通" displayName="交通" ref="C29:Q36" totalsRowCount="1" headerRowDxfId="313" dataDxfId="312" totalsRowDxfId="311">
  <autoFilter ref="C29:Q35"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300-000001000000}" name="交通費" totalsRowLabel="集計" dataDxfId="310" totalsRowDxfId="309"/>
    <tableColumn id="2" xr3:uid="{00000000-0010-0000-0300-000002000000}" name="1 月" totalsRowFunction="sum" dataDxfId="308" totalsRowDxfId="307"/>
    <tableColumn id="3" xr3:uid="{00000000-0010-0000-0300-000003000000}" name="2 月" totalsRowFunction="sum" dataDxfId="306" totalsRowDxfId="305"/>
    <tableColumn id="4" xr3:uid="{00000000-0010-0000-0300-000004000000}" name="3 月" totalsRowFunction="sum" dataDxfId="304" totalsRowDxfId="303"/>
    <tableColumn id="5" xr3:uid="{00000000-0010-0000-0300-000005000000}" name="4 月" totalsRowFunction="sum" dataDxfId="302" totalsRowDxfId="301"/>
    <tableColumn id="6" xr3:uid="{00000000-0010-0000-0300-000006000000}" name="5 月" totalsRowFunction="sum" dataDxfId="300" totalsRowDxfId="299"/>
    <tableColumn id="7" xr3:uid="{00000000-0010-0000-0300-000007000000}" name="6 月" totalsRowFunction="sum" dataDxfId="298" totalsRowDxfId="297"/>
    <tableColumn id="8" xr3:uid="{00000000-0010-0000-0300-000008000000}" name="7 月" totalsRowFunction="sum" dataDxfId="296" totalsRowDxfId="295"/>
    <tableColumn id="9" xr3:uid="{00000000-0010-0000-0300-000009000000}" name="8 月" totalsRowFunction="sum" dataDxfId="294" totalsRowDxfId="293"/>
    <tableColumn id="10" xr3:uid="{00000000-0010-0000-0300-00000A000000}" name="9 月" totalsRowFunction="sum" dataDxfId="292" totalsRowDxfId="291"/>
    <tableColumn id="11" xr3:uid="{00000000-0010-0000-0300-00000B000000}" name="10 月" totalsRowFunction="sum" dataDxfId="290" totalsRowDxfId="289"/>
    <tableColumn id="12" xr3:uid="{00000000-0010-0000-0300-00000C000000}" name="11 月" totalsRowFunction="sum" dataDxfId="288" totalsRowDxfId="287"/>
    <tableColumn id="13" xr3:uid="{00000000-0010-0000-0300-00000D000000}" name="12 月" totalsRowFunction="sum" dataDxfId="286" totalsRowDxfId="285"/>
    <tableColumn id="14" xr3:uid="{00000000-0010-0000-0300-00000E000000}" name="年度" totalsRowFunction="sum" dataDxfId="284" totalsRowDxfId="283">
      <calculatedColumnFormula>SUM(交通[[#This Row],[1 月]:[12 月]])</calculatedColumnFormula>
    </tableColumn>
    <tableColumn id="15" xr3:uid="{00000000-0010-0000-0300-00000F000000}" name="スパークライン" dataDxfId="282" totalsRowDxfId="281"/>
  </tableColumns>
  <tableStyleInfo showFirstColumn="1" showLastColumn="0" showRowStripes="0" showColumnStripes="1"/>
  <extLst>
    <ext xmlns:x14="http://schemas.microsoft.com/office/spreadsheetml/2009/9/main" uri="{504A1905-F514-4f6f-8877-14C23A59335A}">
      <x14:table altTextSummary="このテーブルに交通費項目と毎月の金額を入力します。年額と毎月の合計は自動的に計算され、スパークラインが更新されます"/>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娯楽" displayName="娯楽" ref="C38:Q43" totalsRowCount="1" headerRowDxfId="280" dataDxfId="279" totalsRowDxfId="278">
  <autoFilter ref="C38:Q42"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400-000001000000}" name="娯楽" totalsRowLabel="集計" dataDxfId="277" totalsRowDxfId="276"/>
    <tableColumn id="2" xr3:uid="{00000000-0010-0000-0400-000002000000}" name="1 月" totalsRowFunction="sum" dataDxfId="275" totalsRowDxfId="274"/>
    <tableColumn id="3" xr3:uid="{00000000-0010-0000-0400-000003000000}" name="2 月" totalsRowFunction="sum" dataDxfId="273" totalsRowDxfId="272"/>
    <tableColumn id="4" xr3:uid="{00000000-0010-0000-0400-000004000000}" name="3 月" totalsRowFunction="sum" dataDxfId="271" totalsRowDxfId="270"/>
    <tableColumn id="5" xr3:uid="{00000000-0010-0000-0400-000005000000}" name="4 月" totalsRowFunction="sum" dataDxfId="269" totalsRowDxfId="268"/>
    <tableColumn id="6" xr3:uid="{00000000-0010-0000-0400-000006000000}" name="5 月" totalsRowFunction="sum" dataDxfId="267" totalsRowDxfId="266"/>
    <tableColumn id="7" xr3:uid="{00000000-0010-0000-0400-000007000000}" name="6 月" totalsRowFunction="sum" dataDxfId="265" totalsRowDxfId="264"/>
    <tableColumn id="8" xr3:uid="{00000000-0010-0000-0400-000008000000}" name="7 月" totalsRowFunction="sum" dataDxfId="263" totalsRowDxfId="262"/>
    <tableColumn id="9" xr3:uid="{00000000-0010-0000-0400-000009000000}" name="8 月" totalsRowFunction="sum" dataDxfId="261" totalsRowDxfId="260"/>
    <tableColumn id="10" xr3:uid="{00000000-0010-0000-0400-00000A000000}" name="9 月" totalsRowFunction="sum" dataDxfId="259" totalsRowDxfId="258"/>
    <tableColumn id="11" xr3:uid="{00000000-0010-0000-0400-00000B000000}" name="10 月" totalsRowFunction="sum" dataDxfId="257" totalsRowDxfId="256"/>
    <tableColumn id="12" xr3:uid="{00000000-0010-0000-0400-00000C000000}" name="11 月" totalsRowFunction="sum" dataDxfId="255" totalsRowDxfId="254"/>
    <tableColumn id="13" xr3:uid="{00000000-0010-0000-0400-00000D000000}" name="12 月" totalsRowFunction="sum" dataDxfId="253" totalsRowDxfId="252"/>
    <tableColumn id="14" xr3:uid="{00000000-0010-0000-0400-00000E000000}" name="年度" totalsRowFunction="sum" dataDxfId="251" totalsRowDxfId="250">
      <calculatedColumnFormula>SUM(娯楽[[#This Row],[1 月]:[12 月]])</calculatedColumnFormula>
    </tableColumn>
    <tableColumn id="15" xr3:uid="{00000000-0010-0000-0400-00000F000000}" name="スパークライン" dataDxfId="249" totalsRowDxfId="248"/>
  </tableColumns>
  <tableStyleInfo showFirstColumn="1" showLastColumn="0" showRowStripes="0" showColumnStripes="1"/>
  <extLst>
    <ext xmlns:x14="http://schemas.microsoft.com/office/spreadsheetml/2009/9/main" uri="{504A1905-F514-4f6f-8877-14C23A59335A}">
      <x14:table altTextSummary="このテーブルに娯楽項目と毎月の金額を入力します。年額と毎月の合計は自動的に計算され、スパークラインが更新されます"/>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医療保険" displayName="医療保険" ref="C45:Q53" totalsRowCount="1" headerRowDxfId="247" dataDxfId="246" totalsRowDxfId="245">
  <autoFilter ref="C45:Q52"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500-000001000000}" name="医療保険" totalsRowLabel="集計" dataDxfId="244" totalsRowDxfId="243"/>
    <tableColumn id="2" xr3:uid="{00000000-0010-0000-0500-000002000000}" name="1 月" totalsRowFunction="sum" dataDxfId="242" totalsRowDxfId="241"/>
    <tableColumn id="3" xr3:uid="{00000000-0010-0000-0500-000003000000}" name="2 月" totalsRowFunction="sum" dataDxfId="240" totalsRowDxfId="239"/>
    <tableColumn id="4" xr3:uid="{00000000-0010-0000-0500-000004000000}" name="3 月" totalsRowFunction="sum" dataDxfId="238" totalsRowDxfId="237"/>
    <tableColumn id="5" xr3:uid="{00000000-0010-0000-0500-000005000000}" name="4 月" totalsRowFunction="sum" dataDxfId="236" totalsRowDxfId="235"/>
    <tableColumn id="6" xr3:uid="{00000000-0010-0000-0500-000006000000}" name="5 月" totalsRowFunction="sum" dataDxfId="234" totalsRowDxfId="233"/>
    <tableColumn id="7" xr3:uid="{00000000-0010-0000-0500-000007000000}" name="6 月" totalsRowFunction="sum" dataDxfId="232" totalsRowDxfId="231"/>
    <tableColumn id="8" xr3:uid="{00000000-0010-0000-0500-000008000000}" name="7 月" totalsRowFunction="sum" dataDxfId="230" totalsRowDxfId="229"/>
    <tableColumn id="9" xr3:uid="{00000000-0010-0000-0500-000009000000}" name="8 月" totalsRowFunction="sum" dataDxfId="228" totalsRowDxfId="227"/>
    <tableColumn id="10" xr3:uid="{00000000-0010-0000-0500-00000A000000}" name="9 月" totalsRowFunction="sum" dataDxfId="226" totalsRowDxfId="225"/>
    <tableColumn id="11" xr3:uid="{00000000-0010-0000-0500-00000B000000}" name="10 月" totalsRowFunction="sum" dataDxfId="224" totalsRowDxfId="223"/>
    <tableColumn id="12" xr3:uid="{00000000-0010-0000-0500-00000C000000}" name="11 月" totalsRowFunction="sum" dataDxfId="222" totalsRowDxfId="221"/>
    <tableColumn id="13" xr3:uid="{00000000-0010-0000-0500-00000D000000}" name="12 月" totalsRowFunction="sum" dataDxfId="220" totalsRowDxfId="219"/>
    <tableColumn id="14" xr3:uid="{00000000-0010-0000-0500-00000E000000}" name="年度" totalsRowFunction="sum" dataDxfId="218" totalsRowDxfId="217">
      <calculatedColumnFormula>SUM(医療保険[[#This Row],[1 月]:[12 月]])</calculatedColumnFormula>
    </tableColumn>
    <tableColumn id="15" xr3:uid="{00000000-0010-0000-0500-00000F000000}" name="スパークライン" dataDxfId="216" totalsRowDxfId="215"/>
  </tableColumns>
  <tableStyleInfo showFirstColumn="1" showLastColumn="0" showRowStripes="0" showColumnStripes="1"/>
  <extLst>
    <ext xmlns:x14="http://schemas.microsoft.com/office/spreadsheetml/2009/9/main" uri="{504A1905-F514-4f6f-8877-14C23A59335A}">
      <x14:table altTextSummary="このテーブルに医療保険項目と毎月の金額を入力します。年額と毎月の合計は自動的に計算され、スパークラインが更新されます"/>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休暇" displayName="休暇" ref="C55:Q62" totalsRowCount="1" headerRowDxfId="214" dataDxfId="213" totalsRowDxfId="212">
  <autoFilter ref="C55:Q61"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600-000001000000}" name="休暇" totalsRowLabel="集計" dataDxfId="211" totalsRowDxfId="210"/>
    <tableColumn id="2" xr3:uid="{00000000-0010-0000-0600-000002000000}" name="1 月" totalsRowFunction="sum" dataDxfId="209" totalsRowDxfId="208"/>
    <tableColumn id="3" xr3:uid="{00000000-0010-0000-0600-000003000000}" name="2 月" totalsRowFunction="sum" dataDxfId="207" totalsRowDxfId="206"/>
    <tableColumn id="4" xr3:uid="{00000000-0010-0000-0600-000004000000}" name="3 月" totalsRowFunction="sum" dataDxfId="205" totalsRowDxfId="204"/>
    <tableColumn id="5" xr3:uid="{00000000-0010-0000-0600-000005000000}" name="4 月" totalsRowFunction="sum" dataDxfId="203" totalsRowDxfId="202"/>
    <tableColumn id="6" xr3:uid="{00000000-0010-0000-0600-000006000000}" name="5 月" totalsRowFunction="sum" dataDxfId="201" totalsRowDxfId="200"/>
    <tableColumn id="7" xr3:uid="{00000000-0010-0000-0600-000007000000}" name="6 月" totalsRowFunction="sum" dataDxfId="199" totalsRowDxfId="198"/>
    <tableColumn id="8" xr3:uid="{00000000-0010-0000-0600-000008000000}" name="7 月" totalsRowFunction="sum" dataDxfId="197" totalsRowDxfId="196"/>
    <tableColumn id="9" xr3:uid="{00000000-0010-0000-0600-000009000000}" name="8 月" totalsRowFunction="sum" dataDxfId="195" totalsRowDxfId="194"/>
    <tableColumn id="10" xr3:uid="{00000000-0010-0000-0600-00000A000000}" name="9 月" totalsRowFunction="sum" dataDxfId="193" totalsRowDxfId="192"/>
    <tableColumn id="11" xr3:uid="{00000000-0010-0000-0600-00000B000000}" name="10 月" totalsRowFunction="sum" dataDxfId="191" totalsRowDxfId="190"/>
    <tableColumn id="12" xr3:uid="{00000000-0010-0000-0600-00000C000000}" name="11 月" totalsRowFunction="sum" dataDxfId="189" totalsRowDxfId="188"/>
    <tableColumn id="13" xr3:uid="{00000000-0010-0000-0600-00000D000000}" name="12 月" totalsRowFunction="sum" dataDxfId="187" totalsRowDxfId="186"/>
    <tableColumn id="14" xr3:uid="{00000000-0010-0000-0600-00000E000000}" name="年度" totalsRowFunction="sum" dataDxfId="185" totalsRowDxfId="184">
      <calculatedColumnFormula>SUM(休暇[[#This Row],[1 月]:[12 月]])</calculatedColumnFormula>
    </tableColumn>
    <tableColumn id="15" xr3:uid="{00000000-0010-0000-0600-00000F000000}" name="スパークライン" dataDxfId="183" totalsRowDxfId="182"/>
  </tableColumns>
  <tableStyleInfo showFirstColumn="1" showLastColumn="0" showRowStripes="0" showColumnStripes="1"/>
  <extLst>
    <ext xmlns:x14="http://schemas.microsoft.com/office/spreadsheetml/2009/9/main" uri="{504A1905-F514-4f6f-8877-14C23A59335A}">
      <x14:table altTextSummary="このテーブルに休暇項目と毎月の金額を入力します。年額と毎月の合計は自動的に計算され、スパークラインが更新されます"/>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レクリエーション" displayName="レクリエーション" ref="C64:Q69" totalsRowCount="1" headerRowDxfId="181" dataDxfId="180" totalsRowDxfId="179">
  <autoFilter ref="C64:Q68"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700-000001000000}" name="レクリエーション" totalsRowLabel="集計" dataDxfId="178" totalsRowDxfId="177"/>
    <tableColumn id="2" xr3:uid="{00000000-0010-0000-0700-000002000000}" name="1 月" totalsRowFunction="sum" dataDxfId="176" totalsRowDxfId="175"/>
    <tableColumn id="3" xr3:uid="{00000000-0010-0000-0700-000003000000}" name="2 月" totalsRowFunction="sum" dataDxfId="174" totalsRowDxfId="173"/>
    <tableColumn id="4" xr3:uid="{00000000-0010-0000-0700-000004000000}" name="3 月" totalsRowFunction="sum" dataDxfId="172" totalsRowDxfId="171"/>
    <tableColumn id="5" xr3:uid="{00000000-0010-0000-0700-000005000000}" name="4 月" totalsRowFunction="sum" dataDxfId="170" totalsRowDxfId="169"/>
    <tableColumn id="6" xr3:uid="{00000000-0010-0000-0700-000006000000}" name="5 月" totalsRowFunction="sum" dataDxfId="168" totalsRowDxfId="167"/>
    <tableColumn id="7" xr3:uid="{00000000-0010-0000-0700-000007000000}" name="6 月" totalsRowFunction="sum" dataDxfId="166" totalsRowDxfId="165"/>
    <tableColumn id="8" xr3:uid="{00000000-0010-0000-0700-000008000000}" name="7 月" totalsRowFunction="sum" dataDxfId="164" totalsRowDxfId="163"/>
    <tableColumn id="9" xr3:uid="{00000000-0010-0000-0700-000009000000}" name="8 月" totalsRowFunction="sum" dataDxfId="162" totalsRowDxfId="161"/>
    <tableColumn id="10" xr3:uid="{00000000-0010-0000-0700-00000A000000}" name="9 月" totalsRowFunction="sum" dataDxfId="160" totalsRowDxfId="159"/>
    <tableColumn id="11" xr3:uid="{00000000-0010-0000-0700-00000B000000}" name="10 月" totalsRowFunction="sum" dataDxfId="158" totalsRowDxfId="157"/>
    <tableColumn id="12" xr3:uid="{00000000-0010-0000-0700-00000C000000}" name="11 月" totalsRowFunction="sum" dataDxfId="156" totalsRowDxfId="155"/>
    <tableColumn id="13" xr3:uid="{00000000-0010-0000-0700-00000D000000}" name="12 月" totalsRowFunction="sum" dataDxfId="154" totalsRowDxfId="153"/>
    <tableColumn id="14" xr3:uid="{00000000-0010-0000-0700-00000E000000}" name="年度" totalsRowFunction="sum" dataDxfId="152" totalsRowDxfId="151">
      <calculatedColumnFormula>SUM(レクリエーション[[#This Row],[1 月]:[12 月]])</calculatedColumnFormula>
    </tableColumn>
    <tableColumn id="15" xr3:uid="{00000000-0010-0000-0700-00000F000000}" name="スパークライン" dataDxfId="150" totalsRowDxfId="149"/>
  </tableColumns>
  <tableStyleInfo showFirstColumn="1" showLastColumn="0" showRowStripes="0" showColumnStripes="1"/>
  <extLst>
    <ext xmlns:x14="http://schemas.microsoft.com/office/spreadsheetml/2009/9/main" uri="{504A1905-F514-4f6f-8877-14C23A59335A}">
      <x14:table altTextSummary="このテーブルにレクリエーション項目と毎月の金額を入力します。年額と毎月の合計は自動的に計算され、スパークラインが更新されます"/>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会費と購読料" displayName="会費と購読料" ref="C71:Q79" totalsRowCount="1" headerRowDxfId="148" dataDxfId="147" totalsRowDxfId="146">
  <autoFilter ref="C71:Q78"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800-000001000000}" name="会費/購読料" totalsRowLabel="集計" dataDxfId="145" totalsRowDxfId="144"/>
    <tableColumn id="2" xr3:uid="{00000000-0010-0000-0800-000002000000}" name="1 月" totalsRowFunction="sum" dataDxfId="143" totalsRowDxfId="142"/>
    <tableColumn id="3" xr3:uid="{00000000-0010-0000-0800-000003000000}" name="2 月" totalsRowFunction="sum" dataDxfId="141" totalsRowDxfId="140"/>
    <tableColumn id="4" xr3:uid="{00000000-0010-0000-0800-000004000000}" name="3 月" totalsRowFunction="sum" dataDxfId="139" totalsRowDxfId="138"/>
    <tableColumn id="5" xr3:uid="{00000000-0010-0000-0800-000005000000}" name="4 月" totalsRowFunction="sum" dataDxfId="137" totalsRowDxfId="136"/>
    <tableColumn id="6" xr3:uid="{00000000-0010-0000-0800-000006000000}" name="5 月" totalsRowFunction="sum" dataDxfId="135" totalsRowDxfId="134"/>
    <tableColumn id="7" xr3:uid="{00000000-0010-0000-0800-000007000000}" name="6 月" totalsRowFunction="sum" dataDxfId="133" totalsRowDxfId="132"/>
    <tableColumn id="8" xr3:uid="{00000000-0010-0000-0800-000008000000}" name="7 月" totalsRowFunction="sum" dataDxfId="131" totalsRowDxfId="130"/>
    <tableColumn id="9" xr3:uid="{00000000-0010-0000-0800-000009000000}" name="8 月" totalsRowFunction="sum" dataDxfId="129" totalsRowDxfId="128"/>
    <tableColumn id="10" xr3:uid="{00000000-0010-0000-0800-00000A000000}" name="9 月" totalsRowFunction="sum" dataDxfId="127" totalsRowDxfId="126"/>
    <tableColumn id="11" xr3:uid="{00000000-0010-0000-0800-00000B000000}" name="10 月" totalsRowFunction="sum" dataDxfId="125" totalsRowDxfId="124"/>
    <tableColumn id="12" xr3:uid="{00000000-0010-0000-0800-00000C000000}" name="11 月" totalsRowFunction="sum" dataDxfId="123" totalsRowDxfId="122"/>
    <tableColumn id="13" xr3:uid="{00000000-0010-0000-0800-00000D000000}" name="12 月" totalsRowFunction="sum" dataDxfId="121" totalsRowDxfId="120"/>
    <tableColumn id="14" xr3:uid="{00000000-0010-0000-0800-00000E000000}" name="年度" totalsRowFunction="sum" dataDxfId="119" totalsRowDxfId="118">
      <calculatedColumnFormula>SUM(会費と購読料[[#This Row],[1 月]:[12 月]])</calculatedColumnFormula>
    </tableColumn>
    <tableColumn id="15" xr3:uid="{00000000-0010-0000-0800-00000F000000}" name="スパークライン" dataDxfId="117" totalsRowDxfId="116"/>
  </tableColumns>
  <tableStyleInfo showFirstColumn="1" showLastColumn="0" showRowStripes="0" showColumnStripes="1"/>
  <extLst>
    <ext xmlns:x14="http://schemas.microsoft.com/office/spreadsheetml/2009/9/main" uri="{504A1905-F514-4f6f-8877-14C23A59335A}">
      <x14:table altTextSummary="このテーブルに会費と購読料項目と毎月の金額を入力します。年額と毎月の合計は自動的に計算され、スパークラインが更新されます"/>
    </ext>
  </extLst>
</table>
</file>

<file path=xl/theme/theme1.xml><?xml version="1.0" encoding="utf-8"?>
<a:theme xmlns:a="http://schemas.openxmlformats.org/drawingml/2006/main" name="Office Theme">
  <a:themeElements>
    <a:clrScheme name="Custom 23">
      <a:dk1>
        <a:sysClr val="windowText" lastClr="000000"/>
      </a:dk1>
      <a:lt1>
        <a:sysClr val="window" lastClr="FFFFFF"/>
      </a:lt1>
      <a:dk2>
        <a:srgbClr val="304157"/>
      </a:dk2>
      <a:lt2>
        <a:srgbClr val="E7E6E6"/>
      </a:lt2>
      <a:accent1>
        <a:srgbClr val="1B79AD"/>
      </a:accent1>
      <a:accent2>
        <a:srgbClr val="1D7B7D"/>
      </a:accent2>
      <a:accent3>
        <a:srgbClr val="EF4755"/>
      </a:accent3>
      <a:accent4>
        <a:srgbClr val="FFC000"/>
      </a:accent4>
      <a:accent5>
        <a:srgbClr val="176795"/>
      </a:accent5>
      <a:accent6>
        <a:srgbClr val="4D81BF"/>
      </a:accent6>
      <a:hlink>
        <a:srgbClr val="F78F2F"/>
      </a:hlink>
      <a:folHlink>
        <a:srgbClr val="F78F2F"/>
      </a:folHlink>
    </a:clrScheme>
    <a:fontScheme name="Custom 13">
      <a:majorFont>
        <a:latin typeface="Gill Sans MT"/>
        <a:ea typeface=""/>
        <a:cs typeface=""/>
      </a:majorFont>
      <a:minorFont>
        <a:latin typeface="verdana"/>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249977111117893"/>
  </sheetPr>
  <dimension ref="B1:B7"/>
  <sheetViews>
    <sheetView tabSelected="1" workbookViewId="0"/>
  </sheetViews>
  <sheetFormatPr defaultRowHeight="14.25" x14ac:dyDescent="0.25"/>
  <cols>
    <col min="1" max="1" width="2.625" style="2" customWidth="1"/>
    <col min="2" max="2" width="80.625" style="2" customWidth="1"/>
    <col min="3" max="3" width="2.625" style="2" customWidth="1"/>
    <col min="4" max="16384" width="9" style="2"/>
  </cols>
  <sheetData>
    <row r="1" spans="2:2" ht="30" customHeight="1" x14ac:dyDescent="0.25">
      <c r="B1" s="1" t="s">
        <v>0</v>
      </c>
    </row>
    <row r="2" spans="2:2" ht="30" customHeight="1" x14ac:dyDescent="0.25">
      <c r="B2" s="3" t="s">
        <v>1</v>
      </c>
    </row>
    <row r="3" spans="2:2" ht="30" customHeight="1" x14ac:dyDescent="0.25">
      <c r="B3" s="3" t="s">
        <v>112</v>
      </c>
    </row>
    <row r="4" spans="2:2" ht="30" customHeight="1" x14ac:dyDescent="0.25">
      <c r="B4" s="3" t="s">
        <v>2</v>
      </c>
    </row>
    <row r="5" spans="2:2" ht="30" customHeight="1" x14ac:dyDescent="0.25">
      <c r="B5" s="4" t="s">
        <v>3</v>
      </c>
    </row>
    <row r="6" spans="2:2" ht="61.5" customHeight="1" x14ac:dyDescent="0.25">
      <c r="B6" s="3" t="s">
        <v>4</v>
      </c>
    </row>
    <row r="7" spans="2:2" ht="42.75" customHeight="1" x14ac:dyDescent="0.25">
      <c r="B7" s="3" t="s">
        <v>5</v>
      </c>
    </row>
  </sheetData>
  <phoneticPr fontId="2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autoPageBreaks="0" fitToPage="1"/>
  </sheetPr>
  <dimension ref="A1:Q108"/>
  <sheetViews>
    <sheetView showGridLines="0" zoomScale="96" zoomScaleNormal="96" workbookViewId="0"/>
  </sheetViews>
  <sheetFormatPr defaultRowHeight="30" customHeight="1" x14ac:dyDescent="0.25"/>
  <cols>
    <col min="1" max="1" width="4.75" style="5" customWidth="1"/>
    <col min="2" max="2" width="1.875" style="2" customWidth="1"/>
    <col min="3" max="3" width="22" style="2" bestFit="1" customWidth="1"/>
    <col min="4" max="16" width="12.375" style="6" customWidth="1"/>
    <col min="17" max="17" width="12.375" style="2" customWidth="1"/>
    <col min="18" max="18" width="2.625" style="2" customWidth="1"/>
    <col min="19" max="16384" width="9" style="2"/>
  </cols>
  <sheetData>
    <row r="1" spans="1:17" ht="12.75" customHeight="1" x14ac:dyDescent="0.25">
      <c r="A1" s="5" t="s">
        <v>6</v>
      </c>
    </row>
    <row r="2" spans="1:17" ht="35.25" customHeight="1" thickBot="1" x14ac:dyDescent="0.55000000000000004">
      <c r="A2" s="7" t="s">
        <v>7</v>
      </c>
      <c r="B2" s="66" t="s">
        <v>114</v>
      </c>
      <c r="C2" s="66"/>
      <c r="D2" s="66"/>
      <c r="E2" s="67"/>
      <c r="F2" s="67"/>
      <c r="G2" s="67"/>
      <c r="H2" s="67"/>
      <c r="I2" s="67"/>
      <c r="J2" s="67"/>
      <c r="K2" s="67"/>
      <c r="L2" s="67"/>
      <c r="M2" s="67"/>
      <c r="N2" s="67"/>
      <c r="O2" s="67"/>
      <c r="P2" s="67"/>
      <c r="Q2" s="8">
        <f ca="1">YEAR(TODAY())</f>
        <v>2019</v>
      </c>
    </row>
    <row r="3" spans="1:17" ht="26.25" customHeight="1" x14ac:dyDescent="0.25">
      <c r="E3" s="9"/>
    </row>
    <row r="4" spans="1:17" ht="21" customHeight="1" x14ac:dyDescent="0.25">
      <c r="A4" s="5" t="s">
        <v>8</v>
      </c>
      <c r="B4" s="10"/>
      <c r="C4" s="11" t="s">
        <v>22</v>
      </c>
      <c r="D4" s="12" t="s">
        <v>95</v>
      </c>
      <c r="E4" s="12" t="s">
        <v>96</v>
      </c>
      <c r="F4" s="12" t="s">
        <v>97</v>
      </c>
      <c r="G4" s="12" t="s">
        <v>98</v>
      </c>
      <c r="H4" s="12" t="s">
        <v>99</v>
      </c>
      <c r="I4" s="12" t="s">
        <v>100</v>
      </c>
      <c r="J4" s="12" t="s">
        <v>101</v>
      </c>
      <c r="K4" s="12" t="s">
        <v>102</v>
      </c>
      <c r="L4" s="12" t="s">
        <v>103</v>
      </c>
      <c r="M4" s="12" t="s">
        <v>104</v>
      </c>
      <c r="N4" s="12" t="s">
        <v>105</v>
      </c>
      <c r="O4" s="12" t="s">
        <v>106</v>
      </c>
      <c r="P4" s="12" t="s">
        <v>107</v>
      </c>
      <c r="Q4" s="12"/>
    </row>
    <row r="5" spans="1:17" ht="15.95" customHeight="1" x14ac:dyDescent="0.25">
      <c r="A5" s="7" t="s">
        <v>9</v>
      </c>
      <c r="B5" s="10"/>
      <c r="C5" s="13" t="s">
        <v>23</v>
      </c>
      <c r="D5" s="14" t="s">
        <v>95</v>
      </c>
      <c r="E5" s="14" t="s">
        <v>96</v>
      </c>
      <c r="F5" s="14" t="s">
        <v>97</v>
      </c>
      <c r="G5" s="14" t="s">
        <v>98</v>
      </c>
      <c r="H5" s="14" t="s">
        <v>99</v>
      </c>
      <c r="I5" s="14" t="s">
        <v>100</v>
      </c>
      <c r="J5" s="14" t="s">
        <v>101</v>
      </c>
      <c r="K5" s="14" t="s">
        <v>102</v>
      </c>
      <c r="L5" s="14" t="s">
        <v>103</v>
      </c>
      <c r="M5" s="14" t="s">
        <v>104</v>
      </c>
      <c r="N5" s="14" t="s">
        <v>105</v>
      </c>
      <c r="O5" s="14" t="s">
        <v>106</v>
      </c>
      <c r="P5" s="14" t="s">
        <v>107</v>
      </c>
      <c r="Q5" s="14" t="s">
        <v>109</v>
      </c>
    </row>
    <row r="6" spans="1:17" ht="15.95" customHeight="1" x14ac:dyDescent="0.25">
      <c r="B6" s="10"/>
      <c r="C6" s="15" t="s">
        <v>24</v>
      </c>
      <c r="D6" s="16">
        <v>2600</v>
      </c>
      <c r="E6" s="16">
        <v>2600</v>
      </c>
      <c r="F6" s="16">
        <v>2600</v>
      </c>
      <c r="G6" s="16"/>
      <c r="H6" s="16"/>
      <c r="I6" s="16"/>
      <c r="J6" s="16"/>
      <c r="K6" s="16"/>
      <c r="L6" s="16"/>
      <c r="M6" s="16"/>
      <c r="N6" s="16"/>
      <c r="O6" s="16"/>
      <c r="P6" s="16">
        <f>SUM(収入[[#This Row],[1 月]:[12 月]])</f>
        <v>7800</v>
      </c>
      <c r="Q6" s="16"/>
    </row>
    <row r="7" spans="1:17" ht="15.95" customHeight="1" x14ac:dyDescent="0.25">
      <c r="B7" s="10"/>
      <c r="C7" s="15" t="s">
        <v>25</v>
      </c>
      <c r="D7" s="16">
        <v>649</v>
      </c>
      <c r="E7" s="16">
        <v>313</v>
      </c>
      <c r="F7" s="16">
        <v>664</v>
      </c>
      <c r="G7" s="16"/>
      <c r="H7" s="16"/>
      <c r="I7" s="16"/>
      <c r="J7" s="16"/>
      <c r="K7" s="16"/>
      <c r="L7" s="16"/>
      <c r="M7" s="16"/>
      <c r="N7" s="16"/>
      <c r="O7" s="16"/>
      <c r="P7" s="16">
        <f>SUM(収入[[#This Row],[1 月]:[12 月]])</f>
        <v>1626</v>
      </c>
      <c r="Q7" s="17"/>
    </row>
    <row r="8" spans="1:17" ht="15.95" customHeight="1" x14ac:dyDescent="0.25">
      <c r="B8" s="10"/>
      <c r="C8" s="15" t="s">
        <v>26</v>
      </c>
      <c r="D8" s="16">
        <v>474</v>
      </c>
      <c r="E8" s="16">
        <v>643</v>
      </c>
      <c r="F8" s="16">
        <v>380</v>
      </c>
      <c r="G8" s="16"/>
      <c r="H8" s="16"/>
      <c r="I8" s="16"/>
      <c r="J8" s="16"/>
      <c r="K8" s="16"/>
      <c r="L8" s="16"/>
      <c r="M8" s="16"/>
      <c r="N8" s="16"/>
      <c r="O8" s="16"/>
      <c r="P8" s="16">
        <f>SUM(収入[[#This Row],[1 月]:[12 月]])</f>
        <v>1497</v>
      </c>
      <c r="Q8" s="16"/>
    </row>
    <row r="9" spans="1:17" ht="21" customHeight="1" thickBot="1" x14ac:dyDescent="0.3">
      <c r="B9" s="10"/>
      <c r="C9" s="18" t="s">
        <v>110</v>
      </c>
      <c r="D9" s="19">
        <f>SUBTOTAL(109,収入[1 月])</f>
        <v>3723</v>
      </c>
      <c r="E9" s="19">
        <f>SUBTOTAL(109,収入[2 月])</f>
        <v>3556</v>
      </c>
      <c r="F9" s="19">
        <f>SUBTOTAL(109,収入[3 月])</f>
        <v>3644</v>
      </c>
      <c r="G9" s="19">
        <f>SUBTOTAL(109,収入[4 月])</f>
        <v>0</v>
      </c>
      <c r="H9" s="19">
        <f>SUBTOTAL(109,収入[5 月])</f>
        <v>0</v>
      </c>
      <c r="I9" s="19">
        <f>SUBTOTAL(109,収入[6 月])</f>
        <v>0</v>
      </c>
      <c r="J9" s="19">
        <f>SUBTOTAL(109,収入[7 月])</f>
        <v>0</v>
      </c>
      <c r="K9" s="19">
        <f>SUBTOTAL(109,収入[8 月])</f>
        <v>0</v>
      </c>
      <c r="L9" s="19">
        <f>SUBTOTAL(109,収入[9 月])</f>
        <v>0</v>
      </c>
      <c r="M9" s="19">
        <f>SUBTOTAL(109,収入[10 月])</f>
        <v>0</v>
      </c>
      <c r="N9" s="19">
        <f>SUBTOTAL(109,収入[11 月])</f>
        <v>0</v>
      </c>
      <c r="O9" s="19">
        <f>SUBTOTAL(109,収入[12 月])</f>
        <v>0</v>
      </c>
      <c r="P9" s="19">
        <f>SUBTOTAL(109,収入[年])</f>
        <v>10923</v>
      </c>
      <c r="Q9" s="20"/>
    </row>
    <row r="10" spans="1:17" ht="24" customHeight="1" thickTop="1" x14ac:dyDescent="0.25">
      <c r="D10" s="2"/>
      <c r="E10" s="2"/>
      <c r="F10" s="2"/>
      <c r="G10" s="2"/>
      <c r="H10" s="2"/>
      <c r="I10" s="2"/>
      <c r="J10" s="2"/>
      <c r="K10" s="2"/>
      <c r="L10" s="2"/>
      <c r="M10" s="2"/>
      <c r="N10" s="2"/>
      <c r="O10" s="2"/>
      <c r="P10" s="2"/>
    </row>
    <row r="11" spans="1:17" ht="21" customHeight="1" x14ac:dyDescent="0.25">
      <c r="A11" s="5" t="s">
        <v>10</v>
      </c>
      <c r="B11" s="21"/>
      <c r="C11" s="11" t="s">
        <v>111</v>
      </c>
      <c r="D11" s="12" t="s">
        <v>95</v>
      </c>
      <c r="E11" s="12" t="s">
        <v>96</v>
      </c>
      <c r="F11" s="12" t="s">
        <v>97</v>
      </c>
      <c r="G11" s="12" t="s">
        <v>98</v>
      </c>
      <c r="H11" s="12" t="s">
        <v>99</v>
      </c>
      <c r="I11" s="12" t="s">
        <v>100</v>
      </c>
      <c r="J11" s="12" t="s">
        <v>101</v>
      </c>
      <c r="K11" s="12" t="s">
        <v>102</v>
      </c>
      <c r="L11" s="12" t="s">
        <v>103</v>
      </c>
      <c r="M11" s="12" t="s">
        <v>104</v>
      </c>
      <c r="N11" s="12" t="s">
        <v>105</v>
      </c>
      <c r="O11" s="12" t="s">
        <v>106</v>
      </c>
      <c r="P11" s="12" t="s">
        <v>107</v>
      </c>
      <c r="Q11" s="12"/>
    </row>
    <row r="12" spans="1:17" ht="15.95" customHeight="1" x14ac:dyDescent="0.25">
      <c r="A12" s="5" t="s">
        <v>11</v>
      </c>
      <c r="B12" s="21"/>
      <c r="C12" s="22" t="s">
        <v>28</v>
      </c>
      <c r="D12" s="14" t="s">
        <v>95</v>
      </c>
      <c r="E12" s="14" t="s">
        <v>96</v>
      </c>
      <c r="F12" s="14" t="s">
        <v>97</v>
      </c>
      <c r="G12" s="14" t="s">
        <v>98</v>
      </c>
      <c r="H12" s="14" t="s">
        <v>99</v>
      </c>
      <c r="I12" s="14" t="s">
        <v>100</v>
      </c>
      <c r="J12" s="14" t="s">
        <v>101</v>
      </c>
      <c r="K12" s="14" t="s">
        <v>102</v>
      </c>
      <c r="L12" s="14" t="s">
        <v>103</v>
      </c>
      <c r="M12" s="14" t="s">
        <v>104</v>
      </c>
      <c r="N12" s="14" t="s">
        <v>105</v>
      </c>
      <c r="O12" s="14" t="s">
        <v>106</v>
      </c>
      <c r="P12" s="14" t="s">
        <v>107</v>
      </c>
      <c r="Q12" s="14" t="s">
        <v>109</v>
      </c>
    </row>
    <row r="13" spans="1:17" ht="15.95" customHeight="1" x14ac:dyDescent="0.25">
      <c r="B13" s="21"/>
      <c r="C13" s="23" t="s">
        <v>29</v>
      </c>
      <c r="D13" s="24">
        <v>750</v>
      </c>
      <c r="E13" s="24">
        <v>750</v>
      </c>
      <c r="F13" s="24">
        <v>750</v>
      </c>
      <c r="G13" s="24"/>
      <c r="H13" s="24"/>
      <c r="I13" s="24"/>
      <c r="J13" s="24"/>
      <c r="K13" s="24"/>
      <c r="L13" s="24"/>
      <c r="M13" s="24"/>
      <c r="N13" s="24"/>
      <c r="O13" s="24"/>
      <c r="P13" s="24">
        <f>SUM(自宅[[#This Row],[1 月]:[12 月]])</f>
        <v>2250</v>
      </c>
      <c r="Q13" s="24"/>
    </row>
    <row r="14" spans="1:17" ht="15.95" customHeight="1" x14ac:dyDescent="0.25">
      <c r="B14" s="21"/>
      <c r="C14" s="23" t="s">
        <v>30</v>
      </c>
      <c r="D14" s="24"/>
      <c r="E14" s="24"/>
      <c r="F14" s="24"/>
      <c r="G14" s="24"/>
      <c r="H14" s="24"/>
      <c r="I14" s="24"/>
      <c r="J14" s="24"/>
      <c r="K14" s="24"/>
      <c r="L14" s="24"/>
      <c r="M14" s="24"/>
      <c r="N14" s="24"/>
      <c r="O14" s="24"/>
      <c r="P14" s="24">
        <f>SUM(自宅[[#This Row],[1 月]:[12 月]])</f>
        <v>0</v>
      </c>
      <c r="Q14" s="25"/>
    </row>
    <row r="15" spans="1:17" ht="15.95" customHeight="1" x14ac:dyDescent="0.25">
      <c r="B15" s="21"/>
      <c r="C15" s="23" t="s">
        <v>31</v>
      </c>
      <c r="D15" s="24"/>
      <c r="E15" s="24"/>
      <c r="F15" s="24">
        <v>75</v>
      </c>
      <c r="G15" s="24"/>
      <c r="H15" s="24"/>
      <c r="I15" s="24"/>
      <c r="J15" s="24"/>
      <c r="K15" s="24"/>
      <c r="L15" s="24"/>
      <c r="M15" s="24"/>
      <c r="N15" s="24"/>
      <c r="O15" s="24"/>
      <c r="P15" s="24">
        <f>SUM(自宅[[#This Row],[1 月]:[12 月]])</f>
        <v>75</v>
      </c>
      <c r="Q15" s="24"/>
    </row>
    <row r="16" spans="1:17" ht="15.95" customHeight="1" x14ac:dyDescent="0.25">
      <c r="B16" s="21"/>
      <c r="C16" s="23" t="s">
        <v>32</v>
      </c>
      <c r="D16" s="24">
        <v>35</v>
      </c>
      <c r="E16" s="24">
        <v>35</v>
      </c>
      <c r="F16" s="24">
        <v>35</v>
      </c>
      <c r="G16" s="24"/>
      <c r="H16" s="24"/>
      <c r="I16" s="24"/>
      <c r="J16" s="24"/>
      <c r="K16" s="24"/>
      <c r="L16" s="24"/>
      <c r="M16" s="24"/>
      <c r="N16" s="24"/>
      <c r="O16" s="24"/>
      <c r="P16" s="24">
        <f>SUM(自宅[[#This Row],[1 月]:[12 月]])</f>
        <v>105</v>
      </c>
      <c r="Q16" s="25"/>
    </row>
    <row r="17" spans="1:17" ht="15.95" customHeight="1" x14ac:dyDescent="0.25">
      <c r="B17" s="21"/>
      <c r="C17" s="23" t="s">
        <v>33</v>
      </c>
      <c r="D17" s="24">
        <v>165</v>
      </c>
      <c r="E17" s="24">
        <v>165</v>
      </c>
      <c r="F17" s="24">
        <v>165</v>
      </c>
      <c r="G17" s="24"/>
      <c r="H17" s="24"/>
      <c r="I17" s="24"/>
      <c r="J17" s="24"/>
      <c r="K17" s="24"/>
      <c r="L17" s="24"/>
      <c r="M17" s="24"/>
      <c r="N17" s="24"/>
      <c r="O17" s="24"/>
      <c r="P17" s="24">
        <f>SUM(自宅[[#This Row],[1 月]:[12 月]])</f>
        <v>495</v>
      </c>
      <c r="Q17" s="24"/>
    </row>
    <row r="18" spans="1:17" ht="21" customHeight="1" thickBot="1" x14ac:dyDescent="0.3">
      <c r="A18" s="26"/>
      <c r="B18" s="21"/>
      <c r="C18" s="27" t="s">
        <v>110</v>
      </c>
      <c r="D18" s="28">
        <f>SUBTOTAL(109,自宅[1 月])</f>
        <v>950</v>
      </c>
      <c r="E18" s="28">
        <f>SUBTOTAL(109,自宅[2 月])</f>
        <v>950</v>
      </c>
      <c r="F18" s="28">
        <f>SUBTOTAL(109,自宅[3 月])</f>
        <v>1025</v>
      </c>
      <c r="G18" s="28">
        <f>SUBTOTAL(109,自宅[4 月])</f>
        <v>0</v>
      </c>
      <c r="H18" s="28">
        <f>SUBTOTAL(109,自宅[5 月])</f>
        <v>0</v>
      </c>
      <c r="I18" s="28">
        <f>SUBTOTAL(109,自宅[6 月])</f>
        <v>0</v>
      </c>
      <c r="J18" s="28">
        <f>SUBTOTAL(109,自宅[7 月])</f>
        <v>0</v>
      </c>
      <c r="K18" s="28">
        <f>SUBTOTAL(109,自宅[8 月])</f>
        <v>0</v>
      </c>
      <c r="L18" s="28">
        <f>SUBTOTAL(109,自宅[9 月])</f>
        <v>0</v>
      </c>
      <c r="M18" s="28">
        <f>SUBTOTAL(109,自宅[10 月])</f>
        <v>0</v>
      </c>
      <c r="N18" s="28">
        <f>SUBTOTAL(109,自宅[11 月])</f>
        <v>0</v>
      </c>
      <c r="O18" s="28">
        <f>SUBTOTAL(109,自宅[12 月])</f>
        <v>0</v>
      </c>
      <c r="P18" s="28">
        <f>SUBTOTAL(109,自宅[年])</f>
        <v>2925</v>
      </c>
      <c r="Q18" s="29"/>
    </row>
    <row r="19" spans="1:17" ht="24" customHeight="1" thickTop="1" x14ac:dyDescent="0.25">
      <c r="D19" s="2"/>
      <c r="E19" s="2"/>
      <c r="F19" s="2"/>
      <c r="G19" s="2"/>
      <c r="H19" s="2"/>
      <c r="I19" s="2"/>
      <c r="J19" s="2"/>
      <c r="K19" s="2"/>
      <c r="L19" s="2"/>
      <c r="M19" s="2"/>
      <c r="N19" s="2"/>
      <c r="O19" s="2"/>
      <c r="P19" s="2"/>
    </row>
    <row r="20" spans="1:17" ht="15.95" customHeight="1" x14ac:dyDescent="0.25">
      <c r="A20" s="5" t="s">
        <v>12</v>
      </c>
      <c r="B20" s="30"/>
      <c r="C20" s="31" t="s">
        <v>34</v>
      </c>
      <c r="D20" s="32" t="s">
        <v>95</v>
      </c>
      <c r="E20" s="14" t="s">
        <v>96</v>
      </c>
      <c r="F20" s="32" t="s">
        <v>97</v>
      </c>
      <c r="G20" s="14" t="s">
        <v>98</v>
      </c>
      <c r="H20" s="32" t="s">
        <v>99</v>
      </c>
      <c r="I20" s="14" t="s">
        <v>100</v>
      </c>
      <c r="J20" s="32" t="s">
        <v>101</v>
      </c>
      <c r="K20" s="14" t="s">
        <v>102</v>
      </c>
      <c r="L20" s="32" t="s">
        <v>103</v>
      </c>
      <c r="M20" s="14" t="s">
        <v>104</v>
      </c>
      <c r="N20" s="32" t="s">
        <v>105</v>
      </c>
      <c r="O20" s="14" t="s">
        <v>106</v>
      </c>
      <c r="P20" s="32" t="s">
        <v>108</v>
      </c>
      <c r="Q20" s="14" t="s">
        <v>109</v>
      </c>
    </row>
    <row r="21" spans="1:17" ht="15.95" customHeight="1" x14ac:dyDescent="0.25">
      <c r="B21" s="30"/>
      <c r="C21" s="33" t="s">
        <v>35</v>
      </c>
      <c r="D21" s="34">
        <v>191</v>
      </c>
      <c r="E21" s="35">
        <v>152</v>
      </c>
      <c r="F21" s="34">
        <v>145</v>
      </c>
      <c r="G21" s="35"/>
      <c r="H21" s="34"/>
      <c r="I21" s="35"/>
      <c r="J21" s="34"/>
      <c r="K21" s="35"/>
      <c r="L21" s="34"/>
      <c r="M21" s="35"/>
      <c r="N21" s="34"/>
      <c r="O21" s="35"/>
      <c r="P21" s="34">
        <f>SUM(毎日[[#This Row],[1 月]:[12 月]])</f>
        <v>488</v>
      </c>
      <c r="Q21" s="36"/>
    </row>
    <row r="22" spans="1:17" ht="15.95" customHeight="1" x14ac:dyDescent="0.25">
      <c r="B22" s="30"/>
      <c r="C22" s="33" t="s">
        <v>36</v>
      </c>
      <c r="D22" s="34">
        <v>200</v>
      </c>
      <c r="E22" s="35">
        <v>200</v>
      </c>
      <c r="F22" s="34">
        <v>200</v>
      </c>
      <c r="G22" s="35"/>
      <c r="H22" s="34"/>
      <c r="I22" s="35"/>
      <c r="J22" s="34"/>
      <c r="K22" s="35"/>
      <c r="L22" s="34"/>
      <c r="M22" s="35"/>
      <c r="N22" s="34"/>
      <c r="O22" s="35"/>
      <c r="P22" s="34">
        <f>SUM(毎日[[#This Row],[1 月]:[12 月]])</f>
        <v>600</v>
      </c>
      <c r="Q22" s="35"/>
    </row>
    <row r="23" spans="1:17" ht="15.95" customHeight="1" x14ac:dyDescent="0.25">
      <c r="B23" s="30"/>
      <c r="C23" s="33" t="s">
        <v>37</v>
      </c>
      <c r="D23" s="34">
        <v>20</v>
      </c>
      <c r="E23" s="35"/>
      <c r="F23" s="34">
        <v>20</v>
      </c>
      <c r="G23" s="35"/>
      <c r="H23" s="34"/>
      <c r="I23" s="35"/>
      <c r="J23" s="34"/>
      <c r="K23" s="35"/>
      <c r="L23" s="34"/>
      <c r="M23" s="35"/>
      <c r="N23" s="34"/>
      <c r="O23" s="35"/>
      <c r="P23" s="34">
        <f>SUM(毎日[[#This Row],[1 月]:[12 月]])</f>
        <v>40</v>
      </c>
      <c r="Q23" s="36"/>
    </row>
    <row r="24" spans="1:17" ht="15.95" customHeight="1" x14ac:dyDescent="0.25">
      <c r="B24" s="30"/>
      <c r="C24" s="33" t="s">
        <v>38</v>
      </c>
      <c r="D24" s="34">
        <v>55</v>
      </c>
      <c r="E24" s="35"/>
      <c r="F24" s="34">
        <v>56</v>
      </c>
      <c r="G24" s="35"/>
      <c r="H24" s="34"/>
      <c r="I24" s="35"/>
      <c r="J24" s="34"/>
      <c r="K24" s="35"/>
      <c r="L24" s="34"/>
      <c r="M24" s="35"/>
      <c r="N24" s="34"/>
      <c r="O24" s="35"/>
      <c r="P24" s="34">
        <f>SUM(毎日[[#This Row],[1 月]:[12 月]])</f>
        <v>111</v>
      </c>
      <c r="Q24" s="35"/>
    </row>
    <row r="25" spans="1:17" ht="15.95" customHeight="1" x14ac:dyDescent="0.25">
      <c r="B25" s="30"/>
      <c r="C25" s="33" t="s">
        <v>39</v>
      </c>
      <c r="D25" s="34">
        <v>25</v>
      </c>
      <c r="E25" s="35">
        <v>17</v>
      </c>
      <c r="F25" s="34">
        <v>7</v>
      </c>
      <c r="G25" s="35"/>
      <c r="H25" s="34"/>
      <c r="I25" s="35"/>
      <c r="J25" s="34"/>
      <c r="K25" s="35"/>
      <c r="L25" s="34"/>
      <c r="M25" s="35"/>
      <c r="N25" s="34"/>
      <c r="O25" s="35"/>
      <c r="P25" s="34">
        <f>SUM(毎日[[#This Row],[1 月]:[12 月]])</f>
        <v>49</v>
      </c>
      <c r="Q25" s="36"/>
    </row>
    <row r="26" spans="1:17" ht="15.95" customHeight="1" x14ac:dyDescent="0.25">
      <c r="A26" s="26"/>
      <c r="B26" s="30"/>
      <c r="C26" s="33" t="s">
        <v>40</v>
      </c>
      <c r="D26" s="34">
        <v>10</v>
      </c>
      <c r="E26" s="35">
        <v>5</v>
      </c>
      <c r="F26" s="34">
        <v>7</v>
      </c>
      <c r="G26" s="35"/>
      <c r="H26" s="34"/>
      <c r="I26" s="35"/>
      <c r="J26" s="34"/>
      <c r="K26" s="35"/>
      <c r="L26" s="34"/>
      <c r="M26" s="35"/>
      <c r="N26" s="34"/>
      <c r="O26" s="35"/>
      <c r="P26" s="34">
        <f>SUM(毎日[[#This Row],[1 月]:[12 月]])</f>
        <v>22</v>
      </c>
      <c r="Q26" s="35"/>
    </row>
    <row r="27" spans="1:17" ht="21" customHeight="1" thickBot="1" x14ac:dyDescent="0.3">
      <c r="B27" s="30"/>
      <c r="C27" s="37" t="s">
        <v>110</v>
      </c>
      <c r="D27" s="38">
        <f>SUBTOTAL(109,毎日[1 月])</f>
        <v>501</v>
      </c>
      <c r="E27" s="39">
        <f>SUBTOTAL(109,毎日[2 月])</f>
        <v>374</v>
      </c>
      <c r="F27" s="38">
        <f>SUBTOTAL(109,毎日[3 月])</f>
        <v>435</v>
      </c>
      <c r="G27" s="39">
        <f>SUBTOTAL(109,毎日[4 月])</f>
        <v>0</v>
      </c>
      <c r="H27" s="38">
        <f>SUBTOTAL(109,毎日[5 月])</f>
        <v>0</v>
      </c>
      <c r="I27" s="39">
        <f>SUBTOTAL(109,毎日[6 月])</f>
        <v>0</v>
      </c>
      <c r="J27" s="38">
        <f>SUBTOTAL(109,毎日[7 月])</f>
        <v>0</v>
      </c>
      <c r="K27" s="39">
        <f>SUBTOTAL(109,毎日[8 月])</f>
        <v>0</v>
      </c>
      <c r="L27" s="38">
        <f>SUBTOTAL(109,毎日[9 月])</f>
        <v>0</v>
      </c>
      <c r="M27" s="39">
        <f>SUBTOTAL(109,毎日[10 月])</f>
        <v>0</v>
      </c>
      <c r="N27" s="38">
        <f>SUBTOTAL(109,毎日[11 月])</f>
        <v>0</v>
      </c>
      <c r="O27" s="39">
        <f>SUBTOTAL(109,毎日[12 月])</f>
        <v>0</v>
      </c>
      <c r="P27" s="38">
        <f>SUBTOTAL(109,毎日[年度])</f>
        <v>1310</v>
      </c>
      <c r="Q27" s="40"/>
    </row>
    <row r="28" spans="1:17" ht="20.100000000000001" customHeight="1" thickTop="1" x14ac:dyDescent="0.25">
      <c r="C28" s="68"/>
      <c r="D28" s="68"/>
      <c r="E28" s="68"/>
      <c r="F28" s="68"/>
      <c r="G28" s="68"/>
      <c r="H28" s="68"/>
      <c r="I28" s="68"/>
      <c r="J28" s="68"/>
      <c r="K28" s="68"/>
      <c r="L28" s="68"/>
      <c r="M28" s="68"/>
      <c r="N28" s="68"/>
      <c r="O28" s="68"/>
      <c r="P28" s="68"/>
      <c r="Q28" s="68"/>
    </row>
    <row r="29" spans="1:17" ht="15.95" customHeight="1" x14ac:dyDescent="0.25">
      <c r="A29" s="7" t="s">
        <v>13</v>
      </c>
      <c r="B29" s="30"/>
      <c r="C29" s="41" t="s">
        <v>41</v>
      </c>
      <c r="D29" s="42" t="s">
        <v>95</v>
      </c>
      <c r="E29" s="14" t="s">
        <v>96</v>
      </c>
      <c r="F29" s="42" t="s">
        <v>97</v>
      </c>
      <c r="G29" s="14" t="s">
        <v>98</v>
      </c>
      <c r="H29" s="42" t="s">
        <v>99</v>
      </c>
      <c r="I29" s="14" t="s">
        <v>100</v>
      </c>
      <c r="J29" s="42" t="s">
        <v>101</v>
      </c>
      <c r="K29" s="14" t="s">
        <v>102</v>
      </c>
      <c r="L29" s="42" t="s">
        <v>103</v>
      </c>
      <c r="M29" s="14" t="s">
        <v>104</v>
      </c>
      <c r="N29" s="42" t="s">
        <v>105</v>
      </c>
      <c r="O29" s="14" t="s">
        <v>106</v>
      </c>
      <c r="P29" s="42" t="s">
        <v>108</v>
      </c>
      <c r="Q29" s="14" t="s">
        <v>109</v>
      </c>
    </row>
    <row r="30" spans="1:17" ht="15.95" customHeight="1" x14ac:dyDescent="0.25">
      <c r="B30" s="30"/>
      <c r="C30" s="43" t="s">
        <v>42</v>
      </c>
      <c r="D30" s="34">
        <v>195</v>
      </c>
      <c r="E30" s="44">
        <v>125</v>
      </c>
      <c r="F30" s="34">
        <v>171</v>
      </c>
      <c r="G30" s="44"/>
      <c r="H30" s="34"/>
      <c r="I30" s="44"/>
      <c r="J30" s="34"/>
      <c r="K30" s="44"/>
      <c r="L30" s="34"/>
      <c r="M30" s="44"/>
      <c r="N30" s="34"/>
      <c r="O30" s="44"/>
      <c r="P30" s="34">
        <f>SUM(交通[[#This Row],[1 月]:[12 月]])</f>
        <v>491</v>
      </c>
      <c r="Q30" s="36"/>
    </row>
    <row r="31" spans="1:17" ht="15.95" customHeight="1" x14ac:dyDescent="0.25">
      <c r="B31" s="30"/>
      <c r="C31" s="43" t="s">
        <v>43</v>
      </c>
      <c r="D31" s="34">
        <v>165</v>
      </c>
      <c r="E31" s="44">
        <v>165</v>
      </c>
      <c r="F31" s="34">
        <v>165</v>
      </c>
      <c r="G31" s="44"/>
      <c r="H31" s="34"/>
      <c r="I31" s="44"/>
      <c r="J31" s="34"/>
      <c r="K31" s="44"/>
      <c r="L31" s="34"/>
      <c r="M31" s="44"/>
      <c r="N31" s="34"/>
      <c r="O31" s="44"/>
      <c r="P31" s="34">
        <f>SUM(交通[[#This Row],[1 月]:[12 月]])</f>
        <v>495</v>
      </c>
      <c r="Q31" s="44"/>
    </row>
    <row r="32" spans="1:17" ht="15.95" customHeight="1" x14ac:dyDescent="0.25">
      <c r="B32" s="30"/>
      <c r="C32" s="43" t="s">
        <v>44</v>
      </c>
      <c r="D32" s="34"/>
      <c r="E32" s="44"/>
      <c r="F32" s="34"/>
      <c r="G32" s="44"/>
      <c r="H32" s="34"/>
      <c r="I32" s="44"/>
      <c r="J32" s="34"/>
      <c r="K32" s="44"/>
      <c r="L32" s="34"/>
      <c r="M32" s="44"/>
      <c r="N32" s="34"/>
      <c r="O32" s="44"/>
      <c r="P32" s="34">
        <f>SUM(交通[[#This Row],[1 月]:[12 月]])</f>
        <v>0</v>
      </c>
      <c r="Q32" s="36"/>
    </row>
    <row r="33" spans="1:17" ht="15.95" customHeight="1" x14ac:dyDescent="0.25">
      <c r="B33" s="30"/>
      <c r="C33" s="43" t="s">
        <v>45</v>
      </c>
      <c r="D33" s="34">
        <v>10</v>
      </c>
      <c r="E33" s="44"/>
      <c r="F33" s="34"/>
      <c r="G33" s="44"/>
      <c r="H33" s="34"/>
      <c r="I33" s="44"/>
      <c r="J33" s="34"/>
      <c r="K33" s="44"/>
      <c r="L33" s="34"/>
      <c r="M33" s="44"/>
      <c r="N33" s="34"/>
      <c r="O33" s="44"/>
      <c r="P33" s="34">
        <f>SUM(交通[[#This Row],[1 月]:[12 月]])</f>
        <v>10</v>
      </c>
      <c r="Q33" s="44"/>
    </row>
    <row r="34" spans="1:17" ht="15.95" customHeight="1" x14ac:dyDescent="0.25">
      <c r="A34" s="26"/>
      <c r="B34" s="30"/>
      <c r="C34" s="43" t="s">
        <v>46</v>
      </c>
      <c r="D34" s="34">
        <v>10</v>
      </c>
      <c r="E34" s="44">
        <v>40</v>
      </c>
      <c r="F34" s="34">
        <v>20</v>
      </c>
      <c r="G34" s="44"/>
      <c r="H34" s="34"/>
      <c r="I34" s="44"/>
      <c r="J34" s="34"/>
      <c r="K34" s="44"/>
      <c r="L34" s="34"/>
      <c r="M34" s="44"/>
      <c r="N34" s="34"/>
      <c r="O34" s="44"/>
      <c r="P34" s="34">
        <f>SUM(交通[[#This Row],[1 月]:[12 月]])</f>
        <v>70</v>
      </c>
      <c r="Q34" s="36"/>
    </row>
    <row r="35" spans="1:17" ht="15.95" customHeight="1" x14ac:dyDescent="0.25">
      <c r="B35" s="30"/>
      <c r="C35" s="43" t="s">
        <v>47</v>
      </c>
      <c r="D35" s="34">
        <v>20</v>
      </c>
      <c r="E35" s="44">
        <v>40</v>
      </c>
      <c r="F35" s="34">
        <v>30</v>
      </c>
      <c r="G35" s="44"/>
      <c r="H35" s="34"/>
      <c r="I35" s="44"/>
      <c r="J35" s="34"/>
      <c r="K35" s="44"/>
      <c r="L35" s="34"/>
      <c r="M35" s="44"/>
      <c r="N35" s="34"/>
      <c r="O35" s="44"/>
      <c r="P35" s="34">
        <f>SUM(交通[[#This Row],[1 月]:[12 月]])</f>
        <v>90</v>
      </c>
      <c r="Q35" s="44"/>
    </row>
    <row r="36" spans="1:17" ht="21" customHeight="1" thickBot="1" x14ac:dyDescent="0.3">
      <c r="B36" s="30"/>
      <c r="C36" s="37" t="s">
        <v>110</v>
      </c>
      <c r="D36" s="38">
        <f>SUBTOTAL(109,交通[1 月])</f>
        <v>400</v>
      </c>
      <c r="E36" s="39">
        <f>SUBTOTAL(109,交通[2 月])</f>
        <v>370</v>
      </c>
      <c r="F36" s="38">
        <f>SUBTOTAL(109,交通[3 月])</f>
        <v>386</v>
      </c>
      <c r="G36" s="39">
        <f>SUBTOTAL(109,交通[4 月])</f>
        <v>0</v>
      </c>
      <c r="H36" s="38">
        <f>SUBTOTAL(109,交通[5 月])</f>
        <v>0</v>
      </c>
      <c r="I36" s="39">
        <f>SUBTOTAL(109,交通[6 月])</f>
        <v>0</v>
      </c>
      <c r="J36" s="38">
        <f>SUBTOTAL(109,交通[7 月])</f>
        <v>0</v>
      </c>
      <c r="K36" s="39">
        <f>SUBTOTAL(109,交通[8 月])</f>
        <v>0</v>
      </c>
      <c r="L36" s="38">
        <f>SUBTOTAL(109,交通[9 月])</f>
        <v>0</v>
      </c>
      <c r="M36" s="39">
        <f>SUBTOTAL(109,交通[10 月])</f>
        <v>0</v>
      </c>
      <c r="N36" s="38">
        <f>SUBTOTAL(109,交通[11 月])</f>
        <v>0</v>
      </c>
      <c r="O36" s="39">
        <f>SUBTOTAL(109,交通[12 月])</f>
        <v>0</v>
      </c>
      <c r="P36" s="38">
        <f>SUBTOTAL(109,交通[年度])</f>
        <v>1156</v>
      </c>
      <c r="Q36" s="40"/>
    </row>
    <row r="37" spans="1:17" ht="20.100000000000001" customHeight="1" thickTop="1" x14ac:dyDescent="0.25">
      <c r="C37" s="68"/>
      <c r="D37" s="68"/>
      <c r="E37" s="68"/>
      <c r="F37" s="68"/>
      <c r="G37" s="68"/>
      <c r="H37" s="68"/>
      <c r="I37" s="68"/>
      <c r="J37" s="68"/>
      <c r="K37" s="68"/>
      <c r="L37" s="68"/>
      <c r="M37" s="68"/>
      <c r="N37" s="68"/>
      <c r="O37" s="68"/>
      <c r="P37" s="68"/>
      <c r="Q37" s="68"/>
    </row>
    <row r="38" spans="1:17" ht="21" customHeight="1" x14ac:dyDescent="0.25">
      <c r="A38" s="5" t="s">
        <v>14</v>
      </c>
      <c r="B38" s="45"/>
      <c r="C38" s="46" t="s">
        <v>48</v>
      </c>
      <c r="D38" s="47" t="s">
        <v>95</v>
      </c>
      <c r="E38" s="14" t="s">
        <v>96</v>
      </c>
      <c r="F38" s="47" t="s">
        <v>97</v>
      </c>
      <c r="G38" s="14" t="s">
        <v>98</v>
      </c>
      <c r="H38" s="47" t="s">
        <v>99</v>
      </c>
      <c r="I38" s="14" t="s">
        <v>100</v>
      </c>
      <c r="J38" s="47" t="s">
        <v>101</v>
      </c>
      <c r="K38" s="14" t="s">
        <v>102</v>
      </c>
      <c r="L38" s="47" t="s">
        <v>103</v>
      </c>
      <c r="M38" s="14" t="s">
        <v>104</v>
      </c>
      <c r="N38" s="47" t="s">
        <v>105</v>
      </c>
      <c r="O38" s="14" t="s">
        <v>106</v>
      </c>
      <c r="P38" s="47" t="s">
        <v>108</v>
      </c>
      <c r="Q38" s="14" t="s">
        <v>109</v>
      </c>
    </row>
    <row r="39" spans="1:17" ht="15.95" customHeight="1" x14ac:dyDescent="0.25">
      <c r="B39" s="45"/>
      <c r="C39" s="43" t="s">
        <v>49</v>
      </c>
      <c r="D39" s="48">
        <v>85</v>
      </c>
      <c r="E39" s="44">
        <v>85</v>
      </c>
      <c r="F39" s="48">
        <v>85</v>
      </c>
      <c r="G39" s="44"/>
      <c r="H39" s="48"/>
      <c r="I39" s="44"/>
      <c r="J39" s="48"/>
      <c r="K39" s="44"/>
      <c r="L39" s="48"/>
      <c r="M39" s="44"/>
      <c r="N39" s="48"/>
      <c r="O39" s="44"/>
      <c r="P39" s="48">
        <f>SUM(娯楽[[#This Row],[1 月]:[12 月]])</f>
        <v>255</v>
      </c>
      <c r="Q39" s="36"/>
    </row>
    <row r="40" spans="1:17" ht="15.95" customHeight="1" x14ac:dyDescent="0.25">
      <c r="A40" s="26"/>
      <c r="B40" s="45"/>
      <c r="C40" s="43" t="s">
        <v>50</v>
      </c>
      <c r="D40" s="48">
        <v>7</v>
      </c>
      <c r="E40" s="44">
        <v>8</v>
      </c>
      <c r="F40" s="48">
        <v>9</v>
      </c>
      <c r="G40" s="44"/>
      <c r="H40" s="48"/>
      <c r="I40" s="44"/>
      <c r="J40" s="48"/>
      <c r="K40" s="44"/>
      <c r="L40" s="48"/>
      <c r="M40" s="44"/>
      <c r="N40" s="48"/>
      <c r="O40" s="44"/>
      <c r="P40" s="48">
        <f>SUM(娯楽[[#This Row],[1 月]:[12 月]])</f>
        <v>24</v>
      </c>
      <c r="Q40" s="44"/>
    </row>
    <row r="41" spans="1:17" ht="15.95" customHeight="1" x14ac:dyDescent="0.25">
      <c r="B41" s="45"/>
      <c r="C41" s="43" t="s">
        <v>51</v>
      </c>
      <c r="D41" s="48">
        <v>9</v>
      </c>
      <c r="E41" s="44">
        <v>5</v>
      </c>
      <c r="F41" s="48">
        <v>9</v>
      </c>
      <c r="G41" s="44"/>
      <c r="H41" s="48"/>
      <c r="I41" s="44"/>
      <c r="J41" s="48"/>
      <c r="K41" s="44"/>
      <c r="L41" s="48"/>
      <c r="M41" s="44"/>
      <c r="N41" s="48"/>
      <c r="O41" s="44"/>
      <c r="P41" s="48">
        <f>SUM(娯楽[[#This Row],[1 月]:[12 月]])</f>
        <v>23</v>
      </c>
      <c r="Q41" s="36"/>
    </row>
    <row r="42" spans="1:17" ht="15.95" customHeight="1" x14ac:dyDescent="0.25">
      <c r="B42" s="45"/>
      <c r="C42" s="43" t="s">
        <v>52</v>
      </c>
      <c r="D42" s="48">
        <v>5</v>
      </c>
      <c r="E42" s="44">
        <v>5</v>
      </c>
      <c r="F42" s="48">
        <v>7</v>
      </c>
      <c r="G42" s="44"/>
      <c r="H42" s="48"/>
      <c r="I42" s="44"/>
      <c r="J42" s="48"/>
      <c r="K42" s="44"/>
      <c r="L42" s="48"/>
      <c r="M42" s="44"/>
      <c r="N42" s="48"/>
      <c r="O42" s="44"/>
      <c r="P42" s="48">
        <f>SUM(娯楽[[#This Row],[1 月]:[12 月]])</f>
        <v>17</v>
      </c>
      <c r="Q42" s="44"/>
    </row>
    <row r="43" spans="1:17" ht="21" customHeight="1" thickBot="1" x14ac:dyDescent="0.3">
      <c r="C43" s="49" t="s">
        <v>110</v>
      </c>
      <c r="D43" s="50">
        <f>SUBTOTAL(109,娯楽[1 月])</f>
        <v>106</v>
      </c>
      <c r="E43" s="39">
        <f>SUBTOTAL(109,娯楽[2 月])</f>
        <v>103</v>
      </c>
      <c r="F43" s="50">
        <f>SUBTOTAL(109,娯楽[3 月])</f>
        <v>110</v>
      </c>
      <c r="G43" s="39">
        <f>SUBTOTAL(109,娯楽[4 月])</f>
        <v>0</v>
      </c>
      <c r="H43" s="50">
        <f>SUBTOTAL(109,娯楽[5 月])</f>
        <v>0</v>
      </c>
      <c r="I43" s="39">
        <f>SUBTOTAL(109,娯楽[6 月])</f>
        <v>0</v>
      </c>
      <c r="J43" s="50">
        <f>SUBTOTAL(109,娯楽[7 月])</f>
        <v>0</v>
      </c>
      <c r="K43" s="39">
        <f>SUBTOTAL(109,娯楽[8 月])</f>
        <v>0</v>
      </c>
      <c r="L43" s="50">
        <f>SUBTOTAL(109,娯楽[9 月])</f>
        <v>0</v>
      </c>
      <c r="M43" s="39">
        <f>SUBTOTAL(109,娯楽[10 月])</f>
        <v>0</v>
      </c>
      <c r="N43" s="50">
        <f>SUBTOTAL(109,娯楽[11 月])</f>
        <v>0</v>
      </c>
      <c r="O43" s="39">
        <f>SUBTOTAL(109,娯楽[12 月])</f>
        <v>0</v>
      </c>
      <c r="P43" s="50">
        <f>SUBTOTAL(109,娯楽[年度])</f>
        <v>319</v>
      </c>
      <c r="Q43" s="40"/>
    </row>
    <row r="44" spans="1:17" ht="20.100000000000001" customHeight="1" thickTop="1" x14ac:dyDescent="0.25">
      <c r="C44" s="68"/>
      <c r="D44" s="68"/>
      <c r="E44" s="68"/>
      <c r="F44" s="68"/>
      <c r="G44" s="68"/>
      <c r="H44" s="68"/>
      <c r="I44" s="68"/>
      <c r="J44" s="68"/>
      <c r="K44" s="68"/>
      <c r="L44" s="68"/>
      <c r="M44" s="68"/>
      <c r="N44" s="68"/>
      <c r="O44" s="68"/>
      <c r="P44" s="68"/>
      <c r="Q44" s="68"/>
    </row>
    <row r="45" spans="1:17" ht="21" customHeight="1" x14ac:dyDescent="0.25">
      <c r="A45" s="5" t="s">
        <v>15</v>
      </c>
      <c r="B45" s="45"/>
      <c r="C45" s="46" t="s">
        <v>53</v>
      </c>
      <c r="D45" s="47" t="s">
        <v>95</v>
      </c>
      <c r="E45" s="14" t="s">
        <v>96</v>
      </c>
      <c r="F45" s="47" t="s">
        <v>97</v>
      </c>
      <c r="G45" s="14" t="s">
        <v>98</v>
      </c>
      <c r="H45" s="47" t="s">
        <v>99</v>
      </c>
      <c r="I45" s="14" t="s">
        <v>100</v>
      </c>
      <c r="J45" s="47" t="s">
        <v>101</v>
      </c>
      <c r="K45" s="14" t="s">
        <v>102</v>
      </c>
      <c r="L45" s="47" t="s">
        <v>103</v>
      </c>
      <c r="M45" s="14" t="s">
        <v>104</v>
      </c>
      <c r="N45" s="47" t="s">
        <v>105</v>
      </c>
      <c r="O45" s="14" t="s">
        <v>106</v>
      </c>
      <c r="P45" s="47" t="s">
        <v>108</v>
      </c>
      <c r="Q45" s="14" t="s">
        <v>109</v>
      </c>
    </row>
    <row r="46" spans="1:17" ht="15.95" customHeight="1" x14ac:dyDescent="0.25">
      <c r="B46" s="45"/>
      <c r="C46" s="43" t="s">
        <v>54</v>
      </c>
      <c r="D46" s="48">
        <v>50</v>
      </c>
      <c r="E46" s="44">
        <v>50</v>
      </c>
      <c r="F46" s="48">
        <v>50</v>
      </c>
      <c r="G46" s="44"/>
      <c r="H46" s="48"/>
      <c r="I46" s="44"/>
      <c r="J46" s="48"/>
      <c r="K46" s="44"/>
      <c r="L46" s="48"/>
      <c r="M46" s="44"/>
      <c r="N46" s="48"/>
      <c r="O46" s="44"/>
      <c r="P46" s="48">
        <f>SUM(医療保険[[#This Row],[1 月]:[12 月]])</f>
        <v>150</v>
      </c>
      <c r="Q46" s="44"/>
    </row>
    <row r="47" spans="1:17" ht="15.95" customHeight="1" x14ac:dyDescent="0.25">
      <c r="B47" s="45"/>
      <c r="C47" s="43" t="s">
        <v>43</v>
      </c>
      <c r="D47" s="48">
        <v>225</v>
      </c>
      <c r="E47" s="44">
        <v>225</v>
      </c>
      <c r="F47" s="48">
        <v>225</v>
      </c>
      <c r="G47" s="44"/>
      <c r="H47" s="48"/>
      <c r="I47" s="44"/>
      <c r="J47" s="48"/>
      <c r="K47" s="44"/>
      <c r="L47" s="48"/>
      <c r="M47" s="44"/>
      <c r="N47" s="48"/>
      <c r="O47" s="44"/>
      <c r="P47" s="48">
        <f>SUM(医療保険[[#This Row],[1 月]:[12 月]])</f>
        <v>675</v>
      </c>
      <c r="Q47" s="36"/>
    </row>
    <row r="48" spans="1:17" ht="15.95" customHeight="1" x14ac:dyDescent="0.25">
      <c r="B48" s="45"/>
      <c r="C48" s="43" t="s">
        <v>55</v>
      </c>
      <c r="D48" s="48">
        <v>100</v>
      </c>
      <c r="E48" s="44">
        <v>100</v>
      </c>
      <c r="F48" s="48">
        <v>100</v>
      </c>
      <c r="G48" s="44"/>
      <c r="H48" s="48"/>
      <c r="I48" s="44"/>
      <c r="J48" s="48"/>
      <c r="K48" s="44"/>
      <c r="L48" s="48"/>
      <c r="M48" s="44"/>
      <c r="N48" s="48"/>
      <c r="O48" s="44"/>
      <c r="P48" s="48">
        <f>SUM(医療保険[[#This Row],[1 月]:[12 月]])</f>
        <v>300</v>
      </c>
      <c r="Q48" s="44"/>
    </row>
    <row r="49" spans="1:17" ht="15.95" customHeight="1" x14ac:dyDescent="0.25">
      <c r="A49" s="26"/>
      <c r="C49" s="51" t="s">
        <v>56</v>
      </c>
      <c r="D49" s="48">
        <v>6</v>
      </c>
      <c r="E49" s="44">
        <v>2</v>
      </c>
      <c r="F49" s="48">
        <v>9</v>
      </c>
      <c r="G49" s="44"/>
      <c r="H49" s="48"/>
      <c r="I49" s="44"/>
      <c r="J49" s="48"/>
      <c r="K49" s="44"/>
      <c r="L49" s="48"/>
      <c r="M49" s="44"/>
      <c r="N49" s="48"/>
      <c r="O49" s="44"/>
      <c r="P49" s="48">
        <f>SUM(医療保険[[#This Row],[1 月]:[12 月]])</f>
        <v>17</v>
      </c>
      <c r="Q49" s="36"/>
    </row>
    <row r="50" spans="1:17" ht="15.95" customHeight="1" x14ac:dyDescent="0.25">
      <c r="B50" s="45"/>
      <c r="C50" s="51" t="s">
        <v>57</v>
      </c>
      <c r="D50" s="48">
        <v>20</v>
      </c>
      <c r="E50" s="44"/>
      <c r="F50" s="48">
        <v>41</v>
      </c>
      <c r="G50" s="44"/>
      <c r="H50" s="48"/>
      <c r="I50" s="44"/>
      <c r="J50" s="48"/>
      <c r="K50" s="44"/>
      <c r="L50" s="48"/>
      <c r="M50" s="44"/>
      <c r="N50" s="48"/>
      <c r="O50" s="44"/>
      <c r="P50" s="48">
        <f>SUM(医療保険[[#This Row],[1 月]:[12 月]])</f>
        <v>61</v>
      </c>
      <c r="Q50" s="44"/>
    </row>
    <row r="51" spans="1:17" ht="15.95" customHeight="1" x14ac:dyDescent="0.25">
      <c r="B51" s="45"/>
      <c r="C51" s="43" t="s">
        <v>58</v>
      </c>
      <c r="D51" s="48">
        <v>4</v>
      </c>
      <c r="E51" s="44"/>
      <c r="F51" s="48">
        <v>25</v>
      </c>
      <c r="G51" s="44"/>
      <c r="H51" s="48"/>
      <c r="I51" s="44"/>
      <c r="J51" s="48"/>
      <c r="K51" s="44"/>
      <c r="L51" s="48"/>
      <c r="M51" s="44"/>
      <c r="N51" s="48"/>
      <c r="O51" s="44"/>
      <c r="P51" s="48">
        <f>SUM(医療保険[[#This Row],[1 月]:[12 月]])</f>
        <v>29</v>
      </c>
      <c r="Q51" s="36"/>
    </row>
    <row r="52" spans="1:17" ht="15.95" customHeight="1" x14ac:dyDescent="0.25">
      <c r="B52" s="45"/>
      <c r="C52" s="43" t="s">
        <v>59</v>
      </c>
      <c r="D52" s="48">
        <v>55</v>
      </c>
      <c r="E52" s="44">
        <v>55</v>
      </c>
      <c r="F52" s="48">
        <v>55</v>
      </c>
      <c r="G52" s="44"/>
      <c r="H52" s="48"/>
      <c r="I52" s="44"/>
      <c r="J52" s="48"/>
      <c r="K52" s="44"/>
      <c r="L52" s="48"/>
      <c r="M52" s="44"/>
      <c r="N52" s="48"/>
      <c r="O52" s="44"/>
      <c r="P52" s="48">
        <f>SUM(医療保険[[#This Row],[1 月]:[12 月]])</f>
        <v>165</v>
      </c>
      <c r="Q52" s="44"/>
    </row>
    <row r="53" spans="1:17" ht="21" customHeight="1" thickBot="1" x14ac:dyDescent="0.3">
      <c r="B53" s="45"/>
      <c r="C53" s="49" t="s">
        <v>110</v>
      </c>
      <c r="D53" s="50">
        <f>SUBTOTAL(109,医療保険[1 月])</f>
        <v>460</v>
      </c>
      <c r="E53" s="39">
        <f>SUBTOTAL(109,医療保険[2 月])</f>
        <v>432</v>
      </c>
      <c r="F53" s="50">
        <f>SUBTOTAL(109,医療保険[3 月])</f>
        <v>505</v>
      </c>
      <c r="G53" s="39">
        <f>SUBTOTAL(109,医療保険[4 月])</f>
        <v>0</v>
      </c>
      <c r="H53" s="50">
        <f>SUBTOTAL(109,医療保険[5 月])</f>
        <v>0</v>
      </c>
      <c r="I53" s="39">
        <f>SUBTOTAL(109,医療保険[6 月])</f>
        <v>0</v>
      </c>
      <c r="J53" s="50">
        <f>SUBTOTAL(109,医療保険[7 月])</f>
        <v>0</v>
      </c>
      <c r="K53" s="39">
        <f>SUBTOTAL(109,医療保険[8 月])</f>
        <v>0</v>
      </c>
      <c r="L53" s="50">
        <f>SUBTOTAL(109,医療保険[9 月])</f>
        <v>0</v>
      </c>
      <c r="M53" s="39">
        <f>SUBTOTAL(109,医療保険[10 月])</f>
        <v>0</v>
      </c>
      <c r="N53" s="50">
        <f>SUBTOTAL(109,医療保険[11 月])</f>
        <v>0</v>
      </c>
      <c r="O53" s="39">
        <f>SUBTOTAL(109,医療保険[12 月])</f>
        <v>0</v>
      </c>
      <c r="P53" s="50">
        <f>SUBTOTAL(109,医療保険[年度])</f>
        <v>1397</v>
      </c>
      <c r="Q53" s="40"/>
    </row>
    <row r="54" spans="1:17" ht="20.100000000000001" customHeight="1" thickTop="1" x14ac:dyDescent="0.25">
      <c r="C54" s="68"/>
      <c r="D54" s="68"/>
      <c r="E54" s="68"/>
      <c r="F54" s="68"/>
      <c r="G54" s="68"/>
      <c r="H54" s="68"/>
      <c r="I54" s="68"/>
      <c r="J54" s="68"/>
      <c r="K54" s="68"/>
      <c r="L54" s="68"/>
      <c r="M54" s="68"/>
      <c r="N54" s="68"/>
      <c r="O54" s="68"/>
      <c r="P54" s="68"/>
      <c r="Q54" s="68"/>
    </row>
    <row r="55" spans="1:17" ht="21" customHeight="1" x14ac:dyDescent="0.25">
      <c r="A55" s="5" t="s">
        <v>16</v>
      </c>
      <c r="B55" s="30"/>
      <c r="C55" s="41" t="s">
        <v>60</v>
      </c>
      <c r="D55" s="52" t="s">
        <v>95</v>
      </c>
      <c r="E55" s="14" t="s">
        <v>96</v>
      </c>
      <c r="F55" s="52" t="s">
        <v>97</v>
      </c>
      <c r="G55" s="14" t="s">
        <v>98</v>
      </c>
      <c r="H55" s="52" t="s">
        <v>99</v>
      </c>
      <c r="I55" s="14" t="s">
        <v>100</v>
      </c>
      <c r="J55" s="52" t="s">
        <v>101</v>
      </c>
      <c r="K55" s="14" t="s">
        <v>102</v>
      </c>
      <c r="L55" s="52" t="s">
        <v>103</v>
      </c>
      <c r="M55" s="14" t="s">
        <v>104</v>
      </c>
      <c r="N55" s="52" t="s">
        <v>105</v>
      </c>
      <c r="O55" s="14" t="s">
        <v>106</v>
      </c>
      <c r="P55" s="52" t="s">
        <v>108</v>
      </c>
      <c r="Q55" s="14" t="s">
        <v>109</v>
      </c>
    </row>
    <row r="56" spans="1:17" ht="15.95" customHeight="1" x14ac:dyDescent="0.25">
      <c r="B56" s="30"/>
      <c r="C56" s="43" t="s">
        <v>61</v>
      </c>
      <c r="D56" s="34"/>
      <c r="E56" s="44">
        <v>485</v>
      </c>
      <c r="F56" s="34"/>
      <c r="G56" s="44"/>
      <c r="H56" s="34"/>
      <c r="I56" s="44"/>
      <c r="J56" s="34"/>
      <c r="K56" s="44"/>
      <c r="L56" s="34"/>
      <c r="M56" s="44"/>
      <c r="N56" s="34"/>
      <c r="O56" s="44"/>
      <c r="P56" s="34">
        <f>SUM(休暇[[#This Row],[1 月]:[12 月]])</f>
        <v>485</v>
      </c>
      <c r="Q56" s="36"/>
    </row>
    <row r="57" spans="1:17" ht="15.95" customHeight="1" x14ac:dyDescent="0.25">
      <c r="C57" s="53" t="s">
        <v>62</v>
      </c>
      <c r="D57" s="34"/>
      <c r="E57" s="44">
        <v>245</v>
      </c>
      <c r="F57" s="34"/>
      <c r="G57" s="44"/>
      <c r="H57" s="34"/>
      <c r="I57" s="44"/>
      <c r="J57" s="34"/>
      <c r="K57" s="44"/>
      <c r="L57" s="34"/>
      <c r="M57" s="44"/>
      <c r="N57" s="34"/>
      <c r="O57" s="44"/>
      <c r="P57" s="34">
        <f>SUM(休暇[[#This Row],[1 月]:[12 月]])</f>
        <v>245</v>
      </c>
      <c r="Q57" s="44"/>
    </row>
    <row r="58" spans="1:17" ht="15.95" customHeight="1" x14ac:dyDescent="0.25">
      <c r="B58" s="30"/>
      <c r="C58" s="43" t="s">
        <v>63</v>
      </c>
      <c r="D58" s="34"/>
      <c r="E58" s="44">
        <v>95</v>
      </c>
      <c r="F58" s="34"/>
      <c r="G58" s="44"/>
      <c r="H58" s="34"/>
      <c r="I58" s="44"/>
      <c r="J58" s="34"/>
      <c r="K58" s="44"/>
      <c r="L58" s="34"/>
      <c r="M58" s="44"/>
      <c r="N58" s="34"/>
      <c r="O58" s="44"/>
      <c r="P58" s="34">
        <f>SUM(休暇[[#This Row],[1 月]:[12 月]])</f>
        <v>95</v>
      </c>
      <c r="Q58" s="36"/>
    </row>
    <row r="59" spans="1:17" ht="15.95" customHeight="1" x14ac:dyDescent="0.25">
      <c r="B59" s="30"/>
      <c r="C59" s="43" t="s">
        <v>64</v>
      </c>
      <c r="D59" s="34"/>
      <c r="E59" s="44"/>
      <c r="F59" s="34"/>
      <c r="G59" s="44"/>
      <c r="H59" s="34"/>
      <c r="I59" s="44"/>
      <c r="J59" s="34"/>
      <c r="K59" s="44"/>
      <c r="L59" s="34"/>
      <c r="M59" s="44"/>
      <c r="N59" s="34"/>
      <c r="O59" s="44"/>
      <c r="P59" s="34">
        <f>SUM(休暇[[#This Row],[1 月]:[12 月]])</f>
        <v>0</v>
      </c>
      <c r="Q59" s="44"/>
    </row>
    <row r="60" spans="1:17" ht="15.95" customHeight="1" x14ac:dyDescent="0.25">
      <c r="B60" s="30"/>
      <c r="C60" s="43" t="s">
        <v>65</v>
      </c>
      <c r="D60" s="34"/>
      <c r="E60" s="44"/>
      <c r="F60" s="34"/>
      <c r="G60" s="44"/>
      <c r="H60" s="34"/>
      <c r="I60" s="44"/>
      <c r="J60" s="34"/>
      <c r="K60" s="44"/>
      <c r="L60" s="34"/>
      <c r="M60" s="44"/>
      <c r="N60" s="34"/>
      <c r="O60" s="44"/>
      <c r="P60" s="34">
        <f>SUM(休暇[[#This Row],[1 月]:[12 月]])</f>
        <v>0</v>
      </c>
      <c r="Q60" s="36"/>
    </row>
    <row r="61" spans="1:17" ht="15.95" customHeight="1" x14ac:dyDescent="0.25">
      <c r="B61" s="30"/>
      <c r="C61" s="43" t="s">
        <v>66</v>
      </c>
      <c r="D61" s="34"/>
      <c r="E61" s="44">
        <v>85</v>
      </c>
      <c r="F61" s="34"/>
      <c r="G61" s="44"/>
      <c r="H61" s="34"/>
      <c r="I61" s="44"/>
      <c r="J61" s="34"/>
      <c r="K61" s="44"/>
      <c r="L61" s="34"/>
      <c r="M61" s="44"/>
      <c r="N61" s="34"/>
      <c r="O61" s="44"/>
      <c r="P61" s="34">
        <f>SUM(休暇[[#This Row],[1 月]:[12 月]])</f>
        <v>85</v>
      </c>
      <c r="Q61" s="44"/>
    </row>
    <row r="62" spans="1:17" ht="21" customHeight="1" thickBot="1" x14ac:dyDescent="0.3">
      <c r="B62" s="30"/>
      <c r="C62" s="37" t="s">
        <v>110</v>
      </c>
      <c r="D62" s="38">
        <f>SUBTOTAL(109,休暇[1 月])</f>
        <v>0</v>
      </c>
      <c r="E62" s="39">
        <f>SUBTOTAL(109,休暇[2 月])</f>
        <v>910</v>
      </c>
      <c r="F62" s="38">
        <f>SUBTOTAL(109,休暇[3 月])</f>
        <v>0</v>
      </c>
      <c r="G62" s="39">
        <f>SUBTOTAL(109,休暇[4 月])</f>
        <v>0</v>
      </c>
      <c r="H62" s="38">
        <f>SUBTOTAL(109,休暇[5 月])</f>
        <v>0</v>
      </c>
      <c r="I62" s="39">
        <f>SUBTOTAL(109,休暇[6 月])</f>
        <v>0</v>
      </c>
      <c r="J62" s="38">
        <f>SUBTOTAL(109,休暇[7 月])</f>
        <v>0</v>
      </c>
      <c r="K62" s="39">
        <f>SUBTOTAL(109,休暇[8 月])</f>
        <v>0</v>
      </c>
      <c r="L62" s="38">
        <f>SUBTOTAL(109,休暇[9 月])</f>
        <v>0</v>
      </c>
      <c r="M62" s="39">
        <f>SUBTOTAL(109,休暇[10 月])</f>
        <v>0</v>
      </c>
      <c r="N62" s="38">
        <f>SUBTOTAL(109,休暇[11 月])</f>
        <v>0</v>
      </c>
      <c r="O62" s="39">
        <f>SUBTOTAL(109,休暇[12 月])</f>
        <v>0</v>
      </c>
      <c r="P62" s="38">
        <f>SUBTOTAL(109,休暇[年度])</f>
        <v>910</v>
      </c>
      <c r="Q62" s="40"/>
    </row>
    <row r="63" spans="1:17" ht="20.100000000000001" customHeight="1" thickTop="1" x14ac:dyDescent="0.25">
      <c r="C63" s="68"/>
      <c r="D63" s="68"/>
      <c r="E63" s="68"/>
      <c r="F63" s="68"/>
      <c r="G63" s="68"/>
      <c r="H63" s="68"/>
      <c r="I63" s="68"/>
      <c r="J63" s="68"/>
      <c r="K63" s="68"/>
      <c r="L63" s="68"/>
      <c r="M63" s="68"/>
      <c r="N63" s="68"/>
      <c r="O63" s="68"/>
      <c r="P63" s="68"/>
      <c r="Q63" s="68"/>
    </row>
    <row r="64" spans="1:17" ht="21" customHeight="1" x14ac:dyDescent="0.25">
      <c r="A64" s="5" t="s">
        <v>17</v>
      </c>
      <c r="B64" s="30"/>
      <c r="C64" s="41" t="s">
        <v>67</v>
      </c>
      <c r="D64" s="54" t="s">
        <v>95</v>
      </c>
      <c r="E64" s="55" t="s">
        <v>96</v>
      </c>
      <c r="F64" s="54" t="s">
        <v>97</v>
      </c>
      <c r="G64" s="55" t="s">
        <v>98</v>
      </c>
      <c r="H64" s="54" t="s">
        <v>99</v>
      </c>
      <c r="I64" s="55" t="s">
        <v>100</v>
      </c>
      <c r="J64" s="54" t="s">
        <v>101</v>
      </c>
      <c r="K64" s="55" t="s">
        <v>102</v>
      </c>
      <c r="L64" s="54" t="s">
        <v>103</v>
      </c>
      <c r="M64" s="55" t="s">
        <v>104</v>
      </c>
      <c r="N64" s="54" t="s">
        <v>105</v>
      </c>
      <c r="O64" s="55" t="s">
        <v>106</v>
      </c>
      <c r="P64" s="54" t="s">
        <v>108</v>
      </c>
      <c r="Q64" s="55" t="s">
        <v>109</v>
      </c>
    </row>
    <row r="65" spans="1:17" ht="15.95" customHeight="1" x14ac:dyDescent="0.25">
      <c r="B65" s="30"/>
      <c r="C65" s="43" t="s">
        <v>68</v>
      </c>
      <c r="D65" s="34"/>
      <c r="E65" s="44"/>
      <c r="F65" s="34"/>
      <c r="G65" s="44"/>
      <c r="H65" s="34"/>
      <c r="I65" s="44"/>
      <c r="J65" s="34"/>
      <c r="K65" s="44"/>
      <c r="L65" s="34"/>
      <c r="M65" s="44"/>
      <c r="N65" s="34"/>
      <c r="O65" s="44"/>
      <c r="P65" s="34">
        <f>SUM(レクリエーション[[#This Row],[1 月]:[12 月]])</f>
        <v>0</v>
      </c>
      <c r="Q65" s="36"/>
    </row>
    <row r="66" spans="1:17" ht="15.95" customHeight="1" x14ac:dyDescent="0.25">
      <c r="B66" s="30"/>
      <c r="C66" s="43" t="s">
        <v>69</v>
      </c>
      <c r="D66" s="34"/>
      <c r="E66" s="44"/>
      <c r="F66" s="34"/>
      <c r="G66" s="44"/>
      <c r="H66" s="34"/>
      <c r="I66" s="44"/>
      <c r="J66" s="34"/>
      <c r="K66" s="44"/>
      <c r="L66" s="34"/>
      <c r="M66" s="44"/>
      <c r="N66" s="34"/>
      <c r="O66" s="44"/>
      <c r="P66" s="34">
        <f>SUM(レクリエーション[[#This Row],[1 月]:[12 月]])</f>
        <v>0</v>
      </c>
      <c r="Q66" s="44"/>
    </row>
    <row r="67" spans="1:17" ht="15.95" customHeight="1" x14ac:dyDescent="0.25">
      <c r="B67" s="30"/>
      <c r="C67" s="43" t="s">
        <v>70</v>
      </c>
      <c r="D67" s="34"/>
      <c r="E67" s="44"/>
      <c r="F67" s="34"/>
      <c r="G67" s="44"/>
      <c r="H67" s="34"/>
      <c r="I67" s="44"/>
      <c r="J67" s="34"/>
      <c r="K67" s="44"/>
      <c r="L67" s="34"/>
      <c r="M67" s="44"/>
      <c r="N67" s="34"/>
      <c r="O67" s="44"/>
      <c r="P67" s="34">
        <f>SUM(レクリエーション[[#This Row],[1 月]:[12 月]])</f>
        <v>0</v>
      </c>
      <c r="Q67" s="36"/>
    </row>
    <row r="68" spans="1:17" ht="15.95" customHeight="1" x14ac:dyDescent="0.25">
      <c r="B68" s="30"/>
      <c r="C68" s="43" t="s">
        <v>71</v>
      </c>
      <c r="D68" s="34">
        <v>39</v>
      </c>
      <c r="E68" s="44">
        <v>33</v>
      </c>
      <c r="F68" s="34">
        <v>40</v>
      </c>
      <c r="G68" s="44"/>
      <c r="H68" s="34"/>
      <c r="I68" s="44"/>
      <c r="J68" s="34"/>
      <c r="K68" s="44"/>
      <c r="L68" s="34"/>
      <c r="M68" s="44"/>
      <c r="N68" s="34"/>
      <c r="O68" s="44"/>
      <c r="P68" s="34">
        <f>SUM(レクリエーション[[#This Row],[1 月]:[12 月]])</f>
        <v>112</v>
      </c>
      <c r="Q68" s="44"/>
    </row>
    <row r="69" spans="1:17" ht="21" customHeight="1" thickBot="1" x14ac:dyDescent="0.3">
      <c r="B69" s="30"/>
      <c r="C69" s="37" t="s">
        <v>110</v>
      </c>
      <c r="D69" s="38">
        <f>SUBTOTAL(109,レクリエーション[1 月])</f>
        <v>39</v>
      </c>
      <c r="E69" s="39">
        <f>SUBTOTAL(109,レクリエーション[2 月])</f>
        <v>33</v>
      </c>
      <c r="F69" s="38">
        <f>SUBTOTAL(109,レクリエーション[3 月])</f>
        <v>40</v>
      </c>
      <c r="G69" s="39">
        <f>SUBTOTAL(109,レクリエーション[4 月])</f>
        <v>0</v>
      </c>
      <c r="H69" s="38">
        <f>SUBTOTAL(109,レクリエーション[5 月])</f>
        <v>0</v>
      </c>
      <c r="I69" s="39">
        <f>SUBTOTAL(109,レクリエーション[6 月])</f>
        <v>0</v>
      </c>
      <c r="J69" s="38">
        <f>SUBTOTAL(109,レクリエーション[7 月])</f>
        <v>0</v>
      </c>
      <c r="K69" s="39">
        <f>SUBTOTAL(109,レクリエーション[8 月])</f>
        <v>0</v>
      </c>
      <c r="L69" s="38">
        <f>SUBTOTAL(109,レクリエーション[9 月])</f>
        <v>0</v>
      </c>
      <c r="M69" s="39">
        <f>SUBTOTAL(109,レクリエーション[10 月])</f>
        <v>0</v>
      </c>
      <c r="N69" s="38">
        <f>SUBTOTAL(109,レクリエーション[11 月])</f>
        <v>0</v>
      </c>
      <c r="O69" s="39">
        <f>SUBTOTAL(109,レクリエーション[12 月])</f>
        <v>0</v>
      </c>
      <c r="P69" s="38">
        <f>SUBTOTAL(109,レクリエーション[年度])</f>
        <v>112</v>
      </c>
      <c r="Q69" s="40"/>
    </row>
    <row r="70" spans="1:17" ht="20.100000000000001" customHeight="1" thickTop="1" x14ac:dyDescent="0.25">
      <c r="C70" s="68"/>
      <c r="D70" s="68"/>
      <c r="E70" s="68"/>
      <c r="F70" s="68"/>
      <c r="G70" s="68"/>
      <c r="H70" s="68"/>
      <c r="I70" s="68"/>
      <c r="J70" s="68"/>
      <c r="K70" s="68"/>
      <c r="L70" s="68"/>
      <c r="M70" s="68"/>
      <c r="N70" s="68"/>
      <c r="O70" s="68"/>
      <c r="P70" s="68"/>
      <c r="Q70" s="68"/>
    </row>
    <row r="71" spans="1:17" ht="21" customHeight="1" x14ac:dyDescent="0.25">
      <c r="A71" s="5" t="s">
        <v>18</v>
      </c>
      <c r="B71" s="45"/>
      <c r="C71" s="46" t="s">
        <v>72</v>
      </c>
      <c r="D71" s="56" t="s">
        <v>95</v>
      </c>
      <c r="E71" s="55" t="s">
        <v>96</v>
      </c>
      <c r="F71" s="56" t="s">
        <v>97</v>
      </c>
      <c r="G71" s="55" t="s">
        <v>98</v>
      </c>
      <c r="H71" s="56" t="s">
        <v>99</v>
      </c>
      <c r="I71" s="55" t="s">
        <v>100</v>
      </c>
      <c r="J71" s="56" t="s">
        <v>101</v>
      </c>
      <c r="K71" s="55" t="s">
        <v>102</v>
      </c>
      <c r="L71" s="56" t="s">
        <v>103</v>
      </c>
      <c r="M71" s="55" t="s">
        <v>104</v>
      </c>
      <c r="N71" s="56" t="s">
        <v>105</v>
      </c>
      <c r="O71" s="55" t="s">
        <v>106</v>
      </c>
      <c r="P71" s="56" t="s">
        <v>108</v>
      </c>
      <c r="Q71" s="55" t="s">
        <v>109</v>
      </c>
    </row>
    <row r="72" spans="1:17" ht="15.95" customHeight="1" x14ac:dyDescent="0.25">
      <c r="C72" s="51" t="s">
        <v>73</v>
      </c>
      <c r="D72" s="48"/>
      <c r="E72" s="44"/>
      <c r="F72" s="48"/>
      <c r="G72" s="44"/>
      <c r="H72" s="48"/>
      <c r="I72" s="44"/>
      <c r="J72" s="48"/>
      <c r="K72" s="44"/>
      <c r="L72" s="48"/>
      <c r="M72" s="44"/>
      <c r="N72" s="48"/>
      <c r="O72" s="44"/>
      <c r="P72" s="48">
        <f>SUM(会費と購読料[[#This Row],[1 月]:[12 月]])</f>
        <v>0</v>
      </c>
      <c r="Q72" s="44"/>
    </row>
    <row r="73" spans="1:17" ht="15.95" customHeight="1" x14ac:dyDescent="0.25">
      <c r="B73" s="45"/>
      <c r="C73" s="43" t="s">
        <v>74</v>
      </c>
      <c r="D73" s="48"/>
      <c r="E73" s="44"/>
      <c r="F73" s="48"/>
      <c r="G73" s="44"/>
      <c r="H73" s="48"/>
      <c r="I73" s="44"/>
      <c r="J73" s="48"/>
      <c r="K73" s="44"/>
      <c r="L73" s="48"/>
      <c r="M73" s="44"/>
      <c r="N73" s="48"/>
      <c r="O73" s="44"/>
      <c r="P73" s="48">
        <f>SUM(会費と購読料[[#This Row],[1 月]:[12 月]])</f>
        <v>0</v>
      </c>
      <c r="Q73" s="36"/>
    </row>
    <row r="74" spans="1:17" ht="15.95" customHeight="1" x14ac:dyDescent="0.25">
      <c r="B74" s="45"/>
      <c r="C74" s="43" t="s">
        <v>75</v>
      </c>
      <c r="D74" s="48"/>
      <c r="E74" s="44"/>
      <c r="F74" s="48"/>
      <c r="G74" s="44"/>
      <c r="H74" s="48"/>
      <c r="I74" s="44"/>
      <c r="J74" s="48"/>
      <c r="K74" s="44"/>
      <c r="L74" s="48"/>
      <c r="M74" s="44"/>
      <c r="N74" s="48"/>
      <c r="O74" s="44"/>
      <c r="P74" s="48">
        <f>SUM(会費と購読料[[#This Row],[1 月]:[12 月]])</f>
        <v>0</v>
      </c>
      <c r="Q74" s="44"/>
    </row>
    <row r="75" spans="1:17" ht="15.95" customHeight="1" x14ac:dyDescent="0.25">
      <c r="B75" s="45"/>
      <c r="C75" s="43" t="s">
        <v>76</v>
      </c>
      <c r="D75" s="48"/>
      <c r="E75" s="44"/>
      <c r="F75" s="48"/>
      <c r="G75" s="44"/>
      <c r="H75" s="48"/>
      <c r="I75" s="44"/>
      <c r="J75" s="48"/>
      <c r="K75" s="44"/>
      <c r="L75" s="48"/>
      <c r="M75" s="44"/>
      <c r="N75" s="48"/>
      <c r="O75" s="44"/>
      <c r="P75" s="48">
        <f>SUM(会費と購読料[[#This Row],[1 月]:[12 月]])</f>
        <v>0</v>
      </c>
      <c r="Q75" s="36"/>
    </row>
    <row r="76" spans="1:17" ht="15.95" customHeight="1" x14ac:dyDescent="0.25">
      <c r="B76" s="45"/>
      <c r="C76" s="43" t="s">
        <v>77</v>
      </c>
      <c r="D76" s="48"/>
      <c r="E76" s="44"/>
      <c r="F76" s="48"/>
      <c r="G76" s="44"/>
      <c r="H76" s="48"/>
      <c r="I76" s="44"/>
      <c r="J76" s="48"/>
      <c r="K76" s="44"/>
      <c r="L76" s="48"/>
      <c r="M76" s="44"/>
      <c r="N76" s="48"/>
      <c r="O76" s="44"/>
      <c r="P76" s="48">
        <f>SUM(会費と購読料[[#This Row],[1 月]:[12 月]])</f>
        <v>0</v>
      </c>
      <c r="Q76" s="44"/>
    </row>
    <row r="77" spans="1:17" ht="15.95" customHeight="1" x14ac:dyDescent="0.25">
      <c r="B77" s="45"/>
      <c r="C77" s="43" t="s">
        <v>78</v>
      </c>
      <c r="D77" s="48">
        <v>29</v>
      </c>
      <c r="E77" s="44">
        <v>18</v>
      </c>
      <c r="F77" s="48">
        <v>17</v>
      </c>
      <c r="G77" s="44"/>
      <c r="H77" s="48"/>
      <c r="I77" s="44"/>
      <c r="J77" s="48"/>
      <c r="K77" s="44"/>
      <c r="L77" s="48"/>
      <c r="M77" s="44"/>
      <c r="N77" s="48"/>
      <c r="O77" s="44"/>
      <c r="P77" s="48">
        <f>SUM(会費と購読料[[#This Row],[1 月]:[12 月]])</f>
        <v>64</v>
      </c>
      <c r="Q77" s="36"/>
    </row>
    <row r="78" spans="1:17" ht="15.95" customHeight="1" x14ac:dyDescent="0.25">
      <c r="B78" s="45"/>
      <c r="C78" s="43" t="s">
        <v>79</v>
      </c>
      <c r="D78" s="48"/>
      <c r="E78" s="44"/>
      <c r="F78" s="48"/>
      <c r="G78" s="44"/>
      <c r="H78" s="48"/>
      <c r="I78" s="44"/>
      <c r="J78" s="48"/>
      <c r="K78" s="44"/>
      <c r="L78" s="48"/>
      <c r="M78" s="44"/>
      <c r="N78" s="48"/>
      <c r="O78" s="44"/>
      <c r="P78" s="48">
        <f>SUM(会費と購読料[[#This Row],[1 月]:[12 月]])</f>
        <v>0</v>
      </c>
      <c r="Q78" s="44"/>
    </row>
    <row r="79" spans="1:17" ht="21" customHeight="1" thickBot="1" x14ac:dyDescent="0.3">
      <c r="B79" s="45"/>
      <c r="C79" s="49" t="s">
        <v>110</v>
      </c>
      <c r="D79" s="50">
        <f>SUBTOTAL(109,会費と購読料[1 月])</f>
        <v>29</v>
      </c>
      <c r="E79" s="39">
        <f>SUBTOTAL(109,会費と購読料[2 月])</f>
        <v>18</v>
      </c>
      <c r="F79" s="50">
        <f>SUBTOTAL(109,会費と購読料[3 月])</f>
        <v>17</v>
      </c>
      <c r="G79" s="39">
        <f>SUBTOTAL(109,会費と購読料[4 月])</f>
        <v>0</v>
      </c>
      <c r="H79" s="50">
        <f>SUBTOTAL(109,会費と購読料[5 月])</f>
        <v>0</v>
      </c>
      <c r="I79" s="39">
        <f>SUBTOTAL(109,会費と購読料[6 月])</f>
        <v>0</v>
      </c>
      <c r="J79" s="50">
        <f>SUBTOTAL(109,会費と購読料[7 月])</f>
        <v>0</v>
      </c>
      <c r="K79" s="39">
        <f>SUBTOTAL(109,会費と購読料[8 月])</f>
        <v>0</v>
      </c>
      <c r="L79" s="50">
        <f>SUBTOTAL(109,会費と購読料[9 月])</f>
        <v>0</v>
      </c>
      <c r="M79" s="39">
        <f>SUBTOTAL(109,会費と購読料[10 月])</f>
        <v>0</v>
      </c>
      <c r="N79" s="50">
        <f>SUBTOTAL(109,会費と購読料[11 月])</f>
        <v>0</v>
      </c>
      <c r="O79" s="39">
        <f>SUBTOTAL(109,会費と購読料[12 月])</f>
        <v>0</v>
      </c>
      <c r="P79" s="50">
        <f>SUBTOTAL(109,会費と購読料[年度])</f>
        <v>64</v>
      </c>
      <c r="Q79" s="40"/>
    </row>
    <row r="80" spans="1:17" ht="20.100000000000001" customHeight="1" thickTop="1" x14ac:dyDescent="0.25">
      <c r="C80" s="68"/>
      <c r="D80" s="68"/>
      <c r="E80" s="68"/>
      <c r="F80" s="68"/>
      <c r="G80" s="68"/>
      <c r="H80" s="68"/>
      <c r="I80" s="68"/>
      <c r="J80" s="68"/>
      <c r="K80" s="68"/>
      <c r="L80" s="68"/>
      <c r="M80" s="68"/>
      <c r="N80" s="68"/>
      <c r="O80" s="68"/>
      <c r="P80" s="68"/>
      <c r="Q80" s="68"/>
    </row>
    <row r="81" spans="1:17" ht="21" customHeight="1" x14ac:dyDescent="0.25">
      <c r="A81" s="5" t="s">
        <v>19</v>
      </c>
      <c r="B81" s="45"/>
      <c r="C81" s="46" t="s">
        <v>80</v>
      </c>
      <c r="D81" s="56" t="s">
        <v>95</v>
      </c>
      <c r="E81" s="55" t="s">
        <v>96</v>
      </c>
      <c r="F81" s="56" t="s">
        <v>97</v>
      </c>
      <c r="G81" s="55" t="s">
        <v>98</v>
      </c>
      <c r="H81" s="56" t="s">
        <v>99</v>
      </c>
      <c r="I81" s="55" t="s">
        <v>100</v>
      </c>
      <c r="J81" s="56" t="s">
        <v>101</v>
      </c>
      <c r="K81" s="55" t="s">
        <v>102</v>
      </c>
      <c r="L81" s="56" t="s">
        <v>103</v>
      </c>
      <c r="M81" s="55" t="s">
        <v>104</v>
      </c>
      <c r="N81" s="56" t="s">
        <v>105</v>
      </c>
      <c r="O81" s="55" t="s">
        <v>106</v>
      </c>
      <c r="P81" s="56" t="s">
        <v>108</v>
      </c>
      <c r="Q81" s="55" t="s">
        <v>109</v>
      </c>
    </row>
    <row r="82" spans="1:17" ht="15.95" customHeight="1" x14ac:dyDescent="0.25">
      <c r="B82" s="45"/>
      <c r="C82" s="43" t="s">
        <v>81</v>
      </c>
      <c r="D82" s="48"/>
      <c r="E82" s="44"/>
      <c r="F82" s="48">
        <v>29</v>
      </c>
      <c r="G82" s="44"/>
      <c r="H82" s="48"/>
      <c r="I82" s="44"/>
      <c r="J82" s="48"/>
      <c r="K82" s="44"/>
      <c r="L82" s="48"/>
      <c r="M82" s="44"/>
      <c r="N82" s="48"/>
      <c r="O82" s="44"/>
      <c r="P82" s="48">
        <f>SUM(個人[[#This Row],[1 月]:[12 月]])</f>
        <v>29</v>
      </c>
      <c r="Q82" s="44"/>
    </row>
    <row r="83" spans="1:17" ht="15.95" customHeight="1" x14ac:dyDescent="0.25">
      <c r="B83" s="45"/>
      <c r="C83" s="43" t="s">
        <v>82</v>
      </c>
      <c r="D83" s="48"/>
      <c r="E83" s="44">
        <v>35</v>
      </c>
      <c r="F83" s="48"/>
      <c r="G83" s="44"/>
      <c r="H83" s="48"/>
      <c r="I83" s="44"/>
      <c r="J83" s="48"/>
      <c r="K83" s="44"/>
      <c r="L83" s="48"/>
      <c r="M83" s="44"/>
      <c r="N83" s="48"/>
      <c r="O83" s="44"/>
      <c r="P83" s="48">
        <f>SUM(個人[[#This Row],[1 月]:[12 月]])</f>
        <v>35</v>
      </c>
      <c r="Q83" s="36"/>
    </row>
    <row r="84" spans="1:17" ht="15.95" customHeight="1" x14ac:dyDescent="0.25">
      <c r="B84" s="45"/>
      <c r="C84" s="43" t="s">
        <v>83</v>
      </c>
      <c r="D84" s="48">
        <v>25</v>
      </c>
      <c r="E84" s="44">
        <v>25</v>
      </c>
      <c r="F84" s="48">
        <v>25</v>
      </c>
      <c r="G84" s="44"/>
      <c r="H84" s="48"/>
      <c r="I84" s="44"/>
      <c r="J84" s="48"/>
      <c r="K84" s="44"/>
      <c r="L84" s="48"/>
      <c r="M84" s="44"/>
      <c r="N84" s="48"/>
      <c r="O84" s="44"/>
      <c r="P84" s="48">
        <f>SUM(個人[[#This Row],[1 月]:[12 月]])</f>
        <v>75</v>
      </c>
      <c r="Q84" s="44"/>
    </row>
    <row r="85" spans="1:17" ht="15.95" customHeight="1" x14ac:dyDescent="0.25">
      <c r="B85" s="45"/>
      <c r="C85" s="43" t="s">
        <v>84</v>
      </c>
      <c r="D85" s="48"/>
      <c r="E85" s="44"/>
      <c r="F85" s="48"/>
      <c r="G85" s="44"/>
      <c r="H85" s="48"/>
      <c r="I85" s="44"/>
      <c r="J85" s="48"/>
      <c r="K85" s="44"/>
      <c r="L85" s="48"/>
      <c r="M85" s="44"/>
      <c r="N85" s="48"/>
      <c r="O85" s="44"/>
      <c r="P85" s="48">
        <f>SUM(個人[[#This Row],[1 月]:[12 月]])</f>
        <v>0</v>
      </c>
      <c r="Q85" s="36"/>
    </row>
    <row r="86" spans="1:17" ht="15.95" customHeight="1" x14ac:dyDescent="0.25">
      <c r="B86" s="45"/>
      <c r="C86" s="43" t="s">
        <v>85</v>
      </c>
      <c r="D86" s="48"/>
      <c r="E86" s="44"/>
      <c r="F86" s="48"/>
      <c r="G86" s="44"/>
      <c r="H86" s="48"/>
      <c r="I86" s="44"/>
      <c r="J86" s="48"/>
      <c r="K86" s="44"/>
      <c r="L86" s="48"/>
      <c r="M86" s="44"/>
      <c r="N86" s="48"/>
      <c r="O86" s="44"/>
      <c r="P86" s="48">
        <f>SUM(個人[[#This Row],[1 月]:[12 月]])</f>
        <v>0</v>
      </c>
      <c r="Q86" s="44"/>
    </row>
    <row r="87" spans="1:17" ht="21" customHeight="1" thickBot="1" x14ac:dyDescent="0.3">
      <c r="B87" s="45"/>
      <c r="C87" s="49" t="s">
        <v>110</v>
      </c>
      <c r="D87" s="50">
        <f>SUBTOTAL(109,個人[1 月])</f>
        <v>25</v>
      </c>
      <c r="E87" s="39">
        <f>SUBTOTAL(109,個人[2 月])</f>
        <v>60</v>
      </c>
      <c r="F87" s="50">
        <f>SUBTOTAL(109,個人[3 月])</f>
        <v>54</v>
      </c>
      <c r="G87" s="39">
        <f>SUBTOTAL(109,個人[4 月])</f>
        <v>0</v>
      </c>
      <c r="H87" s="50">
        <f>SUBTOTAL(109,個人[5 月])</f>
        <v>0</v>
      </c>
      <c r="I87" s="39">
        <f>SUBTOTAL(109,個人[6 月])</f>
        <v>0</v>
      </c>
      <c r="J87" s="50">
        <f>SUBTOTAL(109,個人[7 月])</f>
        <v>0</v>
      </c>
      <c r="K87" s="39">
        <f>SUBTOTAL(109,個人[8 月])</f>
        <v>0</v>
      </c>
      <c r="L87" s="50">
        <f>SUBTOTAL(109,個人[9 月])</f>
        <v>0</v>
      </c>
      <c r="M87" s="39">
        <f>SUBTOTAL(109,個人[10 月])</f>
        <v>0</v>
      </c>
      <c r="N87" s="50">
        <f>SUBTOTAL(109,個人[11 月])</f>
        <v>0</v>
      </c>
      <c r="O87" s="39">
        <f>SUBTOTAL(109,個人[12 月])</f>
        <v>0</v>
      </c>
      <c r="P87" s="50">
        <f>SUBTOTAL(109,個人[年度])</f>
        <v>139</v>
      </c>
      <c r="Q87" s="40"/>
    </row>
    <row r="88" spans="1:17" ht="20.100000000000001" customHeight="1" thickTop="1" x14ac:dyDescent="0.25">
      <c r="C88" s="68"/>
      <c r="D88" s="68"/>
      <c r="E88" s="68"/>
      <c r="F88" s="68"/>
      <c r="G88" s="68"/>
      <c r="H88" s="68"/>
      <c r="I88" s="68"/>
      <c r="J88" s="68"/>
      <c r="K88" s="68"/>
      <c r="L88" s="68"/>
      <c r="M88" s="68"/>
      <c r="N88" s="68"/>
      <c r="O88" s="68"/>
      <c r="P88" s="68"/>
      <c r="Q88" s="68"/>
    </row>
    <row r="89" spans="1:17" ht="21" customHeight="1" x14ac:dyDescent="0.25">
      <c r="A89" s="5" t="s">
        <v>20</v>
      </c>
      <c r="B89" s="30"/>
      <c r="C89" s="41" t="s">
        <v>86</v>
      </c>
      <c r="D89" s="54" t="s">
        <v>95</v>
      </c>
      <c r="E89" s="55" t="s">
        <v>96</v>
      </c>
      <c r="F89" s="54" t="s">
        <v>97</v>
      </c>
      <c r="G89" s="55" t="s">
        <v>98</v>
      </c>
      <c r="H89" s="54" t="s">
        <v>99</v>
      </c>
      <c r="I89" s="55" t="s">
        <v>100</v>
      </c>
      <c r="J89" s="54" t="s">
        <v>101</v>
      </c>
      <c r="K89" s="55" t="s">
        <v>102</v>
      </c>
      <c r="L89" s="54" t="s">
        <v>103</v>
      </c>
      <c r="M89" s="55" t="s">
        <v>104</v>
      </c>
      <c r="N89" s="54" t="s">
        <v>105</v>
      </c>
      <c r="O89" s="55" t="s">
        <v>106</v>
      </c>
      <c r="P89" s="54" t="s">
        <v>108</v>
      </c>
      <c r="Q89" s="55" t="s">
        <v>109</v>
      </c>
    </row>
    <row r="90" spans="1:17" ht="15.95" customHeight="1" x14ac:dyDescent="0.25">
      <c r="B90" s="30"/>
      <c r="C90" s="43" t="s">
        <v>87</v>
      </c>
      <c r="D90" s="34">
        <v>25</v>
      </c>
      <c r="E90" s="44">
        <v>25</v>
      </c>
      <c r="F90" s="34">
        <v>25</v>
      </c>
      <c r="G90" s="44"/>
      <c r="H90" s="34"/>
      <c r="I90" s="44"/>
      <c r="J90" s="34"/>
      <c r="K90" s="44"/>
      <c r="L90" s="34"/>
      <c r="M90" s="44"/>
      <c r="N90" s="34"/>
      <c r="O90" s="44"/>
      <c r="P90" s="34">
        <f>SUM(金融​​[[#This Row],[1 月]:[12 月]])</f>
        <v>75</v>
      </c>
      <c r="Q90" s="44"/>
    </row>
    <row r="91" spans="1:17" ht="15.95" customHeight="1" x14ac:dyDescent="0.25">
      <c r="B91" s="30"/>
      <c r="C91" s="43" t="s">
        <v>88</v>
      </c>
      <c r="D91" s="34">
        <v>45</v>
      </c>
      <c r="E91" s="44">
        <v>45</v>
      </c>
      <c r="F91" s="34">
        <v>45</v>
      </c>
      <c r="G91" s="44"/>
      <c r="H91" s="34"/>
      <c r="I91" s="44"/>
      <c r="J91" s="34"/>
      <c r="K91" s="44"/>
      <c r="L91" s="34"/>
      <c r="M91" s="44"/>
      <c r="N91" s="34"/>
      <c r="O91" s="44"/>
      <c r="P91" s="34">
        <f>SUM(金融​​[[#This Row],[1 月]:[12 月]])</f>
        <v>135</v>
      </c>
      <c r="Q91" s="36"/>
    </row>
    <row r="92" spans="1:17" ht="15.95" customHeight="1" x14ac:dyDescent="0.25">
      <c r="B92" s="30"/>
      <c r="C92" s="43" t="s">
        <v>89</v>
      </c>
      <c r="D92" s="34">
        <v>75</v>
      </c>
      <c r="E92" s="44">
        <v>75</v>
      </c>
      <c r="F92" s="34">
        <v>75</v>
      </c>
      <c r="G92" s="44"/>
      <c r="H92" s="34"/>
      <c r="I92" s="44"/>
      <c r="J92" s="34"/>
      <c r="K92" s="44"/>
      <c r="L92" s="34"/>
      <c r="M92" s="44"/>
      <c r="N92" s="34"/>
      <c r="O92" s="44"/>
      <c r="P92" s="34">
        <f>SUM(金融​​[[#This Row],[1 月]:[12 月]])</f>
        <v>225</v>
      </c>
      <c r="Q92" s="44"/>
    </row>
    <row r="93" spans="1:17" ht="15.95" customHeight="1" x14ac:dyDescent="0.25">
      <c r="B93" s="30"/>
      <c r="C93" s="43" t="s">
        <v>90</v>
      </c>
      <c r="D93" s="34"/>
      <c r="E93" s="44"/>
      <c r="F93" s="34"/>
      <c r="G93" s="44"/>
      <c r="H93" s="34"/>
      <c r="I93" s="44"/>
      <c r="J93" s="34"/>
      <c r="K93" s="44"/>
      <c r="L93" s="34"/>
      <c r="M93" s="44"/>
      <c r="N93" s="34"/>
      <c r="O93" s="44"/>
      <c r="P93" s="34">
        <f>SUM(金融​​[[#This Row],[1 月]:[12 月]])</f>
        <v>0</v>
      </c>
      <c r="Q93" s="36"/>
    </row>
    <row r="94" spans="1:17" ht="15.95" customHeight="1" x14ac:dyDescent="0.25">
      <c r="B94" s="30"/>
      <c r="C94" s="43" t="s">
        <v>91</v>
      </c>
      <c r="D94" s="34">
        <v>32</v>
      </c>
      <c r="E94" s="44">
        <v>34</v>
      </c>
      <c r="F94" s="34">
        <v>1</v>
      </c>
      <c r="G94" s="44"/>
      <c r="H94" s="34"/>
      <c r="I94" s="44"/>
      <c r="J94" s="34"/>
      <c r="K94" s="44"/>
      <c r="L94" s="34"/>
      <c r="M94" s="44"/>
      <c r="N94" s="34"/>
      <c r="O94" s="44"/>
      <c r="P94" s="34">
        <f>SUM(金融​​[[#This Row],[1 月]:[12 月]])</f>
        <v>67</v>
      </c>
      <c r="Q94" s="44"/>
    </row>
    <row r="95" spans="1:17" ht="21" customHeight="1" thickBot="1" x14ac:dyDescent="0.3">
      <c r="B95" s="30"/>
      <c r="C95" s="37" t="s">
        <v>110</v>
      </c>
      <c r="D95" s="38">
        <f>SUBTOTAL(109,金融​​[1 月])</f>
        <v>177</v>
      </c>
      <c r="E95" s="39">
        <f>SUBTOTAL(109,金融​​[2 月])</f>
        <v>179</v>
      </c>
      <c r="F95" s="38">
        <f>SUBTOTAL(109,金融​​[3 月])</f>
        <v>146</v>
      </c>
      <c r="G95" s="39">
        <f>SUBTOTAL(109,金融​​[4 月])</f>
        <v>0</v>
      </c>
      <c r="H95" s="38">
        <f>SUBTOTAL(109,金融​​[5 月])</f>
        <v>0</v>
      </c>
      <c r="I95" s="39">
        <f>SUBTOTAL(109,金融​​[6 月])</f>
        <v>0</v>
      </c>
      <c r="J95" s="38">
        <f>SUBTOTAL(109,金融​​[7 月])</f>
        <v>0</v>
      </c>
      <c r="K95" s="39">
        <f>SUBTOTAL(109,金融​​[8 月])</f>
        <v>0</v>
      </c>
      <c r="L95" s="38">
        <f>SUBTOTAL(109,金融​​[9 月])</f>
        <v>0</v>
      </c>
      <c r="M95" s="39">
        <f>SUBTOTAL(109,金融​​[10 月])</f>
        <v>0</v>
      </c>
      <c r="N95" s="38">
        <f>SUBTOTAL(109,金融​​[11 月])</f>
        <v>0</v>
      </c>
      <c r="O95" s="39">
        <f>SUBTOTAL(109,金融​​[12 月])</f>
        <v>0</v>
      </c>
      <c r="P95" s="38">
        <f>SUBTOTAL(109,金融​​[年度])</f>
        <v>502</v>
      </c>
      <c r="Q95" s="40"/>
    </row>
    <row r="96" spans="1:17" ht="20.100000000000001" customHeight="1" thickTop="1" x14ac:dyDescent="0.25">
      <c r="C96" s="68"/>
      <c r="D96" s="68"/>
      <c r="E96" s="68"/>
      <c r="F96" s="68"/>
      <c r="G96" s="68"/>
      <c r="H96" s="68"/>
      <c r="I96" s="68"/>
      <c r="J96" s="68"/>
      <c r="K96" s="68"/>
      <c r="L96" s="68"/>
      <c r="M96" s="68"/>
      <c r="N96" s="68"/>
      <c r="O96" s="68"/>
      <c r="P96" s="68"/>
      <c r="Q96" s="68"/>
    </row>
    <row r="97" spans="1:17" ht="21" customHeight="1" x14ac:dyDescent="0.25">
      <c r="A97" s="5" t="s">
        <v>21</v>
      </c>
      <c r="B97" s="30"/>
      <c r="C97" s="41" t="s">
        <v>92</v>
      </c>
      <c r="D97" s="54" t="s">
        <v>95</v>
      </c>
      <c r="E97" s="14" t="s">
        <v>96</v>
      </c>
      <c r="F97" s="54" t="s">
        <v>97</v>
      </c>
      <c r="G97" s="14" t="s">
        <v>98</v>
      </c>
      <c r="H97" s="54" t="s">
        <v>99</v>
      </c>
      <c r="I97" s="55" t="s">
        <v>100</v>
      </c>
      <c r="J97" s="54" t="s">
        <v>101</v>
      </c>
      <c r="K97" s="55" t="s">
        <v>102</v>
      </c>
      <c r="L97" s="54" t="s">
        <v>103</v>
      </c>
      <c r="M97" s="55" t="s">
        <v>104</v>
      </c>
      <c r="N97" s="54" t="s">
        <v>105</v>
      </c>
      <c r="O97" s="55" t="s">
        <v>106</v>
      </c>
      <c r="P97" s="54" t="s">
        <v>107</v>
      </c>
      <c r="Q97" s="55" t="s">
        <v>109</v>
      </c>
    </row>
    <row r="98" spans="1:17" ht="15.95" customHeight="1" x14ac:dyDescent="0.25">
      <c r="B98" s="30"/>
      <c r="C98" s="43" t="s">
        <v>26</v>
      </c>
      <c r="D98" s="34"/>
      <c r="E98" s="44"/>
      <c r="F98" s="34"/>
      <c r="G98" s="44"/>
      <c r="H98" s="34"/>
      <c r="I98" s="44"/>
      <c r="J98" s="34"/>
      <c r="K98" s="44"/>
      <c r="L98" s="34"/>
      <c r="M98" s="44"/>
      <c r="N98" s="34"/>
      <c r="O98" s="44"/>
      <c r="P98" s="34">
        <f>SUM(雑費[[#This Row],[1 月]:[12 月]])</f>
        <v>0</v>
      </c>
      <c r="Q98" s="44"/>
    </row>
    <row r="99" spans="1:17" ht="15.95" customHeight="1" x14ac:dyDescent="0.25">
      <c r="B99" s="30"/>
      <c r="C99" s="43" t="s">
        <v>26</v>
      </c>
      <c r="D99" s="34"/>
      <c r="E99" s="44"/>
      <c r="F99" s="34"/>
      <c r="G99" s="44"/>
      <c r="H99" s="34"/>
      <c r="I99" s="44"/>
      <c r="J99" s="34"/>
      <c r="K99" s="44"/>
      <c r="L99" s="34"/>
      <c r="M99" s="44"/>
      <c r="N99" s="34"/>
      <c r="O99" s="44"/>
      <c r="P99" s="34">
        <f>SUM(雑費[[#This Row],[1 月]:[12 月]])</f>
        <v>0</v>
      </c>
      <c r="Q99" s="36"/>
    </row>
    <row r="100" spans="1:17" ht="15.95" customHeight="1" x14ac:dyDescent="0.25">
      <c r="B100" s="30"/>
      <c r="C100" s="43" t="s">
        <v>26</v>
      </c>
      <c r="D100" s="34"/>
      <c r="E100" s="44"/>
      <c r="F100" s="34"/>
      <c r="G100" s="44"/>
      <c r="H100" s="34"/>
      <c r="I100" s="44"/>
      <c r="J100" s="34"/>
      <c r="K100" s="44"/>
      <c r="L100" s="34"/>
      <c r="M100" s="44"/>
      <c r="N100" s="34"/>
      <c r="O100" s="44"/>
      <c r="P100" s="34">
        <f>SUM(雑費[[#This Row],[1 月]:[12 月]])</f>
        <v>0</v>
      </c>
      <c r="Q100" s="44"/>
    </row>
    <row r="101" spans="1:17" ht="15.95" customHeight="1" x14ac:dyDescent="0.25">
      <c r="B101" s="30"/>
      <c r="C101" s="43" t="s">
        <v>26</v>
      </c>
      <c r="D101" s="34"/>
      <c r="E101" s="44"/>
      <c r="F101" s="34"/>
      <c r="G101" s="44"/>
      <c r="H101" s="34"/>
      <c r="I101" s="44"/>
      <c r="J101" s="34"/>
      <c r="K101" s="44"/>
      <c r="L101" s="34"/>
      <c r="M101" s="44"/>
      <c r="N101" s="34"/>
      <c r="O101" s="44"/>
      <c r="P101" s="34">
        <f>SUM(雑費[[#This Row],[1 月]:[12 月]])</f>
        <v>0</v>
      </c>
      <c r="Q101" s="36"/>
    </row>
    <row r="102" spans="1:17" ht="15.95" customHeight="1" x14ac:dyDescent="0.25">
      <c r="B102" s="30"/>
      <c r="C102" s="43" t="s">
        <v>26</v>
      </c>
      <c r="D102" s="34"/>
      <c r="E102" s="44"/>
      <c r="F102" s="34"/>
      <c r="G102" s="44"/>
      <c r="H102" s="34"/>
      <c r="I102" s="44"/>
      <c r="J102" s="34"/>
      <c r="K102" s="44"/>
      <c r="L102" s="34"/>
      <c r="M102" s="44"/>
      <c r="N102" s="34"/>
      <c r="O102" s="44"/>
      <c r="P102" s="34">
        <f>SUM(雑費[[#This Row],[1 月]:[12 月]])</f>
        <v>0</v>
      </c>
      <c r="Q102" s="44"/>
    </row>
    <row r="103" spans="1:17" ht="21" customHeight="1" thickBot="1" x14ac:dyDescent="0.3">
      <c r="C103" s="37" t="s">
        <v>110</v>
      </c>
      <c r="D103" s="38">
        <f>SUBTOTAL(109,雑費[1 月])</f>
        <v>0</v>
      </c>
      <c r="E103" s="39">
        <f>SUBTOTAL(109,雑費[2 月])</f>
        <v>0</v>
      </c>
      <c r="F103" s="38">
        <f>SUBTOTAL(109,雑費[3 月])</f>
        <v>0</v>
      </c>
      <c r="G103" s="39">
        <f>SUBTOTAL(109,雑費[4 月])</f>
        <v>0</v>
      </c>
      <c r="H103" s="38">
        <f>SUBTOTAL(109,雑費[5 月])</f>
        <v>0</v>
      </c>
      <c r="I103" s="39">
        <f>SUBTOTAL(109,雑費[6 月])</f>
        <v>0</v>
      </c>
      <c r="J103" s="38">
        <f>SUBTOTAL(109,雑費[7 月])</f>
        <v>0</v>
      </c>
      <c r="K103" s="39">
        <f>SUBTOTAL(109,雑費[8 月])</f>
        <v>0</v>
      </c>
      <c r="L103" s="38">
        <f>SUBTOTAL(109,雑費[9 月])</f>
        <v>0</v>
      </c>
      <c r="M103" s="39">
        <f>SUBTOTAL(109,雑費[10 月])</f>
        <v>0</v>
      </c>
      <c r="N103" s="38">
        <f>SUBTOTAL(109,雑費[11 月])</f>
        <v>0</v>
      </c>
      <c r="O103" s="39">
        <f>SUBTOTAL(109,雑費[12 月])</f>
        <v>0</v>
      </c>
      <c r="P103" s="38">
        <f>SUBTOTAL(109,雑費[年])</f>
        <v>0</v>
      </c>
      <c r="Q103" s="40"/>
    </row>
    <row r="104" spans="1:17" ht="20.100000000000001" customHeight="1" thickTop="1" x14ac:dyDescent="0.25">
      <c r="C104" s="68"/>
      <c r="D104" s="68"/>
      <c r="E104" s="68"/>
      <c r="F104" s="68"/>
      <c r="G104" s="68"/>
      <c r="H104" s="68"/>
      <c r="I104" s="68"/>
      <c r="J104" s="68"/>
      <c r="K104" s="68"/>
      <c r="L104" s="68"/>
      <c r="M104" s="68"/>
      <c r="N104" s="68"/>
      <c r="O104" s="68"/>
      <c r="P104" s="68"/>
      <c r="Q104" s="68"/>
    </row>
    <row r="105" spans="1:17" ht="21" customHeight="1" x14ac:dyDescent="0.25">
      <c r="A105" s="5" t="s">
        <v>113</v>
      </c>
      <c r="B105" s="10"/>
      <c r="C105" s="57" t="s">
        <v>27</v>
      </c>
      <c r="D105" s="58" t="s">
        <v>95</v>
      </c>
      <c r="E105" s="59" t="s">
        <v>96</v>
      </c>
      <c r="F105" s="58" t="s">
        <v>97</v>
      </c>
      <c r="G105" s="59" t="s">
        <v>98</v>
      </c>
      <c r="H105" s="58" t="s">
        <v>99</v>
      </c>
      <c r="I105" s="59" t="s">
        <v>100</v>
      </c>
      <c r="J105" s="58" t="s">
        <v>101</v>
      </c>
      <c r="K105" s="59" t="s">
        <v>102</v>
      </c>
      <c r="L105" s="58" t="s">
        <v>103</v>
      </c>
      <c r="M105" s="59" t="s">
        <v>104</v>
      </c>
      <c r="N105" s="58" t="s">
        <v>105</v>
      </c>
      <c r="O105" s="59" t="s">
        <v>106</v>
      </c>
      <c r="P105" s="58" t="s">
        <v>107</v>
      </c>
      <c r="Q105" s="60" t="s">
        <v>109</v>
      </c>
    </row>
    <row r="106" spans="1:17" ht="15.95" customHeight="1" x14ac:dyDescent="0.25">
      <c r="B106" s="10"/>
      <c r="C106" s="61" t="s">
        <v>93</v>
      </c>
      <c r="D106" s="62">
        <f>SUM(雑費[[#Totals],[1 月]],金融​​[[#Totals],[1 月]],個人[[#Totals],[1 月]],会費と購読料[[#Totals],[1 月]],レクリエーション[[#Totals],[1 月]],休暇[[#Totals],[1 月]],医療保険[[#Totals],[1 月]],娯楽[[#Totals],[1 月]],交通[[#Totals],[1 月]],毎日[[#Totals],[1 月]],自宅[[#Totals],[1 月]])</f>
        <v>2687</v>
      </c>
      <c r="E106" s="63">
        <f>SUM(雑費[[#Totals],[2 月]],金融​​[[#Totals],[2 月]],個人[[#Totals],[2 月]],会費と購読料[[#Totals],[2 月]],レクリエーション[[#Totals],[2 月]],休暇[[#Totals],[2 月]],医療保険[[#Totals],[2 月]],娯楽[[#Totals],[2 月]],交通[[#Totals],[2 月]],毎日[[#Totals],[2 月]],自宅[[#Totals],[2 月]])</f>
        <v>3429</v>
      </c>
      <c r="F106" s="62">
        <f>SUM(雑費[[#Totals],[3 月]],金融​​[[#Totals],[3 月]],個人[[#Totals],[3 月]],会費と購読料[[#Totals],[3 月]],レクリエーション[[#Totals],[3 月]],休暇[[#Totals],[3 月]],医療保険[[#Totals],[3 月]],娯楽[[#Totals],[3 月]],交通[[#Totals],[3 月]],毎日[[#Totals],[3 月]],自宅[[#Totals],[3 月]])</f>
        <v>2718</v>
      </c>
      <c r="G106" s="63">
        <f>SUM(雑費[[#Totals],[4 月]],金融​​[[#Totals],[4 月]],個人[[#Totals],[4 月]],会費と購読料[[#Totals],[4 月]],レクリエーション[[#Totals],[4 月]],休暇[[#Totals],[4 月]],医療保険[[#Totals],[4 月]],娯楽[[#Totals],[4 月]],交通[[#Totals],[4 月]],毎日[[#Totals],[4 月]],自宅[[#Totals],[4 月]])</f>
        <v>0</v>
      </c>
      <c r="H106" s="62">
        <f>SUM(雑費[[#Totals],[5 月]],金融​​[[#Totals],[5 月]],個人[[#Totals],[5 月]],会費と購読料[[#Totals],[5 月]],レクリエーション[[#Totals],[5 月]],休暇[[#Totals],[5 月]],医療保険[[#Totals],[5 月]],娯楽[[#Totals],[5 月]],交通[[#Totals],[5 月]],毎日[[#Totals],[5 月]],自宅[[#Totals],[5 月]])</f>
        <v>0</v>
      </c>
      <c r="I106" s="63">
        <f>SUM(雑費[[#Totals],[6 月]],金融​​[[#Totals],[6 月]],個人[[#Totals],[6 月]],会費と購読料[[#Totals],[6 月]],レクリエーション[[#Totals],[6 月]],休暇[[#Totals],[6 月]],医療保険[[#Totals],[6 月]],娯楽[[#Totals],[6 月]],交通[[#Totals],[6 月]],毎日[[#Totals],[6 月]],自宅[[#Totals],[6 月]])</f>
        <v>0</v>
      </c>
      <c r="J106" s="62">
        <f>SUM(雑費[[#Totals],[7 月]],金融​​[[#Totals],[7 月]],個人[[#Totals],[7 月]],会費と購読料[[#Totals],[7 月]],レクリエーション[[#Totals],[7 月]],休暇[[#Totals],[7 月]],医療保険[[#Totals],[7 月]],娯楽[[#Totals],[7 月]],交通[[#Totals],[7 月]],毎日[[#Totals],[7 月]],自宅[[#Totals],[7 月]])</f>
        <v>0</v>
      </c>
      <c r="K106" s="63">
        <f>SUM(雑費[[#Totals],[8 月]],金融​​[[#Totals],[8 月]],個人[[#Totals],[8 月]],会費と購読料[[#Totals],[8 月]],レクリエーション[[#Totals],[8 月]],休暇[[#Totals],[8 月]],医療保険[[#Totals],[8 月]],娯楽[[#Totals],[8 月]],交通[[#Totals],[8 月]],毎日[[#Totals],[8 月]],自宅[[#Totals],[8 月]])</f>
        <v>0</v>
      </c>
      <c r="L106" s="62">
        <f>SUM(雑費[[#Totals],[9 月]],金融​​[[#Totals],[9 月]],個人[[#Totals],[9 月]],会費と購読料[[#Totals],[9 月]],レクリエーション[[#Totals],[9 月]],休暇[[#Totals],[9 月]],医療保険[[#Totals],[9 月]],娯楽[[#Totals],[9 月]],交通[[#Totals],[9 月]],毎日[[#Totals],[9 月]],自宅[[#Totals],[9 月]])</f>
        <v>0</v>
      </c>
      <c r="M106" s="63">
        <f>SUM(雑費[[#Totals],[10 月]],金融​​[[#Totals],[10 月]],個人[[#Totals],[10 月]],会費と購読料[[#Totals],[10 月]],レクリエーション[[#Totals],[10 月]],休暇[[#Totals],[10 月]],医療保険[[#Totals],[10 月]],娯楽[[#Totals],[10 月]],交通[[#Totals],[10 月]],毎日[[#Totals],[10 月]],自宅[[#Totals],[10 月]])</f>
        <v>0</v>
      </c>
      <c r="N106" s="62">
        <f>SUM(雑費[[#Totals],[11 月]],金融​​[[#Totals],[11 月]],個人[[#Totals],[11 月]],会費と購読料[[#Totals],[11 月]],レクリエーション[[#Totals],[11 月]],休暇[[#Totals],[11 月]],医療保険[[#Totals],[11 月]],娯楽[[#Totals],[11 月]],交通[[#Totals],[11 月]],毎日[[#Totals],[11 月]],自宅[[#Totals],[11 月]])</f>
        <v>0</v>
      </c>
      <c r="O106" s="63">
        <f>SUM(雑費[[#Totals],[12 月]],金融​​[[#Totals],[12 月]],個人[[#Totals],[12 月]],会費と購読料[[#Totals],[12 月]],レクリエーション[[#Totals],[12 月]],休暇[[#Totals],[12 月]],医療保険[[#Totals],[12 月]],娯楽[[#Totals],[12 月]],交通[[#Totals],[12 月]],毎日[[#Totals],[12 月]],自宅[[#Totals],[12 月]])</f>
        <v>0</v>
      </c>
      <c r="P106" s="62">
        <f>SUM(雑費[[#Totals],[年]],金融​​[[#Totals],[年度]],個人[[#Totals],[年度]],会費と購読料[[#Totals],[年度]],レクリエーション[[#Totals],[年度]],休暇[[#Totals],[年度]],医療保険[[#Totals],[年度]],娯楽[[#Totals],[年度]],交通[[#Totals],[年度]],毎日[[#Totals],[年度]],自宅[[#Totals],[年]])</f>
        <v>8834</v>
      </c>
      <c r="Q106" s="63"/>
    </row>
    <row r="107" spans="1:17" ht="15.95" customHeight="1" x14ac:dyDescent="0.25">
      <c r="B107" s="10"/>
      <c r="C107" s="61" t="s">
        <v>94</v>
      </c>
      <c r="D107" s="62">
        <f>収入[[#Totals],[1 月]]-D106</f>
        <v>1036</v>
      </c>
      <c r="E107" s="63">
        <f>収入[[#Totals],[2 月]]-E106</f>
        <v>127</v>
      </c>
      <c r="F107" s="62">
        <f>収入[[#Totals],[3 月]]-F106</f>
        <v>926</v>
      </c>
      <c r="G107" s="63">
        <f>収入[[#Totals],[4 月]]-G106</f>
        <v>0</v>
      </c>
      <c r="H107" s="62">
        <f>収入[[#Totals],[5 月]]-H106</f>
        <v>0</v>
      </c>
      <c r="I107" s="63">
        <f>収入[[#Totals],[6 月]]-I106</f>
        <v>0</v>
      </c>
      <c r="J107" s="62">
        <f>収入[[#Totals],[7 月]]-J106</f>
        <v>0</v>
      </c>
      <c r="K107" s="63">
        <f>収入[[#Totals],[8 月]]-K106</f>
        <v>0</v>
      </c>
      <c r="L107" s="62">
        <f>収入[[#Totals],[9 月]]-L106</f>
        <v>0</v>
      </c>
      <c r="M107" s="63">
        <f>収入[[#Totals],[10 月]]-M106</f>
        <v>0</v>
      </c>
      <c r="N107" s="62">
        <f>収入[[#Totals],[11 月]]-N106</f>
        <v>0</v>
      </c>
      <c r="O107" s="63">
        <f>収入[[#Totals],[12 月]]-O106</f>
        <v>0</v>
      </c>
      <c r="P107" s="62">
        <f>収入[[#Totals],[年]]-P106</f>
        <v>2089</v>
      </c>
      <c r="Q107" s="63"/>
    </row>
    <row r="108" spans="1:17" ht="8.1" customHeight="1" x14ac:dyDescent="0.25">
      <c r="B108" s="10"/>
      <c r="C108" s="64"/>
      <c r="D108" s="65"/>
      <c r="E108" s="64"/>
      <c r="F108" s="65"/>
      <c r="G108" s="64"/>
      <c r="H108" s="65"/>
      <c r="I108" s="64"/>
      <c r="J108" s="65"/>
      <c r="K108" s="64"/>
      <c r="L108" s="65"/>
      <c r="M108" s="64"/>
      <c r="N108" s="65"/>
      <c r="O108" s="64"/>
      <c r="P108" s="65"/>
      <c r="Q108" s="64"/>
    </row>
  </sheetData>
  <mergeCells count="12">
    <mergeCell ref="B2:D2"/>
    <mergeCell ref="E2:P2"/>
    <mergeCell ref="C28:Q28"/>
    <mergeCell ref="C104:Q104"/>
    <mergeCell ref="C96:Q96"/>
    <mergeCell ref="C88:Q88"/>
    <mergeCell ref="C80:Q80"/>
    <mergeCell ref="C70:Q70"/>
    <mergeCell ref="C63:Q63"/>
    <mergeCell ref="C54:Q54"/>
    <mergeCell ref="C44:Q44"/>
    <mergeCell ref="C37:Q37"/>
  </mergeCells>
  <phoneticPr fontId="24"/>
  <conditionalFormatting sqref="D107:P107">
    <cfRule type="cellIs" dxfId="413" priority="1" operator="lessThan">
      <formula>0</formula>
    </cfRule>
  </conditionalFormatting>
  <printOptions horizontalCentered="1"/>
  <pageMargins left="0.4" right="0.4" top="0.4" bottom="0.4" header="0.3" footer="0.3"/>
  <pageSetup paperSize="9" fitToHeight="0" orientation="landscape" r:id="rId1"/>
  <headerFooter differentFirst="1">
    <oddFooter>Page &amp;P of &amp;N</oddFooter>
  </headerFooter>
  <ignoredErrors>
    <ignoredError sqref="D106:P106" calculatedColumn="1"/>
    <ignoredError sqref="P6:P8 P13:P17 P21:P26 P30:P35 P39:P42 P46:P52 P56:P61 P65:P68 P72:P78 P82:P86 P90:P94 P98:P102" emptyCellReference="1"/>
  </ignoredErrors>
  <drawing r:id="rId2"/>
  <tableParts count="13">
    <tablePart r:id="rId3"/>
    <tablePart r:id="rId4"/>
    <tablePart r:id="rId5"/>
    <tablePart r:id="rId6"/>
    <tablePart r:id="rId7"/>
    <tablePart r:id="rId8"/>
    <tablePart r:id="rId9"/>
    <tablePart r:id="rId10"/>
    <tablePart r:id="rId11"/>
    <tablePart r:id="rId12"/>
    <tablePart r:id="rId13"/>
    <tablePart r:id="rId14"/>
    <tablePart r:id="rId15"/>
  </tableParts>
  <extLst>
    <ext xmlns:x14="http://schemas.microsoft.com/office/spreadsheetml/2009/9/main" uri="{05C60535-1F16-4fd2-B633-F4F36F0B64E0}">
      <x14:sparklineGroups xmlns:xm="http://schemas.microsoft.com/office/excel/2006/main">
        <x14:sparklineGroup displayEmptyCellsAs="gap" high="1" low="1" xr2:uid="{00000000-0003-0000-0100-00000D000000}">
          <x14:colorSeries theme="4"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個人予算!D98:O98</xm:f>
              <xm:sqref>Q98</xm:sqref>
            </x14:sparkline>
            <x14:sparkline>
              <xm:f>個人予算!D99:O99</xm:f>
              <xm:sqref>Q99</xm:sqref>
            </x14:sparkline>
            <x14:sparkline>
              <xm:f>個人予算!D100:O100</xm:f>
              <xm:sqref>Q100</xm:sqref>
            </x14:sparkline>
            <x14:sparkline>
              <xm:f>個人予算!D101:O101</xm:f>
              <xm:sqref>Q101</xm:sqref>
            </x14:sparkline>
            <x14:sparkline>
              <xm:f>個人予算!D102:O102</xm:f>
              <xm:sqref>Q102</xm:sqref>
            </x14:sparkline>
            <x14:sparkline>
              <xm:f>個人予算!D103:O103</xm:f>
              <xm:sqref>Q103</xm:sqref>
            </x14:sparkline>
          </x14:sparklines>
        </x14:sparklineGroup>
        <x14:sparklineGroup displayEmptyCellsAs="gap" high="1" low="1" xr2:uid="{00000000-0003-0000-0100-00000C000000}">
          <x14:colorSeries theme="0"/>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個人予算!D106:O106</xm:f>
              <xm:sqref>Q106</xm:sqref>
            </x14:sparkline>
            <x14:sparkline>
              <xm:f>個人予算!D107:O107</xm:f>
              <xm:sqref>Q107</xm:sqref>
            </x14:sparkline>
          </x14:sparklines>
        </x14:sparklineGroup>
        <x14:sparklineGroup displayEmptyCellsAs="gap" high="1" low="1" xr2:uid="{00000000-0003-0000-0100-00000B000000}">
          <x14:colorSeries theme="4"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個人予算!D90:O90</xm:f>
              <xm:sqref>Q90</xm:sqref>
            </x14:sparkline>
            <x14:sparkline>
              <xm:f>個人予算!D91:O91</xm:f>
              <xm:sqref>Q91</xm:sqref>
            </x14:sparkline>
            <x14:sparkline>
              <xm:f>個人予算!D92:O92</xm:f>
              <xm:sqref>Q92</xm:sqref>
            </x14:sparkline>
            <x14:sparkline>
              <xm:f>個人予算!D93:O93</xm:f>
              <xm:sqref>Q93</xm:sqref>
            </x14:sparkline>
            <x14:sparkline>
              <xm:f>個人予算!D94:O94</xm:f>
              <xm:sqref>Q94</xm:sqref>
            </x14:sparkline>
            <x14:sparkline>
              <xm:f>個人予算!D95:O95</xm:f>
              <xm:sqref>Q95</xm:sqref>
            </x14:sparkline>
          </x14:sparklines>
        </x14:sparklineGroup>
        <x14:sparklineGroup displayEmptyCellsAs="gap" high="1" low="1" xr2:uid="{00000000-0003-0000-0100-00000A000000}">
          <x14:colorSeries theme="4"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個人予算!D82:O82</xm:f>
              <xm:sqref>Q82</xm:sqref>
            </x14:sparkline>
            <x14:sparkline>
              <xm:f>個人予算!D83:O83</xm:f>
              <xm:sqref>Q83</xm:sqref>
            </x14:sparkline>
            <x14:sparkline>
              <xm:f>個人予算!D84:O84</xm:f>
              <xm:sqref>Q84</xm:sqref>
            </x14:sparkline>
            <x14:sparkline>
              <xm:f>個人予算!D85:O85</xm:f>
              <xm:sqref>Q85</xm:sqref>
            </x14:sparkline>
            <x14:sparkline>
              <xm:f>個人予算!D86:O86</xm:f>
              <xm:sqref>Q86</xm:sqref>
            </x14:sparkline>
            <x14:sparkline>
              <xm:f>個人予算!D87:O87</xm:f>
              <xm:sqref>Q87</xm:sqref>
            </x14:sparkline>
          </x14:sparklines>
        </x14:sparklineGroup>
        <x14:sparklineGroup displayEmptyCellsAs="gap" high="1" low="1" xr2:uid="{00000000-0003-0000-0100-000009000000}">
          <x14:colorSeries theme="4"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個人予算!D72:O72</xm:f>
              <xm:sqref>Q72</xm:sqref>
            </x14:sparkline>
            <x14:sparkline>
              <xm:f>個人予算!D73:O73</xm:f>
              <xm:sqref>Q73</xm:sqref>
            </x14:sparkline>
            <x14:sparkline>
              <xm:f>個人予算!D74:O74</xm:f>
              <xm:sqref>Q74</xm:sqref>
            </x14:sparkline>
            <x14:sparkline>
              <xm:f>個人予算!D75:O75</xm:f>
              <xm:sqref>Q75</xm:sqref>
            </x14:sparkline>
            <x14:sparkline>
              <xm:f>個人予算!D76:O76</xm:f>
              <xm:sqref>Q76</xm:sqref>
            </x14:sparkline>
            <x14:sparkline>
              <xm:f>個人予算!D77:O77</xm:f>
              <xm:sqref>Q77</xm:sqref>
            </x14:sparkline>
            <x14:sparkline>
              <xm:f>個人予算!D78:O78</xm:f>
              <xm:sqref>Q78</xm:sqref>
            </x14:sparkline>
            <x14:sparkline>
              <xm:f>個人予算!D79:O79</xm:f>
              <xm:sqref>Q79</xm:sqref>
            </x14:sparkline>
          </x14:sparklines>
        </x14:sparklineGroup>
        <x14:sparklineGroup displayEmptyCellsAs="gap" high="1" low="1" xr2:uid="{00000000-0003-0000-0100-000008000000}">
          <x14:colorSeries theme="4"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個人予算!D65:O65</xm:f>
              <xm:sqref>Q65</xm:sqref>
            </x14:sparkline>
            <x14:sparkline>
              <xm:f>個人予算!D66:O66</xm:f>
              <xm:sqref>Q66</xm:sqref>
            </x14:sparkline>
            <x14:sparkline>
              <xm:f>個人予算!D67:O67</xm:f>
              <xm:sqref>Q67</xm:sqref>
            </x14:sparkline>
            <x14:sparkline>
              <xm:f>個人予算!D68:O68</xm:f>
              <xm:sqref>Q68</xm:sqref>
            </x14:sparkline>
            <x14:sparkline>
              <xm:f>個人予算!D69:O69</xm:f>
              <xm:sqref>Q69</xm:sqref>
            </x14:sparkline>
          </x14:sparklines>
        </x14:sparklineGroup>
        <x14:sparklineGroup displayEmptyCellsAs="gap" high="1" low="1" xr2:uid="{00000000-0003-0000-0100-000007000000}">
          <x14:colorSeries theme="4"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個人予算!D56:O56</xm:f>
              <xm:sqref>Q56</xm:sqref>
            </x14:sparkline>
            <x14:sparkline>
              <xm:f>個人予算!D57:O57</xm:f>
              <xm:sqref>Q57</xm:sqref>
            </x14:sparkline>
            <x14:sparkline>
              <xm:f>個人予算!D58:O58</xm:f>
              <xm:sqref>Q58</xm:sqref>
            </x14:sparkline>
            <x14:sparkline>
              <xm:f>個人予算!D59:O59</xm:f>
              <xm:sqref>Q59</xm:sqref>
            </x14:sparkline>
            <x14:sparkline>
              <xm:f>個人予算!D60:O60</xm:f>
              <xm:sqref>Q60</xm:sqref>
            </x14:sparkline>
            <x14:sparkline>
              <xm:f>個人予算!D61:O61</xm:f>
              <xm:sqref>Q61</xm:sqref>
            </x14:sparkline>
            <x14:sparkline>
              <xm:f>個人予算!D62:O62</xm:f>
              <xm:sqref>Q62</xm:sqref>
            </x14:sparkline>
          </x14:sparklines>
        </x14:sparklineGroup>
        <x14:sparklineGroup displayEmptyCellsAs="gap" high="1" low="1" xr2:uid="{00000000-0003-0000-0100-000006000000}">
          <x14:colorSeries theme="4"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個人予算!D46:O46</xm:f>
              <xm:sqref>Q46</xm:sqref>
            </x14:sparkline>
            <x14:sparkline>
              <xm:f>個人予算!D47:O47</xm:f>
              <xm:sqref>Q47</xm:sqref>
            </x14:sparkline>
            <x14:sparkline>
              <xm:f>個人予算!D48:O48</xm:f>
              <xm:sqref>Q48</xm:sqref>
            </x14:sparkline>
            <x14:sparkline>
              <xm:f>個人予算!D49:O49</xm:f>
              <xm:sqref>Q49</xm:sqref>
            </x14:sparkline>
            <x14:sparkline>
              <xm:f>個人予算!D50:O50</xm:f>
              <xm:sqref>Q50</xm:sqref>
            </x14:sparkline>
            <x14:sparkline>
              <xm:f>個人予算!D51:O51</xm:f>
              <xm:sqref>Q51</xm:sqref>
            </x14:sparkline>
            <x14:sparkline>
              <xm:f>個人予算!D52:O52</xm:f>
              <xm:sqref>Q52</xm:sqref>
            </x14:sparkline>
            <x14:sparkline>
              <xm:f>個人予算!D53:O53</xm:f>
              <xm:sqref>Q53</xm:sqref>
            </x14:sparkline>
          </x14:sparklines>
        </x14:sparklineGroup>
        <x14:sparklineGroup displayEmptyCellsAs="gap" high="1" low="1" xr2:uid="{00000000-0003-0000-0100-000005000000}">
          <x14:colorSeries theme="4"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個人予算!D39:O39</xm:f>
              <xm:sqref>Q39</xm:sqref>
            </x14:sparkline>
            <x14:sparkline>
              <xm:f>個人予算!D40:O40</xm:f>
              <xm:sqref>Q40</xm:sqref>
            </x14:sparkline>
            <x14:sparkline>
              <xm:f>個人予算!D41:O41</xm:f>
              <xm:sqref>Q41</xm:sqref>
            </x14:sparkline>
            <x14:sparkline>
              <xm:f>個人予算!D42:O42</xm:f>
              <xm:sqref>Q42</xm:sqref>
            </x14:sparkline>
            <x14:sparkline>
              <xm:f>個人予算!D43:O43</xm:f>
              <xm:sqref>Q43</xm:sqref>
            </x14:sparkline>
          </x14:sparklines>
        </x14:sparklineGroup>
        <x14:sparklineGroup displayEmptyCellsAs="gap" high="1" low="1" xr2:uid="{00000000-0003-0000-0100-000004000000}">
          <x14:colorSeries theme="4"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個人予算!D30:O30</xm:f>
              <xm:sqref>Q30</xm:sqref>
            </x14:sparkline>
            <x14:sparkline>
              <xm:f>個人予算!D31:O31</xm:f>
              <xm:sqref>Q31</xm:sqref>
            </x14:sparkline>
            <x14:sparkline>
              <xm:f>個人予算!D32:O32</xm:f>
              <xm:sqref>Q32</xm:sqref>
            </x14:sparkline>
            <x14:sparkline>
              <xm:f>個人予算!D33:O33</xm:f>
              <xm:sqref>Q33</xm:sqref>
            </x14:sparkline>
            <x14:sparkline>
              <xm:f>個人予算!D34:O34</xm:f>
              <xm:sqref>Q34</xm:sqref>
            </x14:sparkline>
            <x14:sparkline>
              <xm:f>個人予算!D35:O35</xm:f>
              <xm:sqref>Q35</xm:sqref>
            </x14:sparkline>
            <x14:sparkline>
              <xm:f>個人予算!D36:O36</xm:f>
              <xm:sqref>Q36</xm:sqref>
            </x14:sparkline>
          </x14:sparklines>
        </x14:sparklineGroup>
        <x14:sparklineGroup displayEmptyCellsAs="gap" high="1" low="1" xr2:uid="{00000000-0003-0000-0100-000003000000}">
          <x14:colorSeries theme="4"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個人予算!D21:O21</xm:f>
              <xm:sqref>Q21</xm:sqref>
            </x14:sparkline>
            <x14:sparkline>
              <xm:f>個人予算!D22:O22</xm:f>
              <xm:sqref>Q22</xm:sqref>
            </x14:sparkline>
            <x14:sparkline>
              <xm:f>個人予算!D23:O23</xm:f>
              <xm:sqref>Q23</xm:sqref>
            </x14:sparkline>
            <x14:sparkline>
              <xm:f>個人予算!D24:O24</xm:f>
              <xm:sqref>Q24</xm:sqref>
            </x14:sparkline>
            <x14:sparkline>
              <xm:f>個人予算!D25:O25</xm:f>
              <xm:sqref>Q25</xm:sqref>
            </x14:sparkline>
            <x14:sparkline>
              <xm:f>個人予算!D26:O26</xm:f>
              <xm:sqref>Q26</xm:sqref>
            </x14:sparkline>
            <x14:sparkline>
              <xm:f>個人予算!D27:O27</xm:f>
              <xm:sqref>Q27</xm:sqref>
            </x14:sparkline>
          </x14:sparklines>
        </x14:sparklineGroup>
        <x14:sparklineGroup displayEmptyCellsAs="gap" high="1" low="1" xr2:uid="{00000000-0003-0000-0100-000002000000}">
          <x14:colorSeries theme="4"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個人予算!D13:O13</xm:f>
              <xm:sqref>Q13</xm:sqref>
            </x14:sparkline>
          </x14:sparklines>
        </x14:sparklineGroup>
        <x14:sparklineGroup displayEmptyCellsAs="gap" high="1" low="1" xr2:uid="{00000000-0003-0000-0100-000001000000}">
          <x14:colorSeries theme="4"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個人予算!D6:O6</xm:f>
              <xm:sqref>Q6</xm:sqref>
            </x14:sparkline>
            <x14:sparkline>
              <xm:f>個人予算!D7:O7</xm:f>
              <xm:sqref>Q7</xm:sqref>
            </x14:sparkline>
            <x14:sparkline>
              <xm:f>個人予算!D8:O8</xm:f>
              <xm:sqref>Q8</xm:sqref>
            </x14:sparkline>
            <x14:sparkline>
              <xm:f>個人予算!D9:O9</xm:f>
              <xm:sqref>Q9</xm:sqref>
            </x14:sparkline>
          </x14:sparklines>
        </x14:sparklineGroup>
        <x14:sparklineGroup displayEmptyCellsAs="gap" high="1" low="1" xr2:uid="{00000000-0003-0000-0100-000000000000}">
          <x14:colorSeries theme="4"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個人予算!D14:O14</xm:f>
              <xm:sqref>Q14</xm:sqref>
            </x14:sparkline>
            <x14:sparkline>
              <xm:f>個人予算!D15:O15</xm:f>
              <xm:sqref>Q15</xm:sqref>
            </x14:sparkline>
            <x14:sparkline>
              <xm:f>個人予算!D16:O16</xm:f>
              <xm:sqref>Q16</xm:sqref>
            </x14:sparkline>
            <x14:sparkline>
              <xm:f>個人予算!D17:O17</xm:f>
              <xm:sqref>Q17</xm:sqref>
            </x14:sparkline>
            <x14:sparkline>
              <xm:f>個人予算!D18:O18</xm:f>
              <xm:sqref>Q18</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開始</vt:lpstr>
      <vt:lpstr>個人予算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erms:created xsi:type="dcterms:W3CDTF">2018-06-21T11:23:21Z</dcterms:created>
  <dcterms:modified xsi:type="dcterms:W3CDTF">2019-03-13T10:21:43Z</dcterms:modified>
</cp:coreProperties>
</file>

<file path=docProps/custom.xml><?xml version="1.0" encoding="utf-8"?>
<Properties xmlns="http://schemas.openxmlformats.org/officeDocument/2006/custom-properties" xmlns:vt="http://schemas.openxmlformats.org/officeDocument/2006/docPropsVTypes"/>
</file>