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 codeName="{E9BAAAF9-E5DE-A45E-5512-C6A5E48AC118}"/>
  <workbookPr filterPrivacy="1" codeName="ThisWorkbook"/>
  <bookViews>
    <workbookView xWindow="0" yWindow="0" windowWidth="25200" windowHeight="12570"/>
  </bookViews>
  <sheets>
    <sheet name="給与の入力" sheetId="3" r:id="rId1"/>
    <sheet name="stubs_template" sheetId="4" state="hidden" r:id="rId2"/>
  </sheets>
  <definedNames>
    <definedName name="CompanyName">給与の入力!$O$1</definedName>
    <definedName name="CurrentEmp">INDEX(Employees[従業員氏名],Stub)</definedName>
    <definedName name="PeriodEnding">給与の入力!$L$1</definedName>
    <definedName name="_xlnm.Print_Titles" localSheetId="0">給与の入力!$1:$3</definedName>
    <definedName name="Stub">INT((ROW()-2)/12)+1</definedName>
    <definedName name="StubStruc">stubs_template!$B$37:$N$48</definedName>
    <definedName name="ThePage">stubs_template!$B$1:$N$48</definedName>
  </definedNames>
  <calcPr calcId="152511"/>
</workbook>
</file>

<file path=xl/calcChain.xml><?xml version="1.0" encoding="utf-8"?>
<calcChain xmlns="http://schemas.openxmlformats.org/spreadsheetml/2006/main">
  <c r="X4" i="3" l="1"/>
  <c r="M43" i="4" l="1"/>
  <c r="M42" i="4"/>
  <c r="M41" i="4"/>
  <c r="M40" i="4"/>
  <c r="L39" i="4"/>
  <c r="M31" i="4"/>
  <c r="M30" i="4"/>
  <c r="M29" i="4"/>
  <c r="M28" i="4"/>
  <c r="L27" i="4"/>
  <c r="M19" i="4"/>
  <c r="M18" i="4"/>
  <c r="M17" i="4"/>
  <c r="M16" i="4"/>
  <c r="L15" i="4"/>
  <c r="I45" i="4"/>
  <c r="I44" i="4"/>
  <c r="I41" i="4"/>
  <c r="I40" i="4"/>
  <c r="H39" i="4"/>
  <c r="I33" i="4"/>
  <c r="I32" i="4"/>
  <c r="I29" i="4"/>
  <c r="I28" i="4"/>
  <c r="H27" i="4"/>
  <c r="I21" i="4"/>
  <c r="I20" i="4"/>
  <c r="I17" i="4"/>
  <c r="I16" i="4"/>
  <c r="H15" i="4"/>
  <c r="E44" i="4"/>
  <c r="E41" i="4"/>
  <c r="E40" i="4"/>
  <c r="E32" i="4"/>
  <c r="E29" i="4"/>
  <c r="E28" i="4"/>
  <c r="E20" i="4"/>
  <c r="E17" i="4"/>
  <c r="E16" i="4"/>
  <c r="M7" i="4"/>
  <c r="M6" i="4"/>
  <c r="M5" i="4"/>
  <c r="M4" i="4"/>
  <c r="L3" i="4"/>
  <c r="E8" i="4"/>
  <c r="E5" i="4"/>
  <c r="E4" i="4"/>
  <c r="I9" i="4"/>
  <c r="I8" i="4"/>
  <c r="I5" i="4"/>
  <c r="I4" i="4"/>
  <c r="H3" i="4"/>
  <c r="C13" i="3" l="1"/>
  <c r="I12" i="3" l="1"/>
  <c r="U12" i="3"/>
  <c r="X12" i="3"/>
  <c r="I11" i="3"/>
  <c r="U11" i="3"/>
  <c r="X11" i="3"/>
  <c r="I10" i="3"/>
  <c r="U10" i="3"/>
  <c r="X10" i="3"/>
  <c r="J12" i="3" l="1"/>
  <c r="L12" i="3" s="1"/>
  <c r="J11" i="3"/>
  <c r="L11" i="3" s="1"/>
  <c r="J10" i="3"/>
  <c r="L10" i="3" s="1"/>
  <c r="D39" i="4"/>
  <c r="C38" i="4"/>
  <c r="D27" i="4"/>
  <c r="C26" i="4"/>
  <c r="D15" i="4"/>
  <c r="C14" i="4"/>
  <c r="D3" i="4"/>
  <c r="C2" i="4"/>
  <c r="I9" i="3"/>
  <c r="U9" i="3"/>
  <c r="X9" i="3"/>
  <c r="I8" i="3"/>
  <c r="U8" i="3"/>
  <c r="X8" i="3"/>
  <c r="I7" i="3"/>
  <c r="U7" i="3"/>
  <c r="X7" i="3"/>
  <c r="W13" i="3"/>
  <c r="V13" i="3"/>
  <c r="K13" i="3"/>
  <c r="E13" i="3"/>
  <c r="F13" i="3"/>
  <c r="G13" i="3"/>
  <c r="D13" i="3"/>
  <c r="I4" i="3"/>
  <c r="I5" i="3"/>
  <c r="I6" i="3"/>
  <c r="U6" i="3"/>
  <c r="X6" i="3"/>
  <c r="X5" i="3"/>
  <c r="U4" i="3"/>
  <c r="U5" i="3"/>
  <c r="M32" i="4" l="1"/>
  <c r="I30" i="4"/>
  <c r="E30" i="4"/>
  <c r="I31" i="4"/>
  <c r="E31" i="4"/>
  <c r="E6" i="4"/>
  <c r="I6" i="4"/>
  <c r="M8" i="4"/>
  <c r="E7" i="4"/>
  <c r="I7" i="4"/>
  <c r="M44" i="4"/>
  <c r="I43" i="4"/>
  <c r="E42" i="4"/>
  <c r="I42" i="4"/>
  <c r="E43" i="4"/>
  <c r="M20" i="4"/>
  <c r="I19" i="4"/>
  <c r="E18" i="4"/>
  <c r="I18" i="4"/>
  <c r="E19" i="4"/>
  <c r="J9" i="3"/>
  <c r="L9" i="3" s="1"/>
  <c r="J8" i="3"/>
  <c r="L8" i="3" s="1"/>
  <c r="J7" i="3"/>
  <c r="X13" i="3"/>
  <c r="J5" i="3"/>
  <c r="J6" i="3"/>
  <c r="I13" i="3"/>
  <c r="J4" i="3"/>
  <c r="M9" i="4" l="1"/>
  <c r="E9" i="4"/>
  <c r="M33" i="4"/>
  <c r="E33" i="4"/>
  <c r="L5" i="3"/>
  <c r="M23" i="4" s="1"/>
  <c r="M21" i="4"/>
  <c r="E21" i="4"/>
  <c r="L7" i="3"/>
  <c r="M47" i="4" s="1"/>
  <c r="M45" i="4"/>
  <c r="E45" i="4"/>
  <c r="L6" i="3"/>
  <c r="M35" i="4" s="1"/>
  <c r="L4" i="3"/>
  <c r="M11" i="4" s="1"/>
  <c r="J13" i="3"/>
  <c r="L13" i="3" l="1"/>
</calcChain>
</file>

<file path=xl/sharedStrings.xml><?xml version="1.0" encoding="utf-8"?>
<sst xmlns="http://schemas.openxmlformats.org/spreadsheetml/2006/main" count="129" uniqueCount="51">
  <si>
    <t>ID</t>
  </si>
  <si>
    <t xml:space="preserve"> </t>
  </si>
  <si>
    <t>給与計算ツール</t>
    <phoneticPr fontId="7"/>
  </si>
  <si>
    <t>従業員氏名</t>
  </si>
  <si>
    <t>税務上の身分</t>
  </si>
  <si>
    <t>時給</t>
  </si>
  <si>
    <t>雇用保険</t>
  </si>
  <si>
    <t xml:space="preserve">健康保険 </t>
  </si>
  <si>
    <t>保険料控除</t>
  </si>
  <si>
    <t>税金と</t>
    <phoneticPr fontId="7"/>
  </si>
  <si>
    <t xml:space="preserve">一般控除の合計  </t>
    <phoneticPr fontId="7"/>
  </si>
  <si>
    <t>期間</t>
  </si>
  <si>
    <t>氏名</t>
  </si>
  <si>
    <t>扶養家族</t>
  </si>
  <si>
    <t>残業時間給</t>
  </si>
  <si>
    <t xml:space="preserve">所得税 </t>
  </si>
  <si>
    <t xml:space="preserve">住民税 </t>
  </si>
  <si>
    <t>その他の一般控除</t>
  </si>
  <si>
    <t>その他の控除</t>
  </si>
  <si>
    <t>岩村 浩之</t>
  </si>
  <si>
    <t>小田 勝也</t>
  </si>
  <si>
    <t>若本 喜一</t>
  </si>
  <si>
    <t>古井 広宣</t>
  </si>
  <si>
    <t>中村 美香</t>
  </si>
  <si>
    <t>島中 和明</t>
  </si>
  <si>
    <t>池林 裕香</t>
  </si>
  <si>
    <t>河垣 加奈子</t>
  </si>
  <si>
    <t>阿部 信夫</t>
  </si>
  <si>
    <t>正規の勤務時間</t>
  </si>
  <si>
    <t>休暇時間</t>
  </si>
  <si>
    <t>病欠時間</t>
  </si>
  <si>
    <t>残業時間</t>
  </si>
  <si>
    <t>支払総額</t>
  </si>
  <si>
    <t>税金と控除</t>
  </si>
  <si>
    <t>その他の
控除</t>
    <phoneticPr fontId="7"/>
  </si>
  <si>
    <t>税引き後支払額</t>
  </si>
  <si>
    <t>税引き後支払額</t>
    <phoneticPr fontId="7"/>
  </si>
  <si>
    <t>扶養
家族</t>
    <phoneticPr fontId="7"/>
  </si>
  <si>
    <t>住民税</t>
    <phoneticPr fontId="7"/>
  </si>
  <si>
    <t>所得税</t>
  </si>
  <si>
    <t>雇用
保険</t>
    <phoneticPr fontId="7"/>
  </si>
  <si>
    <t>健康保険</t>
  </si>
  <si>
    <t>合計源泉徴収率</t>
  </si>
  <si>
    <t>合計一般
控除</t>
    <phoneticPr fontId="7"/>
  </si>
  <si>
    <t>合計</t>
  </si>
  <si>
    <t>期間の終了:</t>
  </si>
  <si>
    <t>会社名:</t>
    <phoneticPr fontId="7"/>
  </si>
  <si>
    <t>ヒロコーポレーション</t>
  </si>
  <si>
    <t>就業時間</t>
  </si>
  <si>
    <t xml:space="preserve">税金および控除の合計 </t>
  </si>
  <si>
    <t>従業員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</si>
</sst>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.00_);[Red]\(&quot;$&quot;#,##0.00\)"/>
    <numFmt numFmtId="177" formatCode="&quot;$&quot;#,##0.00;[Red]&quot;$&quot;#,##0.00"/>
    <numFmt numFmtId="178" formatCode="[$¥-411]#,##0;[$¥-411]#,##0"/>
  </numFmts>
  <fonts count="20" x14ac:knownFonts="1">
    <font>
      <sz val="10"/>
      <color theme="1"/>
      <name val="Calibri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1"/>
      <name val="Calibri"/>
      <family val="2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8"/>
      <color theme="4"/>
      <name val="Meiryo UI"/>
      <family val="3"/>
      <charset val="128"/>
    </font>
    <font>
      <b/>
      <sz val="10"/>
      <color theme="3"/>
      <name val="Meiryo UI"/>
      <family val="3"/>
      <charset val="128"/>
    </font>
    <font>
      <b/>
      <sz val="11"/>
      <color theme="3"/>
      <name val="Meiryo UI"/>
      <family val="3"/>
      <charset val="128"/>
    </font>
    <font>
      <sz val="11"/>
      <color theme="3"/>
      <name val="Meiryo UI"/>
      <family val="3"/>
      <charset val="128"/>
    </font>
    <font>
      <sz val="9"/>
      <color theme="3"/>
      <name val="Meiryo UI"/>
      <family val="3"/>
      <charset val="128"/>
    </font>
    <font>
      <b/>
      <sz val="9"/>
      <color theme="3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7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5" xfId="0" applyFont="1" applyBorder="1">
      <alignment vertical="center"/>
    </xf>
    <xf numFmtId="0" fontId="10" fillId="0" borderId="6" xfId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8" xfId="0" applyFont="1" applyBorder="1">
      <alignment vertical="center"/>
    </xf>
    <xf numFmtId="0" fontId="11" fillId="0" borderId="0" xfId="4" applyFont="1" applyFill="1" applyBorder="1" applyAlignment="1">
      <alignment horizontal="left" vertical="center" indent="1"/>
    </xf>
    <xf numFmtId="14" fontId="12" fillId="0" borderId="0" xfId="5" applyNumberFormat="1" applyFont="1" applyFill="1" applyBorder="1" applyAlignment="1">
      <alignment horizontal="left" vertical="center" indent="1"/>
    </xf>
    <xf numFmtId="0" fontId="12" fillId="0" borderId="0" xfId="5" applyFont="1" applyFill="1" applyBorder="1" applyAlignment="1">
      <alignment horizontal="left" vertical="center" indent="1"/>
    </xf>
    <xf numFmtId="0" fontId="8" fillId="0" borderId="9" xfId="0" applyFont="1" applyBorder="1">
      <alignment vertical="center"/>
    </xf>
    <xf numFmtId="0" fontId="14" fillId="0" borderId="12" xfId="0" applyFont="1" applyFill="1" applyBorder="1" applyAlignment="1">
      <alignment horizontal="left" indent="1"/>
    </xf>
    <xf numFmtId="0" fontId="14" fillId="0" borderId="18" xfId="0" applyFont="1" applyFill="1" applyBorder="1" applyAlignment="1">
      <alignment horizontal="left" indent="1"/>
    </xf>
    <xf numFmtId="0" fontId="14" fillId="0" borderId="13" xfId="0" applyFont="1" applyFill="1" applyBorder="1" applyAlignment="1">
      <alignment horizontal="right" indent="2"/>
    </xf>
    <xf numFmtId="0" fontId="15" fillId="0" borderId="0" xfId="0" applyFont="1" applyFill="1" applyBorder="1" applyAlignment="1">
      <alignment horizontal="left" vertical="center" indent="1"/>
    </xf>
    <xf numFmtId="0" fontId="14" fillId="0" borderId="14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176" fontId="15" fillId="0" borderId="0" xfId="0" applyNumberFormat="1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right" indent="2"/>
    </xf>
    <xf numFmtId="0" fontId="14" fillId="0" borderId="0" xfId="0" applyFont="1" applyFill="1" applyBorder="1" applyAlignment="1">
      <alignment horizontal="left" vertical="center" indent="1"/>
    </xf>
    <xf numFmtId="177" fontId="14" fillId="0" borderId="17" xfId="0" applyNumberFormat="1" applyFont="1" applyFill="1" applyBorder="1" applyAlignment="1">
      <alignment horizontal="right" vertical="top" indent="2"/>
    </xf>
    <xf numFmtId="0" fontId="14" fillId="0" borderId="16" xfId="0" applyFont="1" applyFill="1" applyBorder="1" applyAlignment="1">
      <alignment horizontal="left" vertical="top" indent="1"/>
    </xf>
    <xf numFmtId="0" fontId="14" fillId="0" borderId="19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8" fillId="0" borderId="1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1" xfId="0" applyFont="1" applyBorder="1">
      <alignment vertical="center"/>
    </xf>
    <xf numFmtId="178" fontId="14" fillId="0" borderId="15" xfId="0" applyNumberFormat="1" applyFont="1" applyFill="1" applyBorder="1" applyAlignment="1">
      <alignment horizontal="right" indent="2"/>
    </xf>
    <xf numFmtId="178" fontId="14" fillId="0" borderId="15" xfId="0" applyNumberFormat="1" applyFont="1" applyFill="1" applyBorder="1" applyAlignment="1">
      <alignment horizontal="right" vertical="center" indent="2"/>
    </xf>
    <xf numFmtId="178" fontId="16" fillId="4" borderId="18" xfId="0" applyNumberFormat="1" applyFont="1" applyFill="1" applyBorder="1" applyAlignment="1">
      <alignment horizontal="right" vertical="center" indent="2"/>
    </xf>
    <xf numFmtId="0" fontId="10" fillId="0" borderId="4" xfId="1" applyFont="1" applyBorder="1" applyAlignment="1">
      <alignment vertical="center"/>
    </xf>
    <xf numFmtId="0" fontId="12" fillId="0" borderId="4" xfId="2" applyFont="1" applyBorder="1" applyAlignment="1">
      <alignment horizontal="right" vertical="center"/>
    </xf>
    <xf numFmtId="14" fontId="13" fillId="0" borderId="4" xfId="3" applyNumberFormat="1" applyFont="1" applyFill="1" applyBorder="1" applyAlignment="1">
      <alignment horizontal="right" vertical="center"/>
    </xf>
    <xf numFmtId="0" fontId="12" fillId="0" borderId="4" xfId="2" applyFont="1" applyBorder="1" applyAlignment="1">
      <alignment horizontal="left" vertical="center"/>
    </xf>
    <xf numFmtId="0" fontId="13" fillId="0" borderId="4" xfId="3" applyFont="1" applyFill="1" applyBorder="1" applyAlignment="1">
      <alignment horizontal="left" vertical="center"/>
    </xf>
    <xf numFmtId="0" fontId="17" fillId="0" borderId="0" xfId="0" applyFont="1">
      <alignment vertical="center"/>
    </xf>
    <xf numFmtId="0" fontId="8" fillId="0" borderId="0" xfId="0" applyFont="1" applyFill="1" applyBorder="1">
      <alignment vertical="center"/>
    </xf>
    <xf numFmtId="14" fontId="13" fillId="0" borderId="0" xfId="3" applyNumberFormat="1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8" fillId="0" borderId="15" xfId="0" applyFont="1" applyFill="1" applyBorder="1" applyAlignment="1">
      <alignment horizontal="left" wrapText="1" indent="1"/>
    </xf>
    <xf numFmtId="0" fontId="18" fillId="0" borderId="0" xfId="0" applyFont="1" applyFill="1" applyBorder="1" applyAlignment="1">
      <alignment horizontal="left" wrapText="1" indent="1"/>
    </xf>
    <xf numFmtId="0" fontId="1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right" vertical="center" indent="1"/>
    </xf>
    <xf numFmtId="178" fontId="8" fillId="0" borderId="0" xfId="0" applyNumberFormat="1" applyFont="1" applyFill="1" applyBorder="1" applyAlignment="1">
      <alignment horizontal="right" vertical="center" indent="1"/>
    </xf>
    <xf numFmtId="0" fontId="8" fillId="3" borderId="1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8" fillId="0" borderId="0" xfId="6" applyNumberFormat="1" applyFont="1" applyFill="1" applyBorder="1" applyAlignment="1">
      <alignment horizontal="center" vertical="center"/>
    </xf>
    <xf numFmtId="10" fontId="19" fillId="2" borderId="0" xfId="6" applyNumberFormat="1" applyFont="1" applyFill="1" applyBorder="1" applyAlignment="1">
      <alignment horizontal="center" vertical="center"/>
    </xf>
    <xf numFmtId="178" fontId="19" fillId="2" borderId="0" xfId="0" applyNumberFormat="1" applyFont="1" applyFill="1" applyBorder="1" applyAlignment="1">
      <alignment horizontal="right" vertical="center" inden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 indent="1"/>
    </xf>
    <xf numFmtId="0" fontId="14" fillId="0" borderId="19" xfId="0" applyFont="1" applyFill="1" applyBorder="1" applyAlignment="1">
      <alignment horizontal="left" vertical="top" wrapText="1" indent="1"/>
    </xf>
    <xf numFmtId="0" fontId="14" fillId="0" borderId="14" xfId="0" applyFont="1" applyFill="1" applyBorder="1" applyAlignment="1">
      <alignment horizontal="left" wrapText="1" indent="1"/>
    </xf>
    <xf numFmtId="0" fontId="14" fillId="0" borderId="0" xfId="0" applyFont="1" applyFill="1" applyBorder="1" applyAlignment="1">
      <alignment horizontal="left" wrapText="1" indent="1"/>
    </xf>
    <xf numFmtId="14" fontId="12" fillId="0" borderId="19" xfId="5" applyNumberFormat="1" applyFont="1" applyFill="1" applyBorder="1" applyAlignment="1">
      <alignment horizontal="right" vertical="center" indent="2"/>
    </xf>
    <xf numFmtId="0" fontId="13" fillId="0" borderId="19" xfId="5" applyFont="1" applyFill="1" applyBorder="1" applyAlignment="1">
      <alignment horizontal="right" vertical="center" indent="2"/>
    </xf>
    <xf numFmtId="0" fontId="12" fillId="0" borderId="19" xfId="5" applyFont="1" applyFill="1" applyBorder="1" applyAlignment="1">
      <alignment horizontal="right" vertical="center" indent="2"/>
    </xf>
  </cellXfs>
  <cellStyles count="7">
    <cellStyle name="タイトル" xfId="1" builtinId="15" customBuiltin="1"/>
    <cellStyle name="パーセント" xfId="6" builtinId="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/>
    <cellStyle name="標準" xfId="0" builtinId="0" customBuilti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8" formatCode="[$¥-411]#,##0;[$¥-411]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name val="Meiryo UI"/>
        <scheme val="none"/>
      </font>
      <numFmt numFmtId="178" formatCode="[$¥-411]#,##0;[$¥-411]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8" formatCode="[$¥-411]#,##0;[$¥-411]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8" formatCode="[$¥-411]#,##0;[$¥-411]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8" formatCode="[$¥-411]#,##0;[$¥-411]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8" formatCode="[$¥-411]#,##0;[$¥-411]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name val="Meiryo UI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8" formatCode="[$¥-411]#,##0;[$¥-411]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eiryo UI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8" formatCode="[$¥-411]#,##0;[$¥-411]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8" formatCode="[$¥-411]#,##0;[$¥-411]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8" formatCode="[$¥-411]#,##0;[$¥-411]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8" formatCode="[$¥-411]#,##0;[$¥-411]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8" formatCode="[$¥-411]#,##0;[$¥-411]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8" formatCode="[$¥-411]#,##0;[$¥-411]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8" formatCode="[$¥-411]#,##0;[$¥-411]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8" formatCode="[$¥-411]#,##0;[$¥-411]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8" formatCode="[$¥-411]#,##0;[$¥-411]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8" formatCode="[$¥-411]#,##0;[$¥-411]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1"/>
        <name val="Meiryo UI"/>
        <scheme val="none"/>
      </font>
      <alignment vertical="bottom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theme="4" tint="0.79992065187536243"/>
          <bgColor theme="4" tint="0.79998168889431442"/>
        </patternFill>
      </fill>
    </dxf>
    <dxf>
      <font>
        <b/>
        <i val="0"/>
        <color theme="3"/>
      </font>
    </dxf>
    <dxf>
      <font>
        <color theme="3"/>
      </font>
    </dxf>
    <dxf>
      <font>
        <color theme="1" tint="0.34998626667073579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Payroll Calculator" defaultPivotStyle="PivotStyleLight16">
    <tableStyle name="Payroll Calculator" pivot="0" count="6">
      <tableStyleElement type="wholeTable" dxfId="54"/>
      <tableStyleElement type="headerRow" dxfId="53"/>
      <tableStyleElement type="totalRow" dxfId="52"/>
      <tableStyleElement type="firstRowStripe" dxfId="51"/>
      <tableStyleElement type="secondRowStripe" dxfId="50"/>
      <tableStyleElement type="firstColumn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2102;&#19982;&#12398;&#20837;&#2114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0</xdr:row>
      <xdr:rowOff>171449</xdr:rowOff>
    </xdr:from>
    <xdr:to>
      <xdr:col>8</xdr:col>
      <xdr:colOff>828675</xdr:colOff>
      <xdr:row>0</xdr:row>
      <xdr:rowOff>400050</xdr:rowOff>
    </xdr:to>
    <xdr:sp macro="[0]!BuildPayStubs" textlink="">
      <xdr:nvSpPr>
        <xdr:cNvPr id="2" name="給与の控えの作成" descr="クリックすると、給与の控えが作成されます。" title="給与明細の作成"/>
        <xdr:cNvSpPr/>
      </xdr:nvSpPr>
      <xdr:spPr>
        <a:xfrm>
          <a:off x="5791200" y="171449"/>
          <a:ext cx="1581150" cy="228601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0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給与明細の作成</a:t>
          </a:r>
          <a:endParaRPr lang="en-US" sz="10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12</xdr:col>
      <xdr:colOff>15875</xdr:colOff>
      <xdr:row>2</xdr:row>
      <xdr:rowOff>146844</xdr:rowOff>
    </xdr:from>
    <xdr:to>
      <xdr:col>13</xdr:col>
      <xdr:colOff>517</xdr:colOff>
      <xdr:row>3</xdr:row>
      <xdr:rowOff>19051</xdr:rowOff>
    </xdr:to>
    <xdr:sp macro="" textlink="">
      <xdr:nvSpPr>
        <xdr:cNvPr id="5" name="フィルター カバー" descr="&quot;&quot;" title="フィルター カバー"/>
        <xdr:cNvSpPr/>
      </xdr:nvSpPr>
      <xdr:spPr>
        <a:xfrm>
          <a:off x="9556750" y="1535907"/>
          <a:ext cx="175142" cy="2611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171450</xdr:rowOff>
    </xdr:from>
    <xdr:to>
      <xdr:col>17</xdr:col>
      <xdr:colOff>9524</xdr:colOff>
      <xdr:row>1</xdr:row>
      <xdr:rowOff>209550</xdr:rowOff>
    </xdr:to>
    <xdr:sp macro="" textlink="">
      <xdr:nvSpPr>
        <xdr:cNvPr id="2" name="給与の入力" descr="クリックすると、[給与の入力] シートが表示されます。" title="給与の入力">
          <a:hlinkClick xmlns:r="http://schemas.openxmlformats.org/officeDocument/2006/relationships" r:id="rId1" tooltip="クリックすると、[給与の入力] シートが表示されます。"/>
        </xdr:cNvPr>
        <xdr:cNvSpPr/>
      </xdr:nvSpPr>
      <xdr:spPr>
        <a:xfrm>
          <a:off x="8905874" y="171450"/>
          <a:ext cx="1266825" cy="228600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ja-JP" altLang="en-US" sz="10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給与の入力</a:t>
          </a:r>
          <a:endParaRPr lang="en-US" sz="10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Employees" displayName="Employees" ref="B3:X13" totalsRowCount="1" headerRowDxfId="48" dataDxfId="47" totalsRowDxfId="46">
  <autoFilter ref="B3:X12"/>
  <tableColumns count="23">
    <tableColumn id="1" name="ID" totalsRowLabel="合計" dataDxfId="45" totalsRowDxfId="44"/>
    <tableColumn id="2" name="従業員氏名" totalsRowFunction="count" dataDxfId="43" totalsRowDxfId="42"/>
    <tableColumn id="25" name="正規の勤務時間" totalsRowFunction="sum" dataDxfId="41" totalsRowDxfId="40"/>
    <tableColumn id="26" name="休暇時間" totalsRowFunction="sum" dataDxfId="39" totalsRowDxfId="38"/>
    <tableColumn id="27" name="病欠時間" totalsRowFunction="sum" dataDxfId="37" totalsRowDxfId="36"/>
    <tableColumn id="28" name="残業時間" totalsRowFunction="sum" dataDxfId="35" totalsRowDxfId="34"/>
    <tableColumn id="29" name="残業時間給" dataDxfId="33" totalsRowDxfId="32"/>
    <tableColumn id="30" name="支払総額" totalsRowFunction="sum" dataDxfId="31" totalsRowDxfId="30">
      <calculatedColumnFormula>SUM(Employees[[#This Row],[正規の勤務時間]:[病欠時間]])*Employees[[#This Row],[時給]]+Employees[[#This Row],[残業時間]]*Employees[[#This Row],[残業時間給]]</calculatedColumnFormula>
    </tableColumn>
    <tableColumn id="31" name="税金と控除" totalsRowFunction="sum" dataDxfId="29" totalsRowDxfId="28">
      <calculatedColumnFormula>Employees[[#This Row],[支払総額]]*Employees[[#This Row],[合計源泉徴収率]] + Employees[[#This Row],[合計一般
控除]]</calculatedColumnFormula>
    </tableColumn>
    <tableColumn id="32" name="その他の_x000a_控除" totalsRowFunction="sum" dataDxfId="27" totalsRowDxfId="26"/>
    <tableColumn id="33" name="税引き後支払額" totalsRowFunction="sum" dataDxfId="25" totalsRowDxfId="24">
      <calculatedColumnFormula>Employees[[#This Row],[支払総額]]-Employees[[#This Row],[税金と控除]]-Employees[[#This Row],[その他の
控除]]</calculatedColumnFormula>
    </tableColumn>
    <tableColumn id="24" name=" " dataDxfId="23" totalsRowDxfId="22"/>
    <tableColumn id="3" name="時給" dataDxfId="21" totalsRowDxfId="20"/>
    <tableColumn id="4" name="税務上の身分" dataDxfId="19" totalsRowDxfId="18"/>
    <tableColumn id="5" name="扶養_x000a_家族" dataDxfId="17" totalsRowDxfId="16"/>
    <tableColumn id="6" name="住民税" dataDxfId="15" totalsRowDxfId="14"/>
    <tableColumn id="7" name="所得税" dataDxfId="13" totalsRowDxfId="12"/>
    <tableColumn id="8" name="雇用_x000a_保険" dataDxfId="11" totalsRowDxfId="10"/>
    <tableColumn id="9" name="健康保険" dataDxfId="9" totalsRowDxfId="8"/>
    <tableColumn id="10" name="合計源泉徴収率" dataDxfId="7" totalsRowDxfId="6">
      <calculatedColumnFormula>SUM(Employees[[#This Row],[住民税]:[健康保険]])</calculatedColumnFormula>
    </tableColumn>
    <tableColumn id="11" name="保険料控除" totalsRowFunction="sum" dataDxfId="5" totalsRowDxfId="4"/>
    <tableColumn id="12" name="その他の一般控除" totalsRowFunction="sum" dataDxfId="3" totalsRowDxfId="2"/>
    <tableColumn id="13" name="合計一般_x000a_控除" totalsRowFunction="sum" dataDxfId="1" totalsRowDxfId="0">
      <calculatedColumnFormula>SUM(Employees[[#This Row],[保険料控除]:[その他の一般控除]])</calculatedColumnFormula>
    </tableColumn>
  </tableColumns>
  <tableStyleInfo name="Payroll Calculator" showFirstColumn="0" showLastColumn="0" showRowStripes="1" showColumnStripes="0"/>
  <extLst>
    <ext xmlns:x14="http://schemas.microsoft.com/office/spreadsheetml/2009/9/main" uri="{504A1905-F514-4f6f-8877-14C23A59335A}">
      <x14:table altText="給与情報" altTextSummary="従業員とその定時勤務時間、休暇時間、病欠時間、残業時間、残業時間給、支払総額、税金などの給与データのリストです。"/>
    </ext>
  </extLst>
</table>
</file>

<file path=xl/theme/theme1.xml><?xml version="1.0" encoding="utf-8"?>
<a:theme xmlns:a="http://schemas.openxmlformats.org/drawingml/2006/main" name="Office Theme">
  <a:themeElements>
    <a:clrScheme name="Payroll Calculator">
      <a:dk1>
        <a:sysClr val="windowText" lastClr="000000"/>
      </a:dk1>
      <a:lt1>
        <a:sysClr val="window" lastClr="FFFFFF"/>
      </a:lt1>
      <a:dk2>
        <a:srgbClr val="554B4C"/>
      </a:dk2>
      <a:lt2>
        <a:srgbClr val="EEECE1"/>
      </a:lt2>
      <a:accent1>
        <a:srgbClr val="94BA65"/>
      </a:accent1>
      <a:accent2>
        <a:srgbClr val="938953"/>
      </a:accent2>
      <a:accent3>
        <a:srgbClr val="CF9E1E"/>
      </a:accent3>
      <a:accent4>
        <a:srgbClr val="5E9096"/>
      </a:accent4>
      <a:accent5>
        <a:srgbClr val="92618B"/>
      </a:accent5>
      <a:accent6>
        <a:srgbClr val="C26251"/>
      </a:accent6>
      <a:hlink>
        <a:srgbClr val="5E9096"/>
      </a:hlink>
      <a:folHlink>
        <a:srgbClr val="92618B"/>
      </a:folHlink>
    </a:clrScheme>
    <a:fontScheme name="Payroll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X13"/>
  <sheetViews>
    <sheetView showGridLines="0" tabSelected="1" zoomScaleNormal="100" workbookViewId="0">
      <pane xSplit="3" topLeftCell="D1" activePane="topRight" state="frozen"/>
      <selection pane="topRight"/>
    </sheetView>
  </sheetViews>
  <sheetFormatPr defaultRowHeight="18.75" customHeight="1" x14ac:dyDescent="0.2"/>
  <cols>
    <col min="1" max="1" width="1.42578125" style="1" customWidth="1"/>
    <col min="2" max="2" width="10.28515625" style="1" customWidth="1"/>
    <col min="3" max="3" width="31" style="1" customWidth="1"/>
    <col min="4" max="4" width="18.28515625" style="1" customWidth="1"/>
    <col min="5" max="5" width="13.140625" style="1" customWidth="1"/>
    <col min="6" max="6" width="13" style="1" customWidth="1"/>
    <col min="7" max="7" width="13.140625" style="1" customWidth="1"/>
    <col min="8" max="8" width="14.7109375" style="1" customWidth="1"/>
    <col min="9" max="9" width="12.5703125" style="1" customWidth="1"/>
    <col min="10" max="10" width="13.5703125" style="1" customWidth="1"/>
    <col min="11" max="11" width="13" style="1" customWidth="1"/>
    <col min="12" max="12" width="18.140625" style="1" customWidth="1"/>
    <col min="13" max="13" width="2.85546875" style="1" customWidth="1"/>
    <col min="14" max="14" width="10.28515625" style="1" customWidth="1"/>
    <col min="15" max="15" width="15.85546875" style="1" customWidth="1"/>
    <col min="16" max="16" width="10.140625" style="1" customWidth="1"/>
    <col min="17" max="17" width="11.28515625" style="1" customWidth="1"/>
    <col min="18" max="18" width="13.28515625" style="1" customWidth="1"/>
    <col min="19" max="19" width="11.140625" style="1" customWidth="1"/>
    <col min="20" max="20" width="12.28515625" style="1" customWidth="1"/>
    <col min="21" max="21" width="19" style="1" customWidth="1"/>
    <col min="22" max="22" width="14.7109375" style="1" customWidth="1"/>
    <col min="23" max="23" width="19" style="1" customWidth="1"/>
    <col min="24" max="24" width="11" style="1" customWidth="1"/>
    <col min="25" max="16384" width="9.140625" style="1"/>
  </cols>
  <sheetData>
    <row r="1" spans="2:24" ht="42" customHeight="1" thickBot="1" x14ac:dyDescent="0.25">
      <c r="B1" s="33" t="s">
        <v>2</v>
      </c>
      <c r="C1" s="28"/>
      <c r="D1" s="28"/>
      <c r="E1" s="28"/>
      <c r="F1" s="28"/>
      <c r="G1" s="28"/>
      <c r="H1" s="28"/>
      <c r="I1" s="28"/>
      <c r="J1" s="28"/>
      <c r="K1" s="34" t="s">
        <v>45</v>
      </c>
      <c r="L1" s="35">
        <v>41372</v>
      </c>
      <c r="M1" s="28"/>
      <c r="N1" s="36" t="s">
        <v>46</v>
      </c>
      <c r="O1" s="37" t="s">
        <v>47</v>
      </c>
      <c r="P1" s="28"/>
      <c r="Q1" s="28"/>
      <c r="R1" s="28"/>
      <c r="S1" s="28"/>
      <c r="T1" s="28"/>
      <c r="U1" s="28"/>
      <c r="V1" s="28"/>
      <c r="W1" s="28"/>
      <c r="X1" s="28"/>
    </row>
    <row r="2" spans="2:24" ht="12" customHeight="1" x14ac:dyDescent="0.25">
      <c r="B2" s="38"/>
      <c r="H2" s="39"/>
      <c r="P2" s="40"/>
    </row>
    <row r="3" spans="2:24" ht="30.75" customHeight="1" x14ac:dyDescent="0.25">
      <c r="B3" s="41" t="s">
        <v>0</v>
      </c>
      <c r="C3" s="41" t="s">
        <v>3</v>
      </c>
      <c r="D3" s="42" t="s">
        <v>28</v>
      </c>
      <c r="E3" s="43" t="s">
        <v>29</v>
      </c>
      <c r="F3" s="43" t="s">
        <v>30</v>
      </c>
      <c r="G3" s="43" t="s">
        <v>31</v>
      </c>
      <c r="H3" s="43" t="s">
        <v>14</v>
      </c>
      <c r="I3" s="43" t="s">
        <v>32</v>
      </c>
      <c r="J3" s="43" t="s">
        <v>33</v>
      </c>
      <c r="K3" s="43" t="s">
        <v>34</v>
      </c>
      <c r="L3" s="43" t="s">
        <v>36</v>
      </c>
      <c r="M3" s="44" t="s">
        <v>1</v>
      </c>
      <c r="N3" s="43" t="s">
        <v>5</v>
      </c>
      <c r="O3" s="43" t="s">
        <v>4</v>
      </c>
      <c r="P3" s="43" t="s">
        <v>37</v>
      </c>
      <c r="Q3" s="43" t="s">
        <v>38</v>
      </c>
      <c r="R3" s="43" t="s">
        <v>39</v>
      </c>
      <c r="S3" s="43" t="s">
        <v>40</v>
      </c>
      <c r="T3" s="43" t="s">
        <v>41</v>
      </c>
      <c r="U3" s="43" t="s">
        <v>42</v>
      </c>
      <c r="V3" s="43" t="s">
        <v>8</v>
      </c>
      <c r="W3" s="43" t="s">
        <v>17</v>
      </c>
      <c r="X3" s="43" t="s">
        <v>43</v>
      </c>
    </row>
    <row r="4" spans="2:24" ht="18.75" customHeight="1" x14ac:dyDescent="0.2">
      <c r="B4" s="45">
        <v>1001</v>
      </c>
      <c r="C4" s="45" t="s">
        <v>19</v>
      </c>
      <c r="D4" s="46">
        <v>50</v>
      </c>
      <c r="E4" s="47">
        <v>5</v>
      </c>
      <c r="F4" s="47">
        <v>1</v>
      </c>
      <c r="G4" s="47"/>
      <c r="H4" s="48"/>
      <c r="I4" s="49">
        <f>SUM(Employees[[#This Row],[正規の勤務時間]:[病欠時間]])*Employees[[#This Row],[時給]]+Employees[[#This Row],[残業時間]]*Employees[[#This Row],[残業時間給]]</f>
        <v>56000</v>
      </c>
      <c r="J4" s="49">
        <f>Employees[[#This Row],[支払総額]]*Employees[[#This Row],[合計源泉徴収率]] + Employees[[#This Row],[合計一般
控除]]</f>
        <v>27308.000000000004</v>
      </c>
      <c r="K4" s="50">
        <v>2000</v>
      </c>
      <c r="L4" s="49">
        <f>Employees[[#This Row],[支払総額]]-Employees[[#This Row],[税金と控除]]-Employees[[#This Row],[その他の
控除]]</f>
        <v>26691.999999999996</v>
      </c>
      <c r="M4" s="51"/>
      <c r="N4" s="48">
        <v>1000</v>
      </c>
      <c r="O4" s="47">
        <v>1</v>
      </c>
      <c r="P4" s="47">
        <v>4</v>
      </c>
      <c r="Q4" s="52">
        <v>2.3E-2</v>
      </c>
      <c r="R4" s="53">
        <v>0.28000000000000003</v>
      </c>
      <c r="S4" s="53">
        <v>6.3E-2</v>
      </c>
      <c r="T4" s="53">
        <v>1.4500000000000001E-2</v>
      </c>
      <c r="U4" s="54">
        <f>SUM(Employees[[#This Row],[住民税]:[健康保険]])</f>
        <v>0.38050000000000006</v>
      </c>
      <c r="V4" s="50">
        <v>2000</v>
      </c>
      <c r="W4" s="50">
        <v>4000</v>
      </c>
      <c r="X4" s="55">
        <f>SUM(Employees[[#This Row],[保険料控除]:[その他の一般控除]])</f>
        <v>6000</v>
      </c>
    </row>
    <row r="5" spans="2:24" ht="18.75" customHeight="1" x14ac:dyDescent="0.2">
      <c r="B5" s="45">
        <v>1002</v>
      </c>
      <c r="C5" s="45" t="s">
        <v>20</v>
      </c>
      <c r="D5" s="46">
        <v>40</v>
      </c>
      <c r="E5" s="47"/>
      <c r="F5" s="47"/>
      <c r="G5" s="47"/>
      <c r="H5" s="48"/>
      <c r="I5" s="49">
        <f>SUM(Employees[[#This Row],[正規の勤務時間]:[病欠時間]])*Employees[[#This Row],[時給]]+Employees[[#This Row],[残業時間]]*Employees[[#This Row],[残業時間給]]</f>
        <v>32000</v>
      </c>
      <c r="J5" s="49">
        <f>Employees[[#This Row],[支払総額]]*Employees[[#This Row],[合計源泉徴収率]] + Employees[[#This Row],[合計一般
控除]]</f>
        <v>13176.000000000002</v>
      </c>
      <c r="K5" s="50"/>
      <c r="L5" s="49">
        <f>Employees[[#This Row],[支払総額]]-Employees[[#This Row],[税金と控除]]-Employees[[#This Row],[その他の
控除]]</f>
        <v>18824</v>
      </c>
      <c r="M5" s="56"/>
      <c r="N5" s="48">
        <v>800</v>
      </c>
      <c r="O5" s="47">
        <v>1</v>
      </c>
      <c r="P5" s="47">
        <v>1</v>
      </c>
      <c r="Q5" s="52">
        <v>2.3E-2</v>
      </c>
      <c r="R5" s="53">
        <v>0.28000000000000003</v>
      </c>
      <c r="S5" s="53">
        <v>6.3E-2</v>
      </c>
      <c r="T5" s="53">
        <v>1.4500000000000001E-2</v>
      </c>
      <c r="U5" s="54">
        <f>SUM(Employees[[#This Row],[住民税]:[健康保険]])</f>
        <v>0.38050000000000006</v>
      </c>
      <c r="V5" s="50">
        <v>0</v>
      </c>
      <c r="W5" s="50">
        <v>1000</v>
      </c>
      <c r="X5" s="55">
        <f>SUM(Employees[[#This Row],[保険料控除]:[その他の一般控除]])</f>
        <v>1000</v>
      </c>
    </row>
    <row r="6" spans="2:24" ht="18.75" customHeight="1" x14ac:dyDescent="0.2">
      <c r="B6" s="45">
        <v>1003</v>
      </c>
      <c r="C6" s="45" t="s">
        <v>21</v>
      </c>
      <c r="D6" s="46">
        <v>35</v>
      </c>
      <c r="E6" s="47">
        <v>3</v>
      </c>
      <c r="F6" s="47"/>
      <c r="G6" s="47"/>
      <c r="H6" s="48"/>
      <c r="I6" s="49">
        <f>SUM(Employees[[#This Row],[正規の勤務時間]:[病欠時間]])*Employees[[#This Row],[時給]]+Employees[[#This Row],[残業時間]]*Employees[[#This Row],[残業時間給]]</f>
        <v>53200</v>
      </c>
      <c r="J6" s="49">
        <f>Employees[[#This Row],[支払総額]]*Employees[[#This Row],[合計源泉徴収率]] + Employees[[#This Row],[合計一般
控除]]</f>
        <v>24042.600000000002</v>
      </c>
      <c r="K6" s="50"/>
      <c r="L6" s="49">
        <f>Employees[[#This Row],[支払総額]]-Employees[[#This Row],[税金と控除]]-Employees[[#This Row],[その他の
控除]]</f>
        <v>29157.399999999998</v>
      </c>
      <c r="M6" s="56"/>
      <c r="N6" s="48">
        <v>1400</v>
      </c>
      <c r="O6" s="47">
        <v>1</v>
      </c>
      <c r="P6" s="47">
        <v>3</v>
      </c>
      <c r="Q6" s="52">
        <v>2.3E-2</v>
      </c>
      <c r="R6" s="53">
        <v>0.28000000000000003</v>
      </c>
      <c r="S6" s="53">
        <v>6.3E-2</v>
      </c>
      <c r="T6" s="53">
        <v>1.4500000000000001E-2</v>
      </c>
      <c r="U6" s="54">
        <f>SUM(Employees[[#This Row],[住民税]:[健康保険]])</f>
        <v>0.38050000000000006</v>
      </c>
      <c r="V6" s="50">
        <v>1800</v>
      </c>
      <c r="W6" s="50">
        <v>2000</v>
      </c>
      <c r="X6" s="55">
        <f>SUM(Employees[[#This Row],[保険料控除]:[その他の一般控除]])</f>
        <v>3800</v>
      </c>
    </row>
    <row r="7" spans="2:24" ht="18.75" customHeight="1" x14ac:dyDescent="0.2">
      <c r="B7" s="45">
        <v>1008</v>
      </c>
      <c r="C7" s="45" t="s">
        <v>22</v>
      </c>
      <c r="D7" s="46">
        <v>50</v>
      </c>
      <c r="E7" s="47">
        <v>5</v>
      </c>
      <c r="F7" s="47">
        <v>1</v>
      </c>
      <c r="G7" s="47"/>
      <c r="H7" s="48"/>
      <c r="I7" s="49">
        <f>SUM(Employees[[#This Row],[正規の勤務時間]:[病欠時間]])*Employees[[#This Row],[時給]]+Employees[[#This Row],[残業時間]]*Employees[[#This Row],[残業時間給]]</f>
        <v>112000</v>
      </c>
      <c r="J7" s="49">
        <f>Employees[[#This Row],[支払総額]]*Employees[[#This Row],[合計源泉徴収率]] + Employees[[#This Row],[合計一般
控除]]</f>
        <v>44116.000000000007</v>
      </c>
      <c r="K7" s="50"/>
      <c r="L7" s="49">
        <f>Employees[[#This Row],[支払総額]]-Employees[[#This Row],[税金と控除]]-Employees[[#This Row],[その他の
控除]]</f>
        <v>67884</v>
      </c>
      <c r="M7" s="56"/>
      <c r="N7" s="48">
        <v>2000</v>
      </c>
      <c r="O7" s="47">
        <v>1</v>
      </c>
      <c r="P7" s="47">
        <v>0</v>
      </c>
      <c r="Q7" s="52">
        <v>2.3E-2</v>
      </c>
      <c r="R7" s="53">
        <v>0.28000000000000003</v>
      </c>
      <c r="S7" s="53">
        <v>6.3E-2</v>
      </c>
      <c r="T7" s="53">
        <v>1.4500000000000001E-2</v>
      </c>
      <c r="U7" s="54">
        <f>SUM(Employees[[#This Row],[住民税]:[健康保険]])</f>
        <v>0.38050000000000006</v>
      </c>
      <c r="V7" s="50">
        <v>1500</v>
      </c>
      <c r="W7" s="50"/>
      <c r="X7" s="55">
        <f>SUM(Employees[[#This Row],[保険料控除]:[その他の一般控除]])</f>
        <v>1500</v>
      </c>
    </row>
    <row r="8" spans="2:24" ht="18.75" customHeight="1" x14ac:dyDescent="0.2">
      <c r="B8" s="45">
        <v>1011</v>
      </c>
      <c r="C8" s="45" t="s">
        <v>23</v>
      </c>
      <c r="D8" s="46">
        <v>40</v>
      </c>
      <c r="E8" s="47"/>
      <c r="F8" s="47"/>
      <c r="G8" s="47">
        <v>2</v>
      </c>
      <c r="H8" s="48">
        <v>1500</v>
      </c>
      <c r="I8" s="49">
        <f>SUM(Employees[[#This Row],[正規の勤務時間]:[病欠時間]])*Employees[[#This Row],[時給]]+Employees[[#This Row],[残業時間]]*Employees[[#This Row],[残業時間給]]</f>
        <v>43000</v>
      </c>
      <c r="J8" s="49">
        <f>Employees[[#This Row],[支払総額]]*Employees[[#This Row],[合計源泉徴収率]] + Employees[[#This Row],[合計一般
控除]]</f>
        <v>22361.5</v>
      </c>
      <c r="K8" s="50"/>
      <c r="L8" s="49">
        <f>Employees[[#This Row],[支払総額]]-Employees[[#This Row],[税金と控除]]-Employees[[#This Row],[その他の
控除]]</f>
        <v>20638.5</v>
      </c>
      <c r="M8" s="56"/>
      <c r="N8" s="48">
        <v>1000</v>
      </c>
      <c r="O8" s="47">
        <v>1</v>
      </c>
      <c r="P8" s="47">
        <v>0</v>
      </c>
      <c r="Q8" s="52">
        <v>2.3E-2</v>
      </c>
      <c r="R8" s="53">
        <v>0.28000000000000003</v>
      </c>
      <c r="S8" s="53">
        <v>6.3E-2</v>
      </c>
      <c r="T8" s="53">
        <v>1.4500000000000001E-2</v>
      </c>
      <c r="U8" s="54">
        <f>SUM(Employees[[#This Row],[住民税]:[健康保険]])</f>
        <v>0.38050000000000006</v>
      </c>
      <c r="V8" s="50">
        <v>2000</v>
      </c>
      <c r="W8" s="50">
        <v>4000</v>
      </c>
      <c r="X8" s="55">
        <f>SUM(Employees[[#This Row],[保険料控除]:[その他の一般控除]])</f>
        <v>6000</v>
      </c>
    </row>
    <row r="9" spans="2:24" ht="18.75" customHeight="1" x14ac:dyDescent="0.2">
      <c r="B9" s="45">
        <v>1012</v>
      </c>
      <c r="C9" s="45" t="s">
        <v>24</v>
      </c>
      <c r="D9" s="46">
        <v>40</v>
      </c>
      <c r="E9" s="47">
        <v>5</v>
      </c>
      <c r="F9" s="47">
        <v>1</v>
      </c>
      <c r="G9" s="47"/>
      <c r="H9" s="48"/>
      <c r="I9" s="49">
        <f>SUM(Employees[[#This Row],[正規の勤務時間]:[病欠時間]])*Employees[[#This Row],[時給]]+Employees[[#This Row],[残業時間]]*Employees[[#This Row],[残業時間給]]</f>
        <v>55200</v>
      </c>
      <c r="J9" s="49">
        <f>Employees[[#This Row],[支払総額]]*Employees[[#This Row],[合計源泉徴収率]] + Employees[[#This Row],[合計一般
控除]]</f>
        <v>27003.600000000002</v>
      </c>
      <c r="K9" s="50"/>
      <c r="L9" s="49">
        <f>Employees[[#This Row],[支払総額]]-Employees[[#This Row],[税金と控除]]-Employees[[#This Row],[その他の
控除]]</f>
        <v>28196.399999999998</v>
      </c>
      <c r="M9" s="56"/>
      <c r="N9" s="48">
        <v>1200</v>
      </c>
      <c r="O9" s="47">
        <v>1</v>
      </c>
      <c r="P9" s="47">
        <v>4</v>
      </c>
      <c r="Q9" s="52">
        <v>2.3E-2</v>
      </c>
      <c r="R9" s="53">
        <v>0.28000000000000003</v>
      </c>
      <c r="S9" s="53">
        <v>6.3E-2</v>
      </c>
      <c r="T9" s="53">
        <v>1.4500000000000001E-2</v>
      </c>
      <c r="U9" s="54">
        <f>SUM(Employees[[#This Row],[住民税]:[健康保険]])</f>
        <v>0.38050000000000006</v>
      </c>
      <c r="V9" s="50">
        <v>2000</v>
      </c>
      <c r="W9" s="50">
        <v>4000</v>
      </c>
      <c r="X9" s="55">
        <f>SUM(Employees[[#This Row],[保険料控除]:[その他の一般控除]])</f>
        <v>6000</v>
      </c>
    </row>
    <row r="10" spans="2:24" ht="18.75" customHeight="1" x14ac:dyDescent="0.2">
      <c r="B10" s="45">
        <v>1025</v>
      </c>
      <c r="C10" s="45" t="s">
        <v>25</v>
      </c>
      <c r="D10" s="46">
        <v>36</v>
      </c>
      <c r="E10" s="47"/>
      <c r="F10" s="47">
        <v>2</v>
      </c>
      <c r="G10" s="47">
        <v>1</v>
      </c>
      <c r="H10" s="48">
        <v>1800</v>
      </c>
      <c r="I10" s="49">
        <f>SUM(Employees[[#This Row],[正規の勤務時間]:[病欠時間]])*Employees[[#This Row],[時給]]+Employees[[#This Row],[残業時間]]*Employees[[#This Row],[残業時間給]]</f>
        <v>47400</v>
      </c>
      <c r="J10" s="49">
        <f>Employees[[#This Row],[支払総額]]*Employees[[#This Row],[合計源泉徴収率]] + Employees[[#This Row],[合計一般
控除]]</f>
        <v>22535.700000000004</v>
      </c>
      <c r="K10" s="50">
        <v>2500</v>
      </c>
      <c r="L10" s="49">
        <f>Employees[[#This Row],[支払総額]]-Employees[[#This Row],[税金と控除]]-Employees[[#This Row],[その他の
控除]]</f>
        <v>22364.299999999996</v>
      </c>
      <c r="M10" s="56"/>
      <c r="N10" s="48">
        <v>1200</v>
      </c>
      <c r="O10" s="47">
        <v>1</v>
      </c>
      <c r="P10" s="47">
        <v>2</v>
      </c>
      <c r="Q10" s="52">
        <v>2.3E-2</v>
      </c>
      <c r="R10" s="53">
        <v>0.28000000000000003</v>
      </c>
      <c r="S10" s="53">
        <v>6.3E-2</v>
      </c>
      <c r="T10" s="53">
        <v>1.4500000000000001E-2</v>
      </c>
      <c r="U10" s="54">
        <f>SUM(Employees[[#This Row],[住民税]:[健康保険]])</f>
        <v>0.38050000000000006</v>
      </c>
      <c r="V10" s="50">
        <v>2500</v>
      </c>
      <c r="W10" s="50">
        <v>2000</v>
      </c>
      <c r="X10" s="55">
        <f>SUM(Employees[[#This Row],[保険料控除]:[その他の一般控除]])</f>
        <v>4500</v>
      </c>
    </row>
    <row r="11" spans="2:24" ht="18.75" customHeight="1" x14ac:dyDescent="0.2">
      <c r="B11" s="45">
        <v>1032</v>
      </c>
      <c r="C11" s="45" t="s">
        <v>26</v>
      </c>
      <c r="D11" s="46">
        <v>40</v>
      </c>
      <c r="E11" s="47">
        <v>5</v>
      </c>
      <c r="F11" s="47">
        <v>1</v>
      </c>
      <c r="G11" s="47"/>
      <c r="H11" s="48"/>
      <c r="I11" s="49">
        <f>SUM(Employees[[#This Row],[正規の勤務時間]:[病欠時間]])*Employees[[#This Row],[時給]]+Employees[[#This Row],[残業時間]]*Employees[[#This Row],[残業時間給]]</f>
        <v>46000</v>
      </c>
      <c r="J11" s="49">
        <f>Employees[[#This Row],[支払総額]]*Employees[[#This Row],[合計源泉徴収率]] + Employees[[#This Row],[合計一般
控除]]</f>
        <v>17503.000000000004</v>
      </c>
      <c r="K11" s="50">
        <v>5000</v>
      </c>
      <c r="L11" s="49">
        <f>Employees[[#This Row],[支払総額]]-Employees[[#This Row],[税金と控除]]-Employees[[#This Row],[その他の
控除]]</f>
        <v>23496.999999999996</v>
      </c>
      <c r="M11" s="56"/>
      <c r="N11" s="48">
        <v>1000</v>
      </c>
      <c r="O11" s="47">
        <v>1</v>
      </c>
      <c r="P11" s="47">
        <v>3</v>
      </c>
      <c r="Q11" s="52">
        <v>2.3E-2</v>
      </c>
      <c r="R11" s="53">
        <v>0.28000000000000003</v>
      </c>
      <c r="S11" s="53">
        <v>6.3E-2</v>
      </c>
      <c r="T11" s="53">
        <v>1.4500000000000001E-2</v>
      </c>
      <c r="U11" s="54">
        <f>SUM(Employees[[#This Row],[住民税]:[健康保険]])</f>
        <v>0.38050000000000006</v>
      </c>
      <c r="V11" s="50"/>
      <c r="W11" s="50"/>
      <c r="X11" s="55">
        <f>SUM(Employees[[#This Row],[保険料控除]:[その他の一般控除]])</f>
        <v>0</v>
      </c>
    </row>
    <row r="12" spans="2:24" ht="18.75" customHeight="1" x14ac:dyDescent="0.2">
      <c r="B12" s="45">
        <v>1049</v>
      </c>
      <c r="C12" s="45" t="s">
        <v>27</v>
      </c>
      <c r="D12" s="46">
        <v>40</v>
      </c>
      <c r="E12" s="47">
        <v>1</v>
      </c>
      <c r="F12" s="47"/>
      <c r="G12" s="47"/>
      <c r="H12" s="48"/>
      <c r="I12" s="49">
        <f>SUM(Employees[[#This Row],[正規の勤務時間]:[病欠時間]])*Employees[[#This Row],[時給]]+Employees[[#This Row],[残業時間]]*Employees[[#This Row],[残業時間給]]</f>
        <v>61500</v>
      </c>
      <c r="J12" s="49">
        <f>Employees[[#This Row],[支払総額]]*Employees[[#This Row],[合計源泉徴収率]] + Employees[[#This Row],[合計一般
控除]]</f>
        <v>25900.750000000004</v>
      </c>
      <c r="K12" s="50">
        <v>2300</v>
      </c>
      <c r="L12" s="49">
        <f>Employees[[#This Row],[支払総額]]-Employees[[#This Row],[税金と控除]]-Employees[[#This Row],[その他の
控除]]</f>
        <v>33299.25</v>
      </c>
      <c r="M12" s="57"/>
      <c r="N12" s="48">
        <v>1500</v>
      </c>
      <c r="O12" s="47">
        <v>1</v>
      </c>
      <c r="P12" s="47">
        <v>2</v>
      </c>
      <c r="Q12" s="52">
        <v>2.3E-2</v>
      </c>
      <c r="R12" s="53">
        <v>0.28000000000000003</v>
      </c>
      <c r="S12" s="53">
        <v>6.3E-2</v>
      </c>
      <c r="T12" s="53">
        <v>1.4500000000000001E-2</v>
      </c>
      <c r="U12" s="54">
        <f>SUM(Employees[[#This Row],[住民税]:[健康保険]])</f>
        <v>0.38050000000000006</v>
      </c>
      <c r="V12" s="50">
        <v>2500</v>
      </c>
      <c r="W12" s="50"/>
      <c r="X12" s="55">
        <f>SUM(Employees[[#This Row],[保険料控除]:[その他の一般控除]])</f>
        <v>2500</v>
      </c>
    </row>
    <row r="13" spans="2:24" ht="18.75" customHeight="1" x14ac:dyDescent="0.2">
      <c r="B13" s="45" t="s">
        <v>44</v>
      </c>
      <c r="C13" s="45">
        <f>SUBTOTAL(103,Employees[従業員氏名])</f>
        <v>9</v>
      </c>
      <c r="D13" s="46">
        <f>SUBTOTAL(109,Employees[正規の勤務時間])</f>
        <v>371</v>
      </c>
      <c r="E13" s="47">
        <f>SUBTOTAL(109,Employees[休暇時間])</f>
        <v>24</v>
      </c>
      <c r="F13" s="47">
        <f>SUBTOTAL(109,Employees[病欠時間])</f>
        <v>6</v>
      </c>
      <c r="G13" s="47">
        <f>SUBTOTAL(109,Employees[残業時間])</f>
        <v>3</v>
      </c>
      <c r="H13" s="48"/>
      <c r="I13" s="50">
        <f>SUBTOTAL(109,Employees[支払総額])</f>
        <v>506300</v>
      </c>
      <c r="J13" s="50">
        <f>SUBTOTAL(109,Employees[税金と控除])</f>
        <v>223947.15000000002</v>
      </c>
      <c r="K13" s="50">
        <f>SUBTOTAL(109,Employees[その他の
控除])</f>
        <v>11800</v>
      </c>
      <c r="L13" s="50">
        <f>SUBTOTAL(109,Employees[税引き後支払額])</f>
        <v>270552.84999999998</v>
      </c>
      <c r="M13" s="58"/>
      <c r="N13" s="47"/>
      <c r="O13" s="47"/>
      <c r="P13" s="47"/>
      <c r="Q13" s="47"/>
      <c r="R13" s="47"/>
      <c r="S13" s="47"/>
      <c r="T13" s="47"/>
      <c r="U13" s="47"/>
      <c r="V13" s="50">
        <f>SUBTOTAL(109,Employees[保険料控除])</f>
        <v>14300</v>
      </c>
      <c r="W13" s="50">
        <f>SUBTOTAL(109,Employees[その他の一般控除])</f>
        <v>17000</v>
      </c>
      <c r="X13" s="50">
        <f>SUBTOTAL(109,Employees[合計一般
控除])</f>
        <v>31300</v>
      </c>
    </row>
  </sheetData>
  <phoneticPr fontId="7"/>
  <printOptions horizontalCentered="1"/>
  <pageMargins left="0.25" right="0.25" top="0.75" bottom="0.75" header="0.3" footer="0.3"/>
  <pageSetup scale="4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P49"/>
  <sheetViews>
    <sheetView showGridLines="0" zoomScaleNormal="100" workbookViewId="0">
      <selection activeCell="R25" sqref="R25"/>
    </sheetView>
  </sheetViews>
  <sheetFormatPr defaultRowHeight="14.25" x14ac:dyDescent="0.2"/>
  <cols>
    <col min="1" max="1" width="2.7109375" style="1" customWidth="1"/>
    <col min="2" max="2" width="2.42578125" style="1" customWidth="1"/>
    <col min="3" max="3" width="9.42578125" style="1" customWidth="1"/>
    <col min="4" max="4" width="13.28515625" style="1" customWidth="1"/>
    <col min="5" max="5" width="14.28515625" style="1" customWidth="1"/>
    <col min="6" max="6" width="2.28515625" style="1" customWidth="1"/>
    <col min="7" max="7" width="8.5703125" style="1" customWidth="1"/>
    <col min="8" max="8" width="17.7109375" style="1" customWidth="1"/>
    <col min="9" max="9" width="18.85546875" style="1" customWidth="1"/>
    <col min="10" max="10" width="2.28515625" style="1" customWidth="1"/>
    <col min="11" max="11" width="15.28515625" style="1" customWidth="1"/>
    <col min="12" max="12" width="7.28515625" style="1" customWidth="1"/>
    <col min="13" max="13" width="14.28515625" style="1" customWidth="1"/>
    <col min="14" max="15" width="2.42578125" style="1" customWidth="1"/>
    <col min="16" max="16384" width="9.140625" style="1"/>
  </cols>
  <sheetData>
    <row r="1" spans="2:16" ht="15" customHeight="1" thickBot="1" x14ac:dyDescent="0.25">
      <c r="P1" s="2"/>
    </row>
    <row r="2" spans="2:16" ht="27.75" customHeight="1" x14ac:dyDescent="0.2">
      <c r="B2" s="3"/>
      <c r="C2" s="4" t="str">
        <f>CompanyName</f>
        <v>ヒロコーポレーション</v>
      </c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2"/>
    </row>
    <row r="3" spans="2:16" ht="16.5" customHeight="1" x14ac:dyDescent="0.2">
      <c r="B3" s="8"/>
      <c r="C3" s="9" t="s">
        <v>11</v>
      </c>
      <c r="D3" s="63">
        <f>PeriodEnding</f>
        <v>41372</v>
      </c>
      <c r="E3" s="63"/>
      <c r="F3" s="10"/>
      <c r="G3" s="9" t="s">
        <v>12</v>
      </c>
      <c r="H3" s="64" t="str">
        <f>IFERROR(INDEX(Employees[従業員氏名],Stub),"")</f>
        <v>岩村 浩之</v>
      </c>
      <c r="I3" s="64"/>
      <c r="J3" s="11"/>
      <c r="K3" s="9" t="s">
        <v>50</v>
      </c>
      <c r="L3" s="65">
        <f>IFERROR(INDEX(Employees[ID],Stub),"")</f>
        <v>1001</v>
      </c>
      <c r="M3" s="65"/>
      <c r="N3" s="12"/>
      <c r="O3" s="7"/>
      <c r="P3" s="2"/>
    </row>
    <row r="4" spans="2:16" ht="16.5" customHeight="1" x14ac:dyDescent="0.2">
      <c r="B4" s="8"/>
      <c r="C4" s="13" t="s">
        <v>4</v>
      </c>
      <c r="D4" s="14"/>
      <c r="E4" s="15">
        <f>IFERROR(INDEX(Employees[税務上の身分],Stub),"")</f>
        <v>1</v>
      </c>
      <c r="F4" s="16"/>
      <c r="G4" s="13" t="s">
        <v>13</v>
      </c>
      <c r="H4" s="14"/>
      <c r="I4" s="15">
        <f>IFERROR(INDEX(Employees[扶養
家族],Stub),"")</f>
        <v>4</v>
      </c>
      <c r="J4" s="16"/>
      <c r="K4" s="13" t="s">
        <v>48</v>
      </c>
      <c r="L4" s="14"/>
      <c r="M4" s="15">
        <f>IFERROR(INDEX(Employees[正規の勤務時間],Stub),"")</f>
        <v>50</v>
      </c>
      <c r="N4" s="12"/>
      <c r="O4" s="7"/>
      <c r="P4" s="2"/>
    </row>
    <row r="5" spans="2:16" ht="16.5" customHeight="1" x14ac:dyDescent="0.2">
      <c r="B5" s="8"/>
      <c r="C5" s="17" t="s">
        <v>5</v>
      </c>
      <c r="D5" s="18"/>
      <c r="E5" s="30">
        <f>IFERROR(INDEX(Employees[時給],Stub),"")</f>
        <v>1000</v>
      </c>
      <c r="F5" s="19"/>
      <c r="G5" s="17" t="s">
        <v>14</v>
      </c>
      <c r="H5" s="18"/>
      <c r="I5" s="30">
        <f>IFERROR(INDEX(Employees[残業時間給],Stub),"")</f>
        <v>0</v>
      </c>
      <c r="J5" s="19"/>
      <c r="K5" s="17" t="s">
        <v>30</v>
      </c>
      <c r="L5" s="18"/>
      <c r="M5" s="20">
        <f>IFERROR(INDEX(Employees[病欠時間],Stub),"")</f>
        <v>1</v>
      </c>
      <c r="N5" s="12"/>
      <c r="O5" s="7"/>
      <c r="P5" s="2"/>
    </row>
    <row r="6" spans="2:16" ht="16.5" customHeight="1" x14ac:dyDescent="0.2">
      <c r="B6" s="8"/>
      <c r="C6" s="17" t="s">
        <v>6</v>
      </c>
      <c r="D6" s="18"/>
      <c r="E6" s="30">
        <f>IFERROR(INDEX(Employees[雇用
保険],Stub)  *  INDEX(Employees[支払総額],Stub),"")</f>
        <v>3528</v>
      </c>
      <c r="F6" s="19"/>
      <c r="G6" s="17" t="s">
        <v>15</v>
      </c>
      <c r="H6" s="18"/>
      <c r="I6" s="30">
        <f>IFERROR(INDEX(Employees[所得税],Stub)  *  INDEX(Employees[支払総額],Stub),"")</f>
        <v>15680.000000000002</v>
      </c>
      <c r="J6" s="19"/>
      <c r="K6" s="17" t="s">
        <v>29</v>
      </c>
      <c r="L6" s="18"/>
      <c r="M6" s="20">
        <f>IFERROR(INDEX(Employees[休暇時間],Stub),"")</f>
        <v>5</v>
      </c>
      <c r="N6" s="12"/>
      <c r="O6" s="7"/>
      <c r="P6" s="2"/>
    </row>
    <row r="7" spans="2:16" ht="16.5" customHeight="1" x14ac:dyDescent="0.2">
      <c r="B7" s="8"/>
      <c r="C7" s="17" t="s">
        <v>7</v>
      </c>
      <c r="D7" s="18"/>
      <c r="E7" s="30">
        <f>IFERROR(INDEX(Employees[健康保険],Stub)  *  INDEX(Employees[支払総額],Stub),"")</f>
        <v>812</v>
      </c>
      <c r="F7" s="19"/>
      <c r="G7" s="17" t="s">
        <v>16</v>
      </c>
      <c r="H7" s="18"/>
      <c r="I7" s="30">
        <f>IFERROR(INDEX(Employees[住民税],Stub)  *  INDEX(Employees[支払総額],Stub),"")</f>
        <v>1288</v>
      </c>
      <c r="J7" s="19"/>
      <c r="K7" s="17" t="s">
        <v>31</v>
      </c>
      <c r="L7" s="18"/>
      <c r="M7" s="20">
        <f>IFERROR(INDEX(Employees[残業時間],Stub),"")</f>
        <v>0</v>
      </c>
      <c r="N7" s="12"/>
      <c r="O7" s="7"/>
      <c r="P7" s="2"/>
    </row>
    <row r="8" spans="2:16" ht="16.5" customHeight="1" x14ac:dyDescent="0.2">
      <c r="B8" s="8"/>
      <c r="C8" s="17" t="s">
        <v>8</v>
      </c>
      <c r="D8" s="18"/>
      <c r="E8" s="30">
        <f>IFERROR(INDEX(Employees[保険料控除],Stub),"")</f>
        <v>2000</v>
      </c>
      <c r="F8" s="19"/>
      <c r="G8" s="17" t="s">
        <v>17</v>
      </c>
      <c r="H8" s="18"/>
      <c r="I8" s="30">
        <f>IFERROR(INDEX(Employees[その他の一般控除],Stub),"")</f>
        <v>4000</v>
      </c>
      <c r="J8" s="19"/>
      <c r="K8" s="17" t="s">
        <v>32</v>
      </c>
      <c r="L8" s="18"/>
      <c r="M8" s="30">
        <f>IFERROR(INDEX(Employees[支払総額],Stub),"")</f>
        <v>56000</v>
      </c>
      <c r="N8" s="12"/>
      <c r="O8" s="7"/>
      <c r="P8" s="2"/>
    </row>
    <row r="9" spans="2:16" ht="16.5" customHeight="1" x14ac:dyDescent="0.2">
      <c r="B9" s="8"/>
      <c r="C9" s="61" t="s">
        <v>9</v>
      </c>
      <c r="D9" s="62"/>
      <c r="E9" s="31">
        <f>IFERROR(INDEX(Employees[税金と控除],Stub),"")</f>
        <v>27308.000000000004</v>
      </c>
      <c r="F9" s="19"/>
      <c r="G9" s="17" t="s">
        <v>18</v>
      </c>
      <c r="H9" s="21"/>
      <c r="I9" s="30">
        <f>IFERROR(INDEX(Employees[その他の
控除],Stub),"")</f>
        <v>2000</v>
      </c>
      <c r="J9" s="19"/>
      <c r="K9" s="17" t="s">
        <v>49</v>
      </c>
      <c r="L9" s="21"/>
      <c r="M9" s="30">
        <f>IFERROR(INDEX(Employees[税金と控除],Stub)  +  INDEX(Employees[その他の
控除],Stub),"")</f>
        <v>29308.000000000004</v>
      </c>
      <c r="N9" s="12"/>
      <c r="O9" s="7"/>
      <c r="P9" s="2"/>
    </row>
    <row r="10" spans="2:16" ht="16.5" customHeight="1" x14ac:dyDescent="0.2">
      <c r="B10" s="8"/>
      <c r="C10" s="59" t="s">
        <v>10</v>
      </c>
      <c r="D10" s="60"/>
      <c r="E10" s="22"/>
      <c r="F10" s="19"/>
      <c r="G10" s="23"/>
      <c r="H10" s="24"/>
      <c r="I10" s="22"/>
      <c r="J10" s="19"/>
      <c r="K10" s="23"/>
      <c r="L10" s="24"/>
      <c r="M10" s="22"/>
      <c r="N10" s="12"/>
      <c r="O10" s="7"/>
      <c r="P10" s="2"/>
    </row>
    <row r="11" spans="2:16" ht="15.75" customHeight="1" x14ac:dyDescent="0.2">
      <c r="B11" s="8"/>
      <c r="C11" s="25"/>
      <c r="D11" s="25"/>
      <c r="E11" s="25"/>
      <c r="F11" s="25"/>
      <c r="G11" s="25"/>
      <c r="H11" s="25"/>
      <c r="I11" s="25"/>
      <c r="J11" s="25"/>
      <c r="K11" s="26" t="s">
        <v>35</v>
      </c>
      <c r="L11" s="26"/>
      <c r="M11" s="32">
        <f>IFERROR(INDEX(Employees[税引き後支払額],Stub),"")</f>
        <v>26691.999999999996</v>
      </c>
      <c r="N11" s="12"/>
      <c r="O11" s="7"/>
      <c r="P11" s="2"/>
    </row>
    <row r="12" spans="2:16" ht="10.5" customHeight="1" thickBot="1" x14ac:dyDescent="0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7"/>
      <c r="P12" s="2"/>
    </row>
    <row r="13" spans="2:16" ht="15" customHeight="1" thickBot="1" x14ac:dyDescent="0.25">
      <c r="P13" s="2"/>
    </row>
    <row r="14" spans="2:16" ht="27.75" customHeight="1" x14ac:dyDescent="0.2">
      <c r="B14" s="3"/>
      <c r="C14" s="4" t="str">
        <f>CompanyName</f>
        <v>ヒロコーポレーション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6"/>
      <c r="O14" s="7"/>
      <c r="P14" s="2"/>
    </row>
    <row r="15" spans="2:16" ht="16.5" customHeight="1" x14ac:dyDescent="0.2">
      <c r="B15" s="8"/>
      <c r="C15" s="9" t="s">
        <v>11</v>
      </c>
      <c r="D15" s="63">
        <f>PeriodEnding</f>
        <v>41372</v>
      </c>
      <c r="E15" s="63"/>
      <c r="F15" s="10"/>
      <c r="G15" s="9" t="s">
        <v>12</v>
      </c>
      <c r="H15" s="64" t="str">
        <f>IFERROR(INDEX(Employees[従業員氏名],Stub),"")</f>
        <v>小田 勝也</v>
      </c>
      <c r="I15" s="64"/>
      <c r="J15" s="11"/>
      <c r="K15" s="9" t="s">
        <v>50</v>
      </c>
      <c r="L15" s="65">
        <f>IFERROR(INDEX(Employees[ID],Stub),"")</f>
        <v>1002</v>
      </c>
      <c r="M15" s="65"/>
      <c r="N15" s="12"/>
      <c r="O15" s="7"/>
      <c r="P15" s="2"/>
    </row>
    <row r="16" spans="2:16" ht="16.5" customHeight="1" x14ac:dyDescent="0.2">
      <c r="B16" s="8"/>
      <c r="C16" s="13" t="s">
        <v>4</v>
      </c>
      <c r="D16" s="14"/>
      <c r="E16" s="15">
        <f>IFERROR(INDEX(Employees[税務上の身分],Stub),"")</f>
        <v>1</v>
      </c>
      <c r="F16" s="16"/>
      <c r="G16" s="13" t="s">
        <v>13</v>
      </c>
      <c r="H16" s="14"/>
      <c r="I16" s="15">
        <f>IFERROR(INDEX(Employees[扶養
家族],Stub),"")</f>
        <v>1</v>
      </c>
      <c r="J16" s="16"/>
      <c r="K16" s="13" t="s">
        <v>48</v>
      </c>
      <c r="L16" s="14"/>
      <c r="M16" s="15">
        <f>IFERROR(INDEX(Employees[正規の勤務時間],Stub),"")</f>
        <v>40</v>
      </c>
      <c r="N16" s="12"/>
      <c r="O16" s="7"/>
      <c r="P16" s="2"/>
    </row>
    <row r="17" spans="2:16" ht="16.5" customHeight="1" x14ac:dyDescent="0.2">
      <c r="B17" s="8"/>
      <c r="C17" s="17" t="s">
        <v>5</v>
      </c>
      <c r="D17" s="18"/>
      <c r="E17" s="30">
        <f>IFERROR(INDEX(Employees[時給],Stub),"")</f>
        <v>800</v>
      </c>
      <c r="F17" s="19"/>
      <c r="G17" s="17" t="s">
        <v>14</v>
      </c>
      <c r="H17" s="18"/>
      <c r="I17" s="30">
        <f>IFERROR(INDEX(Employees[残業時間給],Stub),"")</f>
        <v>0</v>
      </c>
      <c r="J17" s="19"/>
      <c r="K17" s="17" t="s">
        <v>30</v>
      </c>
      <c r="L17" s="18"/>
      <c r="M17" s="20">
        <f>IFERROR(INDEX(Employees[病欠時間],Stub),"")</f>
        <v>0</v>
      </c>
      <c r="N17" s="12"/>
      <c r="O17" s="7"/>
      <c r="P17" s="2"/>
    </row>
    <row r="18" spans="2:16" ht="16.5" customHeight="1" x14ac:dyDescent="0.2">
      <c r="B18" s="8"/>
      <c r="C18" s="17" t="s">
        <v>6</v>
      </c>
      <c r="D18" s="18"/>
      <c r="E18" s="30">
        <f>IFERROR(INDEX(Employees[雇用
保険],Stub)  *  INDEX(Employees[支払総額],Stub),"")</f>
        <v>2016</v>
      </c>
      <c r="F18" s="19"/>
      <c r="G18" s="17" t="s">
        <v>15</v>
      </c>
      <c r="H18" s="18"/>
      <c r="I18" s="30">
        <f>IFERROR(INDEX(Employees[所得税],Stub)  *  INDEX(Employees[支払総額],Stub),"")</f>
        <v>8960</v>
      </c>
      <c r="J18" s="19"/>
      <c r="K18" s="17" t="s">
        <v>29</v>
      </c>
      <c r="L18" s="18"/>
      <c r="M18" s="20">
        <f>IFERROR(INDEX(Employees[休暇時間],Stub),"")</f>
        <v>0</v>
      </c>
      <c r="N18" s="12"/>
      <c r="O18" s="7"/>
      <c r="P18" s="2"/>
    </row>
    <row r="19" spans="2:16" ht="16.5" customHeight="1" x14ac:dyDescent="0.2">
      <c r="B19" s="8"/>
      <c r="C19" s="17" t="s">
        <v>7</v>
      </c>
      <c r="D19" s="18"/>
      <c r="E19" s="30">
        <f>IFERROR(INDEX(Employees[健康保険],Stub)  *  INDEX(Employees[支払総額],Stub),"")</f>
        <v>464</v>
      </c>
      <c r="F19" s="19"/>
      <c r="G19" s="17" t="s">
        <v>16</v>
      </c>
      <c r="H19" s="18"/>
      <c r="I19" s="30">
        <f>IFERROR(INDEX(Employees[住民税],Stub)  *  INDEX(Employees[支払総額],Stub),"")</f>
        <v>736</v>
      </c>
      <c r="J19" s="19"/>
      <c r="K19" s="17" t="s">
        <v>31</v>
      </c>
      <c r="L19" s="18"/>
      <c r="M19" s="20">
        <f>IFERROR(INDEX(Employees[残業時間],Stub),"")</f>
        <v>0</v>
      </c>
      <c r="N19" s="12"/>
      <c r="O19" s="7"/>
      <c r="P19" s="2"/>
    </row>
    <row r="20" spans="2:16" ht="16.5" customHeight="1" x14ac:dyDescent="0.2">
      <c r="B20" s="8"/>
      <c r="C20" s="17" t="s">
        <v>8</v>
      </c>
      <c r="D20" s="18"/>
      <c r="E20" s="30">
        <f>IFERROR(INDEX(Employees[保険料控除],Stub),"")</f>
        <v>0</v>
      </c>
      <c r="F20" s="19"/>
      <c r="G20" s="17" t="s">
        <v>17</v>
      </c>
      <c r="H20" s="18"/>
      <c r="I20" s="30">
        <f>IFERROR(INDEX(Employees[その他の一般控除],Stub),"")</f>
        <v>1000</v>
      </c>
      <c r="J20" s="19"/>
      <c r="K20" s="17" t="s">
        <v>32</v>
      </c>
      <c r="L20" s="18"/>
      <c r="M20" s="30">
        <f>IFERROR(INDEX(Employees[支払総額],Stub),"")</f>
        <v>32000</v>
      </c>
      <c r="N20" s="12"/>
      <c r="O20" s="7"/>
      <c r="P20" s="2"/>
    </row>
    <row r="21" spans="2:16" ht="16.5" customHeight="1" x14ac:dyDescent="0.2">
      <c r="B21" s="8"/>
      <c r="C21" s="61" t="s">
        <v>9</v>
      </c>
      <c r="D21" s="62"/>
      <c r="E21" s="31">
        <f>IFERROR(INDEX(Employees[税金と控除],Stub),"")</f>
        <v>13176.000000000002</v>
      </c>
      <c r="F21" s="19"/>
      <c r="G21" s="17" t="s">
        <v>18</v>
      </c>
      <c r="H21" s="21"/>
      <c r="I21" s="30">
        <f>IFERROR(INDEX(Employees[その他の
控除],Stub),"")</f>
        <v>0</v>
      </c>
      <c r="J21" s="19"/>
      <c r="K21" s="17" t="s">
        <v>49</v>
      </c>
      <c r="L21" s="21"/>
      <c r="M21" s="30">
        <f>IFERROR(INDEX(Employees[税金と控除],Stub)  +  INDEX(Employees[その他の
控除],Stub),"")</f>
        <v>13176.000000000002</v>
      </c>
      <c r="N21" s="12"/>
      <c r="O21" s="7"/>
      <c r="P21" s="2"/>
    </row>
    <row r="22" spans="2:16" ht="16.5" customHeight="1" x14ac:dyDescent="0.2">
      <c r="B22" s="8"/>
      <c r="C22" s="59" t="s">
        <v>10</v>
      </c>
      <c r="D22" s="60"/>
      <c r="E22" s="22"/>
      <c r="F22" s="19"/>
      <c r="G22" s="23"/>
      <c r="H22" s="24"/>
      <c r="I22" s="22"/>
      <c r="J22" s="19"/>
      <c r="K22" s="23"/>
      <c r="L22" s="24"/>
      <c r="M22" s="22"/>
      <c r="N22" s="12"/>
      <c r="O22" s="7"/>
      <c r="P22" s="2"/>
    </row>
    <row r="23" spans="2:16" ht="15.75" customHeight="1" x14ac:dyDescent="0.2">
      <c r="B23" s="8"/>
      <c r="C23" s="25"/>
      <c r="D23" s="25"/>
      <c r="E23" s="25"/>
      <c r="F23" s="25"/>
      <c r="G23" s="25"/>
      <c r="H23" s="25"/>
      <c r="I23" s="25"/>
      <c r="J23" s="25"/>
      <c r="K23" s="26" t="s">
        <v>35</v>
      </c>
      <c r="L23" s="26"/>
      <c r="M23" s="32">
        <f>IFERROR(INDEX(Employees[税引き後支払額],Stub),"")</f>
        <v>18824</v>
      </c>
      <c r="N23" s="12"/>
      <c r="O23" s="7"/>
      <c r="P23" s="2"/>
    </row>
    <row r="24" spans="2:16" ht="10.5" customHeight="1" thickBot="1" x14ac:dyDescent="0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7"/>
      <c r="P24" s="2"/>
    </row>
    <row r="25" spans="2:16" ht="15" customHeight="1" thickBot="1" x14ac:dyDescent="0.25">
      <c r="P25" s="2"/>
    </row>
    <row r="26" spans="2:16" ht="27.75" customHeight="1" x14ac:dyDescent="0.2">
      <c r="B26" s="3"/>
      <c r="C26" s="4" t="str">
        <f>CompanyName</f>
        <v>ヒロコーポレーション</v>
      </c>
      <c r="D26" s="4"/>
      <c r="E26" s="5"/>
      <c r="F26" s="5"/>
      <c r="G26" s="5"/>
      <c r="H26" s="5"/>
      <c r="I26" s="5"/>
      <c r="J26" s="5"/>
      <c r="K26" s="5"/>
      <c r="L26" s="5"/>
      <c r="M26" s="5"/>
      <c r="N26" s="6"/>
      <c r="O26" s="7"/>
      <c r="P26" s="2"/>
    </row>
    <row r="27" spans="2:16" ht="16.5" customHeight="1" x14ac:dyDescent="0.2">
      <c r="B27" s="8"/>
      <c r="C27" s="9" t="s">
        <v>11</v>
      </c>
      <c r="D27" s="63">
        <f>PeriodEnding</f>
        <v>41372</v>
      </c>
      <c r="E27" s="63"/>
      <c r="F27" s="10"/>
      <c r="G27" s="9" t="s">
        <v>12</v>
      </c>
      <c r="H27" s="64" t="str">
        <f>IFERROR(INDEX(Employees[従業員氏名],Stub),"")</f>
        <v>若本 喜一</v>
      </c>
      <c r="I27" s="64"/>
      <c r="J27" s="11"/>
      <c r="K27" s="9" t="s">
        <v>50</v>
      </c>
      <c r="L27" s="65">
        <f>IFERROR(INDEX(Employees[ID],Stub),"")</f>
        <v>1003</v>
      </c>
      <c r="M27" s="65"/>
      <c r="N27" s="12"/>
      <c r="O27" s="7"/>
      <c r="P27" s="2"/>
    </row>
    <row r="28" spans="2:16" ht="16.5" customHeight="1" x14ac:dyDescent="0.2">
      <c r="B28" s="8"/>
      <c r="C28" s="13" t="s">
        <v>4</v>
      </c>
      <c r="D28" s="14"/>
      <c r="E28" s="15">
        <f>IFERROR(INDEX(Employees[税務上の身分],Stub),"")</f>
        <v>1</v>
      </c>
      <c r="F28" s="16"/>
      <c r="G28" s="13" t="s">
        <v>13</v>
      </c>
      <c r="H28" s="14"/>
      <c r="I28" s="15">
        <f>IFERROR(INDEX(Employees[扶養
家族],Stub),"")</f>
        <v>3</v>
      </c>
      <c r="J28" s="16"/>
      <c r="K28" s="13" t="s">
        <v>48</v>
      </c>
      <c r="L28" s="14"/>
      <c r="M28" s="15">
        <f>IFERROR(INDEX(Employees[正規の勤務時間],Stub),"")</f>
        <v>35</v>
      </c>
      <c r="N28" s="12"/>
      <c r="O28" s="7"/>
      <c r="P28" s="2"/>
    </row>
    <row r="29" spans="2:16" ht="16.5" customHeight="1" x14ac:dyDescent="0.2">
      <c r="B29" s="8"/>
      <c r="C29" s="17" t="s">
        <v>5</v>
      </c>
      <c r="D29" s="18"/>
      <c r="E29" s="30">
        <f>IFERROR(INDEX(Employees[時給],Stub),"")</f>
        <v>1400</v>
      </c>
      <c r="F29" s="19"/>
      <c r="G29" s="17" t="s">
        <v>14</v>
      </c>
      <c r="H29" s="18"/>
      <c r="I29" s="30">
        <f>IFERROR(INDEX(Employees[残業時間給],Stub),"")</f>
        <v>0</v>
      </c>
      <c r="J29" s="19"/>
      <c r="K29" s="17" t="s">
        <v>30</v>
      </c>
      <c r="L29" s="18"/>
      <c r="M29" s="20">
        <f>IFERROR(INDEX(Employees[病欠時間],Stub),"")</f>
        <v>0</v>
      </c>
      <c r="N29" s="12"/>
      <c r="O29" s="7"/>
      <c r="P29" s="2"/>
    </row>
    <row r="30" spans="2:16" ht="16.5" customHeight="1" x14ac:dyDescent="0.2">
      <c r="B30" s="8"/>
      <c r="C30" s="17" t="s">
        <v>6</v>
      </c>
      <c r="D30" s="18"/>
      <c r="E30" s="30">
        <f>IFERROR(INDEX(Employees[雇用
保険],Stub)  *  INDEX(Employees[支払総額],Stub),"")</f>
        <v>3351.6</v>
      </c>
      <c r="F30" s="19"/>
      <c r="G30" s="17" t="s">
        <v>15</v>
      </c>
      <c r="H30" s="18"/>
      <c r="I30" s="30">
        <f>IFERROR(INDEX(Employees[所得税],Stub)  *  INDEX(Employees[支払総額],Stub),"")</f>
        <v>14896.000000000002</v>
      </c>
      <c r="J30" s="19"/>
      <c r="K30" s="17" t="s">
        <v>29</v>
      </c>
      <c r="L30" s="18"/>
      <c r="M30" s="20">
        <f>IFERROR(INDEX(Employees[休暇時間],Stub),"")</f>
        <v>3</v>
      </c>
      <c r="N30" s="12"/>
      <c r="O30" s="7"/>
      <c r="P30" s="2"/>
    </row>
    <row r="31" spans="2:16" ht="16.5" customHeight="1" x14ac:dyDescent="0.2">
      <c r="B31" s="8"/>
      <c r="C31" s="17" t="s">
        <v>7</v>
      </c>
      <c r="D31" s="18"/>
      <c r="E31" s="30">
        <f>IFERROR(INDEX(Employees[健康保険],Stub)  *  INDEX(Employees[支払総額],Stub),"")</f>
        <v>771.40000000000009</v>
      </c>
      <c r="F31" s="19"/>
      <c r="G31" s="17" t="s">
        <v>16</v>
      </c>
      <c r="H31" s="18"/>
      <c r="I31" s="30">
        <f>IFERROR(INDEX(Employees[住民税],Stub)  *  INDEX(Employees[支払総額],Stub),"")</f>
        <v>1223.5999999999999</v>
      </c>
      <c r="J31" s="19"/>
      <c r="K31" s="17" t="s">
        <v>31</v>
      </c>
      <c r="L31" s="18"/>
      <c r="M31" s="20">
        <f>IFERROR(INDEX(Employees[残業時間],Stub),"")</f>
        <v>0</v>
      </c>
      <c r="N31" s="12"/>
      <c r="O31" s="7"/>
      <c r="P31" s="2"/>
    </row>
    <row r="32" spans="2:16" ht="16.5" customHeight="1" x14ac:dyDescent="0.2">
      <c r="B32" s="8"/>
      <c r="C32" s="17" t="s">
        <v>8</v>
      </c>
      <c r="D32" s="18"/>
      <c r="E32" s="30">
        <f>IFERROR(INDEX(Employees[保険料控除],Stub),"")</f>
        <v>1800</v>
      </c>
      <c r="F32" s="19"/>
      <c r="G32" s="17" t="s">
        <v>17</v>
      </c>
      <c r="H32" s="18"/>
      <c r="I32" s="30">
        <f>IFERROR(INDEX(Employees[その他の一般控除],Stub),"")</f>
        <v>2000</v>
      </c>
      <c r="J32" s="19"/>
      <c r="K32" s="17" t="s">
        <v>32</v>
      </c>
      <c r="L32" s="18"/>
      <c r="M32" s="30">
        <f>IFERROR(INDEX(Employees[支払総額],Stub),"")</f>
        <v>53200</v>
      </c>
      <c r="N32" s="12"/>
      <c r="O32" s="7"/>
      <c r="P32" s="2"/>
    </row>
    <row r="33" spans="2:16" ht="16.5" customHeight="1" x14ac:dyDescent="0.2">
      <c r="B33" s="8"/>
      <c r="C33" s="61" t="s">
        <v>9</v>
      </c>
      <c r="D33" s="62"/>
      <c r="E33" s="31">
        <f>IFERROR(INDEX(Employees[税金と控除],Stub),"")</f>
        <v>24042.600000000002</v>
      </c>
      <c r="F33" s="19"/>
      <c r="G33" s="17" t="s">
        <v>18</v>
      </c>
      <c r="H33" s="21"/>
      <c r="I33" s="30">
        <f>IFERROR(INDEX(Employees[その他の
控除],Stub),"")</f>
        <v>0</v>
      </c>
      <c r="J33" s="19"/>
      <c r="K33" s="17" t="s">
        <v>49</v>
      </c>
      <c r="L33" s="21"/>
      <c r="M33" s="30">
        <f>IFERROR(INDEX(Employees[税金と控除],Stub)  +  INDEX(Employees[その他の
控除],Stub),"")</f>
        <v>24042.600000000002</v>
      </c>
      <c r="N33" s="12"/>
      <c r="O33" s="7"/>
      <c r="P33" s="2"/>
    </row>
    <row r="34" spans="2:16" ht="16.5" customHeight="1" x14ac:dyDescent="0.2">
      <c r="B34" s="8"/>
      <c r="C34" s="59" t="s">
        <v>10</v>
      </c>
      <c r="D34" s="60"/>
      <c r="E34" s="22"/>
      <c r="F34" s="19"/>
      <c r="G34" s="23"/>
      <c r="H34" s="24"/>
      <c r="I34" s="22"/>
      <c r="J34" s="19"/>
      <c r="K34" s="23"/>
      <c r="L34" s="24"/>
      <c r="M34" s="22"/>
      <c r="N34" s="12"/>
      <c r="O34" s="7"/>
      <c r="P34" s="2"/>
    </row>
    <row r="35" spans="2:16" ht="15.75" customHeight="1" x14ac:dyDescent="0.2">
      <c r="B35" s="8"/>
      <c r="C35" s="25"/>
      <c r="D35" s="25"/>
      <c r="E35" s="25"/>
      <c r="F35" s="25"/>
      <c r="G35" s="25"/>
      <c r="H35" s="25"/>
      <c r="I35" s="25"/>
      <c r="J35" s="25"/>
      <c r="K35" s="26" t="s">
        <v>35</v>
      </c>
      <c r="L35" s="26"/>
      <c r="M35" s="32">
        <f>IFERROR(INDEX(Employees[税引き後支払額],Stub),"")</f>
        <v>29157.399999999998</v>
      </c>
      <c r="N35" s="12"/>
      <c r="O35" s="7"/>
      <c r="P35" s="2"/>
    </row>
    <row r="36" spans="2:16" ht="10.5" customHeight="1" thickBot="1" x14ac:dyDescent="0.25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7"/>
      <c r="P36" s="2"/>
    </row>
    <row r="37" spans="2:16" ht="15" customHeight="1" thickBot="1" x14ac:dyDescent="0.25">
      <c r="P37" s="2"/>
    </row>
    <row r="38" spans="2:16" ht="27.75" customHeight="1" x14ac:dyDescent="0.2">
      <c r="B38" s="3"/>
      <c r="C38" s="4" t="str">
        <f>CompanyName</f>
        <v>ヒロコーポレーション</v>
      </c>
      <c r="D38" s="4"/>
      <c r="E38" s="5"/>
      <c r="F38" s="5"/>
      <c r="G38" s="5"/>
      <c r="H38" s="5"/>
      <c r="I38" s="5"/>
      <c r="J38" s="5"/>
      <c r="K38" s="5"/>
      <c r="L38" s="5"/>
      <c r="M38" s="5"/>
      <c r="N38" s="6"/>
      <c r="O38" s="7"/>
      <c r="P38" s="2"/>
    </row>
    <row r="39" spans="2:16" ht="16.5" customHeight="1" x14ac:dyDescent="0.2">
      <c r="B39" s="8"/>
      <c r="C39" s="9" t="s">
        <v>11</v>
      </c>
      <c r="D39" s="63">
        <f>PeriodEnding</f>
        <v>41372</v>
      </c>
      <c r="E39" s="63"/>
      <c r="F39" s="10"/>
      <c r="G39" s="9" t="s">
        <v>12</v>
      </c>
      <c r="H39" s="64" t="str">
        <f>IFERROR(INDEX(Employees[従業員氏名],Stub),"")</f>
        <v>古井 広宣</v>
      </c>
      <c r="I39" s="64"/>
      <c r="J39" s="11"/>
      <c r="K39" s="9" t="s">
        <v>50</v>
      </c>
      <c r="L39" s="65">
        <f>IFERROR(INDEX(Employees[ID],Stub),"")</f>
        <v>1008</v>
      </c>
      <c r="M39" s="65"/>
      <c r="N39" s="12"/>
      <c r="O39" s="7"/>
      <c r="P39" s="2"/>
    </row>
    <row r="40" spans="2:16" ht="16.5" customHeight="1" x14ac:dyDescent="0.2">
      <c r="B40" s="8"/>
      <c r="C40" s="13" t="s">
        <v>4</v>
      </c>
      <c r="D40" s="14"/>
      <c r="E40" s="15">
        <f>IFERROR(INDEX(Employees[税務上の身分],Stub),"")</f>
        <v>1</v>
      </c>
      <c r="F40" s="16"/>
      <c r="G40" s="13" t="s">
        <v>13</v>
      </c>
      <c r="H40" s="14"/>
      <c r="I40" s="15">
        <f>IFERROR(INDEX(Employees[扶養
家族],Stub),"")</f>
        <v>0</v>
      </c>
      <c r="J40" s="16"/>
      <c r="K40" s="13" t="s">
        <v>48</v>
      </c>
      <c r="L40" s="14"/>
      <c r="M40" s="15">
        <f>IFERROR(INDEX(Employees[正規の勤務時間],Stub),"")</f>
        <v>50</v>
      </c>
      <c r="N40" s="12"/>
      <c r="O40" s="7"/>
      <c r="P40" s="2"/>
    </row>
    <row r="41" spans="2:16" ht="16.5" customHeight="1" x14ac:dyDescent="0.2">
      <c r="B41" s="8"/>
      <c r="C41" s="17" t="s">
        <v>5</v>
      </c>
      <c r="D41" s="18"/>
      <c r="E41" s="30">
        <f>IFERROR(INDEX(Employees[時給],Stub),"")</f>
        <v>2000</v>
      </c>
      <c r="F41" s="19"/>
      <c r="G41" s="17" t="s">
        <v>14</v>
      </c>
      <c r="H41" s="18"/>
      <c r="I41" s="30">
        <f>IFERROR(INDEX(Employees[残業時間給],Stub),"")</f>
        <v>0</v>
      </c>
      <c r="J41" s="19"/>
      <c r="K41" s="17" t="s">
        <v>30</v>
      </c>
      <c r="L41" s="18"/>
      <c r="M41" s="20">
        <f>IFERROR(INDEX(Employees[病欠時間],Stub),"")</f>
        <v>1</v>
      </c>
      <c r="N41" s="12"/>
      <c r="O41" s="7"/>
      <c r="P41" s="2"/>
    </row>
    <row r="42" spans="2:16" ht="16.5" customHeight="1" x14ac:dyDescent="0.2">
      <c r="B42" s="8"/>
      <c r="C42" s="17" t="s">
        <v>6</v>
      </c>
      <c r="D42" s="18"/>
      <c r="E42" s="30">
        <f>IFERROR(INDEX(Employees[雇用
保険],Stub)  *  INDEX(Employees[支払総額],Stub),"")</f>
        <v>7056</v>
      </c>
      <c r="F42" s="19"/>
      <c r="G42" s="17" t="s">
        <v>15</v>
      </c>
      <c r="H42" s="18"/>
      <c r="I42" s="30">
        <f>IFERROR(INDEX(Employees[所得税],Stub)  *  INDEX(Employees[支払総額],Stub),"")</f>
        <v>31360.000000000004</v>
      </c>
      <c r="J42" s="19"/>
      <c r="K42" s="17" t="s">
        <v>29</v>
      </c>
      <c r="L42" s="18"/>
      <c r="M42" s="20">
        <f>IFERROR(INDEX(Employees[休暇時間],Stub),"")</f>
        <v>5</v>
      </c>
      <c r="N42" s="12"/>
      <c r="O42" s="7"/>
      <c r="P42" s="2"/>
    </row>
    <row r="43" spans="2:16" ht="16.5" customHeight="1" x14ac:dyDescent="0.2">
      <c r="B43" s="8"/>
      <c r="C43" s="17" t="s">
        <v>7</v>
      </c>
      <c r="D43" s="18"/>
      <c r="E43" s="30">
        <f>IFERROR(INDEX(Employees[健康保険],Stub)  *  INDEX(Employees[支払総額],Stub),"")</f>
        <v>1624</v>
      </c>
      <c r="F43" s="19"/>
      <c r="G43" s="17" t="s">
        <v>16</v>
      </c>
      <c r="H43" s="18"/>
      <c r="I43" s="30">
        <f>IFERROR(INDEX(Employees[住民税],Stub)  *  INDEX(Employees[支払総額],Stub),"")</f>
        <v>2576</v>
      </c>
      <c r="J43" s="19"/>
      <c r="K43" s="17" t="s">
        <v>31</v>
      </c>
      <c r="L43" s="18"/>
      <c r="M43" s="20">
        <f>IFERROR(INDEX(Employees[残業時間],Stub),"")</f>
        <v>0</v>
      </c>
      <c r="N43" s="12"/>
      <c r="O43" s="7"/>
      <c r="P43" s="2"/>
    </row>
    <row r="44" spans="2:16" ht="16.5" customHeight="1" x14ac:dyDescent="0.2">
      <c r="B44" s="8"/>
      <c r="C44" s="17" t="s">
        <v>8</v>
      </c>
      <c r="D44" s="18"/>
      <c r="E44" s="30">
        <f>IFERROR(INDEX(Employees[保険料控除],Stub),"")</f>
        <v>1500</v>
      </c>
      <c r="F44" s="19"/>
      <c r="G44" s="17" t="s">
        <v>17</v>
      </c>
      <c r="H44" s="18"/>
      <c r="I44" s="30">
        <f>IFERROR(INDEX(Employees[その他の一般控除],Stub),"")</f>
        <v>0</v>
      </c>
      <c r="J44" s="19"/>
      <c r="K44" s="17" t="s">
        <v>32</v>
      </c>
      <c r="L44" s="18"/>
      <c r="M44" s="30">
        <f>IFERROR(INDEX(Employees[支払総額],Stub),"")</f>
        <v>112000</v>
      </c>
      <c r="N44" s="12"/>
      <c r="O44" s="7"/>
      <c r="P44" s="2"/>
    </row>
    <row r="45" spans="2:16" ht="16.5" customHeight="1" x14ac:dyDescent="0.2">
      <c r="B45" s="8"/>
      <c r="C45" s="61" t="s">
        <v>9</v>
      </c>
      <c r="D45" s="62"/>
      <c r="E45" s="31">
        <f>IFERROR(INDEX(Employees[税金と控除],Stub),"")</f>
        <v>44116.000000000007</v>
      </c>
      <c r="F45" s="19"/>
      <c r="G45" s="17" t="s">
        <v>18</v>
      </c>
      <c r="H45" s="21"/>
      <c r="I45" s="30">
        <f>IFERROR(INDEX(Employees[その他の
控除],Stub),"")</f>
        <v>0</v>
      </c>
      <c r="J45" s="19"/>
      <c r="K45" s="17" t="s">
        <v>49</v>
      </c>
      <c r="L45" s="21"/>
      <c r="M45" s="30">
        <f>IFERROR(INDEX(Employees[税金と控除],Stub)  +  INDEX(Employees[その他の
控除],Stub),"")</f>
        <v>44116.000000000007</v>
      </c>
      <c r="N45" s="12"/>
      <c r="O45" s="7"/>
      <c r="P45" s="2"/>
    </row>
    <row r="46" spans="2:16" ht="16.5" customHeight="1" x14ac:dyDescent="0.2">
      <c r="B46" s="8"/>
      <c r="C46" s="59" t="s">
        <v>10</v>
      </c>
      <c r="D46" s="60"/>
      <c r="E46" s="22"/>
      <c r="F46" s="19"/>
      <c r="G46" s="23"/>
      <c r="H46" s="24"/>
      <c r="I46" s="22"/>
      <c r="J46" s="19"/>
      <c r="K46" s="23"/>
      <c r="L46" s="24"/>
      <c r="M46" s="22"/>
      <c r="N46" s="12"/>
      <c r="O46" s="7"/>
      <c r="P46" s="2"/>
    </row>
    <row r="47" spans="2:16" ht="15.75" customHeight="1" x14ac:dyDescent="0.2">
      <c r="B47" s="8"/>
      <c r="C47" s="25"/>
      <c r="D47" s="25"/>
      <c r="E47" s="25"/>
      <c r="F47" s="25"/>
      <c r="G47" s="25"/>
      <c r="H47" s="25"/>
      <c r="I47" s="25"/>
      <c r="J47" s="25"/>
      <c r="K47" s="26" t="s">
        <v>35</v>
      </c>
      <c r="L47" s="26"/>
      <c r="M47" s="32">
        <f>IFERROR(INDEX(Employees[税引き後支払額],Stub),"")</f>
        <v>67884</v>
      </c>
      <c r="N47" s="12"/>
      <c r="O47" s="7"/>
      <c r="P47" s="2"/>
    </row>
    <row r="48" spans="2:16" ht="10.5" customHeight="1" thickBot="1" x14ac:dyDescent="0.25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7"/>
      <c r="P48" s="2"/>
    </row>
    <row r="49" ht="15" customHeight="1" x14ac:dyDescent="0.2"/>
  </sheetData>
  <mergeCells count="20">
    <mergeCell ref="H3:I3"/>
    <mergeCell ref="H15:I15"/>
    <mergeCell ref="H27:I27"/>
    <mergeCell ref="H39:I39"/>
    <mergeCell ref="L39:M39"/>
    <mergeCell ref="L27:M27"/>
    <mergeCell ref="L15:M15"/>
    <mergeCell ref="L3:M3"/>
    <mergeCell ref="D3:E3"/>
    <mergeCell ref="D15:E15"/>
    <mergeCell ref="D27:E27"/>
    <mergeCell ref="D39:E39"/>
    <mergeCell ref="C45:D45"/>
    <mergeCell ref="C9:D9"/>
    <mergeCell ref="C10:D10"/>
    <mergeCell ref="C46:D46"/>
    <mergeCell ref="C33:D33"/>
    <mergeCell ref="C34:D34"/>
    <mergeCell ref="C21:D21"/>
    <mergeCell ref="C22:D22"/>
  </mergeCells>
  <phoneticPr fontId="7"/>
  <printOptions horizontalCentered="1"/>
  <pageMargins left="0.25" right="0.25" top="0.5" bottom="0.5" header="0.3" footer="0.3"/>
  <pageSetup scale="8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2029-01-01T08:00:00+00:00</AssetExpire>
    <CampaignTagsTaxHTField0 xmlns="1119c2e5-8fb9-4d5f-baf1-202c530f2c34">
      <Terms xmlns="http://schemas.microsoft.com/office/infopath/2007/PartnerControls"/>
    </CampaignTagsTaxHTField0>
    <IntlLangReviewDate xmlns="1119c2e5-8fb9-4d5f-baf1-202c530f2c34" xsi:nil="true"/>
    <TPFriendlyName xmlns="1119c2e5-8fb9-4d5f-baf1-202c530f2c34" xsi:nil="true"/>
    <IntlLangReview xmlns="1119c2e5-8fb9-4d5f-baf1-202c530f2c34">false</IntlLangReview>
    <LocLastLocAttemptVersionLookup xmlns="1119c2e5-8fb9-4d5f-baf1-202c530f2c34">845882</LocLastLocAttemptVersionLookup>
    <PolicheckWords xmlns="1119c2e5-8fb9-4d5f-baf1-202c530f2c34" xsi:nil="true"/>
    <SubmitterId xmlns="1119c2e5-8fb9-4d5f-baf1-202c530f2c34" xsi:nil="true"/>
    <AcquiredFrom xmlns="1119c2e5-8fb9-4d5f-baf1-202c530f2c34">Internal MS</AcquiredFrom>
    <EditorialStatus xmlns="1119c2e5-8fb9-4d5f-baf1-202c530f2c34" xsi:nil="true"/>
    <Markets xmlns="1119c2e5-8fb9-4d5f-baf1-202c530f2c34"/>
    <OriginAsset xmlns="1119c2e5-8fb9-4d5f-baf1-202c530f2c34" xsi:nil="true"/>
    <AssetStart xmlns="1119c2e5-8fb9-4d5f-baf1-202c530f2c34">2012-06-28T22:28:01+00:00</AssetStart>
    <FriendlyTitle xmlns="1119c2e5-8fb9-4d5f-baf1-202c530f2c34" xsi:nil="true"/>
    <MarketSpecific xmlns="1119c2e5-8fb9-4d5f-baf1-202c530f2c34">false</MarketSpecific>
    <TPNamespace xmlns="1119c2e5-8fb9-4d5f-baf1-202c530f2c34" xsi:nil="true"/>
    <PublishStatusLookup xmlns="1119c2e5-8fb9-4d5f-baf1-202c530f2c34">
      <Value>604214</Value>
    </PublishStatusLookup>
    <APAuthor xmlns="1119c2e5-8fb9-4d5f-baf1-202c530f2c34">
      <UserInfo>
        <DisplayName/>
        <AccountId>2566</AccountId>
        <AccountType/>
      </UserInfo>
    </APAuthor>
    <TPCommandLine xmlns="1119c2e5-8fb9-4d5f-baf1-202c530f2c34" xsi:nil="true"/>
    <IntlLangReviewer xmlns="1119c2e5-8fb9-4d5f-baf1-202c530f2c34" xsi:nil="true"/>
    <OpenTemplate xmlns="1119c2e5-8fb9-4d5f-baf1-202c530f2c34">true</OpenTemplate>
    <CSXSubmissionDate xmlns="1119c2e5-8fb9-4d5f-baf1-202c530f2c34" xsi:nil="true"/>
    <TaxCatchAll xmlns="1119c2e5-8fb9-4d5f-baf1-202c530f2c34"/>
    <Manager xmlns="1119c2e5-8fb9-4d5f-baf1-202c530f2c34" xsi:nil="true"/>
    <NumericId xmlns="1119c2e5-8fb9-4d5f-baf1-202c530f2c34" xsi:nil="true"/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TPComponent xmlns="1119c2e5-8fb9-4d5f-baf1-202c530f2c34" xsi:nil="true"/>
    <EditorialTags xmlns="1119c2e5-8fb9-4d5f-baf1-202c530f2c34" xsi:nil="true"/>
    <TPExecutable xmlns="1119c2e5-8fb9-4d5f-baf1-202c530f2c34" xsi:nil="true"/>
    <TPLaunchHelpLink xmlns="1119c2e5-8fb9-4d5f-baf1-202c530f2c34" xsi:nil="true"/>
    <LocComments xmlns="1119c2e5-8fb9-4d5f-baf1-202c530f2c34" xsi:nil="true"/>
    <LocRecommendedHandoff xmlns="1119c2e5-8fb9-4d5f-baf1-202c530f2c34" xsi:nil="true"/>
    <SourceTitle xmlns="1119c2e5-8fb9-4d5f-baf1-202c530f2c34" xsi:nil="true"/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 xsi:nil="true"/>
    <MachineTranslated xmlns="1119c2e5-8fb9-4d5f-baf1-202c530f2c34">false</MachineTranslated>
    <OutputCachingOn xmlns="1119c2e5-8fb9-4d5f-baf1-202c530f2c34">false</OutputCachingOn>
    <TemplateStatus xmlns="1119c2e5-8fb9-4d5f-baf1-202c530f2c34">Complete</TemplateStatus>
    <IsSearchable xmlns="1119c2e5-8fb9-4d5f-baf1-202c530f2c34">false</IsSearchable>
    <ContentItem xmlns="1119c2e5-8fb9-4d5f-baf1-202c530f2c34" xsi:nil="true"/>
    <HandoffToMSDN xmlns="1119c2e5-8fb9-4d5f-baf1-202c530f2c34" xsi:nil="true"/>
    <ShowIn xmlns="1119c2e5-8fb9-4d5f-baf1-202c530f2c34">Show everywhere</ShowIn>
    <ThumbnailAssetId xmlns="1119c2e5-8fb9-4d5f-baf1-202c530f2c34" xsi:nil="true"/>
    <UALocComments xmlns="1119c2e5-8fb9-4d5f-baf1-202c530f2c34" xsi:nil="true"/>
    <UALocRecommendation xmlns="1119c2e5-8fb9-4d5f-baf1-202c530f2c34">Localize</UALocRecommendation>
    <LastModifiedDateTime xmlns="1119c2e5-8fb9-4d5f-baf1-202c530f2c34" xsi:nil="true"/>
    <LegacyData xmlns="1119c2e5-8fb9-4d5f-baf1-202c530f2c34" xsi:nil="true"/>
    <LocManualTestRequired xmlns="1119c2e5-8fb9-4d5f-baf1-202c530f2c34">false</LocManualTestRequired>
    <LocMarketGroupTiers2 xmlns="1119c2e5-8fb9-4d5f-baf1-202c530f2c34" xsi:nil="true"/>
    <ClipArtFilename xmlns="1119c2e5-8fb9-4d5f-baf1-202c530f2c34" xsi:nil="true"/>
    <TPApplication xmlns="1119c2e5-8fb9-4d5f-baf1-202c530f2c34" xsi:nil="true"/>
    <CSXHash xmlns="1119c2e5-8fb9-4d5f-baf1-202c530f2c34" xsi:nil="true"/>
    <DirectSourceMarket xmlns="1119c2e5-8fb9-4d5f-baf1-202c530f2c34">english</DirectSourceMarket>
    <PrimaryImageGen xmlns="1119c2e5-8fb9-4d5f-baf1-202c530f2c34">false</PrimaryImageGen>
    <PlannedPubDate xmlns="1119c2e5-8fb9-4d5f-baf1-202c530f2c34" xsi:nil="true"/>
    <CSXSubmissionMarket xmlns="1119c2e5-8fb9-4d5f-baf1-202c530f2c34" xsi:nil="true"/>
    <Downloads xmlns="1119c2e5-8fb9-4d5f-baf1-202c530f2c34">0</Downloads>
    <ArtSampleDocs xmlns="1119c2e5-8fb9-4d5f-baf1-202c530f2c34" xsi:nil="true"/>
    <TrustLevel xmlns="1119c2e5-8fb9-4d5f-baf1-202c530f2c34">1 Microsoft Managed Content</TrustLevel>
    <BlockPublish xmlns="1119c2e5-8fb9-4d5f-baf1-202c530f2c34">false</BlockPublish>
    <TPLaunchHelpLinkType xmlns="1119c2e5-8fb9-4d5f-baf1-202c530f2c34">Template</TPLaunchHelpLinkType>
    <LocalizationTagsTaxHTField0 xmlns="1119c2e5-8fb9-4d5f-baf1-202c530f2c34">
      <Terms xmlns="http://schemas.microsoft.com/office/infopath/2007/PartnerControls"/>
    </LocalizationTagsTaxHTField0>
    <BusinessGroup xmlns="1119c2e5-8fb9-4d5f-baf1-202c530f2c34" xsi:nil="true"/>
    <Providers xmlns="1119c2e5-8fb9-4d5f-baf1-202c530f2c34" xsi:nil="true"/>
    <TemplateTemplateType xmlns="1119c2e5-8fb9-4d5f-baf1-202c530f2c34">Excel Spreadsheet Template</TemplateTemplateType>
    <TimesCloned xmlns="1119c2e5-8fb9-4d5f-baf1-202c530f2c34" xsi:nil="true"/>
    <TPAppVersion xmlns="1119c2e5-8fb9-4d5f-baf1-202c530f2c34" xsi:nil="true"/>
    <VoteCount xmlns="1119c2e5-8fb9-4d5f-baf1-202c530f2c34" xsi:nil="true"/>
    <AverageRating xmlns="1119c2e5-8fb9-4d5f-baf1-202c530f2c34" xsi:nil="true"/>
    <FeatureTagsTaxHTField0 xmlns="1119c2e5-8fb9-4d5f-baf1-202c530f2c34">
      <Terms xmlns="http://schemas.microsoft.com/office/infopath/2007/PartnerControls"/>
    </FeatureTagsTaxHTField0>
    <Provider xmlns="1119c2e5-8fb9-4d5f-baf1-202c530f2c34" xsi:nil="true"/>
    <UACurrentWords xmlns="1119c2e5-8fb9-4d5f-baf1-202c530f2c34" xsi:nil="true"/>
    <AssetId xmlns="1119c2e5-8fb9-4d5f-baf1-202c530f2c34">TP102929976</AssetId>
    <TPClientViewer xmlns="1119c2e5-8fb9-4d5f-baf1-202c530f2c34" xsi:nil="true"/>
    <DSATActionTaken xmlns="1119c2e5-8fb9-4d5f-baf1-202c530f2c34" xsi:nil="true"/>
    <APEditor xmlns="1119c2e5-8fb9-4d5f-baf1-202c530f2c34">
      <UserInfo>
        <DisplayName/>
        <AccountId xsi:nil="true"/>
        <AccountType/>
      </UserInfo>
    </APEditor>
    <TPInstallLocation xmlns="1119c2e5-8fb9-4d5f-baf1-202c530f2c34" xsi:nil="true"/>
    <OOCacheId xmlns="1119c2e5-8fb9-4d5f-baf1-202c530f2c34" xsi:nil="true"/>
    <IsDeleted xmlns="1119c2e5-8fb9-4d5f-baf1-202c530f2c34">false</IsDeleted>
    <PublishTargets xmlns="1119c2e5-8fb9-4d5f-baf1-202c530f2c34">OfficeOnlineVNext</PublishTargets>
    <ApprovalLog xmlns="1119c2e5-8fb9-4d5f-baf1-202c530f2c34" xsi:nil="true"/>
    <BugNumber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LastHandOff xmlns="1119c2e5-8fb9-4d5f-baf1-202c530f2c34" xsi:nil="true"/>
    <Milestone xmlns="1119c2e5-8fb9-4d5f-baf1-202c530f2c34" xsi:nil="true"/>
    <OriginalRelease xmlns="1119c2e5-8fb9-4d5f-baf1-202c530f2c34">15</OriginalRelease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UANotes xmlns="1119c2e5-8fb9-4d5f-baf1-202c530f2c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5219A9-5E77-40E8-852C-40B3EEEDF291}"/>
</file>

<file path=customXml/itemProps2.xml><?xml version="1.0" encoding="utf-8"?>
<ds:datastoreItem xmlns:ds="http://schemas.openxmlformats.org/officeDocument/2006/customXml" ds:itemID="{E16B4335-69EE-4932-AE69-C68F7AAA65E7}"/>
</file>

<file path=customXml/itemProps3.xml><?xml version="1.0" encoding="utf-8"?>
<ds:datastoreItem xmlns:ds="http://schemas.openxmlformats.org/officeDocument/2006/customXml" ds:itemID="{9ADD1D28-1DAE-419E-BC9F-DDD76467E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給与の入力</vt:lpstr>
      <vt:lpstr>stubs_template</vt:lpstr>
      <vt:lpstr>CompanyName</vt:lpstr>
      <vt:lpstr>PeriodEnding</vt:lpstr>
      <vt:lpstr>給与の入力!Print_Titles</vt:lpstr>
      <vt:lpstr>StubStruc</vt:lpstr>
      <vt:lpstr>ThePage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2011-10-20T22:03:05Z</dcterms:created>
  <dcterms:modified xsi:type="dcterms:W3CDTF">2012-10-01T08:20:12Z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14367700</vt:r8>
  </property>
  <property fmtid="{D5CDD505-2E9C-101B-9397-08002B2CF9AE}" pid="13" name="Applications">
    <vt:lpwstr/>
  </property>
</Properties>
</file>