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id-ID\target\"/>
    </mc:Choice>
  </mc:AlternateContent>
  <bookViews>
    <workbookView xWindow="-120" yWindow="-120" windowWidth="24240" windowHeight="17640" xr2:uid="{00000000-000D-0000-FFFF-FFFF00000000}"/>
  </bookViews>
  <sheets>
    <sheet name="Mulai" sheetId="5" r:id="rId1"/>
    <sheet name="Kalender Keluarga" sheetId="4" r:id="rId2"/>
  </sheets>
  <definedNames>
    <definedName name="AguMin1">DATE(TahunKalender,8,1)-WEEKDAY(DATE(TahunKalender,8,1))+1</definedName>
    <definedName name="AprMin1">DATE(TahunKalender,4,1)-WEEKDAY(DATE(TahunKalender,4,1))+1</definedName>
    <definedName name="DesMin1">DATE(TahunKalender,12,1)-WEEKDAY(DATE(TahunKalender,12,1))+1</definedName>
    <definedName name="FebMin1">DATE(TahunKalender,2,1)-WEEKDAY(DATE(TahunKalender,2,1))+1</definedName>
    <definedName name="JanMin1">DATE(TahunKalender,1,1)-WEEKDAY(DATE(TahunKalender,1,1))+1</definedName>
    <definedName name="JulMin1">DATE(TahunKalender,7,1)-WEEKDAY(DATE(TahunKalender,7,1))+1</definedName>
    <definedName name="JunMin1">DATE(TahunKalender,6,1)-WEEKDAY(DATE(TahunKalender,6,1))+1</definedName>
    <definedName name="MarMin1">DATE(TahunKalender,3,1)-WEEKDAY(DATE(TahunKalender,3,1))+1</definedName>
    <definedName name="MeiMin1">DATE(TahunKalender,5,1)-WEEKDAY(DATE(TahunKalender,5,1))+1</definedName>
    <definedName name="NovMin1">DATE(TahunKalender,11,1)-WEEKDAY(DATE(TahunKalender,11,1))+1</definedName>
    <definedName name="OktMin1">DATE(TahunKalender,10,1)-WEEKDAY(DATE(TahunKalender,10,1))+1</definedName>
    <definedName name="_xlnm.Print_Area" localSheetId="1">'Kalender Keluarga'!$B$1:$AK$50</definedName>
    <definedName name="SepMin1">DATE(TahunKalender,9,1)-WEEKDAY(DATE(TahunKalender,9,1))+1</definedName>
    <definedName name="TahunKalender">'Kalender Keluarga'!$AE$3</definedName>
    <definedName name="TanggalPenting">'Kalender Keluarga'!$D$6:$G$20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<sst xmlns="http://schemas.openxmlformats.org/spreadsheetml/2006/main" count="112" uniqueCount="35">
  <si>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TENTANG TEMPLAT INI</t>
  </si>
  <si>
    <t>Memantau tanggal penting dan memasukkan catatan dalam Kalender Keluarga ini.</t>
  </si>
  <si>
    <t>Mengustomisasi judul kalender dan memilih tahun.</t>
  </si>
  <si>
    <t>Setiap bulan kalender diperbarui secara otomatis.</t>
  </si>
  <si>
    <t>Catatan: </t>
  </si>
  <si>
    <t>Instruksi tambahan telah tersedia di kolom A dalam lembar kerja KALENDER KELUARGA. Teks ini sengaja disembunyikan. Untuk menghapus teks, pilih kolom A, lalu pilih HAPUS. Untuk memperlihatkan teks, pilih kolom A, lalu ubah warna font.</t>
  </si>
  <si>
    <t>Untuk mempelajari selengkapnya tentang tabel, tekan SHIFT kemudian F10 di dalam tabel, pilih opsi TABEL, lalu pilih TEKS ALTERNATIF</t>
  </si>
  <si>
    <t>Buat Kalender Keluarga untuk tahun tertentu di lembar kerja ini. Instruksi bermanfaat tentang cara menggunakan lembar kerja ada di sel-sel dalam kolom ini. Instruksi berikutnya ada di sel A3.</t>
  </si>
  <si>
    <t>Label Tanggal Penting ada di sel D5 dan label Catatan di sel U5. Masukkan tanggal penting di sel D6 hingga D20, acara atau peringatan khusus di sel H6 hingga H20, dan Catatan di sel U6 hingga U20. Instruksi berikutnya ada di sel A23.</t>
  </si>
  <si>
    <t>Kalender tahunan ada di sel C24 hingga AJ49, kalender Januari di sel C25 hingga I31, kalender Februari di sel L25 hingga R31, kalender Maret di sel U25 hingga AA31, dan kalender April di sel AD25 hingga AJ31.</t>
  </si>
  <si>
    <t>Nama-nama bulan ada di baris ini. Label Januari ada di sel C24, label Februari di sel L24, Maret di sel L24, dan April di sel U24.</t>
  </si>
  <si>
    <t>Nama-nama hari ada di baris ini. Nama hari bulan Januari ada di sel C25 hingga I25, hari-hari bulan Februari di sel L25 hingga R25, hari-hari bulan Maret di sel U25 hingga AA25, dan hari-hari bulan April di sel AD25 hingga AJ25.</t>
  </si>
  <si>
    <t>Tanggal otomatis diperbarui di baris ini. Tanggal Januari ada di sel sebelah kanan, sel C26 hingga I31, tanggal Februari di sel L26 hingga R31, tanggal Maret di sel U26 hingga AA31, dan tanggal April di sel AD26 hingga AJ31. Instruksi berikutnya ada di sel A32.</t>
  </si>
  <si>
    <t>Kalender Mei ada di sel C34 hingga I40, kalender Juni ada di sel L34 hingga R40, kalender Juli di sel U34 hingga AA40, dan kalender Agustus di sel AD34 hingga AJ40.</t>
  </si>
  <si>
    <t>Nama-nama bulan ada di baris ini. Label Mei ada di sel C33, label Juni di sel L33, label Juli di sel U33, dan label Agustus di sel AD33.</t>
  </si>
  <si>
    <t>Nama-nama hari ada di baris ini. Nama hari bulan Mei di sel C34 hingga I34, hari bulan Juni di sel L34 hingga R34, hari bulan Juli di sel U34 hingga AA34, dan hari bulan Agustus di sel AD34 hingga AJ34.</t>
  </si>
  <si>
    <t>Tanggal otomatis diperbarui di baris ini. Tanggal bulan Mei ada di sel sebelah kanan, sel C35 hingga I40, tanggal Juni di sel L35 hingga R40, tanggal Juli di sel U35 hingga AA35, dan tanggal Agustus di sel AD35 hingga AJ40. Instruksi berikutnya ada di sel A41.</t>
  </si>
  <si>
    <t>Kalender September ada di sel C43 hingga I49, kalender Oktober di sel L43 hingga R49, kalender November di sel U43 hingga AA49, dan kalender Desember di sel AD43 hingga AJ49.</t>
  </si>
  <si>
    <t>Nama-nama bulan ada di baris ini. Label September ada di sel C42, label Oktober di sel L42, label November di sel U42, dan label Desember di sel AD42.</t>
  </si>
  <si>
    <t>Nama-nama hari ada di baris ini. Nama hari bulan September ada di sel C43 hingga I43, hari bulan Oktober di sel L43 hingga R43, hari bulan November di sel U43 hingga AA43, dan hari bulan Desember di sel AD43 hingga AJ43.</t>
  </si>
  <si>
    <t>Tanggal otomatis diperbarui di baris ini. Tanggal bulan September ada di sel sebelah kanan, sel C44 hingga I49, tanggal Oktober di sel L44 hingga R49, tanggal November di sel U44 hingga AA49, dan tanggal Desember di sel AD44 hingga AJ49.</t>
  </si>
  <si>
    <t>Sn</t>
  </si>
  <si>
    <t>Kalender Keluarga Sumarto</t>
  </si>
  <si>
    <t>Tanggal Penting</t>
  </si>
  <si>
    <t>Sl</t>
  </si>
  <si>
    <t>Rb</t>
  </si>
  <si>
    <t>Km</t>
  </si>
  <si>
    <t>Jm</t>
  </si>
  <si>
    <t>Tahun Baru</t>
  </si>
  <si>
    <t>Ulang Tahun Jodi</t>
  </si>
  <si>
    <t>Sb</t>
  </si>
  <si>
    <t>Mn</t>
  </si>
  <si>
    <t>Catatan</t>
  </si>
  <si>
    <t>Tips: Gunakan pemutar untuk mengubah tahun kalender ada di sel ini.</t>
  </si>
  <si>
    <t>Kustomisasi judul kalender di sel D3 dan masukkan tahun di sel AE3. Tips ada di sel AL3. Instruksi berikutnya ada di sel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</si>
</sst>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Rp&quot;* #,##0_-;\-&quot;Rp&quot;* #,##0_-;_-&quot;Rp&quot;* &quot;-&quot;_-;_-@_-"/>
    <numFmt numFmtId="165" formatCode="_-&quot;Rp&quot;* #,##0.00_-;\-&quot;Rp&quot;* #,##0.00_-;_-&quot;Rp&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4">
    <xf numFmtId="0" fontId="0" fillId="0" borderId="0" xfId="0"/>
    <xf numFmtId="0" fontId="0" fillId="0" borderId="0" xfId="0" applyFont="1"/>
    <xf numFmtId="0" fontId="0" fillId="0" borderId="0" xfId="0" applyFont="1" applyFill="1" applyBorder="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applyFill="1"/>
    <xf numFmtId="0" fontId="7" fillId="0" borderId="0" xfId="0" applyFont="1" applyFill="1"/>
    <xf numFmtId="0" fontId="6" fillId="0" borderId="0" xfId="0" applyFont="1" applyFill="1"/>
    <xf numFmtId="0" fontId="5" fillId="0" borderId="0" xfId="0" applyFont="1" applyFill="1"/>
    <xf numFmtId="0" fontId="0" fillId="0" borderId="0" xfId="0" applyFill="1"/>
    <xf numFmtId="0" fontId="14" fillId="2" borderId="0" xfId="0" applyFont="1" applyFill="1"/>
    <xf numFmtId="0" fontId="7" fillId="2" borderId="0" xfId="0" applyFont="1" applyFill="1" applyAlignment="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Fill="1" applyBorder="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NumberFormat="1" applyFont="1" applyFill="1" applyBorder="1" applyAlignment="1"/>
    <xf numFmtId="0" fontId="8" fillId="0" borderId="0" xfId="0" applyNumberFormat="1" applyFont="1" applyFill="1" applyBorder="1" applyAlignment="1"/>
    <xf numFmtId="0" fontId="13" fillId="0" borderId="3"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0" xfId="0" applyNumberFormat="1" applyFont="1" applyFill="1" applyBorder="1"/>
    <xf numFmtId="0" fontId="0" fillId="0" borderId="3" xfId="0" applyNumberFormat="1" applyFont="1" applyBorder="1"/>
    <xf numFmtId="0" fontId="0" fillId="0" borderId="0" xfId="0" applyNumberFormat="1" applyFont="1"/>
    <xf numFmtId="0" fontId="0" fillId="0" borderId="0" xfId="0" applyNumberFormat="1"/>
    <xf numFmtId="0" fontId="0" fillId="0" borderId="3" xfId="0" applyNumberFormat="1" applyBorder="1"/>
    <xf numFmtId="0" fontId="9" fillId="0" borderId="0" xfId="0" applyNumberFormat="1" applyFont="1"/>
    <xf numFmtId="166" fontId="0" fillId="0" borderId="0" xfId="0" applyNumberFormat="1" applyFont="1" applyFill="1" applyBorder="1" applyAlignment="1">
      <alignment horizontal="center"/>
    </xf>
    <xf numFmtId="167" fontId="12" fillId="0" borderId="0" xfId="0" applyNumberFormat="1" applyFont="1" applyFill="1" applyBorder="1" applyAlignment="1">
      <alignment horizontal="left"/>
    </xf>
    <xf numFmtId="0" fontId="7" fillId="0" borderId="0" xfId="0" applyFont="1" applyFill="1"/>
    <xf numFmtId="0" fontId="7" fillId="2" borderId="0" xfId="0" applyFont="1" applyFill="1"/>
    <xf numFmtId="0" fontId="7" fillId="2" borderId="0" xfId="0" applyFont="1" applyFill="1" applyAlignment="1"/>
    <xf numFmtId="14" fontId="7" fillId="2" borderId="0" xfId="0" applyNumberFormat="1" applyFont="1" applyFill="1" applyAlignment="1">
      <alignment horizontal="right" indent="1"/>
    </xf>
    <xf numFmtId="0" fontId="10" fillId="2" borderId="2" xfId="0" applyFont="1" applyFill="1" applyBorder="1"/>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1" xfId="0" applyFont="1" applyFill="1" applyBorder="1"/>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rmal 2" xfId="1" xr:uid="{00000000-0005-0000-0000-000001000000}"/>
    <cellStyle name="Note" xfId="21" builtinId="10" customBuiltin="1"/>
    <cellStyle name="Output" xfId="16" builtinId="21" customBuiltin="1"/>
    <cellStyle name="Percent" xfId="7" builtinId="5" customBuiltin="1"/>
    <cellStyle name="Title" xfId="8" builtinId="15" customBuiltin="1"/>
    <cellStyle name="Total" xfId="23" builtinId="25" customBuiltin="1"/>
    <cellStyle name="Warning Text" xfId="20" builtinId="11" customBuiltin="1"/>
  </cellStyles>
  <dxfs count="123">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183262</xdr:colOff>
      <xdr:row>22</xdr:row>
      <xdr:rowOff>7239</xdr:rowOff>
    </xdr:to>
    <xdr:sp macro="" textlink="">
      <xdr:nvSpPr>
        <xdr:cNvPr id="2" name="Bingkai papan tulis" descr="Bingkai papan tulis kayu">
          <a:extLst>
            <a:ext uri="{FF2B5EF4-FFF2-40B4-BE49-F238E27FC236}">
              <a16:creationId xmlns:a16="http://schemas.microsoft.com/office/drawing/2014/main" id="{00000000-0008-0000-0100-000002000000}"/>
            </a:ext>
          </a:extLst>
        </xdr:cNvPr>
        <xdr:cNvSpPr/>
      </xdr:nvSpPr>
      <xdr:spPr>
        <a:xfrm>
          <a:off x="257176"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1</xdr:colOff>
      <xdr:row>3</xdr:row>
      <xdr:rowOff>0</xdr:rowOff>
    </xdr:to>
    <xdr:sp macro="" textlink="">
      <xdr:nvSpPr>
        <xdr:cNvPr id="4" name="Instruksi" descr="Tips: Gunakan pemutar untuk mengubah tahun kalender">
          <a:extLst>
            <a:ext uri="{FF2B5EF4-FFF2-40B4-BE49-F238E27FC236}">
              <a16:creationId xmlns:a16="http://schemas.microsoft.com/office/drawing/2014/main" id="{00000000-0008-0000-0100-000004000000}"/>
            </a:ext>
          </a:extLst>
        </xdr:cNvPr>
        <xdr:cNvSpPr txBox="1"/>
      </xdr:nvSpPr>
      <xdr:spPr>
        <a:xfrm>
          <a:off x="7667627" y="552451"/>
          <a:ext cx="1800224"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id-id" sz="1000" b="0" i="1">
              <a:solidFill>
                <a:schemeClr val="tx1">
                  <a:lumMod val="75000"/>
                  <a:lumOff val="25000"/>
                </a:schemeClr>
              </a:solidFill>
              <a:latin typeface="Calibri" panose="020F0502020204030204" pitchFamily="34" charset="0"/>
            </a:rPr>
            <a:t>Gunakan pemutar untuk mengubah tahun kalender</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Pemisah papan tulis" descr="Pemisah papan tulis">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Pemutar" descr="Gunakan tombol pemutar untuk mengubah tahun kalender atau ubah tahun dalam sel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Januari" displayName="Januari" ref="C25:I31" totalsRowShown="0" headerRowDxfId="121" dataDxfId="120">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Sn" dataDxfId="119"/>
    <tableColumn id="2" xr3:uid="{D28A6F25-5E4C-4F17-88ED-16968913DBE9}" name="Sl" dataDxfId="118"/>
    <tableColumn id="3" xr3:uid="{BB2355F6-BB28-486C-8D20-834DCACD4F3F}" name="Rb" dataDxfId="117"/>
    <tableColumn id="4" xr3:uid="{50E92CC5-40CA-4805-9BB5-CE0DB8786693}" name="Km" dataDxfId="116"/>
    <tableColumn id="5" xr3:uid="{E4BB72AD-4D9E-41F4-90A0-D41C1000188D}" name="Jm" dataDxfId="115"/>
    <tableColumn id="6" xr3:uid="{2B371CF3-31DE-453E-9B23-86C0A18DD970}" name="Sb" dataDxfId="114"/>
    <tableColumn id="7" xr3:uid="{66ED2259-FB70-4D39-BDC5-24C72D11CFAF}" name="Mn" dataDxfId="113"/>
  </tableColumns>
  <tableStyleInfo showFirstColumn="0" showLastColumn="0" showRowStripes="0" showColumnStripes="0"/>
  <extLst>
    <ext xmlns:x14="http://schemas.microsoft.com/office/spreadsheetml/2009/9/main" uri="{504A1905-F514-4f6f-8877-14C23A59335A}">
      <x14:table altTextSummary="Kalender Januari, hari dalam seminggu dihitung secara otomatis untuk Tahun yang dimasukkan dalam sel AE3 di tabel in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ei" displayName="Mei"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Sn" dataDxfId="24"/>
    <tableColumn id="2" xr3:uid="{BA329B39-24F6-49D6-B18B-B0D068298D8D}" name="Sl" dataDxfId="23"/>
    <tableColumn id="3" xr3:uid="{C799F152-9858-4AF4-A0FF-8FCA81C8D628}" name="Rb" dataDxfId="22"/>
    <tableColumn id="4" xr3:uid="{E983E442-3CDE-46FF-8F09-DAE022ADCC87}" name="Km" dataDxfId="21"/>
    <tableColumn id="5" xr3:uid="{8149405D-CCBC-4B4B-85BE-1A4FF328E013}" name="Jm" dataDxfId="20"/>
    <tableColumn id="6" xr3:uid="{9C43832F-4334-4B42-B414-EFF19262FEE6}" name="Sb" dataDxfId="19"/>
    <tableColumn id="7" xr3:uid="{9AF096CA-BE9E-4E1D-838B-C9706D1EF82D}" name="Mn" dataDxfId="18"/>
  </tableColumns>
  <tableStyleInfo showFirstColumn="0" showLastColumn="0" showRowStripes="0" showColumnStripes="0"/>
  <extLst>
    <ext xmlns:x14="http://schemas.microsoft.com/office/spreadsheetml/2009/9/main" uri="{504A1905-F514-4f6f-8877-14C23A59335A}">
      <x14:table altTextSummary="Kalender Mei, hari dalam seminggu dihitung secara otomatis untuk Tahun yang dimasukkan dalam sel AE3 di tabel in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ni" displayName="Juni"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Sn" dataDxfId="15"/>
    <tableColumn id="2" xr3:uid="{D09E41EB-4C62-4845-BE36-E7C6C3889C0C}" name="Sl" dataDxfId="14"/>
    <tableColumn id="3" xr3:uid="{7E15A4CB-F43F-4EBE-BA7C-AF20ECC6CFCF}" name="Rb" dataDxfId="13"/>
    <tableColumn id="4" xr3:uid="{FB6E5EE0-423F-4A55-9060-8B0B30DC7B4C}" name="Km" dataDxfId="12"/>
    <tableColumn id="5" xr3:uid="{C7F55345-04C4-4F39-ADF6-BE38EF870C9A}" name="Jm" dataDxfId="11"/>
    <tableColumn id="6" xr3:uid="{89E766D5-3601-41EB-A409-D3C988BFEBDC}" name="Sb" dataDxfId="10"/>
    <tableColumn id="7" xr3:uid="{B37A6A8B-9721-42FA-8CA0-0914B15D5A98}" name="Mn" dataDxfId="9"/>
  </tableColumns>
  <tableStyleInfo showFirstColumn="0" showLastColumn="0" showRowStripes="0" showColumnStripes="0"/>
  <extLst>
    <ext xmlns:x14="http://schemas.microsoft.com/office/spreadsheetml/2009/9/main" uri="{504A1905-F514-4f6f-8877-14C23A59335A}">
      <x14:table altTextSummary="Kalender Juni, hari dalam seminggu dihitung secara otomatis untuk Tahun yang dimasukkan dalam sel AE3 di tabel in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li" displayName="Juli"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Sn" dataDxfId="6"/>
    <tableColumn id="2" xr3:uid="{84C699AB-6496-441A-B237-2EB283CEFEAE}" name="Sl" dataDxfId="5"/>
    <tableColumn id="3" xr3:uid="{F183BF59-9DC2-4398-81DB-F0438980A67D}" name="Rb" dataDxfId="4"/>
    <tableColumn id="4" xr3:uid="{57B4D1AE-A132-42AB-B0DA-DFFC07D5E12F}" name="Km" dataDxfId="3"/>
    <tableColumn id="5" xr3:uid="{99F0B57B-81B2-4F58-814B-9AF63612A63B}" name="Jm" dataDxfId="2"/>
    <tableColumn id="6" xr3:uid="{85194B0F-B914-42E3-9849-D706E0596F18}" name="Sb" dataDxfId="1"/>
    <tableColumn id="7" xr3:uid="{D5875EA9-3BE5-41A0-8B63-BDE1DE894F6A}" name="Mn" dataDxfId="0"/>
  </tableColumns>
  <tableStyleInfo showFirstColumn="0" showLastColumn="0" showRowStripes="0" showColumnStripes="0"/>
  <extLst>
    <ext xmlns:x14="http://schemas.microsoft.com/office/spreadsheetml/2009/9/main" uri="{504A1905-F514-4f6f-8877-14C23A59335A}">
      <x14:table altTextSummary="Kalender Juli, hari dalam seminggu dihitung secara otomatis untuk Tahun yang dimasukkan dalam sel AE3 di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ruari" displayName="Februari" ref="L25:R31" totalsRowShown="0" headerRowDxfId="112" dataDxfId="111">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Sn" dataDxfId="110"/>
    <tableColumn id="2" xr3:uid="{A205A52F-8E37-498A-A5CC-6FD0732AF131}" name="Sl" dataDxfId="109"/>
    <tableColumn id="3" xr3:uid="{4F8A4A4F-781E-4A2F-9EF3-0FF67EE2444C}" name="Rb" dataDxfId="108"/>
    <tableColumn id="4" xr3:uid="{CDAFA5B3-2779-483C-99FC-75278781B8FD}" name="Km" dataDxfId="107"/>
    <tableColumn id="5" xr3:uid="{C5B99975-7BB5-4A5D-8222-AC94AE515D3A}" name="Jm" dataDxfId="106"/>
    <tableColumn id="6" xr3:uid="{5AF46251-0E40-4F5B-94D6-BDC11EC73FDB}" name="Sb" dataDxfId="105"/>
    <tableColumn id="7" xr3:uid="{658ADFA5-E083-46E9-B4B2-6F07BA9C7140}" name="Mn" dataDxfId="104"/>
  </tableColumns>
  <tableStyleInfo showFirstColumn="0" showLastColumn="0" showRowStripes="0" showColumnStripes="0"/>
  <extLst>
    <ext xmlns:x14="http://schemas.microsoft.com/office/spreadsheetml/2009/9/main" uri="{504A1905-F514-4f6f-8877-14C23A59335A}">
      <x14:table altTextSummary="Kalender Februari, hari dalam seminggu dihitung secara otomatis untuk Tahun yang dimasukkan dalam sel AE3 di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et" displayName="Maret" ref="U25:AA31" headerRowDxfId="103" dataDxfId="102">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Sn" totalsRowLabel="Total" dataDxfId="101" totalsRowDxfId="100"/>
    <tableColumn id="2" xr3:uid="{1976C28A-BF43-4F82-B3A1-179B4B4AF804}" name="Sl" dataDxfId="99" totalsRowDxfId="98"/>
    <tableColumn id="3" xr3:uid="{DFDBD758-6531-462B-9AE8-3686E98FFCA9}" name="Rb" dataDxfId="97" totalsRowDxfId="96"/>
    <tableColumn id="4" xr3:uid="{3AA99097-3DF7-4398-A496-FF080F2CE97E}" name="Km" dataDxfId="95" totalsRowDxfId="94"/>
    <tableColumn id="5" xr3:uid="{0E76D483-C95C-4DD9-9CAE-A97C8544598B}" name="Jm" dataDxfId="93" totalsRowDxfId="92"/>
    <tableColumn id="6" xr3:uid="{7D921C56-69EB-4ABA-9B90-EA9F831DCC34}" name="Sb" dataDxfId="91" totalsRowDxfId="90"/>
    <tableColumn id="7" xr3:uid="{03450A21-A6C8-4854-B72B-E981E5FC9DC9}" name="Mn" totalsRowFunction="count" dataDxfId="89" totalsRowDxfId="88"/>
  </tableColumns>
  <tableStyleInfo showFirstColumn="0" showLastColumn="0" showRowStripes="0" showColumnStripes="0"/>
  <extLst>
    <ext xmlns:x14="http://schemas.microsoft.com/office/spreadsheetml/2009/9/main" uri="{504A1905-F514-4f6f-8877-14C23A59335A}">
      <x14:table altTextSummary="Kalender Maret, hari dalam seminggu dihitung secara otomatis untuk Tahun yang dimasukkan dalam sel AE3 di tabel in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 displayName="April" ref="AD25:AJ31" headerRowDxfId="87" dataDxfId="86">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Sn" totalsRowLabel="Total" dataDxfId="85" totalsRowDxfId="84"/>
    <tableColumn id="2" xr3:uid="{0221955E-CD3B-479A-BF28-D0EB57D80A7C}" name="Sl" dataDxfId="83" totalsRowDxfId="82"/>
    <tableColumn id="3" xr3:uid="{273B5508-3FFE-4EFC-8827-E1E9731A6D7E}" name="Rb" dataDxfId="81" totalsRowDxfId="80"/>
    <tableColumn id="4" xr3:uid="{7F787E39-16E5-49DD-AA24-872C926B911A}" name="Km" dataDxfId="79" totalsRowDxfId="78"/>
    <tableColumn id="5" xr3:uid="{8AAAF603-B5C0-498D-9D55-5F9E7E387865}" name="Jm" dataDxfId="77" totalsRowDxfId="76"/>
    <tableColumn id="6" xr3:uid="{79472EDD-BC97-4C5A-A27E-F1390E092491}" name="Sb" dataDxfId="75" totalsRowDxfId="74"/>
    <tableColumn id="7" xr3:uid="{85A34A75-8BEB-40C8-9A1F-62A4F246DB22}" name="Mn" totalsRowFunction="count" dataDxfId="73" totalsRowDxfId="72"/>
  </tableColumns>
  <tableStyleInfo showFirstColumn="0" showLastColumn="0" showRowStripes="0" showColumnStripes="0"/>
  <extLst>
    <ext xmlns:x14="http://schemas.microsoft.com/office/spreadsheetml/2009/9/main" uri="{504A1905-F514-4f6f-8877-14C23A59335A}">
      <x14:table altTextSummary="Kalender April, hari dalam seminggu dihitung secara otomatis untuk Tahun yang dimasukkan dalam sel AE3 di tabel in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gustus" displayName="Agustus"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Sn" dataDxfId="69"/>
    <tableColumn id="2" xr3:uid="{01DDCFDC-70E0-489A-AAAE-CD22902F985B}" name="Sl" dataDxfId="68"/>
    <tableColumn id="3" xr3:uid="{6CBD51C1-76AC-4F6D-BE33-4C9402A220A5}" name="Rb" dataDxfId="67"/>
    <tableColumn id="4" xr3:uid="{EC58AF9D-EB3F-4E1D-8E68-2B1EF525DBAB}" name="Km" dataDxfId="66"/>
    <tableColumn id="5" xr3:uid="{C367D5EF-1033-48E8-A2C7-4068935677BF}" name="Jm" dataDxfId="65"/>
    <tableColumn id="6" xr3:uid="{219986D6-6C09-4E7C-B268-689E81800E13}" name="Sb" dataDxfId="64"/>
    <tableColumn id="7" xr3:uid="{B02FE3BD-CE1D-4250-99CE-0DB5D42E3E4D}" name="Mn" dataDxfId="63"/>
  </tableColumns>
  <tableStyleInfo showFirstColumn="0" showLastColumn="0" showRowStripes="0" showColumnStripes="0"/>
  <extLst>
    <ext xmlns:x14="http://schemas.microsoft.com/office/spreadsheetml/2009/9/main" uri="{504A1905-F514-4f6f-8877-14C23A59335A}">
      <x14:table altTextSummary="Kalender Agustus, hari dalam seminggu dihitung secara otomatis untuk Tahun yang dimasukkan dalam sel AE3 di tabel in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esember" displayName="Desember"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Sn" dataDxfId="60"/>
    <tableColumn id="2" xr3:uid="{DCB993F9-E5E9-4213-9C84-46F6E62105D7}" name="Sl" dataDxfId="59"/>
    <tableColumn id="3" xr3:uid="{ED7C5EA4-3B5B-404A-99A0-AD0C523D02E8}" name="Rb" dataDxfId="58"/>
    <tableColumn id="4" xr3:uid="{35FA642E-79F1-4B64-ACDB-3AB30A01BB43}" name="Km" dataDxfId="57"/>
    <tableColumn id="5" xr3:uid="{9119F847-2CFB-4518-954A-408F67803C6D}" name="Jm" dataDxfId="56"/>
    <tableColumn id="6" xr3:uid="{CFC3B963-A43F-4B9E-A411-25CF38B5B8FB}" name="Sb" dataDxfId="55"/>
    <tableColumn id="7" xr3:uid="{6773B7AD-6C98-4B11-ACCC-958503B6DC12}" name="Mn" dataDxfId="54"/>
  </tableColumns>
  <tableStyleInfo showFirstColumn="0" showLastColumn="0" showRowStripes="0" showColumnStripes="0"/>
  <extLst>
    <ext xmlns:x14="http://schemas.microsoft.com/office/spreadsheetml/2009/9/main" uri="{504A1905-F514-4f6f-8877-14C23A59335A}">
      <x14:table altTextSummary="Kalender Desember, hari dalam seminggu dihitung secara otomatis untuk Tahun yang dimasukkan dalam sel AE3 di tabel in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er" displayName="November"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Sn" dataDxfId="51"/>
    <tableColumn id="2" xr3:uid="{AA21C15B-CFEE-4282-AC89-A2518C48FE57}" name="Sl" dataDxfId="50"/>
    <tableColumn id="3" xr3:uid="{50DEF649-6E83-425F-B0F7-9FB8FE7EBB63}" name="Rb" dataDxfId="49"/>
    <tableColumn id="4" xr3:uid="{2FE2FBD4-4B90-4F5C-A8AE-A8CEA2DD5861}" name="Km" dataDxfId="48"/>
    <tableColumn id="5" xr3:uid="{B65AFF60-D315-4718-AF6E-4F26244C19DF}" name="Jm" dataDxfId="47"/>
    <tableColumn id="6" xr3:uid="{E8D0DE96-B2CD-47F6-94B9-529A472368BA}" name="Sb" dataDxfId="46"/>
    <tableColumn id="7" xr3:uid="{61C86030-ECA7-41C7-A52D-7CF24741A743}" name="Mn" dataDxfId="45"/>
  </tableColumns>
  <tableStyleInfo showFirstColumn="0" showLastColumn="0" showRowStripes="0" showColumnStripes="0"/>
  <extLst>
    <ext xmlns:x14="http://schemas.microsoft.com/office/spreadsheetml/2009/9/main" uri="{504A1905-F514-4f6f-8877-14C23A59335A}">
      <x14:table altTextSummary="Kalender November, hari dalam seminggu dihitung secara otomatis untuk Tahun yang dimasukkan dalam sel AE3 di tabel in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ktober" displayName="Oktober"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Sn" dataDxfId="42"/>
    <tableColumn id="2" xr3:uid="{58818C2A-A8BB-4BEE-A471-DDCB2289F220}" name="Sl" dataDxfId="41"/>
    <tableColumn id="3" xr3:uid="{38A99EE2-D9B0-471F-B412-28E7BA093F28}" name="Rb" dataDxfId="40"/>
    <tableColumn id="4" xr3:uid="{E8BBD341-C110-4365-902F-BF128A3818B7}" name="Km" dataDxfId="39"/>
    <tableColumn id="5" xr3:uid="{AECC25E7-B42C-47DE-AC99-4E3039CC4F71}" name="Jm" dataDxfId="38"/>
    <tableColumn id="6" xr3:uid="{2A622645-E1EE-49EF-9B76-A5C8939E6835}" name="Sb" dataDxfId="37"/>
    <tableColumn id="7" xr3:uid="{DEF76847-D46C-406F-9AAB-FEC40A323551}" name="Mn" dataDxfId="36"/>
  </tableColumns>
  <tableStyleInfo showFirstColumn="0" showLastColumn="0" showRowStripes="0" showColumnStripes="0"/>
  <extLst>
    <ext xmlns:x14="http://schemas.microsoft.com/office/spreadsheetml/2009/9/main" uri="{504A1905-F514-4f6f-8877-14C23A59335A}">
      <x14:table altTextSummary="Kalender Oktober, hari dalam seminggu dihitung secara otomatis untuk Tahun yang dimasukkan dalam sel AE3 di tabel in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ember" displayName="September"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Sn" dataDxfId="33"/>
    <tableColumn id="2" xr3:uid="{5C3756F3-44FD-4E9C-98D1-C798168ABA12}" name="Sl" dataDxfId="32"/>
    <tableColumn id="3" xr3:uid="{D23E7CE4-63A9-46CF-A6CA-8AB7B4338DE2}" name="Rb" dataDxfId="31"/>
    <tableColumn id="4" xr3:uid="{C18943D6-8975-4A03-9EFA-1A748AC4727A}" name="Km" dataDxfId="30"/>
    <tableColumn id="5" xr3:uid="{8FB9889B-D0CF-4FE9-8A62-5B7B1FE7C4A9}" name="Jm" dataDxfId="29"/>
    <tableColumn id="6" xr3:uid="{B1B5B5E1-3349-4348-8E65-46C36ADC9DFB}" name="Sb" dataDxfId="28"/>
    <tableColumn id="7" xr3:uid="{94CDB875-64F6-4E7A-A810-55D75100150A}" name="Mn" dataDxfId="27"/>
  </tableColumns>
  <tableStyleInfo showFirstColumn="0" showLastColumn="0" showRowStripes="0" showColumnStripes="0"/>
  <extLst>
    <ext xmlns:x14="http://schemas.microsoft.com/office/spreadsheetml/2009/9/main" uri="{504A1905-F514-4f6f-8877-14C23A59335A}">
      <x14:table altTextSummary="Kalender September, hari dalam seminggu dihitung secara otomatis untuk Tahun yang dimasukkan dalam sel AE3 di tabel ini"/>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5.140625" customWidth="1"/>
    <col min="3" max="3" width="2.7109375" customWidth="1"/>
  </cols>
  <sheetData>
    <row r="1" spans="2:2" ht="18" thickBot="1" x14ac:dyDescent="0.35">
      <c r="B1" s="22" t="s">
        <v>0</v>
      </c>
    </row>
    <row r="2" spans="2:2" ht="30" customHeight="1" thickTop="1" x14ac:dyDescent="0.2">
      <c r="B2" s="24" t="s">
        <v>1</v>
      </c>
    </row>
    <row r="3" spans="2:2" s="23" customFormat="1" ht="30" customHeight="1" x14ac:dyDescent="0.2">
      <c r="B3" s="24" t="s">
        <v>2</v>
      </c>
    </row>
    <row r="4" spans="2:2" s="23" customFormat="1" ht="30" customHeight="1" x14ac:dyDescent="0.2">
      <c r="B4" s="24" t="s">
        <v>3</v>
      </c>
    </row>
    <row r="5" spans="2:2" s="23" customFormat="1" ht="15" x14ac:dyDescent="0.2">
      <c r="B5" s="25" t="s">
        <v>4</v>
      </c>
    </row>
    <row r="6" spans="2:2" ht="45" x14ac:dyDescent="0.2">
      <c r="B6" s="24" t="s">
        <v>5</v>
      </c>
    </row>
    <row r="7" spans="2:2" ht="30" x14ac:dyDescent="0.25">
      <c r="B7" s="31" t="s">
        <v>6</v>
      </c>
    </row>
    <row r="9" spans="2:2" ht="15" x14ac:dyDescent="0.2">
      <c r="B9"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50"/>
  <sheetViews>
    <sheetView showGridLines="0" zoomScaleNormal="100" workbookViewId="0"/>
  </sheetViews>
  <sheetFormatPr defaultRowHeight="12.75" x14ac:dyDescent="0.2"/>
  <cols>
    <col min="1" max="1" width="3.42578125" style="20" customWidth="1"/>
    <col min="2" max="2" width="3.140625" customWidth="1"/>
    <col min="3" max="9" width="3.28515625" customWidth="1"/>
    <col min="10" max="11" width="2.28515625" customWidth="1"/>
    <col min="12" max="18" width="3.28515625" customWidth="1"/>
    <col min="19" max="20" width="2.28515625" customWidth="1"/>
    <col min="21" max="27" width="3.28515625" customWidth="1"/>
    <col min="28" max="29" width="2.28515625" customWidth="1"/>
    <col min="30" max="37" width="3.28515625" customWidth="1"/>
  </cols>
  <sheetData>
    <row r="1" spans="1:40" ht="20.25" customHeight="1" x14ac:dyDescent="0.2">
      <c r="A1" s="26" t="s">
        <v>7</v>
      </c>
    </row>
    <row r="2" spans="1:40" ht="15" customHeight="1" x14ac:dyDescent="0.2">
      <c r="C2" s="14"/>
      <c r="D2" s="14"/>
      <c r="E2" s="15"/>
      <c r="F2" s="15"/>
      <c r="G2" s="15"/>
      <c r="H2" s="15"/>
      <c r="I2" s="15"/>
      <c r="J2" s="15"/>
      <c r="K2" s="15"/>
      <c r="L2" s="15"/>
      <c r="M2" s="15"/>
      <c r="N2" s="14"/>
      <c r="O2" s="14"/>
      <c r="P2" s="14"/>
      <c r="Q2" s="14"/>
      <c r="R2" s="14"/>
      <c r="S2" s="14"/>
      <c r="T2" s="14"/>
      <c r="U2" s="14"/>
      <c r="V2" s="14"/>
      <c r="W2" s="14"/>
      <c r="X2" s="14"/>
      <c r="Y2" s="14"/>
      <c r="Z2" s="14"/>
      <c r="AA2" s="14"/>
      <c r="AB2" s="14"/>
      <c r="AC2" s="14"/>
      <c r="AD2" s="14"/>
      <c r="AE2" s="14"/>
      <c r="AF2" s="14"/>
      <c r="AG2" s="14"/>
      <c r="AH2" s="14"/>
      <c r="AI2" s="14"/>
      <c r="AJ2" s="14"/>
    </row>
    <row r="3" spans="1:40" s="28" customFormat="1" ht="34.5" customHeight="1" x14ac:dyDescent="0.45">
      <c r="A3" s="27" t="s">
        <v>34</v>
      </c>
      <c r="C3" s="29"/>
      <c r="D3" s="51" t="s">
        <v>22</v>
      </c>
      <c r="E3" s="51"/>
      <c r="F3" s="51"/>
      <c r="G3" s="51"/>
      <c r="H3" s="51"/>
      <c r="I3" s="51"/>
      <c r="J3" s="51"/>
      <c r="K3" s="51"/>
      <c r="L3" s="51"/>
      <c r="M3" s="51"/>
      <c r="N3" s="51"/>
      <c r="O3" s="51"/>
      <c r="P3" s="51"/>
      <c r="Q3" s="51"/>
      <c r="R3" s="51"/>
      <c r="S3" s="51"/>
      <c r="T3" s="51"/>
      <c r="U3" s="51"/>
      <c r="V3" s="51"/>
      <c r="W3" s="51"/>
      <c r="X3" s="51"/>
      <c r="Y3" s="51"/>
      <c r="Z3" s="51"/>
      <c r="AA3" s="51"/>
      <c r="AB3" s="51"/>
      <c r="AC3" s="51"/>
      <c r="AD3" s="51"/>
      <c r="AE3" s="52">
        <f ca="1">YEAR(TODAY())</f>
        <v>2019</v>
      </c>
      <c r="AF3" s="52"/>
      <c r="AG3" s="52"/>
      <c r="AH3" s="52"/>
      <c r="AI3" s="52"/>
      <c r="AJ3" s="30"/>
      <c r="AL3" s="50" t="s">
        <v>33</v>
      </c>
      <c r="AM3" s="50"/>
      <c r="AN3" s="50"/>
    </row>
    <row r="4" spans="1:40" ht="9.75"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0" ht="15.75" customHeight="1" x14ac:dyDescent="0.25">
      <c r="A5" s="27" t="s">
        <v>8</v>
      </c>
      <c r="C5" s="14"/>
      <c r="D5" s="3" t="s">
        <v>23</v>
      </c>
      <c r="E5" s="16"/>
      <c r="F5" s="17"/>
      <c r="G5" s="17"/>
      <c r="H5" s="18"/>
      <c r="I5" s="18"/>
      <c r="J5" s="18"/>
      <c r="K5" s="18"/>
      <c r="L5" s="18"/>
      <c r="M5" s="3"/>
      <c r="N5" s="19"/>
      <c r="O5" s="18"/>
      <c r="P5" s="19"/>
      <c r="Q5" s="19"/>
      <c r="R5" s="19"/>
      <c r="S5" s="14"/>
      <c r="T5" s="14"/>
      <c r="U5" s="12" t="s">
        <v>32</v>
      </c>
      <c r="V5" s="19"/>
      <c r="W5" s="19"/>
      <c r="X5" s="19"/>
      <c r="Y5" s="19"/>
      <c r="Z5" s="19"/>
      <c r="AA5" s="19"/>
      <c r="AB5" s="19"/>
      <c r="AC5" s="19"/>
      <c r="AD5" s="19"/>
      <c r="AE5" s="19"/>
      <c r="AF5" s="19"/>
      <c r="AG5" s="19"/>
      <c r="AH5" s="19"/>
      <c r="AI5" s="14"/>
      <c r="AJ5" s="14"/>
    </row>
    <row r="6" spans="1:40" x14ac:dyDescent="0.2">
      <c r="C6" s="4"/>
      <c r="D6" s="48">
        <f ca="1">DATE(YEAR(TODAY()),1,1)</f>
        <v>43466</v>
      </c>
      <c r="E6" s="48"/>
      <c r="F6" s="48"/>
      <c r="G6" s="48"/>
      <c r="H6" s="47" t="s">
        <v>28</v>
      </c>
      <c r="I6" s="47"/>
      <c r="J6" s="47"/>
      <c r="K6" s="47"/>
      <c r="L6" s="47"/>
      <c r="M6" s="47"/>
      <c r="N6" s="47"/>
      <c r="O6" s="47"/>
      <c r="P6" s="47"/>
      <c r="Q6" s="47"/>
      <c r="R6" s="13"/>
      <c r="S6" s="6"/>
      <c r="T6" s="4"/>
      <c r="U6" s="53"/>
      <c r="V6" s="53"/>
      <c r="W6" s="53"/>
      <c r="X6" s="53"/>
      <c r="Y6" s="53"/>
      <c r="Z6" s="53"/>
      <c r="AA6" s="53"/>
      <c r="AB6" s="53"/>
      <c r="AC6" s="53"/>
      <c r="AD6" s="53"/>
      <c r="AE6" s="53"/>
      <c r="AF6" s="53"/>
      <c r="AG6" s="53"/>
      <c r="AH6" s="53"/>
      <c r="AI6" s="53"/>
      <c r="AJ6" s="4"/>
    </row>
    <row r="7" spans="1:40" ht="14.25" x14ac:dyDescent="0.2">
      <c r="C7" s="5"/>
      <c r="D7" s="48">
        <f ca="1">DATE(YEAR(TODAY()),3,25)</f>
        <v>43549</v>
      </c>
      <c r="E7" s="48"/>
      <c r="F7" s="48"/>
      <c r="G7" s="48"/>
      <c r="H7" s="47" t="s">
        <v>29</v>
      </c>
      <c r="I7" s="47"/>
      <c r="J7" s="47"/>
      <c r="K7" s="47"/>
      <c r="L7" s="47"/>
      <c r="M7" s="47"/>
      <c r="N7" s="47"/>
      <c r="O7" s="47"/>
      <c r="P7" s="47"/>
      <c r="Q7" s="47"/>
      <c r="R7" s="13"/>
      <c r="S7" s="6"/>
      <c r="T7" s="4"/>
      <c r="U7" s="49"/>
      <c r="V7" s="49"/>
      <c r="W7" s="49"/>
      <c r="X7" s="49"/>
      <c r="Y7" s="49"/>
      <c r="Z7" s="49"/>
      <c r="AA7" s="49"/>
      <c r="AB7" s="49"/>
      <c r="AC7" s="49"/>
      <c r="AD7" s="49"/>
      <c r="AE7" s="49"/>
      <c r="AF7" s="49"/>
      <c r="AG7" s="49"/>
      <c r="AH7" s="49"/>
      <c r="AI7" s="49"/>
      <c r="AJ7" s="4"/>
    </row>
    <row r="8" spans="1:40" ht="14.25" x14ac:dyDescent="0.2">
      <c r="C8" s="5"/>
      <c r="D8" s="48"/>
      <c r="E8" s="48"/>
      <c r="F8" s="48"/>
      <c r="G8" s="48"/>
      <c r="H8" s="47"/>
      <c r="I8" s="47"/>
      <c r="J8" s="47"/>
      <c r="K8" s="47"/>
      <c r="L8" s="47"/>
      <c r="M8" s="47"/>
      <c r="N8" s="47"/>
      <c r="O8" s="47"/>
      <c r="P8" s="47"/>
      <c r="Q8" s="47"/>
      <c r="R8" s="13"/>
      <c r="S8" s="6"/>
      <c r="T8" s="4"/>
      <c r="U8" s="49"/>
      <c r="V8" s="49"/>
      <c r="W8" s="49"/>
      <c r="X8" s="49"/>
      <c r="Y8" s="49"/>
      <c r="Z8" s="49"/>
      <c r="AA8" s="49"/>
      <c r="AB8" s="49"/>
      <c r="AC8" s="49"/>
      <c r="AD8" s="49"/>
      <c r="AE8" s="49"/>
      <c r="AF8" s="49"/>
      <c r="AG8" s="49"/>
      <c r="AH8" s="49"/>
      <c r="AI8" s="49"/>
      <c r="AJ8" s="4"/>
    </row>
    <row r="9" spans="1:40" ht="14.25" x14ac:dyDescent="0.2">
      <c r="C9" s="5"/>
      <c r="D9" s="48"/>
      <c r="E9" s="48"/>
      <c r="F9" s="48"/>
      <c r="G9" s="48"/>
      <c r="H9" s="47"/>
      <c r="I9" s="47"/>
      <c r="J9" s="47"/>
      <c r="K9" s="47"/>
      <c r="L9" s="47"/>
      <c r="M9" s="47"/>
      <c r="N9" s="47"/>
      <c r="O9" s="47"/>
      <c r="P9" s="47"/>
      <c r="Q9" s="47"/>
      <c r="R9" s="13"/>
      <c r="S9" s="6"/>
      <c r="T9" s="4"/>
      <c r="U9" s="49"/>
      <c r="V9" s="49"/>
      <c r="W9" s="49"/>
      <c r="X9" s="49"/>
      <c r="Y9" s="49"/>
      <c r="Z9" s="49"/>
      <c r="AA9" s="49"/>
      <c r="AB9" s="49"/>
      <c r="AC9" s="49"/>
      <c r="AD9" s="49"/>
      <c r="AE9" s="49"/>
      <c r="AF9" s="49"/>
      <c r="AG9" s="49"/>
      <c r="AH9" s="49"/>
      <c r="AI9" s="49"/>
      <c r="AJ9" s="4"/>
    </row>
    <row r="10" spans="1:40" ht="14.25" x14ac:dyDescent="0.2">
      <c r="C10" s="5"/>
      <c r="D10" s="48"/>
      <c r="E10" s="48"/>
      <c r="F10" s="48"/>
      <c r="G10" s="48"/>
      <c r="H10" s="47"/>
      <c r="I10" s="47"/>
      <c r="J10" s="47"/>
      <c r="K10" s="47"/>
      <c r="L10" s="47"/>
      <c r="M10" s="47"/>
      <c r="N10" s="47"/>
      <c r="O10" s="47"/>
      <c r="P10" s="47"/>
      <c r="Q10" s="47"/>
      <c r="R10" s="13"/>
      <c r="S10" s="6"/>
      <c r="T10" s="4"/>
      <c r="U10" s="49"/>
      <c r="V10" s="49"/>
      <c r="W10" s="49"/>
      <c r="X10" s="49"/>
      <c r="Y10" s="49"/>
      <c r="Z10" s="49"/>
      <c r="AA10" s="49"/>
      <c r="AB10" s="49"/>
      <c r="AC10" s="49"/>
      <c r="AD10" s="49"/>
      <c r="AE10" s="49"/>
      <c r="AF10" s="49"/>
      <c r="AG10" s="49"/>
      <c r="AH10" s="49"/>
      <c r="AI10" s="49"/>
      <c r="AJ10" s="4"/>
    </row>
    <row r="11" spans="1:40" ht="14.25" x14ac:dyDescent="0.2">
      <c r="C11" s="5"/>
      <c r="D11" s="48"/>
      <c r="E11" s="48"/>
      <c r="F11" s="48"/>
      <c r="G11" s="48"/>
      <c r="H11" s="47"/>
      <c r="I11" s="47"/>
      <c r="J11" s="47"/>
      <c r="K11" s="47"/>
      <c r="L11" s="47"/>
      <c r="M11" s="47"/>
      <c r="N11" s="47"/>
      <c r="O11" s="47"/>
      <c r="P11" s="47"/>
      <c r="Q11" s="47"/>
      <c r="R11" s="13"/>
      <c r="S11" s="6"/>
      <c r="T11" s="4"/>
      <c r="U11" s="49"/>
      <c r="V11" s="49"/>
      <c r="W11" s="49"/>
      <c r="X11" s="49"/>
      <c r="Y11" s="49"/>
      <c r="Z11" s="49"/>
      <c r="AA11" s="49"/>
      <c r="AB11" s="49"/>
      <c r="AC11" s="49"/>
      <c r="AD11" s="49"/>
      <c r="AE11" s="49"/>
      <c r="AF11" s="49"/>
      <c r="AG11" s="49"/>
      <c r="AH11" s="49"/>
      <c r="AI11" s="49"/>
      <c r="AJ11" s="4"/>
    </row>
    <row r="12" spans="1:40" ht="14.25" x14ac:dyDescent="0.2">
      <c r="C12" s="5"/>
      <c r="D12" s="48"/>
      <c r="E12" s="48"/>
      <c r="F12" s="48"/>
      <c r="G12" s="48"/>
      <c r="H12" s="47"/>
      <c r="I12" s="47"/>
      <c r="J12" s="47"/>
      <c r="K12" s="47"/>
      <c r="L12" s="47"/>
      <c r="M12" s="47"/>
      <c r="N12" s="47"/>
      <c r="O12" s="47"/>
      <c r="P12" s="47"/>
      <c r="Q12" s="47"/>
      <c r="R12" s="13"/>
      <c r="S12" s="6"/>
      <c r="T12" s="4"/>
      <c r="U12" s="49"/>
      <c r="V12" s="49"/>
      <c r="W12" s="49"/>
      <c r="X12" s="49"/>
      <c r="Y12" s="49"/>
      <c r="Z12" s="49"/>
      <c r="AA12" s="49"/>
      <c r="AB12" s="49"/>
      <c r="AC12" s="49"/>
      <c r="AD12" s="49"/>
      <c r="AE12" s="49"/>
      <c r="AF12" s="49"/>
      <c r="AG12" s="49"/>
      <c r="AH12" s="49"/>
      <c r="AI12" s="49"/>
      <c r="AJ12" s="4"/>
    </row>
    <row r="13" spans="1:40" ht="14.25" x14ac:dyDescent="0.2">
      <c r="C13" s="5"/>
      <c r="D13" s="48"/>
      <c r="E13" s="48"/>
      <c r="F13" s="48"/>
      <c r="G13" s="48"/>
      <c r="H13" s="47"/>
      <c r="I13" s="47"/>
      <c r="J13" s="47"/>
      <c r="K13" s="47"/>
      <c r="L13" s="47"/>
      <c r="M13" s="47"/>
      <c r="N13" s="47"/>
      <c r="O13" s="47"/>
      <c r="P13" s="47"/>
      <c r="Q13" s="47"/>
      <c r="R13" s="13"/>
      <c r="S13" s="6"/>
      <c r="T13" s="4"/>
      <c r="U13" s="49"/>
      <c r="V13" s="49"/>
      <c r="W13" s="49"/>
      <c r="X13" s="49"/>
      <c r="Y13" s="49"/>
      <c r="Z13" s="49"/>
      <c r="AA13" s="49"/>
      <c r="AB13" s="49"/>
      <c r="AC13" s="49"/>
      <c r="AD13" s="49"/>
      <c r="AE13" s="49"/>
      <c r="AF13" s="49"/>
      <c r="AG13" s="49"/>
      <c r="AH13" s="49"/>
      <c r="AI13" s="49"/>
      <c r="AJ13" s="4"/>
    </row>
    <row r="14" spans="1:40" ht="14.25" x14ac:dyDescent="0.2">
      <c r="C14" s="5"/>
      <c r="D14" s="48"/>
      <c r="E14" s="48"/>
      <c r="F14" s="48"/>
      <c r="G14" s="48"/>
      <c r="H14" s="47"/>
      <c r="I14" s="47"/>
      <c r="J14" s="47"/>
      <c r="K14" s="47"/>
      <c r="L14" s="47"/>
      <c r="M14" s="47"/>
      <c r="N14" s="47"/>
      <c r="O14" s="47"/>
      <c r="P14" s="47"/>
      <c r="Q14" s="47"/>
      <c r="R14" s="13"/>
      <c r="S14" s="6"/>
      <c r="T14" s="4"/>
      <c r="U14" s="49"/>
      <c r="V14" s="49"/>
      <c r="W14" s="49"/>
      <c r="X14" s="49"/>
      <c r="Y14" s="49"/>
      <c r="Z14" s="49"/>
      <c r="AA14" s="49"/>
      <c r="AB14" s="49"/>
      <c r="AC14" s="49"/>
      <c r="AD14" s="49"/>
      <c r="AE14" s="49"/>
      <c r="AF14" s="49"/>
      <c r="AG14" s="49"/>
      <c r="AH14" s="49"/>
      <c r="AI14" s="49"/>
      <c r="AJ14" s="4"/>
    </row>
    <row r="15" spans="1:40" ht="14.25" x14ac:dyDescent="0.2">
      <c r="C15" s="5"/>
      <c r="D15" s="48"/>
      <c r="E15" s="48"/>
      <c r="F15" s="48"/>
      <c r="G15" s="48"/>
      <c r="H15" s="47"/>
      <c r="I15" s="47"/>
      <c r="J15" s="47"/>
      <c r="K15" s="47"/>
      <c r="L15" s="47"/>
      <c r="M15" s="47"/>
      <c r="N15" s="47"/>
      <c r="O15" s="47"/>
      <c r="P15" s="47"/>
      <c r="Q15" s="47"/>
      <c r="R15" s="13"/>
      <c r="S15" s="6"/>
      <c r="T15" s="4"/>
      <c r="U15" s="49"/>
      <c r="V15" s="49"/>
      <c r="W15" s="49"/>
      <c r="X15" s="49"/>
      <c r="Y15" s="49"/>
      <c r="Z15" s="49"/>
      <c r="AA15" s="49"/>
      <c r="AB15" s="49"/>
      <c r="AC15" s="49"/>
      <c r="AD15" s="49"/>
      <c r="AE15" s="49"/>
      <c r="AF15" s="49"/>
      <c r="AG15" s="49"/>
      <c r="AH15" s="49"/>
      <c r="AI15" s="49"/>
      <c r="AJ15" s="4"/>
    </row>
    <row r="16" spans="1:40" ht="14.25" x14ac:dyDescent="0.2">
      <c r="C16" s="5"/>
      <c r="D16" s="48"/>
      <c r="E16" s="48"/>
      <c r="F16" s="48"/>
      <c r="G16" s="48"/>
      <c r="H16" s="47"/>
      <c r="I16" s="47"/>
      <c r="J16" s="47"/>
      <c r="K16" s="47"/>
      <c r="L16" s="47"/>
      <c r="M16" s="47"/>
      <c r="N16" s="47"/>
      <c r="O16" s="47"/>
      <c r="P16" s="47"/>
      <c r="Q16" s="47"/>
      <c r="R16" s="13"/>
      <c r="S16" s="6"/>
      <c r="T16" s="4"/>
      <c r="U16" s="49"/>
      <c r="V16" s="49"/>
      <c r="W16" s="49"/>
      <c r="X16" s="49"/>
      <c r="Y16" s="49"/>
      <c r="Z16" s="49"/>
      <c r="AA16" s="49"/>
      <c r="AB16" s="49"/>
      <c r="AC16" s="49"/>
      <c r="AD16" s="49"/>
      <c r="AE16" s="49"/>
      <c r="AF16" s="49"/>
      <c r="AG16" s="49"/>
      <c r="AH16" s="49"/>
      <c r="AI16" s="49"/>
      <c r="AJ16" s="4"/>
    </row>
    <row r="17" spans="1:37" ht="14.25" x14ac:dyDescent="0.2">
      <c r="C17" s="5"/>
      <c r="D17" s="48"/>
      <c r="E17" s="48"/>
      <c r="F17" s="48"/>
      <c r="G17" s="48"/>
      <c r="H17" s="47"/>
      <c r="I17" s="47"/>
      <c r="J17" s="47"/>
      <c r="K17" s="47"/>
      <c r="L17" s="47"/>
      <c r="M17" s="47"/>
      <c r="N17" s="47"/>
      <c r="O17" s="47"/>
      <c r="P17" s="47"/>
      <c r="Q17" s="47"/>
      <c r="R17" s="13"/>
      <c r="S17" s="6"/>
      <c r="T17" s="4"/>
      <c r="U17" s="49"/>
      <c r="V17" s="49"/>
      <c r="W17" s="49"/>
      <c r="X17" s="49"/>
      <c r="Y17" s="49"/>
      <c r="Z17" s="49"/>
      <c r="AA17" s="49"/>
      <c r="AB17" s="49"/>
      <c r="AC17" s="49"/>
      <c r="AD17" s="49"/>
      <c r="AE17" s="49"/>
      <c r="AF17" s="49"/>
      <c r="AG17" s="49"/>
      <c r="AH17" s="49"/>
      <c r="AI17" s="49"/>
      <c r="AJ17" s="4"/>
    </row>
    <row r="18" spans="1:37" ht="14.25" x14ac:dyDescent="0.2">
      <c r="C18" s="5"/>
      <c r="D18" s="48"/>
      <c r="E18" s="48"/>
      <c r="F18" s="48"/>
      <c r="G18" s="48"/>
      <c r="H18" s="47"/>
      <c r="I18" s="47"/>
      <c r="J18" s="47"/>
      <c r="K18" s="47"/>
      <c r="L18" s="47"/>
      <c r="M18" s="47"/>
      <c r="N18" s="47"/>
      <c r="O18" s="47"/>
      <c r="P18" s="47"/>
      <c r="Q18" s="47"/>
      <c r="R18" s="13"/>
      <c r="S18" s="6"/>
      <c r="T18" s="4"/>
      <c r="U18" s="49"/>
      <c r="V18" s="49"/>
      <c r="W18" s="49"/>
      <c r="X18" s="49"/>
      <c r="Y18" s="49"/>
      <c r="Z18" s="49"/>
      <c r="AA18" s="49"/>
      <c r="AB18" s="49"/>
      <c r="AC18" s="49"/>
      <c r="AD18" s="49"/>
      <c r="AE18" s="49"/>
      <c r="AF18" s="49"/>
      <c r="AG18" s="49"/>
      <c r="AH18" s="49"/>
      <c r="AI18" s="49"/>
      <c r="AJ18" s="4"/>
    </row>
    <row r="19" spans="1:37" ht="14.25" x14ac:dyDescent="0.2">
      <c r="C19" s="5"/>
      <c r="D19" s="48"/>
      <c r="E19" s="48"/>
      <c r="F19" s="48"/>
      <c r="G19" s="48"/>
      <c r="H19" s="47"/>
      <c r="I19" s="47"/>
      <c r="J19" s="47"/>
      <c r="K19" s="47"/>
      <c r="L19" s="47"/>
      <c r="M19" s="47"/>
      <c r="N19" s="47"/>
      <c r="O19" s="47"/>
      <c r="P19" s="47"/>
      <c r="Q19" s="47"/>
      <c r="R19" s="13"/>
      <c r="S19" s="6"/>
      <c r="T19" s="4"/>
      <c r="U19" s="49"/>
      <c r="V19" s="49"/>
      <c r="W19" s="49"/>
      <c r="X19" s="49"/>
      <c r="Y19" s="49"/>
      <c r="Z19" s="49"/>
      <c r="AA19" s="49"/>
      <c r="AB19" s="49"/>
      <c r="AC19" s="49"/>
      <c r="AD19" s="49"/>
      <c r="AE19" s="49"/>
      <c r="AF19" s="49"/>
      <c r="AG19" s="49"/>
      <c r="AH19" s="49"/>
      <c r="AI19" s="49"/>
      <c r="AJ19" s="4"/>
    </row>
    <row r="20" spans="1:37" ht="14.25" x14ac:dyDescent="0.2">
      <c r="C20" s="5"/>
      <c r="D20" s="48"/>
      <c r="E20" s="48"/>
      <c r="F20" s="48"/>
      <c r="G20" s="48"/>
      <c r="H20" s="47"/>
      <c r="I20" s="47"/>
      <c r="J20" s="47"/>
      <c r="K20" s="47"/>
      <c r="L20" s="47"/>
      <c r="M20" s="47"/>
      <c r="N20" s="47"/>
      <c r="O20" s="47"/>
      <c r="P20" s="47"/>
      <c r="Q20" s="47"/>
      <c r="R20" s="13"/>
      <c r="S20" s="6"/>
      <c r="T20" s="4"/>
      <c r="U20" s="49"/>
      <c r="V20" s="49"/>
      <c r="W20" s="49"/>
      <c r="X20" s="49"/>
      <c r="Y20" s="49"/>
      <c r="Z20" s="49"/>
      <c r="AA20" s="49"/>
      <c r="AB20" s="49"/>
      <c r="AC20" s="49"/>
      <c r="AD20" s="49"/>
      <c r="AE20" s="49"/>
      <c r="AF20" s="49"/>
      <c r="AG20" s="49"/>
      <c r="AH20" s="49"/>
      <c r="AI20" s="49"/>
      <c r="AJ20" s="4"/>
    </row>
    <row r="21" spans="1:37" ht="14.25" x14ac:dyDescent="0.2">
      <c r="C21" s="5"/>
      <c r="D21" s="46"/>
      <c r="E21" s="46"/>
      <c r="F21" s="6"/>
      <c r="G21" s="6"/>
      <c r="H21" s="6"/>
      <c r="I21" s="6"/>
      <c r="J21" s="6"/>
      <c r="K21" s="6"/>
      <c r="L21" s="6"/>
      <c r="M21" s="5"/>
      <c r="N21" s="5"/>
      <c r="O21" s="5"/>
      <c r="P21" s="4"/>
      <c r="Q21" s="4"/>
      <c r="R21" s="4"/>
      <c r="S21" s="4"/>
      <c r="T21" s="4"/>
      <c r="U21" s="4"/>
      <c r="V21" s="4"/>
      <c r="W21" s="4"/>
      <c r="X21" s="4"/>
      <c r="Y21" s="4"/>
      <c r="Z21" s="4"/>
      <c r="AA21" s="4"/>
      <c r="AB21" s="4"/>
      <c r="AC21" s="4"/>
      <c r="AD21" s="4"/>
      <c r="AE21" s="4"/>
      <c r="AF21" s="4"/>
      <c r="AG21" s="4"/>
      <c r="AH21" s="4"/>
      <c r="AI21" s="4"/>
      <c r="AJ21" s="4"/>
    </row>
    <row r="22" spans="1:37" ht="14.25" x14ac:dyDescent="0.2">
      <c r="C22" s="7"/>
      <c r="D22" s="45"/>
      <c r="E22" s="45"/>
      <c r="F22" s="8"/>
      <c r="G22" s="8"/>
      <c r="H22" s="8"/>
      <c r="I22" s="9"/>
      <c r="J22" s="9"/>
      <c r="K22" s="9"/>
      <c r="L22" s="9"/>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row>
    <row r="23" spans="1:37" ht="33.75" customHeight="1" x14ac:dyDescent="0.2">
      <c r="A23" s="26" t="s">
        <v>9</v>
      </c>
    </row>
    <row r="24" spans="1:37" ht="15.75" x14ac:dyDescent="0.25">
      <c r="A24" s="26" t="s">
        <v>10</v>
      </c>
      <c r="C24" s="44">
        <f ca="1">DATE(TahunKalender,1,1)</f>
        <v>43466</v>
      </c>
      <c r="D24" s="44"/>
      <c r="E24" s="44"/>
      <c r="F24" s="44"/>
      <c r="G24" s="44"/>
      <c r="H24" s="44"/>
      <c r="I24" s="44"/>
      <c r="J24" s="32"/>
      <c r="K24" s="33"/>
      <c r="L24" s="44">
        <f ca="1">DATE(TahunKalender,2,1)</f>
        <v>43497</v>
      </c>
      <c r="M24" s="44"/>
      <c r="N24" s="44"/>
      <c r="O24" s="44"/>
      <c r="P24" s="44"/>
      <c r="Q24" s="44"/>
      <c r="R24" s="44"/>
      <c r="S24" s="32"/>
      <c r="T24" s="40"/>
      <c r="U24" s="44">
        <f ca="1">DATE(TahunKalender,3,1)</f>
        <v>43525</v>
      </c>
      <c r="V24" s="44"/>
      <c r="W24" s="44"/>
      <c r="X24" s="44"/>
      <c r="Y24" s="44"/>
      <c r="Z24" s="44"/>
      <c r="AA24" s="44"/>
      <c r="AB24" s="32"/>
      <c r="AC24" s="37"/>
      <c r="AD24" s="44">
        <f ca="1">DATE(TahunKalender,4,1)</f>
        <v>43556</v>
      </c>
      <c r="AE24" s="44"/>
      <c r="AF24" s="44"/>
      <c r="AG24" s="44"/>
      <c r="AH24" s="44"/>
      <c r="AI24" s="44"/>
      <c r="AJ24" s="44"/>
    </row>
    <row r="25" spans="1:37" ht="15.75" x14ac:dyDescent="0.25">
      <c r="A25" s="26" t="s">
        <v>11</v>
      </c>
      <c r="C25" s="21" t="s">
        <v>21</v>
      </c>
      <c r="D25" s="21" t="s">
        <v>24</v>
      </c>
      <c r="E25" s="21" t="s">
        <v>25</v>
      </c>
      <c r="F25" s="21" t="s">
        <v>26</v>
      </c>
      <c r="G25" s="21" t="s">
        <v>27</v>
      </c>
      <c r="H25" s="21" t="s">
        <v>30</v>
      </c>
      <c r="I25" s="21" t="s">
        <v>31</v>
      </c>
      <c r="J25" s="34"/>
      <c r="K25" s="35"/>
      <c r="L25" s="21" t="s">
        <v>21</v>
      </c>
      <c r="M25" s="21" t="s">
        <v>24</v>
      </c>
      <c r="N25" s="21" t="s">
        <v>25</v>
      </c>
      <c r="O25" s="21" t="s">
        <v>26</v>
      </c>
      <c r="P25" s="21" t="s">
        <v>27</v>
      </c>
      <c r="Q25" s="21" t="s">
        <v>30</v>
      </c>
      <c r="R25" s="21" t="s">
        <v>31</v>
      </c>
      <c r="S25" s="34"/>
      <c r="T25" s="40"/>
      <c r="U25" s="21" t="s">
        <v>21</v>
      </c>
      <c r="V25" s="21" t="s">
        <v>24</v>
      </c>
      <c r="W25" s="21" t="s">
        <v>25</v>
      </c>
      <c r="X25" s="21" t="s">
        <v>26</v>
      </c>
      <c r="Y25" s="21" t="s">
        <v>27</v>
      </c>
      <c r="Z25" s="21" t="s">
        <v>30</v>
      </c>
      <c r="AA25" s="21" t="s">
        <v>31</v>
      </c>
      <c r="AB25" s="34"/>
      <c r="AC25" s="33"/>
      <c r="AD25" s="21" t="s">
        <v>21</v>
      </c>
      <c r="AE25" s="21" t="s">
        <v>24</v>
      </c>
      <c r="AF25" s="21" t="s">
        <v>25</v>
      </c>
      <c r="AG25" s="21" t="s">
        <v>26</v>
      </c>
      <c r="AH25" s="21" t="s">
        <v>27</v>
      </c>
      <c r="AI25" s="21" t="s">
        <v>30</v>
      </c>
      <c r="AJ25" s="21" t="s">
        <v>31</v>
      </c>
    </row>
    <row r="26" spans="1:37" ht="15" x14ac:dyDescent="0.2">
      <c r="A26" s="26" t="s">
        <v>12</v>
      </c>
      <c r="C26" s="43" t="str">
        <f ca="1">IF(DAY(JanMin1)=1,"",IF(AND(YEAR(JanMin1+1)=TahunKalender,MONTH(JanMin1+1)=1),JanMin1+1,""))</f>
        <v/>
      </c>
      <c r="D26" s="43">
        <f ca="1">IF(DAY(JanMin1)=1,"",IF(AND(YEAR(JanMin1+2)=TahunKalender,MONTH(JanMin1+2)=1),JanMin1+2,""))</f>
        <v>43466</v>
      </c>
      <c r="E26" s="43">
        <f ca="1">IF(DAY(JanMin1)=1,"",IF(AND(YEAR(JanMin1+3)=TahunKalender,MONTH(JanMin1+3)=1),JanMin1+3,""))</f>
        <v>43467</v>
      </c>
      <c r="F26" s="43">
        <f ca="1">IF(DAY(JanMin1)=1,"",IF(AND(YEAR(JanMin1+4)=TahunKalender,MONTH(JanMin1+4)=1),JanMin1+4,""))</f>
        <v>43468</v>
      </c>
      <c r="G26" s="43">
        <f ca="1">IF(DAY(JanMin1)=1,"",IF(AND(YEAR(JanMin1+5)=TahunKalender,MONTH(JanMin1+5)=1),JanMin1+5,""))</f>
        <v>43469</v>
      </c>
      <c r="H26" s="43">
        <f ca="1">IF(DAY(JanMin1)=1,"",IF(AND(YEAR(JanMin1+6)=TahunKalender,MONTH(JanMin1+6)=1),JanMin1+6,""))</f>
        <v>43470</v>
      </c>
      <c r="I26" s="43">
        <f ca="1">IF(DAY(JanMin1)=1,IF(AND(YEAR(JanMin1)=TahunKalender,MONTH(JanMin1)=1),JanMin1,""),IF(AND(YEAR(JanMin1+7)=TahunKalender,MONTH(JanMin1+7)=1),JanMin1+7,""))</f>
        <v>43471</v>
      </c>
      <c r="J26" s="36"/>
      <c r="K26" s="35"/>
      <c r="L26" s="43" t="str">
        <f ca="1">IF(DAY(FebMin1)=1,"",IF(AND(YEAR(FebMin1+1)=TahunKalender,MONTH(FebMin1+1)=2),FebMin1+1,""))</f>
        <v/>
      </c>
      <c r="M26" s="43" t="str">
        <f ca="1">IF(DAY(FebMin1)=1,"",IF(AND(YEAR(FebMin1+2)=TahunKalender,MONTH(FebMin1+2)=2),FebMin1+2,""))</f>
        <v/>
      </c>
      <c r="N26" s="43" t="str">
        <f ca="1">IF(DAY(FebMin1)=1,"",IF(AND(YEAR(FebMin1+3)=TahunKalender,MONTH(FebMin1+3)=2),FebMin1+3,""))</f>
        <v/>
      </c>
      <c r="O26" s="43" t="str">
        <f ca="1">IF(DAY(FebMin1)=1,"",IF(AND(YEAR(FebMin1+4)=TahunKalender,MONTH(FebMin1+4)=2),FebMin1+4,""))</f>
        <v/>
      </c>
      <c r="P26" s="43">
        <f ca="1">IF(DAY(FebMin1)=1,"",IF(AND(YEAR(FebMin1+5)=TahunKalender,MONTH(FebMin1+5)=2),FebMin1+5,""))</f>
        <v>43497</v>
      </c>
      <c r="Q26" s="43">
        <f ca="1">IF(DAY(FebMin1)=1,"",IF(AND(YEAR(FebMin1+6)=TahunKalender,MONTH(FebMin1+6)=2),FebMin1+6,""))</f>
        <v>43498</v>
      </c>
      <c r="R26" s="43">
        <f ca="1">IF(DAY(FebMin1)=1,IF(AND(YEAR(FebMin1)=TahunKalender,MONTH(FebMin1)=2),FebMin1,""),IF(AND(YEAR(FebMin1+7)=TahunKalender,MONTH(FebMin1+7)=2),FebMin1+7,""))</f>
        <v>43499</v>
      </c>
      <c r="S26" s="36"/>
      <c r="T26" s="40"/>
      <c r="U26" s="43" t="str">
        <f ca="1">IF(DAY(MarMin1)=1,"",IF(AND(YEAR(MarMin1+1)=TahunKalender,MONTH(MarMin1+1)=3),MarMin1+1,""))</f>
        <v/>
      </c>
      <c r="V26" s="43" t="str">
        <f ca="1">IF(DAY(MarMin1)=1,"",IF(AND(YEAR(MarMin1+2)=TahunKalender,MONTH(MarMin1+2)=3),MarMin1+2,""))</f>
        <v/>
      </c>
      <c r="W26" s="43" t="str">
        <f ca="1">IF(DAY(MarMin1)=1,"",IF(AND(YEAR(MarMin1+3)=TahunKalender,MONTH(MarMin1+3)=3),MarMin1+3,""))</f>
        <v/>
      </c>
      <c r="X26" s="43" t="str">
        <f ca="1">IF(DAY(MarMin1)=1,"",IF(AND(YEAR(MarMin1+4)=TahunKalender,MONTH(MarMin1+4)=3),MarMin1+4,""))</f>
        <v/>
      </c>
      <c r="Y26" s="43">
        <f ca="1">IF(DAY(MarMin1)=1,"",IF(AND(YEAR(MarMin1+5)=TahunKalender,MONTH(MarMin1+5)=3),MarMin1+5,""))</f>
        <v>43525</v>
      </c>
      <c r="Z26" s="43">
        <f ca="1">IF(DAY(MarMin1)=1,"",IF(AND(YEAR(MarMin1+6)=TahunKalender,MONTH(MarMin1+6)=3),MarMin1+6,""))</f>
        <v>43526</v>
      </c>
      <c r="AA26" s="43">
        <f ca="1">IF(DAY(MarMin1)=1,IF(AND(YEAR(MarMin1)=TahunKalender,MONTH(MarMin1)=3),MarMin1,""),IF(AND(YEAR(MarMin1+7)=TahunKalender,MONTH(MarMin1+7)=3),MarMin1+7,""))</f>
        <v>43527</v>
      </c>
      <c r="AB26" s="36"/>
      <c r="AC26" s="35"/>
      <c r="AD26" s="43">
        <f ca="1">IF(DAY(AprMin1)=1,"",IF(AND(YEAR(AprMin1+1)=TahunKalender,MONTH(AprMin1+1)=4),AprMin1+1,""))</f>
        <v>43556</v>
      </c>
      <c r="AE26" s="43">
        <f ca="1">IF(DAY(AprMin1)=1,"",IF(AND(YEAR(AprMin1+2)=TahunKalender,MONTH(AprMin1+2)=4),AprMin1+2,""))</f>
        <v>43557</v>
      </c>
      <c r="AF26" s="43">
        <f ca="1">IF(DAY(AprMin1)=1,"",IF(AND(YEAR(AprMin1+3)=TahunKalender,MONTH(AprMin1+3)=4),AprMin1+3,""))</f>
        <v>43558</v>
      </c>
      <c r="AG26" s="43">
        <f ca="1">IF(DAY(AprMin1)=1,"",IF(AND(YEAR(AprMin1+4)=TahunKalender,MONTH(AprMin1+4)=4),AprMin1+4,""))</f>
        <v>43559</v>
      </c>
      <c r="AH26" s="43">
        <f ca="1">IF(DAY(AprMin1)=1,"",IF(AND(YEAR(AprMin1+5)=TahunKalender,MONTH(AprMin1+5)=4),AprMin1+5,""))</f>
        <v>43560</v>
      </c>
      <c r="AI26" s="43">
        <f ca="1">IF(DAY(AprMin1)=1,"",IF(AND(YEAR(AprMin1+6)=TahunKalender,MONTH(AprMin1+6)=4),AprMin1+6,""))</f>
        <v>43561</v>
      </c>
      <c r="AJ26" s="43">
        <f ca="1">IF(DAY(AprMin1)=1,IF(AND(YEAR(AprMin1)=TahunKalender,MONTH(AprMin1)=4),AprMin1,""),IF(AND(YEAR(AprMin1+7)=TahunKalender,MONTH(AprMin1+7)=4),AprMin1+7,""))</f>
        <v>43562</v>
      </c>
    </row>
    <row r="27" spans="1:37" x14ac:dyDescent="0.2">
      <c r="C27" s="43">
        <f ca="1">IF(DAY(JanMin1)=1,IF(AND(YEAR(JanMin1+1)=TahunKalender,MONTH(JanMin1+1)=1),JanMin1+1,""),IF(AND(YEAR(JanMin1+8)=TahunKalender,MONTH(JanMin1+8)=1),JanMin1+8,""))</f>
        <v>43472</v>
      </c>
      <c r="D27" s="43">
        <f ca="1">IF(DAY(JanMin1)=1,IF(AND(YEAR(JanMin1+2)=TahunKalender,MONTH(JanMin1+2)=1),JanMin1+2,""),IF(AND(YEAR(JanMin1+9)=TahunKalender,MONTH(JanMin1+9)=1),JanMin1+9,""))</f>
        <v>43473</v>
      </c>
      <c r="E27" s="43">
        <f ca="1">IF(DAY(JanMin1)=1,IF(AND(YEAR(JanMin1+3)=TahunKalender,MONTH(JanMin1+3)=1),JanMin1+3,""),IF(AND(YEAR(JanMin1+10)=TahunKalender,MONTH(JanMin1+10)=1),JanMin1+10,""))</f>
        <v>43474</v>
      </c>
      <c r="F27" s="43">
        <f ca="1">IF(DAY(JanMin1)=1,IF(AND(YEAR(JanMin1+4)=TahunKalender,MONTH(JanMin1+4)=1),JanMin1+4,""),IF(AND(YEAR(JanMin1+11)=TahunKalender,MONTH(JanMin1+11)=1),JanMin1+11,""))</f>
        <v>43475</v>
      </c>
      <c r="G27" s="43">
        <f ca="1">IF(DAY(JanMin1)=1,IF(AND(YEAR(JanMin1+5)=TahunKalender,MONTH(JanMin1+5)=1),JanMin1+5,""),IF(AND(YEAR(JanMin1+12)=TahunKalender,MONTH(JanMin1+12)=1),JanMin1+12,""))</f>
        <v>43476</v>
      </c>
      <c r="H27" s="43">
        <f ca="1">IF(DAY(JanMin1)=1,IF(AND(YEAR(JanMin1+6)=TahunKalender,MONTH(JanMin1+6)=1),JanMin1+6,""),IF(AND(YEAR(JanMin1+13)=TahunKalender,MONTH(JanMin1+13)=1),JanMin1+13,""))</f>
        <v>43477</v>
      </c>
      <c r="I27" s="43">
        <f ca="1">IF(DAY(JanMin1)=1,IF(AND(YEAR(JanMin1+7)=TahunKalender,MONTH(JanMin1+7)=1),JanMin1+7,""),IF(AND(YEAR(JanMin1+14)=TahunKalender,MONTH(JanMin1+14)=1),JanMin1+14,""))</f>
        <v>43478</v>
      </c>
      <c r="J27" s="36"/>
      <c r="K27" s="35"/>
      <c r="L27" s="43">
        <f ca="1">IF(DAY(FebMin1)=1,IF(AND(YEAR(FebMin1+1)=TahunKalender,MONTH(FebMin1+1)=2),FebMin1+1,""),IF(AND(YEAR(FebMin1+8)=TahunKalender,MONTH(FebMin1+8)=2),FebMin1+8,""))</f>
        <v>43500</v>
      </c>
      <c r="M27" s="43">
        <f ca="1">IF(DAY(FebMin1)=1,IF(AND(YEAR(FebMin1+2)=TahunKalender,MONTH(FebMin1+2)=2),FebMin1+2,""),IF(AND(YEAR(FebMin1+9)=TahunKalender,MONTH(FebMin1+9)=2),FebMin1+9,""))</f>
        <v>43501</v>
      </c>
      <c r="N27" s="43">
        <f ca="1">IF(DAY(FebMin1)=1,IF(AND(YEAR(FebMin1+3)=TahunKalender,MONTH(FebMin1+3)=2),FebMin1+3,""),IF(AND(YEAR(FebMin1+10)=TahunKalender,MONTH(FebMin1+10)=2),FebMin1+10,""))</f>
        <v>43502</v>
      </c>
      <c r="O27" s="43">
        <f ca="1">IF(DAY(FebMin1)=1,IF(AND(YEAR(FebMin1+4)=TahunKalender,MONTH(FebMin1+4)=2),FebMin1+4,""),IF(AND(YEAR(FebMin1+11)=TahunKalender,MONTH(FebMin1+11)=2),FebMin1+11,""))</f>
        <v>43503</v>
      </c>
      <c r="P27" s="43">
        <f ca="1">IF(DAY(FebMin1)=1,IF(AND(YEAR(FebMin1+5)=TahunKalender,MONTH(FebMin1+5)=2),FebMin1+5,""),IF(AND(YEAR(FebMin1+12)=TahunKalender,MONTH(FebMin1+12)=2),FebMin1+12,""))</f>
        <v>43504</v>
      </c>
      <c r="Q27" s="43">
        <f ca="1">IF(DAY(FebMin1)=1,IF(AND(YEAR(FebMin1+6)=TahunKalender,MONTH(FebMin1+6)=2),FebMin1+6,""),IF(AND(YEAR(FebMin1+13)=TahunKalender,MONTH(FebMin1+13)=2),FebMin1+13,""))</f>
        <v>43505</v>
      </c>
      <c r="R27" s="43">
        <f ca="1">IF(DAY(FebMin1)=1,IF(AND(YEAR(FebMin1+7)=TahunKalender,MONTH(FebMin1+7)=2),FebMin1+7,""),IF(AND(YEAR(FebMin1+14)=TahunKalender,MONTH(FebMin1+14)=2),FebMin1+14,""))</f>
        <v>43506</v>
      </c>
      <c r="S27" s="36"/>
      <c r="T27" s="40"/>
      <c r="U27" s="43">
        <f ca="1">IF(DAY(MarMin1)=1,IF(AND(YEAR(MarMin1+1)=TahunKalender,MONTH(MarMin1+1)=3),MarMin1+1,""),IF(AND(YEAR(MarMin1+8)=TahunKalender,MONTH(MarMin1+8)=3),MarMin1+8,""))</f>
        <v>43528</v>
      </c>
      <c r="V27" s="43">
        <f ca="1">IF(DAY(MarMin1)=1,IF(AND(YEAR(MarMin1+2)=TahunKalender,MONTH(MarMin1+2)=3),MarMin1+2,""),IF(AND(YEAR(MarMin1+9)=TahunKalender,MONTH(MarMin1+9)=3),MarMin1+9,""))</f>
        <v>43529</v>
      </c>
      <c r="W27" s="43">
        <f ca="1">IF(DAY(MarMin1)=1,IF(AND(YEAR(MarMin1+3)=TahunKalender,MONTH(MarMin1+3)=3),MarMin1+3,""),IF(AND(YEAR(MarMin1+10)=TahunKalender,MONTH(MarMin1+10)=3),MarMin1+10,""))</f>
        <v>43530</v>
      </c>
      <c r="X27" s="43">
        <f ca="1">IF(DAY(MarMin1)=1,IF(AND(YEAR(MarMin1+4)=TahunKalender,MONTH(MarMin1+4)=3),MarMin1+4,""),IF(AND(YEAR(MarMin1+11)=TahunKalender,MONTH(MarMin1+11)=3),MarMin1+11,""))</f>
        <v>43531</v>
      </c>
      <c r="Y27" s="43">
        <f ca="1">IF(DAY(MarMin1)=1,IF(AND(YEAR(MarMin1+5)=TahunKalender,MONTH(MarMin1+5)=3),MarMin1+5,""),IF(AND(YEAR(MarMin1+12)=TahunKalender,MONTH(MarMin1+12)=3),MarMin1+12,""))</f>
        <v>43532</v>
      </c>
      <c r="Z27" s="43">
        <f ca="1">IF(DAY(MarMin1)=1,IF(AND(YEAR(MarMin1+6)=TahunKalender,MONTH(MarMin1+6)=3),MarMin1+6,""),IF(AND(YEAR(MarMin1+13)=TahunKalender,MONTH(MarMin1+13)=3),MarMin1+13,""))</f>
        <v>43533</v>
      </c>
      <c r="AA27" s="43">
        <f ca="1">IF(DAY(MarMin1)=1,IF(AND(YEAR(MarMin1+7)=TahunKalender,MONTH(MarMin1+7)=3),MarMin1+7,""),IF(AND(YEAR(MarMin1+14)=TahunKalender,MONTH(MarMin1+14)=3),MarMin1+14,""))</f>
        <v>43534</v>
      </c>
      <c r="AB27" s="36"/>
      <c r="AC27" s="35"/>
      <c r="AD27" s="43">
        <f ca="1">IF(DAY(AprMin1)=1,IF(AND(YEAR(AprMin1+1)=TahunKalender,MONTH(AprMin1+1)=4),AprMin1+1,""),IF(AND(YEAR(AprMin1+8)=TahunKalender,MONTH(AprMin1+8)=4),AprMin1+8,""))</f>
        <v>43563</v>
      </c>
      <c r="AE27" s="43">
        <f ca="1">IF(DAY(AprMin1)=1,IF(AND(YEAR(AprMin1+2)=TahunKalender,MONTH(AprMin1+2)=4),AprMin1+2,""),IF(AND(YEAR(AprMin1+9)=TahunKalender,MONTH(AprMin1+9)=4),AprMin1+9,""))</f>
        <v>43564</v>
      </c>
      <c r="AF27" s="43">
        <f ca="1">IF(DAY(AprMin1)=1,IF(AND(YEAR(AprMin1+3)=TahunKalender,MONTH(AprMin1+3)=4),AprMin1+3,""),IF(AND(YEAR(AprMin1+10)=TahunKalender,MONTH(AprMin1+10)=4),AprMin1+10,""))</f>
        <v>43565</v>
      </c>
      <c r="AG27" s="43">
        <f ca="1">IF(DAY(AprMin1)=1,IF(AND(YEAR(AprMin1+4)=TahunKalender,MONTH(AprMin1+4)=4),AprMin1+4,""),IF(AND(YEAR(AprMin1+11)=TahunKalender,MONTH(AprMin1+11)=4),AprMin1+11,""))</f>
        <v>43566</v>
      </c>
      <c r="AH27" s="43">
        <f ca="1">IF(DAY(AprMin1)=1,IF(AND(YEAR(AprMin1+5)=TahunKalender,MONTH(AprMin1+5)=4),AprMin1+5,""),IF(AND(YEAR(AprMin1+12)=TahunKalender,MONTH(AprMin1+12)=4),AprMin1+12,""))</f>
        <v>43567</v>
      </c>
      <c r="AI27" s="43">
        <f ca="1">IF(DAY(AprMin1)=1,IF(AND(YEAR(AprMin1+6)=TahunKalender,MONTH(AprMin1+6)=4),AprMin1+6,""),IF(AND(YEAR(AprMin1+13)=TahunKalender,MONTH(AprMin1+13)=4),AprMin1+13,""))</f>
        <v>43568</v>
      </c>
      <c r="AJ27" s="43">
        <f ca="1">IF(DAY(AprMin1)=1,IF(AND(YEAR(AprMin1+7)=TahunKalender,MONTH(AprMin1+7)=4),AprMin1+7,""),IF(AND(YEAR(AprMin1+14)=TahunKalender,MONTH(AprMin1+14)=4),AprMin1+14,""))</f>
        <v>43569</v>
      </c>
    </row>
    <row r="28" spans="1:37" x14ac:dyDescent="0.2">
      <c r="C28" s="43">
        <f ca="1">IF(DAY(JanMin1)=1,IF(AND(YEAR(JanMin1+8)=TahunKalender,MONTH(JanMin1+8)=1),JanMin1+8,""),IF(AND(YEAR(JanMin1+15)=TahunKalender,MONTH(JanMin1+15)=1),JanMin1+15,""))</f>
        <v>43479</v>
      </c>
      <c r="D28" s="43">
        <f ca="1">IF(DAY(JanMin1)=1,IF(AND(YEAR(JanMin1+9)=TahunKalender,MONTH(JanMin1+9)=1),JanMin1+9,""),IF(AND(YEAR(JanMin1+16)=TahunKalender,MONTH(JanMin1+16)=1),JanMin1+16,""))</f>
        <v>43480</v>
      </c>
      <c r="E28" s="43">
        <f ca="1">IF(DAY(JanMin1)=1,IF(AND(YEAR(JanMin1+10)=TahunKalender,MONTH(JanMin1+10)=1),JanMin1+10,""),IF(AND(YEAR(JanMin1+17)=TahunKalender,MONTH(JanMin1+17)=1),JanMin1+17,""))</f>
        <v>43481</v>
      </c>
      <c r="F28" s="43">
        <f ca="1">IF(DAY(JanMin1)=1,IF(AND(YEAR(JanMin1+11)=TahunKalender,MONTH(JanMin1+11)=1),JanMin1+11,""),IF(AND(YEAR(JanMin1+18)=TahunKalender,MONTH(JanMin1+18)=1),JanMin1+18,""))</f>
        <v>43482</v>
      </c>
      <c r="G28" s="43">
        <f ca="1">IF(DAY(JanMin1)=1,IF(AND(YEAR(JanMin1+12)=TahunKalender,MONTH(JanMin1+12)=1),JanMin1+12,""),IF(AND(YEAR(JanMin1+19)=TahunKalender,MONTH(JanMin1+19)=1),JanMin1+19,""))</f>
        <v>43483</v>
      </c>
      <c r="H28" s="43">
        <f ca="1">IF(DAY(JanMin1)=1,IF(AND(YEAR(JanMin1+13)=TahunKalender,MONTH(JanMin1+13)=1),JanMin1+13,""),IF(AND(YEAR(JanMin1+20)=TahunKalender,MONTH(JanMin1+20)=1),JanMin1+20,""))</f>
        <v>43484</v>
      </c>
      <c r="I28" s="43">
        <f ca="1">IF(DAY(JanMin1)=1,IF(AND(YEAR(JanMin1+14)=TahunKalender,MONTH(JanMin1+14)=1),JanMin1+14,""),IF(AND(YEAR(JanMin1+21)=TahunKalender,MONTH(JanMin1+21)=1),JanMin1+21,""))</f>
        <v>43485</v>
      </c>
      <c r="J28" s="36"/>
      <c r="K28" s="35"/>
      <c r="L28" s="43">
        <f ca="1">IF(DAY(FebMin1)=1,IF(AND(YEAR(FebMin1+8)=TahunKalender,MONTH(FebMin1+8)=2),FebMin1+8,""),IF(AND(YEAR(FebMin1+15)=TahunKalender,MONTH(FebMin1+15)=2),FebMin1+15,""))</f>
        <v>43507</v>
      </c>
      <c r="M28" s="43">
        <f ca="1">IF(DAY(FebMin1)=1,IF(AND(YEAR(FebMin1+9)=TahunKalender,MONTH(FebMin1+9)=2),FebMin1+9,""),IF(AND(YEAR(FebMin1+16)=TahunKalender,MONTH(FebMin1+16)=2),FebMin1+16,""))</f>
        <v>43508</v>
      </c>
      <c r="N28" s="43">
        <f ca="1">IF(DAY(FebMin1)=1,IF(AND(YEAR(FebMin1+10)=TahunKalender,MONTH(FebMin1+10)=2),FebMin1+10,""),IF(AND(YEAR(FebMin1+17)=TahunKalender,MONTH(FebMin1+17)=2),FebMin1+17,""))</f>
        <v>43509</v>
      </c>
      <c r="O28" s="43">
        <f ca="1">IF(DAY(FebMin1)=1,IF(AND(YEAR(FebMin1+11)=TahunKalender,MONTH(FebMin1+11)=2),FebMin1+11,""),IF(AND(YEAR(FebMin1+18)=TahunKalender,MONTH(FebMin1+18)=2),FebMin1+18,""))</f>
        <v>43510</v>
      </c>
      <c r="P28" s="43">
        <f ca="1">IF(DAY(FebMin1)=1,IF(AND(YEAR(FebMin1+12)=TahunKalender,MONTH(FebMin1+12)=2),FebMin1+12,""),IF(AND(YEAR(FebMin1+19)=TahunKalender,MONTH(FebMin1+19)=2),FebMin1+19,""))</f>
        <v>43511</v>
      </c>
      <c r="Q28" s="43">
        <f ca="1">IF(DAY(FebMin1)=1,IF(AND(YEAR(FebMin1+13)=TahunKalender,MONTH(FebMin1+13)=2),FebMin1+13,""),IF(AND(YEAR(FebMin1+20)=TahunKalender,MONTH(FebMin1+20)=2),FebMin1+20,""))</f>
        <v>43512</v>
      </c>
      <c r="R28" s="43">
        <f ca="1">IF(DAY(FebMin1)=1,IF(AND(YEAR(FebMin1+14)=TahunKalender,MONTH(FebMin1+14)=2),FebMin1+14,""),IF(AND(YEAR(FebMin1+21)=TahunKalender,MONTH(FebMin1+21)=2),FebMin1+21,""))</f>
        <v>43513</v>
      </c>
      <c r="S28" s="36"/>
      <c r="T28" s="40"/>
      <c r="U28" s="43">
        <f ca="1">IF(DAY(MarMin1)=1,IF(AND(YEAR(MarMin1+8)=TahunKalender,MONTH(MarMin1+8)=3),MarMin1+8,""),IF(AND(YEAR(MarMin1+15)=TahunKalender,MONTH(MarMin1+15)=3),MarMin1+15,""))</f>
        <v>43535</v>
      </c>
      <c r="V28" s="43">
        <f ca="1">IF(DAY(MarMin1)=1,IF(AND(YEAR(MarMin1+9)=TahunKalender,MONTH(MarMin1+9)=3),MarMin1+9,""),IF(AND(YEAR(MarMin1+16)=TahunKalender,MONTH(MarMin1+16)=3),MarMin1+16,""))</f>
        <v>43536</v>
      </c>
      <c r="W28" s="43">
        <f ca="1">IF(DAY(MarMin1)=1,IF(AND(YEAR(MarMin1+10)=TahunKalender,MONTH(MarMin1+10)=3),MarMin1+10,""),IF(AND(YEAR(MarMin1+17)=TahunKalender,MONTH(MarMin1+17)=3),MarMin1+17,""))</f>
        <v>43537</v>
      </c>
      <c r="X28" s="43">
        <f ca="1">IF(DAY(MarMin1)=1,IF(AND(YEAR(MarMin1+11)=TahunKalender,MONTH(MarMin1+11)=3),MarMin1+11,""),IF(AND(YEAR(MarMin1+18)=TahunKalender,MONTH(MarMin1+18)=3),MarMin1+18,""))</f>
        <v>43538</v>
      </c>
      <c r="Y28" s="43">
        <f ca="1">IF(DAY(MarMin1)=1,IF(AND(YEAR(MarMin1+12)=TahunKalender,MONTH(MarMin1+12)=3),MarMin1+12,""),IF(AND(YEAR(MarMin1+19)=TahunKalender,MONTH(MarMin1+19)=3),MarMin1+19,""))</f>
        <v>43539</v>
      </c>
      <c r="Z28" s="43">
        <f ca="1">IF(DAY(MarMin1)=1,IF(AND(YEAR(MarMin1+13)=TahunKalender,MONTH(MarMin1+13)=3),MarMin1+13,""),IF(AND(YEAR(MarMin1+20)=TahunKalender,MONTH(MarMin1+20)=3),MarMin1+20,""))</f>
        <v>43540</v>
      </c>
      <c r="AA28" s="43">
        <f ca="1">IF(DAY(MarMin1)=1,IF(AND(YEAR(MarMin1+14)=TahunKalender,MONTH(MarMin1+14)=3),MarMin1+14,""),IF(AND(YEAR(MarMin1+21)=TahunKalender,MONTH(MarMin1+21)=3),MarMin1+21,""))</f>
        <v>43541</v>
      </c>
      <c r="AB28" s="36"/>
      <c r="AC28" s="35"/>
      <c r="AD28" s="43">
        <f ca="1">IF(DAY(AprMin1)=1,IF(AND(YEAR(AprMin1+8)=TahunKalender,MONTH(AprMin1+8)=4),AprMin1+8,""),IF(AND(YEAR(AprMin1+15)=TahunKalender,MONTH(AprMin1+15)=4),AprMin1+15,""))</f>
        <v>43570</v>
      </c>
      <c r="AE28" s="43">
        <f ca="1">IF(DAY(AprMin1)=1,IF(AND(YEAR(AprMin1+9)=TahunKalender,MONTH(AprMin1+9)=4),AprMin1+9,""),IF(AND(YEAR(AprMin1+16)=TahunKalender,MONTH(AprMin1+16)=4),AprMin1+16,""))</f>
        <v>43571</v>
      </c>
      <c r="AF28" s="43">
        <f ca="1">IF(DAY(AprMin1)=1,IF(AND(YEAR(AprMin1+10)=TahunKalender,MONTH(AprMin1+10)=4),AprMin1+10,""),IF(AND(YEAR(AprMin1+17)=TahunKalender,MONTH(AprMin1+17)=4),AprMin1+17,""))</f>
        <v>43572</v>
      </c>
      <c r="AG28" s="43">
        <f ca="1">IF(DAY(AprMin1)=1,IF(AND(YEAR(AprMin1+11)=TahunKalender,MONTH(AprMin1+11)=4),AprMin1+11,""),IF(AND(YEAR(AprMin1+18)=TahunKalender,MONTH(AprMin1+18)=4),AprMin1+18,""))</f>
        <v>43573</v>
      </c>
      <c r="AH28" s="43">
        <f ca="1">IF(DAY(AprMin1)=1,IF(AND(YEAR(AprMin1+12)=TahunKalender,MONTH(AprMin1+12)=4),AprMin1+12,""),IF(AND(YEAR(AprMin1+19)=TahunKalender,MONTH(AprMin1+19)=4),AprMin1+19,""))</f>
        <v>43574</v>
      </c>
      <c r="AI28" s="43">
        <f ca="1">IF(DAY(AprMin1)=1,IF(AND(YEAR(AprMin1+13)=TahunKalender,MONTH(AprMin1+13)=4),AprMin1+13,""),IF(AND(YEAR(AprMin1+20)=TahunKalender,MONTH(AprMin1+20)=4),AprMin1+20,""))</f>
        <v>43575</v>
      </c>
      <c r="AJ28" s="43">
        <f ca="1">IF(DAY(AprMin1)=1,IF(AND(YEAR(AprMin1+14)=TahunKalender,MONTH(AprMin1+14)=4),AprMin1+14,""),IF(AND(YEAR(AprMin1+21)=TahunKalender,MONTH(AprMin1+21)=4),AprMin1+21,""))</f>
        <v>43576</v>
      </c>
    </row>
    <row r="29" spans="1:37" x14ac:dyDescent="0.2">
      <c r="C29" s="43">
        <f ca="1">IF(DAY(JanMin1)=1,IF(AND(YEAR(JanMin1+15)=TahunKalender,MONTH(JanMin1+15)=1),JanMin1+15,""),IF(AND(YEAR(JanMin1+22)=TahunKalender,MONTH(JanMin1+22)=1),JanMin1+22,""))</f>
        <v>43486</v>
      </c>
      <c r="D29" s="43">
        <f ca="1">IF(DAY(JanMin1)=1,IF(AND(YEAR(JanMin1+16)=TahunKalender,MONTH(JanMin1+16)=1),JanMin1+16,""),IF(AND(YEAR(JanMin1+23)=TahunKalender,MONTH(JanMin1+23)=1),JanMin1+23,""))</f>
        <v>43487</v>
      </c>
      <c r="E29" s="43">
        <f ca="1">IF(DAY(JanMin1)=1,IF(AND(YEAR(JanMin1+17)=TahunKalender,MONTH(JanMin1+17)=1),JanMin1+17,""),IF(AND(YEAR(JanMin1+24)=TahunKalender,MONTH(JanMin1+24)=1),JanMin1+24,""))</f>
        <v>43488</v>
      </c>
      <c r="F29" s="43">
        <f ca="1">IF(DAY(JanMin1)=1,IF(AND(YEAR(JanMin1+18)=TahunKalender,MONTH(JanMin1+18)=1),JanMin1+18,""),IF(AND(YEAR(JanMin1+25)=TahunKalender,MONTH(JanMin1+25)=1),JanMin1+25,""))</f>
        <v>43489</v>
      </c>
      <c r="G29" s="43">
        <f ca="1">IF(DAY(JanMin1)=1,IF(AND(YEAR(JanMin1+19)=TahunKalender,MONTH(JanMin1+19)=1),JanMin1+19,""),IF(AND(YEAR(JanMin1+26)=TahunKalender,MONTH(JanMin1+26)=1),JanMin1+26,""))</f>
        <v>43490</v>
      </c>
      <c r="H29" s="43">
        <f ca="1">IF(DAY(JanMin1)=1,IF(AND(YEAR(JanMin1+20)=TahunKalender,MONTH(JanMin1+20)=1),JanMin1+20,""),IF(AND(YEAR(JanMin1+27)=TahunKalender,MONTH(JanMin1+27)=1),JanMin1+27,""))</f>
        <v>43491</v>
      </c>
      <c r="I29" s="43">
        <f ca="1">IF(DAY(JanMin1)=1,IF(AND(YEAR(JanMin1+21)=TahunKalender,MONTH(JanMin1+21)=1),JanMin1+21,""),IF(AND(YEAR(JanMin1+28)=TahunKalender,MONTH(JanMin1+28)=1),JanMin1+28,""))</f>
        <v>43492</v>
      </c>
      <c r="J29" s="36"/>
      <c r="K29" s="35"/>
      <c r="L29" s="43">
        <f ca="1">IF(DAY(FebMin1)=1,IF(AND(YEAR(FebMin1+15)=TahunKalender,MONTH(FebMin1+15)=2),FebMin1+15,""),IF(AND(YEAR(FebMin1+22)=TahunKalender,MONTH(FebMin1+22)=2),FebMin1+22,""))</f>
        <v>43514</v>
      </c>
      <c r="M29" s="43">
        <f ca="1">IF(DAY(FebMin1)=1,IF(AND(YEAR(FebMin1+16)=TahunKalender,MONTH(FebMin1+16)=2),FebMin1+16,""),IF(AND(YEAR(FebMin1+23)=TahunKalender,MONTH(FebMin1+23)=2),FebMin1+23,""))</f>
        <v>43515</v>
      </c>
      <c r="N29" s="43">
        <f ca="1">IF(DAY(FebMin1)=1,IF(AND(YEAR(FebMin1+17)=TahunKalender,MONTH(FebMin1+17)=2),FebMin1+17,""),IF(AND(YEAR(FebMin1+24)=TahunKalender,MONTH(FebMin1+24)=2),FebMin1+24,""))</f>
        <v>43516</v>
      </c>
      <c r="O29" s="43">
        <f ca="1">IF(DAY(FebMin1)=1,IF(AND(YEAR(FebMin1+18)=TahunKalender,MONTH(FebMin1+18)=2),FebMin1+18,""),IF(AND(YEAR(FebMin1+25)=TahunKalender,MONTH(FebMin1+25)=2),FebMin1+25,""))</f>
        <v>43517</v>
      </c>
      <c r="P29" s="43">
        <f ca="1">IF(DAY(FebMin1)=1,IF(AND(YEAR(FebMin1+19)=TahunKalender,MONTH(FebMin1+19)=2),FebMin1+19,""),IF(AND(YEAR(FebMin1+26)=TahunKalender,MONTH(FebMin1+26)=2),FebMin1+26,""))</f>
        <v>43518</v>
      </c>
      <c r="Q29" s="43">
        <f ca="1">IF(DAY(FebMin1)=1,IF(AND(YEAR(FebMin1+20)=TahunKalender,MONTH(FebMin1+20)=2),FebMin1+20,""),IF(AND(YEAR(FebMin1+27)=TahunKalender,MONTH(FebMin1+27)=2),FebMin1+27,""))</f>
        <v>43519</v>
      </c>
      <c r="R29" s="43">
        <f ca="1">IF(DAY(FebMin1)=1,IF(AND(YEAR(FebMin1+21)=TahunKalender,MONTH(FebMin1+21)=2),FebMin1+21,""),IF(AND(YEAR(FebMin1+28)=TahunKalender,MONTH(FebMin1+28)=2),FebMin1+28,""))</f>
        <v>43520</v>
      </c>
      <c r="S29" s="36"/>
      <c r="T29" s="40"/>
      <c r="U29" s="43">
        <f ca="1">IF(DAY(MarMin1)=1,IF(AND(YEAR(MarMin1+15)=TahunKalender,MONTH(MarMin1+15)=3),MarMin1+15,""),IF(AND(YEAR(MarMin1+22)=TahunKalender,MONTH(MarMin1+22)=3),MarMin1+22,""))</f>
        <v>43542</v>
      </c>
      <c r="V29" s="43">
        <f ca="1">IF(DAY(MarMin1)=1,IF(AND(YEAR(MarMin1+16)=TahunKalender,MONTH(MarMin1+16)=3),MarMin1+16,""),IF(AND(YEAR(MarMin1+23)=TahunKalender,MONTH(MarMin1+23)=3),MarMin1+23,""))</f>
        <v>43543</v>
      </c>
      <c r="W29" s="43">
        <f ca="1">IF(DAY(MarMin1)=1,IF(AND(YEAR(MarMin1+17)=TahunKalender,MONTH(MarMin1+17)=3),MarMin1+17,""),IF(AND(YEAR(MarMin1+24)=TahunKalender,MONTH(MarMin1+24)=3),MarMin1+24,""))</f>
        <v>43544</v>
      </c>
      <c r="X29" s="43">
        <f ca="1">IF(DAY(MarMin1)=1,IF(AND(YEAR(MarMin1+18)=TahunKalender,MONTH(MarMin1+18)=3),MarMin1+18,""),IF(AND(YEAR(MarMin1+25)=TahunKalender,MONTH(MarMin1+25)=3),MarMin1+25,""))</f>
        <v>43545</v>
      </c>
      <c r="Y29" s="43">
        <f ca="1">IF(DAY(MarMin1)=1,IF(AND(YEAR(MarMin1+19)=TahunKalender,MONTH(MarMin1+19)=3),MarMin1+19,""),IF(AND(YEAR(MarMin1+26)=TahunKalender,MONTH(MarMin1+26)=3),MarMin1+26,""))</f>
        <v>43546</v>
      </c>
      <c r="Z29" s="43">
        <f ca="1">IF(DAY(MarMin1)=1,IF(AND(YEAR(MarMin1+20)=TahunKalender,MONTH(MarMin1+20)=3),MarMin1+20,""),IF(AND(YEAR(MarMin1+27)=TahunKalender,MONTH(MarMin1+27)=3),MarMin1+27,""))</f>
        <v>43547</v>
      </c>
      <c r="AA29" s="43">
        <f ca="1">IF(DAY(MarMin1)=1,IF(AND(YEAR(MarMin1+21)=TahunKalender,MONTH(MarMin1+21)=3),MarMin1+21,""),IF(AND(YEAR(MarMin1+28)=TahunKalender,MONTH(MarMin1+28)=3),MarMin1+28,""))</f>
        <v>43548</v>
      </c>
      <c r="AB29" s="36"/>
      <c r="AC29" s="35"/>
      <c r="AD29" s="43">
        <f ca="1">IF(DAY(AprMin1)=1,IF(AND(YEAR(AprMin1+15)=TahunKalender,MONTH(AprMin1+15)=4),AprMin1+15,""),IF(AND(YEAR(AprMin1+22)=TahunKalender,MONTH(AprMin1+22)=4),AprMin1+22,""))</f>
        <v>43577</v>
      </c>
      <c r="AE29" s="43">
        <f ca="1">IF(DAY(AprMin1)=1,IF(AND(YEAR(AprMin1+16)=TahunKalender,MONTH(AprMin1+16)=4),AprMin1+16,""),IF(AND(YEAR(AprMin1+23)=TahunKalender,MONTH(AprMin1+23)=4),AprMin1+23,""))</f>
        <v>43578</v>
      </c>
      <c r="AF29" s="43">
        <f ca="1">IF(DAY(AprMin1)=1,IF(AND(YEAR(AprMin1+17)=TahunKalender,MONTH(AprMin1+17)=4),AprMin1+17,""),IF(AND(YEAR(AprMin1+24)=TahunKalender,MONTH(AprMin1+24)=4),AprMin1+24,""))</f>
        <v>43579</v>
      </c>
      <c r="AG29" s="43">
        <f ca="1">IF(DAY(AprMin1)=1,IF(AND(YEAR(AprMin1+18)=TahunKalender,MONTH(AprMin1+18)=4),AprMin1+18,""),IF(AND(YEAR(AprMin1+25)=TahunKalender,MONTH(AprMin1+25)=4),AprMin1+25,""))</f>
        <v>43580</v>
      </c>
      <c r="AH29" s="43">
        <f ca="1">IF(DAY(AprMin1)=1,IF(AND(YEAR(AprMin1+19)=TahunKalender,MONTH(AprMin1+19)=4),AprMin1+19,""),IF(AND(YEAR(AprMin1+26)=TahunKalender,MONTH(AprMin1+26)=4),AprMin1+26,""))</f>
        <v>43581</v>
      </c>
      <c r="AI29" s="43">
        <f ca="1">IF(DAY(AprMin1)=1,IF(AND(YEAR(AprMin1+20)=TahunKalender,MONTH(AprMin1+20)=4),AprMin1+20,""),IF(AND(YEAR(AprMin1+27)=TahunKalender,MONTH(AprMin1+27)=4),AprMin1+27,""))</f>
        <v>43582</v>
      </c>
      <c r="AJ29" s="43">
        <f ca="1">IF(DAY(AprMin1)=1,IF(AND(YEAR(AprMin1+21)=TahunKalender,MONTH(AprMin1+21)=4),AprMin1+21,""),IF(AND(YEAR(AprMin1+28)=TahunKalender,MONTH(AprMin1+28)=4),AprMin1+28,""))</f>
        <v>43583</v>
      </c>
    </row>
    <row r="30" spans="1:37" x14ac:dyDescent="0.2">
      <c r="C30" s="43">
        <f ca="1">IF(DAY(JanMin1)=1,IF(AND(YEAR(JanMin1+22)=TahunKalender,MONTH(JanMin1+22)=1),JanMin1+22,""),IF(AND(YEAR(JanMin1+29)=TahunKalender,MONTH(JanMin1+29)=1),JanMin1+29,""))</f>
        <v>43493</v>
      </c>
      <c r="D30" s="43">
        <f ca="1">IF(DAY(JanMin1)=1,IF(AND(YEAR(JanMin1+23)=TahunKalender,MONTH(JanMin1+23)=1),JanMin1+23,""),IF(AND(YEAR(JanMin1+30)=TahunKalender,MONTH(JanMin1+30)=1),JanMin1+30,""))</f>
        <v>43494</v>
      </c>
      <c r="E30" s="43">
        <f ca="1">IF(DAY(JanMin1)=1,IF(AND(YEAR(JanMin1+24)=TahunKalender,MONTH(JanMin1+24)=1),JanMin1+24,""),IF(AND(YEAR(JanMin1+31)=TahunKalender,MONTH(JanMin1+31)=1),JanMin1+31,""))</f>
        <v>43495</v>
      </c>
      <c r="F30" s="43">
        <f ca="1">IF(DAY(JanMin1)=1,IF(AND(YEAR(JanMin1+25)=TahunKalender,MONTH(JanMin1+25)=1),JanMin1+25,""),IF(AND(YEAR(JanMin1+32)=TahunKalender,MONTH(JanMin1+32)=1),JanMin1+32,""))</f>
        <v>43496</v>
      </c>
      <c r="G30" s="43" t="str">
        <f ca="1">IF(DAY(JanMin1)=1,IF(AND(YEAR(JanMin1+26)=TahunKalender,MONTH(JanMin1+26)=1),JanMin1+26,""),IF(AND(YEAR(JanMin1+33)=TahunKalender,MONTH(JanMin1+33)=1),JanMin1+33,""))</f>
        <v/>
      </c>
      <c r="H30" s="43" t="str">
        <f ca="1">IF(DAY(JanMin1)=1,IF(AND(YEAR(JanMin1+27)=TahunKalender,MONTH(JanMin1+27)=1),JanMin1+27,""),IF(AND(YEAR(JanMin1+34)=TahunKalender,MONTH(JanMin1+34)=1),JanMin1+34,""))</f>
        <v/>
      </c>
      <c r="I30" s="43" t="str">
        <f ca="1">IF(DAY(JanMin1)=1,IF(AND(YEAR(JanMin1+28)=TahunKalender,MONTH(JanMin1+28)=1),JanMin1+28,""),IF(AND(YEAR(JanMin1+35)=TahunKalender,MONTH(JanMin1+35)=1),JanMin1+35,""))</f>
        <v/>
      </c>
      <c r="J30" s="36"/>
      <c r="K30" s="35"/>
      <c r="L30" s="43">
        <f ca="1">IF(DAY(FebMin1)=1,IF(AND(YEAR(FebMin1+22)=TahunKalender,MONTH(FebMin1+22)=2),FebMin1+22,""),IF(AND(YEAR(FebMin1+29)=TahunKalender,MONTH(FebMin1+29)=2),FebMin1+29,""))</f>
        <v>43521</v>
      </c>
      <c r="M30" s="43">
        <f ca="1">IF(DAY(FebMin1)=1,IF(AND(YEAR(FebMin1+23)=TahunKalender,MONTH(FebMin1+23)=2),FebMin1+23,""),IF(AND(YEAR(FebMin1+30)=TahunKalender,MONTH(FebMin1+30)=2),FebMin1+30,""))</f>
        <v>43522</v>
      </c>
      <c r="N30" s="43">
        <f ca="1">IF(DAY(FebMin1)=1,IF(AND(YEAR(FebMin1+24)=TahunKalender,MONTH(FebMin1+24)=2),FebMin1+24,""),IF(AND(YEAR(FebMin1+31)=TahunKalender,MONTH(FebMin1+31)=2),FebMin1+31,""))</f>
        <v>43523</v>
      </c>
      <c r="O30" s="43">
        <f ca="1">IF(DAY(FebMin1)=1,IF(AND(YEAR(FebMin1+25)=TahunKalender,MONTH(FebMin1+25)=2),FebMin1+25,""),IF(AND(YEAR(FebMin1+32)=TahunKalender,MONTH(FebMin1+32)=2),FebMin1+32,""))</f>
        <v>43524</v>
      </c>
      <c r="P30" s="43" t="str">
        <f ca="1">IF(DAY(FebMin1)=1,IF(AND(YEAR(FebMin1+26)=TahunKalender,MONTH(FebMin1+26)=2),FebMin1+26,""),IF(AND(YEAR(FebMin1+33)=TahunKalender,MONTH(FebMin1+33)=2),FebMin1+33,""))</f>
        <v/>
      </c>
      <c r="Q30" s="43" t="str">
        <f ca="1">IF(DAY(FebMin1)=1,IF(AND(YEAR(FebMin1+27)=TahunKalender,MONTH(FebMin1+27)=2),FebMin1+27,""),IF(AND(YEAR(FebMin1+34)=TahunKalender,MONTH(FebMin1+34)=2),FebMin1+34,""))</f>
        <v/>
      </c>
      <c r="R30" s="43" t="str">
        <f ca="1">IF(DAY(FebMin1)=1,IF(AND(YEAR(FebMin1+28)=TahunKalender,MONTH(FebMin1+28)=2),FebMin1+28,""),IF(AND(YEAR(FebMin1+35)=TahunKalender,MONTH(FebMin1+35)=2),FebMin1+35,""))</f>
        <v/>
      </c>
      <c r="S30" s="36"/>
      <c r="T30" s="40"/>
      <c r="U30" s="43">
        <f ca="1">IF(DAY(MarMin1)=1,IF(AND(YEAR(MarMin1+22)=TahunKalender,MONTH(MarMin1+22)=3),MarMin1+22,""),IF(AND(YEAR(MarMin1+29)=TahunKalender,MONTH(MarMin1+29)=3),MarMin1+29,""))</f>
        <v>43549</v>
      </c>
      <c r="V30" s="43">
        <f ca="1">IF(DAY(MarMin1)=1,IF(AND(YEAR(MarMin1+23)=TahunKalender,MONTH(MarMin1+23)=3),MarMin1+23,""),IF(AND(YEAR(MarMin1+30)=TahunKalender,MONTH(MarMin1+30)=3),MarMin1+30,""))</f>
        <v>43550</v>
      </c>
      <c r="W30" s="43">
        <f ca="1">IF(DAY(MarMin1)=1,IF(AND(YEAR(MarMin1+24)=TahunKalender,MONTH(MarMin1+24)=3),MarMin1+24,""),IF(AND(YEAR(MarMin1+31)=TahunKalender,MONTH(MarMin1+31)=3),MarMin1+31,""))</f>
        <v>43551</v>
      </c>
      <c r="X30" s="43">
        <f ca="1">IF(DAY(MarMin1)=1,IF(AND(YEAR(MarMin1+25)=TahunKalender,MONTH(MarMin1+25)=3),MarMin1+25,""),IF(AND(YEAR(MarMin1+32)=TahunKalender,MONTH(MarMin1+32)=3),MarMin1+32,""))</f>
        <v>43552</v>
      </c>
      <c r="Y30" s="43">
        <f ca="1">IF(DAY(MarMin1)=1,IF(AND(YEAR(MarMin1+26)=TahunKalender,MONTH(MarMin1+26)=3),MarMin1+26,""),IF(AND(YEAR(MarMin1+33)=TahunKalender,MONTH(MarMin1+33)=3),MarMin1+33,""))</f>
        <v>43553</v>
      </c>
      <c r="Z30" s="43">
        <f ca="1">IF(DAY(MarMin1)=1,IF(AND(YEAR(MarMin1+27)=TahunKalender,MONTH(MarMin1+27)=3),MarMin1+27,""),IF(AND(YEAR(MarMin1+34)=TahunKalender,MONTH(MarMin1+34)=3),MarMin1+34,""))</f>
        <v>43554</v>
      </c>
      <c r="AA30" s="43">
        <f ca="1">IF(DAY(MarMin1)=1,IF(AND(YEAR(MarMin1+28)=TahunKalender,MONTH(MarMin1+28)=3),MarMin1+28,""),IF(AND(YEAR(MarMin1+35)=TahunKalender,MONTH(MarMin1+35)=3),MarMin1+35,""))</f>
        <v>43555</v>
      </c>
      <c r="AB30" s="36"/>
      <c r="AC30" s="35"/>
      <c r="AD30" s="43">
        <f ca="1">IF(DAY(AprMin1)=1,IF(AND(YEAR(AprMin1+22)=TahunKalender,MONTH(AprMin1+22)=4),AprMin1+22,""),IF(AND(YEAR(AprMin1+29)=TahunKalender,MONTH(AprMin1+29)=4),AprMin1+29,""))</f>
        <v>43584</v>
      </c>
      <c r="AE30" s="43">
        <f ca="1">IF(DAY(AprMin1)=1,IF(AND(YEAR(AprMin1+23)=TahunKalender,MONTH(AprMin1+23)=4),AprMin1+23,""),IF(AND(YEAR(AprMin1+30)=TahunKalender,MONTH(AprMin1+30)=4),AprMin1+30,""))</f>
        <v>43585</v>
      </c>
      <c r="AF30" s="43" t="str">
        <f ca="1">IF(DAY(AprMin1)=1,IF(AND(YEAR(AprMin1+24)=TahunKalender,MONTH(AprMin1+24)=4),AprMin1+24,""),IF(AND(YEAR(AprMin1+31)=TahunKalender,MONTH(AprMin1+31)=4),AprMin1+31,""))</f>
        <v/>
      </c>
      <c r="AG30" s="43" t="str">
        <f ca="1">IF(DAY(AprMin1)=1,IF(AND(YEAR(AprMin1+25)=TahunKalender,MONTH(AprMin1+25)=4),AprMin1+25,""),IF(AND(YEAR(AprMin1+32)=TahunKalender,MONTH(AprMin1+32)=4),AprMin1+32,""))</f>
        <v/>
      </c>
      <c r="AH30" s="43" t="str">
        <f ca="1">IF(DAY(AprMin1)=1,IF(AND(YEAR(AprMin1+26)=TahunKalender,MONTH(AprMin1+26)=4),AprMin1+26,""),IF(AND(YEAR(AprMin1+33)=TahunKalender,MONTH(AprMin1+33)=4),AprMin1+33,""))</f>
        <v/>
      </c>
      <c r="AI30" s="43" t="str">
        <f ca="1">IF(DAY(AprMin1)=1,IF(AND(YEAR(AprMin1+27)=TahunKalender,MONTH(AprMin1+27)=4),AprMin1+27,""),IF(AND(YEAR(AprMin1+34)=TahunKalender,MONTH(AprMin1+34)=4),AprMin1+34,""))</f>
        <v/>
      </c>
      <c r="AJ30" s="43" t="str">
        <f ca="1">IF(DAY(AprMin1)=1,IF(AND(YEAR(AprMin1+28)=TahunKalender,MONTH(AprMin1+28)=4),AprMin1+28,""),IF(AND(YEAR(AprMin1+35)=TahunKalender,MONTH(AprMin1+35)=4),AprMin1+35,""))</f>
        <v/>
      </c>
    </row>
    <row r="31" spans="1:37" x14ac:dyDescent="0.2">
      <c r="C31" s="43" t="str">
        <f ca="1">IF(DAY(JanMin1)=1,IF(AND(YEAR(JanMin1+29)=TahunKalender,MONTH(JanMin1+29)=1),JanMin1+29,""),IF(AND(YEAR(JanMin1+36)=TahunKalender,MONTH(JanMin1+36)=1),JanMin1+36,""))</f>
        <v/>
      </c>
      <c r="D31" s="43" t="str">
        <f ca="1">IF(DAY(JanMin1)=1,IF(AND(YEAR(JanMin1+30)=TahunKalender,MONTH(JanMin1+30)=1),JanMin1+30,""),IF(AND(YEAR(JanMin1+37)=TahunKalender,MONTH(JanMin1+37)=1),JanMin1+37,""))</f>
        <v/>
      </c>
      <c r="E31" s="43" t="str">
        <f ca="1">IF(DAY(JanMin1)=1,IF(AND(YEAR(JanMin1+31)=TahunKalender,MONTH(JanMin1+31)=1),JanMin1+31,""),IF(AND(YEAR(JanMin1+38)=TahunKalender,MONTH(JanMin1+38)=1),JanMin1+38,""))</f>
        <v/>
      </c>
      <c r="F31" s="43" t="str">
        <f ca="1">IF(DAY(JanMin1)=1,IF(AND(YEAR(JanMin1+32)=TahunKalender,MONTH(JanMin1+32)=1),JanMin1+32,""),IF(AND(YEAR(JanMin1+39)=TahunKalender,MONTH(JanMin1+39)=1),JanMin1+39,""))</f>
        <v/>
      </c>
      <c r="G31" s="43" t="str">
        <f ca="1">IF(DAY(JanMin1)=1,IF(AND(YEAR(JanMin1+33)=TahunKalender,MONTH(JanMin1+33)=1),JanMin1+33,""),IF(AND(YEAR(JanMin1+40)=TahunKalender,MONTH(JanMin1+40)=1),JanMin1+40,""))</f>
        <v/>
      </c>
      <c r="H31" s="43" t="str">
        <f ca="1">IF(DAY(JanMin1)=1,IF(AND(YEAR(JanMin1+34)=TahunKalender,MONTH(JanMin1+34)=1),JanMin1+34,""),IF(AND(YEAR(JanMin1+41)=TahunKalender,MONTH(JanMin1+41)=1),JanMin1+41,""))</f>
        <v/>
      </c>
      <c r="I31" s="43" t="str">
        <f ca="1">IF(DAY(JanMin1)=1,IF(AND(YEAR(JanMin1+35)=TahunKalender,MONTH(JanMin1+35)=1),JanMin1+35,""),IF(AND(YEAR(JanMin1+42)=TahunKalender,MONTH(JanMin1+42)=1),JanMin1+42,""))</f>
        <v/>
      </c>
      <c r="J31" s="36"/>
      <c r="K31" s="35"/>
      <c r="L31" s="43" t="str">
        <f ca="1">IF(DAY(FebMin1)=1,IF(AND(YEAR(FebMin1+29)=TahunKalender,MONTH(FebMin1+29)=2),FebMin1+29,""),IF(AND(YEAR(FebMin1+36)=TahunKalender,MONTH(FebMin1+36)=2),FebMin1+36,""))</f>
        <v/>
      </c>
      <c r="M31" s="43" t="str">
        <f ca="1">IF(DAY(FebMin1)=1,IF(AND(YEAR(FebMin1+30)=TahunKalender,MONTH(FebMin1+30)=2),FebMin1+30,""),IF(AND(YEAR(FebMin1+37)=TahunKalender,MONTH(FebMin1+37)=2),FebMin1+37,""))</f>
        <v/>
      </c>
      <c r="N31" s="43" t="str">
        <f ca="1">IF(DAY(FebMin1)=1,IF(AND(YEAR(FebMin1+31)=TahunKalender,MONTH(FebMin1+31)=2),FebMin1+31,""),IF(AND(YEAR(FebMin1+38)=TahunKalender,MONTH(FebMin1+38)=2),FebMin1+38,""))</f>
        <v/>
      </c>
      <c r="O31" s="43" t="str">
        <f ca="1">IF(DAY(FebMin1)=1,IF(AND(YEAR(FebMin1+32)=TahunKalender,MONTH(FebMin1+32)=2),FebMin1+32,""),IF(AND(YEAR(FebMin1+39)=TahunKalender,MONTH(FebMin1+39)=2),FebMin1+39,""))</f>
        <v/>
      </c>
      <c r="P31" s="43" t="str">
        <f ca="1">IF(DAY(FebMin1)=1,IF(AND(YEAR(FebMin1+33)=TahunKalender,MONTH(FebMin1+33)=2),FebMin1+33,""),IF(AND(YEAR(FebMin1+40)=TahunKalender,MONTH(FebMin1+40)=2),FebMin1+40,""))</f>
        <v/>
      </c>
      <c r="Q31" s="43" t="str">
        <f ca="1">IF(DAY(FebMin1)=1,IF(AND(YEAR(FebMin1+34)=TahunKalender,MONTH(FebMin1+34)=2),FebMin1+34,""),IF(AND(YEAR(FebMin1+41)=TahunKalender,MONTH(FebMin1+41)=2),FebMin1+41,""))</f>
        <v/>
      </c>
      <c r="R31" s="43" t="str">
        <f ca="1">IF(DAY(FebMin1)=1,IF(AND(YEAR(FebMin1+35)=TahunKalender,MONTH(FebMin1+35)=2),FebMin1+35,""),IF(AND(YEAR(FebMin1+42)=TahunKalender,MONTH(FebMin1+42)=2),FebMin1+42,""))</f>
        <v/>
      </c>
      <c r="S31" s="36"/>
      <c r="T31" s="40"/>
      <c r="U31" s="43" t="str">
        <f ca="1">IF(DAY(MarMin1)=1,IF(AND(YEAR(MarMin1+29)=TahunKalender,MONTH(MarMin1+29)=3),MarMin1+29,""),IF(AND(YEAR(MarMin1+36)=TahunKalender,MONTH(MarMin1+36)=3),MarMin1+36,""))</f>
        <v/>
      </c>
      <c r="V31" s="43" t="str">
        <f ca="1">IF(DAY(MarMin1)=1,IF(AND(YEAR(MarMin1+30)=TahunKalender,MONTH(MarMin1+30)=3),MarMin1+30,""),IF(AND(YEAR(MarMin1+37)=TahunKalender,MONTH(MarMin1+37)=3),MarMin1+37,""))</f>
        <v/>
      </c>
      <c r="W31" s="43" t="str">
        <f ca="1">IF(DAY(MarMin1)=1,IF(AND(YEAR(MarMin1+31)=TahunKalender,MONTH(MarMin1+31)=3),MarMin1+31,""),IF(AND(YEAR(MarMin1+38)=TahunKalender,MONTH(MarMin1+38)=3),MarMin1+38,""))</f>
        <v/>
      </c>
      <c r="X31" s="43" t="str">
        <f ca="1">IF(DAY(MarMin1)=1,IF(AND(YEAR(MarMin1+32)=TahunKalender,MONTH(MarMin1+32)=3),MarMin1+32,""),IF(AND(YEAR(MarMin1+39)=TahunKalender,MONTH(MarMin1+39)=3),MarMin1+39,""))</f>
        <v/>
      </c>
      <c r="Y31" s="43" t="str">
        <f ca="1">IF(DAY(MarMin1)=1,IF(AND(YEAR(MarMin1+33)=TahunKalender,MONTH(MarMin1+33)=3),MarMin1+33,""),IF(AND(YEAR(MarMin1+40)=TahunKalender,MONTH(MarMin1+40)=3),MarMin1+40,""))</f>
        <v/>
      </c>
      <c r="Z31" s="43" t="str">
        <f ca="1">IF(DAY(MarMin1)=1,IF(AND(YEAR(MarMin1+34)=TahunKalender,MONTH(MarMin1+34)=3),MarMin1+34,""),IF(AND(YEAR(MarMin1+41)=TahunKalender,MONTH(MarMin1+41)=3),MarMin1+41,""))</f>
        <v/>
      </c>
      <c r="AA31" s="43" t="str">
        <f ca="1">IF(DAY(MarMin1)=1,IF(AND(YEAR(MarMin1+35)=TahunKalender,MONTH(MarMin1+35)=3),MarMin1+35,""),IF(AND(YEAR(MarMin1+42)=TahunKalender,MONTH(MarMin1+42)=3),MarMin1+42,""))</f>
        <v/>
      </c>
      <c r="AB31" s="36"/>
      <c r="AC31" s="35"/>
      <c r="AD31" s="43" t="str">
        <f ca="1">IF(DAY(AprMin1)=1,IF(AND(YEAR(AprMin1+29)=TahunKalender,MONTH(AprMin1+29)=4),AprMin1+29,""),IF(AND(YEAR(AprMin1+36)=TahunKalender,MONTH(AprMin1+36)=4),AprMin1+36,""))</f>
        <v/>
      </c>
      <c r="AE31" s="43" t="str">
        <f ca="1">IF(DAY(AprMin1)=1,IF(AND(YEAR(AprMin1+30)=TahunKalender,MONTH(AprMin1+30)=4),AprMin1+30,""),IF(AND(YEAR(AprMin1+37)=TahunKalender,MONTH(AprMin1+37)=4),AprMin1+37,""))</f>
        <v/>
      </c>
      <c r="AF31" s="43" t="str">
        <f ca="1">IF(DAY(AprMin1)=1,IF(AND(YEAR(AprMin1+31)=TahunKalender,MONTH(AprMin1+31)=4),AprMin1+31,""),IF(AND(YEAR(AprMin1+38)=TahunKalender,MONTH(AprMin1+38)=4),AprMin1+38,""))</f>
        <v/>
      </c>
      <c r="AG31" s="43" t="str">
        <f ca="1">IF(DAY(AprMin1)=1,IF(AND(YEAR(AprMin1+32)=TahunKalender,MONTH(AprMin1+32)=4),AprMin1+32,""),IF(AND(YEAR(AprMin1+39)=TahunKalender,MONTH(AprMin1+39)=4),AprMin1+39,""))</f>
        <v/>
      </c>
      <c r="AH31" s="43" t="str">
        <f ca="1">IF(DAY(AprMin1)=1,IF(AND(YEAR(AprMin1+33)=TahunKalender,MONTH(AprMin1+33)=4),AprMin1+33,""),IF(AND(YEAR(AprMin1+40)=TahunKalender,MONTH(AprMin1+40)=4),AprMin1+40,""))</f>
        <v/>
      </c>
      <c r="AI31" s="43" t="str">
        <f ca="1">IF(DAY(AprMin1)=1,IF(AND(YEAR(AprMin1+34)=TahunKalender,MONTH(AprMin1+34)=4),AprMin1+34,""),IF(AND(YEAR(AprMin1+41)=TahunKalender,MONTH(AprMin1+41)=4),AprMin1+41,""))</f>
        <v/>
      </c>
      <c r="AJ31" s="43" t="str">
        <f ca="1">IF(DAY(AprMin1)=1,IF(AND(YEAR(AprMin1+35)=TahunKalender,MONTH(AprMin1+35)=4),AprMin1+35,""),IF(AND(YEAR(AprMin1+42)=TahunKalender,MONTH(AprMin1+42)=4),AprMin1+42,""))</f>
        <v/>
      </c>
    </row>
    <row r="32" spans="1:37" ht="15" x14ac:dyDescent="0.2">
      <c r="A32" s="26" t="s">
        <v>13</v>
      </c>
      <c r="C32" s="35"/>
      <c r="D32" s="35"/>
      <c r="E32" s="35"/>
      <c r="F32" s="35"/>
      <c r="G32" s="35"/>
      <c r="H32" s="35"/>
      <c r="I32" s="35"/>
      <c r="J32" s="36"/>
      <c r="K32" s="35"/>
      <c r="L32" s="35"/>
      <c r="M32" s="35"/>
      <c r="N32" s="35"/>
      <c r="O32" s="35"/>
      <c r="P32" s="35"/>
      <c r="Q32" s="35"/>
      <c r="R32" s="35"/>
      <c r="S32" s="36"/>
      <c r="T32" s="40"/>
      <c r="U32" s="40"/>
      <c r="V32" s="40"/>
      <c r="W32" s="40"/>
      <c r="X32" s="40"/>
      <c r="Y32" s="40"/>
      <c r="Z32" s="40"/>
      <c r="AA32" s="40"/>
      <c r="AB32" s="41"/>
      <c r="AC32" s="40"/>
      <c r="AD32" s="40"/>
      <c r="AE32" s="40"/>
      <c r="AF32" s="40"/>
      <c r="AG32" s="40"/>
      <c r="AH32" s="40"/>
      <c r="AI32" s="40"/>
      <c r="AJ32" s="40"/>
    </row>
    <row r="33" spans="1:36" ht="15.75" x14ac:dyDescent="0.25">
      <c r="A33" s="26" t="s">
        <v>14</v>
      </c>
      <c r="C33" s="44">
        <f ca="1">DATE(TahunKalender,5,1)</f>
        <v>43586</v>
      </c>
      <c r="D33" s="44"/>
      <c r="E33" s="44"/>
      <c r="F33" s="44"/>
      <c r="G33" s="44"/>
      <c r="H33" s="44"/>
      <c r="I33" s="44"/>
      <c r="J33" s="32"/>
      <c r="K33" s="35"/>
      <c r="L33" s="44">
        <f ca="1">DATE(TahunKalender,6,1)</f>
        <v>43617</v>
      </c>
      <c r="M33" s="44"/>
      <c r="N33" s="44"/>
      <c r="O33" s="44"/>
      <c r="P33" s="44"/>
      <c r="Q33" s="44"/>
      <c r="R33" s="44"/>
      <c r="S33" s="32"/>
      <c r="T33" s="40"/>
      <c r="U33" s="44">
        <f ca="1">DATE(TahunKalender,7,1)</f>
        <v>43647</v>
      </c>
      <c r="V33" s="44"/>
      <c r="W33" s="44"/>
      <c r="X33" s="44"/>
      <c r="Y33" s="44"/>
      <c r="Z33" s="44"/>
      <c r="AA33" s="44"/>
      <c r="AB33" s="32"/>
      <c r="AC33" s="35"/>
      <c r="AD33" s="44">
        <f ca="1">DATE(TahunKalender,8,1)</f>
        <v>43678</v>
      </c>
      <c r="AE33" s="44"/>
      <c r="AF33" s="44"/>
      <c r="AG33" s="44"/>
      <c r="AH33" s="44"/>
      <c r="AI33" s="44"/>
      <c r="AJ33" s="44"/>
    </row>
    <row r="34" spans="1:36" ht="15" x14ac:dyDescent="0.25">
      <c r="A34" s="26" t="s">
        <v>15</v>
      </c>
      <c r="C34" s="21" t="s">
        <v>21</v>
      </c>
      <c r="D34" s="21" t="s">
        <v>24</v>
      </c>
      <c r="E34" s="21" t="s">
        <v>25</v>
      </c>
      <c r="F34" s="21" t="s">
        <v>26</v>
      </c>
      <c r="G34" s="21" t="s">
        <v>27</v>
      </c>
      <c r="H34" s="21" t="s">
        <v>30</v>
      </c>
      <c r="I34" s="21" t="s">
        <v>31</v>
      </c>
      <c r="J34" s="34"/>
      <c r="K34" s="37"/>
      <c r="L34" s="21" t="s">
        <v>21</v>
      </c>
      <c r="M34" s="21" t="s">
        <v>24</v>
      </c>
      <c r="N34" s="21" t="s">
        <v>25</v>
      </c>
      <c r="O34" s="21" t="s">
        <v>26</v>
      </c>
      <c r="P34" s="21" t="s">
        <v>27</v>
      </c>
      <c r="Q34" s="21" t="s">
        <v>30</v>
      </c>
      <c r="R34" s="21" t="s">
        <v>31</v>
      </c>
      <c r="S34" s="34"/>
      <c r="T34" s="40"/>
      <c r="U34" s="21" t="s">
        <v>21</v>
      </c>
      <c r="V34" s="21" t="s">
        <v>24</v>
      </c>
      <c r="W34" s="21" t="s">
        <v>25</v>
      </c>
      <c r="X34" s="21" t="s">
        <v>26</v>
      </c>
      <c r="Y34" s="21" t="s">
        <v>27</v>
      </c>
      <c r="Z34" s="21" t="s">
        <v>30</v>
      </c>
      <c r="AA34" s="21" t="s">
        <v>31</v>
      </c>
      <c r="AB34" s="34"/>
      <c r="AC34" s="35"/>
      <c r="AD34" s="21" t="s">
        <v>21</v>
      </c>
      <c r="AE34" s="21" t="s">
        <v>24</v>
      </c>
      <c r="AF34" s="21" t="s">
        <v>25</v>
      </c>
      <c r="AG34" s="21" t="s">
        <v>26</v>
      </c>
      <c r="AH34" s="21" t="s">
        <v>27</v>
      </c>
      <c r="AI34" s="21" t="s">
        <v>30</v>
      </c>
      <c r="AJ34" s="21" t="s">
        <v>31</v>
      </c>
    </row>
    <row r="35" spans="1:36" ht="15.75" x14ac:dyDescent="0.25">
      <c r="A35" s="26" t="s">
        <v>16</v>
      </c>
      <c r="C35" s="43" t="str">
        <f ca="1">IF(DAY(MeiMin1)=1,"",IF(AND(YEAR(MeiMin1+1)=TahunKalender,MONTH(MeiMin1+1)=5),MeiMin1+1,""))</f>
        <v/>
      </c>
      <c r="D35" s="43" t="str">
        <f ca="1">IF(DAY(MeiMin1)=1,"",IF(AND(YEAR(MeiMin1+2)=TahunKalender,MONTH(MeiMin1+2)=5),MeiMin1+2,""))</f>
        <v/>
      </c>
      <c r="E35" s="43">
        <f ca="1">IF(DAY(MeiMin1)=1,"",IF(AND(YEAR(MeiMin1+3)=TahunKalender,MONTH(MeiMin1+3)=5),MeiMin1+3,""))</f>
        <v>43586</v>
      </c>
      <c r="F35" s="43">
        <f ca="1">IF(DAY(MeiMin1)=1,"",IF(AND(YEAR(MeiMin1+4)=TahunKalender,MONTH(MeiMin1+4)=5),MeiMin1+4,""))</f>
        <v>43587</v>
      </c>
      <c r="G35" s="43">
        <f ca="1">IF(DAY(MeiMin1)=1,"",IF(AND(YEAR(MeiMin1+5)=TahunKalender,MONTH(MeiMin1+5)=5),MeiMin1+5,""))</f>
        <v>43588</v>
      </c>
      <c r="H35" s="43">
        <f ca="1">IF(DAY(MeiMin1)=1,"",IF(AND(YEAR(MeiMin1+6)=TahunKalender,MONTH(MeiMin1+6)=5),MeiMin1+6,""))</f>
        <v>43589</v>
      </c>
      <c r="I35" s="43">
        <f ca="1">IF(DAY(MeiMin1)=1,IF(AND(YEAR(MeiMin1)=TahunKalender,MONTH(MeiMin1)=5),MeiMin1,""),IF(AND(YEAR(MeiMin1+7)=TahunKalender,MONTH(MeiMin1+7)=5),MeiMin1+7,""))</f>
        <v>43590</v>
      </c>
      <c r="J35" s="36"/>
      <c r="K35" s="33"/>
      <c r="L35" s="43" t="str">
        <f ca="1">IF(DAY(JunMin1)=1,"",IF(AND(YEAR(JunMin1+1)=TahunKalender,MONTH(JunMin1+1)=6),JunMin1+1,""))</f>
        <v/>
      </c>
      <c r="M35" s="43" t="str">
        <f ca="1">IF(DAY(JunMin1)=1,"",IF(AND(YEAR(JunMin1+2)=TahunKalender,MONTH(JunMin1+2)=6),JunMin1+2,""))</f>
        <v/>
      </c>
      <c r="N35" s="43" t="str">
        <f ca="1">IF(DAY(JunMin1)=1,"",IF(AND(YEAR(JunMin1+3)=TahunKalender,MONTH(JunMin1+3)=6),JunMin1+3,""))</f>
        <v/>
      </c>
      <c r="O35" s="43" t="str">
        <f ca="1">IF(DAY(JunMin1)=1,"",IF(AND(YEAR(JunMin1+4)=TahunKalender,MONTH(JunMin1+4)=6),JunMin1+4,""))</f>
        <v/>
      </c>
      <c r="P35" s="43" t="str">
        <f ca="1">IF(DAY(JunMin1)=1,"",IF(AND(YEAR(JunMin1+5)=TahunKalender,MONTH(JunMin1+5)=6),JunMin1+5,""))</f>
        <v/>
      </c>
      <c r="Q35" s="43">
        <f ca="1">IF(DAY(JunMin1)=1,"",IF(AND(YEAR(JunMin1+6)=TahunKalender,MONTH(JunMin1+6)=6),JunMin1+6,""))</f>
        <v>43617</v>
      </c>
      <c r="R35" s="43">
        <f ca="1">IF(DAY(JunMin1)=1,IF(AND(YEAR(JunMin1)=TahunKalender,MONTH(JunMin1)=6),JunMin1,""),IF(AND(YEAR(JunMin1+7)=TahunKalender,MONTH(JunMin1+7)=6),JunMin1+7,""))</f>
        <v>43618</v>
      </c>
      <c r="S35" s="36"/>
      <c r="T35" s="40"/>
      <c r="U35" s="43">
        <f ca="1">IF(DAY(JulMin1)=1,"",IF(AND(YEAR(JulMin1+1)=TahunKalender,MONTH(JulMin1+1)=7),JulMin1+1,""))</f>
        <v>43647</v>
      </c>
      <c r="V35" s="43">
        <f ca="1">IF(DAY(JulMin1)=1,"",IF(AND(YEAR(JulMin1+2)=TahunKalender,MONTH(JulMin1+2)=7),JulMin1+2,""))</f>
        <v>43648</v>
      </c>
      <c r="W35" s="43">
        <f ca="1">IF(DAY(JulMin1)=1,"",IF(AND(YEAR(JulMin1+3)=TahunKalender,MONTH(JulMin1+3)=7),JulMin1+3,""))</f>
        <v>43649</v>
      </c>
      <c r="X35" s="43">
        <f ca="1">IF(DAY(JulMin1)=1,"",IF(AND(YEAR(JulMin1+4)=TahunKalender,MONTH(JulMin1+4)=7),JulMin1+4,""))</f>
        <v>43650</v>
      </c>
      <c r="Y35" s="43">
        <f ca="1">IF(DAY(JulMin1)=1,"",IF(AND(YEAR(JulMin1+5)=TahunKalender,MONTH(JulMin1+5)=7),JulMin1+5,""))</f>
        <v>43651</v>
      </c>
      <c r="Z35" s="43">
        <f ca="1">IF(DAY(JulMin1)=1,"",IF(AND(YEAR(JulMin1+6)=TahunKalender,MONTH(JulMin1+6)=7),JulMin1+6,""))</f>
        <v>43652</v>
      </c>
      <c r="AA35" s="43">
        <f ca="1">IF(DAY(JulMin1)=1,IF(AND(YEAR(JulMin1)=TahunKalender,MONTH(JulMin1)=7),JulMin1,""),IF(AND(YEAR(JulMin1+7)=TahunKalender,MONTH(JulMin1+7)=7),JulMin1+7,""))</f>
        <v>43653</v>
      </c>
      <c r="AB35" s="36"/>
      <c r="AC35" s="37"/>
      <c r="AD35" s="43" t="str">
        <f ca="1">IF(DAY(AguMin1)=1,"",IF(AND(YEAR(AguMin1+1)=TahunKalender,MONTH(AguMin1+1)=8),AguMin1+1,""))</f>
        <v/>
      </c>
      <c r="AE35" s="43" t="str">
        <f ca="1">IF(DAY(AguMin1)=1,"",IF(AND(YEAR(AguMin1+2)=TahunKalender,MONTH(AguMin1+2)=8),AguMin1+2,""))</f>
        <v/>
      </c>
      <c r="AF35" s="43" t="str">
        <f ca="1">IF(DAY(AguMin1)=1,"",IF(AND(YEAR(AguMin1+3)=TahunKalender,MONTH(AguMin1+3)=8),AguMin1+3,""))</f>
        <v/>
      </c>
      <c r="AG35" s="43">
        <f ca="1">IF(DAY(AguMin1)=1,"",IF(AND(YEAR(AguMin1+4)=TahunKalender,MONTH(AguMin1+4)=8),AguMin1+4,""))</f>
        <v>43678</v>
      </c>
      <c r="AH35" s="43">
        <f ca="1">IF(DAY(AguMin1)=1,"",IF(AND(YEAR(AguMin1+5)=TahunKalender,MONTH(AguMin1+5)=8),AguMin1+5,""))</f>
        <v>43679</v>
      </c>
      <c r="AI35" s="43">
        <f ca="1">IF(DAY(AguMin1)=1,"",IF(AND(YEAR(AguMin1+6)=TahunKalender,MONTH(AguMin1+6)=8),AguMin1+6,""))</f>
        <v>43680</v>
      </c>
      <c r="AJ35" s="43">
        <f ca="1">IF(DAY(AguMin1)=1,IF(AND(YEAR(AguMin1)=TahunKalender,MONTH(AguMin1)=8),AguMin1,""),IF(AND(YEAR(AguMin1+7)=TahunKalender,MONTH(AguMin1+7)=8),AguMin1+7,""))</f>
        <v>43681</v>
      </c>
    </row>
    <row r="36" spans="1:36" x14ac:dyDescent="0.2">
      <c r="C36" s="43">
        <f ca="1">IF(DAY(MeiMin1)=1,IF(AND(YEAR(MeiMin1+1)=TahunKalender,MONTH(MeiMin1+1)=5),MeiMin1+1,""),IF(AND(YEAR(MeiMin1+8)=TahunKalender,MONTH(MeiMin1+8)=5),MeiMin1+8,""))</f>
        <v>43591</v>
      </c>
      <c r="D36" s="43">
        <f ca="1">IF(DAY(MeiMin1)=1,IF(AND(YEAR(MeiMin1+2)=TahunKalender,MONTH(MeiMin1+2)=5),MeiMin1+2,""),IF(AND(YEAR(MeiMin1+9)=TahunKalender,MONTH(MeiMin1+9)=5),MeiMin1+9,""))</f>
        <v>43592</v>
      </c>
      <c r="E36" s="43">
        <f ca="1">IF(DAY(MeiMin1)=1,IF(AND(YEAR(MeiMin1+3)=TahunKalender,MONTH(MeiMin1+3)=5),MeiMin1+3,""),IF(AND(YEAR(MeiMin1+10)=TahunKalender,MONTH(MeiMin1+10)=5),MeiMin1+10,""))</f>
        <v>43593</v>
      </c>
      <c r="F36" s="43">
        <f ca="1">IF(DAY(MeiMin1)=1,IF(AND(YEAR(MeiMin1+4)=TahunKalender,MONTH(MeiMin1+4)=5),MeiMin1+4,""),IF(AND(YEAR(MeiMin1+11)=TahunKalender,MONTH(MeiMin1+11)=5),MeiMin1+11,""))</f>
        <v>43594</v>
      </c>
      <c r="G36" s="43">
        <f ca="1">IF(DAY(MeiMin1)=1,IF(AND(YEAR(MeiMin1+5)=TahunKalender,MONTH(MeiMin1+5)=5),MeiMin1+5,""),IF(AND(YEAR(MeiMin1+12)=TahunKalender,MONTH(MeiMin1+12)=5),MeiMin1+12,""))</f>
        <v>43595</v>
      </c>
      <c r="H36" s="43">
        <f ca="1">IF(DAY(MeiMin1)=1,IF(AND(YEAR(MeiMin1+6)=TahunKalender,MONTH(MeiMin1+6)=5),MeiMin1+6,""),IF(AND(YEAR(MeiMin1+13)=TahunKalender,MONTH(MeiMin1+13)=5),MeiMin1+13,""))</f>
        <v>43596</v>
      </c>
      <c r="I36" s="43">
        <f ca="1">IF(DAY(MeiMin1)=1,IF(AND(YEAR(MeiMin1+7)=TahunKalender,MONTH(MeiMin1+7)=5),MeiMin1+7,""),IF(AND(YEAR(MeiMin1+14)=TahunKalender,MONTH(MeiMin1+14)=5),MeiMin1+14,""))</f>
        <v>43597</v>
      </c>
      <c r="J36" s="36"/>
      <c r="K36" s="35"/>
      <c r="L36" s="43">
        <f ca="1">IF(DAY(JunMin1)=1,IF(AND(YEAR(JunMin1+1)=TahunKalender,MONTH(JunMin1+1)=6),JunMin1+1,""),IF(AND(YEAR(JunMin1+8)=TahunKalender,MONTH(JunMin1+8)=6),JunMin1+8,""))</f>
        <v>43619</v>
      </c>
      <c r="M36" s="43">
        <f ca="1">IF(DAY(JunMin1)=1,IF(AND(YEAR(JunMin1+2)=TahunKalender,MONTH(JunMin1+2)=6),JunMin1+2,""),IF(AND(YEAR(JunMin1+9)=TahunKalender,MONTH(JunMin1+9)=6),JunMin1+9,""))</f>
        <v>43620</v>
      </c>
      <c r="N36" s="43">
        <f ca="1">IF(DAY(JunMin1)=1,IF(AND(YEAR(JunMin1+3)=TahunKalender,MONTH(JunMin1+3)=6),JunMin1+3,""),IF(AND(YEAR(JunMin1+10)=TahunKalender,MONTH(JunMin1+10)=6),JunMin1+10,""))</f>
        <v>43621</v>
      </c>
      <c r="O36" s="43">
        <f ca="1">IF(DAY(JunMin1)=1,IF(AND(YEAR(JunMin1+4)=TahunKalender,MONTH(JunMin1+4)=6),JunMin1+4,""),IF(AND(YEAR(JunMin1+11)=TahunKalender,MONTH(JunMin1+11)=6),JunMin1+11,""))</f>
        <v>43622</v>
      </c>
      <c r="P36" s="43">
        <f ca="1">IF(DAY(JunMin1)=1,IF(AND(YEAR(JunMin1+5)=TahunKalender,MONTH(JunMin1+5)=6),JunMin1+5,""),IF(AND(YEAR(JunMin1+12)=TahunKalender,MONTH(JunMin1+12)=6),JunMin1+12,""))</f>
        <v>43623</v>
      </c>
      <c r="Q36" s="43">
        <f ca="1">IF(DAY(JunMin1)=1,IF(AND(YEAR(JunMin1+6)=TahunKalender,MONTH(JunMin1+6)=6),JunMin1+6,""),IF(AND(YEAR(JunMin1+13)=TahunKalender,MONTH(JunMin1+13)=6),JunMin1+13,""))</f>
        <v>43624</v>
      </c>
      <c r="R36" s="43">
        <f ca="1">IF(DAY(JunMin1)=1,IF(AND(YEAR(JunMin1+7)=TahunKalender,MONTH(JunMin1+7)=6),JunMin1+7,""),IF(AND(YEAR(JunMin1+14)=TahunKalender,MONTH(JunMin1+14)=6),JunMin1+14,""))</f>
        <v>43625</v>
      </c>
      <c r="S36" s="36"/>
      <c r="T36" s="40"/>
      <c r="U36" s="43">
        <f ca="1">IF(DAY(JulMin1)=1,IF(AND(YEAR(JulMin1+1)=TahunKalender,MONTH(JulMin1+1)=7),JulMin1+1,""),IF(AND(YEAR(JulMin1+8)=TahunKalender,MONTH(JulMin1+8)=7),JulMin1+8,""))</f>
        <v>43654</v>
      </c>
      <c r="V36" s="43">
        <f ca="1">IF(DAY(JulMin1)=1,IF(AND(YEAR(JulMin1+2)=TahunKalender,MONTH(JulMin1+2)=7),JulMin1+2,""),IF(AND(YEAR(JulMin1+9)=TahunKalender,MONTH(JulMin1+9)=7),JulMin1+9,""))</f>
        <v>43655</v>
      </c>
      <c r="W36" s="43">
        <f ca="1">IF(DAY(JulMin1)=1,IF(AND(YEAR(JulMin1+3)=TahunKalender,MONTH(JulMin1+3)=7),JulMin1+3,""),IF(AND(YEAR(JulMin1+10)=TahunKalender,MONTH(JulMin1+10)=7),JulMin1+10,""))</f>
        <v>43656</v>
      </c>
      <c r="X36" s="43">
        <f ca="1">IF(DAY(JulMin1)=1,IF(AND(YEAR(JulMin1+4)=TahunKalender,MONTH(JulMin1+4)=7),JulMin1+4,""),IF(AND(YEAR(JulMin1+11)=TahunKalender,MONTH(JulMin1+11)=7),JulMin1+11,""))</f>
        <v>43657</v>
      </c>
      <c r="Y36" s="43">
        <f ca="1">IF(DAY(JulMin1)=1,IF(AND(YEAR(JulMin1+5)=TahunKalender,MONTH(JulMin1+5)=7),JulMin1+5,""),IF(AND(YEAR(JulMin1+12)=TahunKalender,MONTH(JulMin1+12)=7),JulMin1+12,""))</f>
        <v>43658</v>
      </c>
      <c r="Z36" s="43">
        <f ca="1">IF(DAY(JulMin1)=1,IF(AND(YEAR(JulMin1+6)=TahunKalender,MONTH(JulMin1+6)=7),JulMin1+6,""),IF(AND(YEAR(JulMin1+13)=TahunKalender,MONTH(JulMin1+13)=7),JulMin1+13,""))</f>
        <v>43659</v>
      </c>
      <c r="AA36" s="43">
        <f ca="1">IF(DAY(JulMin1)=1,IF(AND(YEAR(JulMin1+7)=TahunKalender,MONTH(JulMin1+7)=7),JulMin1+7,""),IF(AND(YEAR(JulMin1+14)=TahunKalender,MONTH(JulMin1+14)=7),JulMin1+14,""))</f>
        <v>43660</v>
      </c>
      <c r="AB36" s="36"/>
      <c r="AC36" s="39"/>
      <c r="AD36" s="43">
        <f ca="1">IF(DAY(AguMin1)=1,IF(AND(YEAR(AguMin1+1)=TahunKalender,MONTH(AguMin1+1)=8),AguMin1+1,""),IF(AND(YEAR(AguMin1+8)=TahunKalender,MONTH(AguMin1+8)=8),AguMin1+8,""))</f>
        <v>43682</v>
      </c>
      <c r="AE36" s="43">
        <f ca="1">IF(DAY(AguMin1)=1,IF(AND(YEAR(AguMin1+2)=TahunKalender,MONTH(AguMin1+2)=8),AguMin1+2,""),IF(AND(YEAR(AguMin1+9)=TahunKalender,MONTH(AguMin1+9)=8),AguMin1+9,""))</f>
        <v>43683</v>
      </c>
      <c r="AF36" s="43">
        <f ca="1">IF(DAY(AguMin1)=1,IF(AND(YEAR(AguMin1+3)=TahunKalender,MONTH(AguMin1+3)=8),AguMin1+3,""),IF(AND(YEAR(AguMin1+10)=TahunKalender,MONTH(AguMin1+10)=8),AguMin1+10,""))</f>
        <v>43684</v>
      </c>
      <c r="AG36" s="43">
        <f ca="1">IF(DAY(AguMin1)=1,IF(AND(YEAR(AguMin1+4)=TahunKalender,MONTH(AguMin1+4)=8),AguMin1+4,""),IF(AND(YEAR(AguMin1+11)=TahunKalender,MONTH(AguMin1+11)=8),AguMin1+11,""))</f>
        <v>43685</v>
      </c>
      <c r="AH36" s="43">
        <f ca="1">IF(DAY(AguMin1)=1,IF(AND(YEAR(AguMin1+5)=TahunKalender,MONTH(AguMin1+5)=8),AguMin1+5,""),IF(AND(YEAR(AguMin1+12)=TahunKalender,MONTH(AguMin1+12)=8),AguMin1+12,""))</f>
        <v>43686</v>
      </c>
      <c r="AI36" s="43">
        <f ca="1">IF(DAY(AguMin1)=1,IF(AND(YEAR(AguMin1+6)=TahunKalender,MONTH(AguMin1+6)=8),AguMin1+6,""),IF(AND(YEAR(AguMin1+13)=TahunKalender,MONTH(AguMin1+13)=8),AguMin1+13,""))</f>
        <v>43687</v>
      </c>
      <c r="AJ36" s="43">
        <f ca="1">IF(DAY(AguMin1)=1,IF(AND(YEAR(AguMin1+7)=TahunKalender,MONTH(AguMin1+7)=8),AguMin1+7,""),IF(AND(YEAR(AguMin1+14)=TahunKalender,MONTH(AguMin1+14)=8),AguMin1+14,""))</f>
        <v>43688</v>
      </c>
    </row>
    <row r="37" spans="1:36" x14ac:dyDescent="0.2">
      <c r="C37" s="43">
        <f ca="1">IF(DAY(MeiMin1)=1,IF(AND(YEAR(MeiMin1+8)=TahunKalender,MONTH(MeiMin1+8)=5),MeiMin1+8,""),IF(AND(YEAR(MeiMin1+15)=TahunKalender,MONTH(MeiMin1+15)=5),MeiMin1+15,""))</f>
        <v>43598</v>
      </c>
      <c r="D37" s="43">
        <f ca="1">IF(DAY(MeiMin1)=1,IF(AND(YEAR(MeiMin1+9)=TahunKalender,MONTH(MeiMin1+9)=5),MeiMin1+9,""),IF(AND(YEAR(MeiMin1+16)=TahunKalender,MONTH(MeiMin1+16)=5),MeiMin1+16,""))</f>
        <v>43599</v>
      </c>
      <c r="E37" s="43">
        <f ca="1">IF(DAY(MeiMin1)=1,IF(AND(YEAR(MeiMin1+10)=TahunKalender,MONTH(MeiMin1+10)=5),MeiMin1+10,""),IF(AND(YEAR(MeiMin1+17)=TahunKalender,MONTH(MeiMin1+17)=5),MeiMin1+17,""))</f>
        <v>43600</v>
      </c>
      <c r="F37" s="43">
        <f ca="1">IF(DAY(MeiMin1)=1,IF(AND(YEAR(MeiMin1+11)=TahunKalender,MONTH(MeiMin1+11)=5),MeiMin1+11,""),IF(AND(YEAR(MeiMin1+18)=TahunKalender,MONTH(MeiMin1+18)=5),MeiMin1+18,""))</f>
        <v>43601</v>
      </c>
      <c r="G37" s="43">
        <f ca="1">IF(DAY(MeiMin1)=1,IF(AND(YEAR(MeiMin1+12)=TahunKalender,MONTH(MeiMin1+12)=5),MeiMin1+12,""),IF(AND(YEAR(MeiMin1+19)=TahunKalender,MONTH(MeiMin1+19)=5),MeiMin1+19,""))</f>
        <v>43602</v>
      </c>
      <c r="H37" s="43">
        <f ca="1">IF(DAY(MeiMin1)=1,IF(AND(YEAR(MeiMin1+13)=TahunKalender,MONTH(MeiMin1+13)=5),MeiMin1+13,""),IF(AND(YEAR(MeiMin1+20)=TahunKalender,MONTH(MeiMin1+20)=5),MeiMin1+20,""))</f>
        <v>43603</v>
      </c>
      <c r="I37" s="43">
        <f ca="1">IF(DAY(MeiMin1)=1,IF(AND(YEAR(MeiMin1+14)=TahunKalender,MONTH(MeiMin1+14)=5),MeiMin1+14,""),IF(AND(YEAR(MeiMin1+21)=TahunKalender,MONTH(MeiMin1+21)=5),MeiMin1+21,""))</f>
        <v>43604</v>
      </c>
      <c r="J37" s="36"/>
      <c r="K37" s="35"/>
      <c r="L37" s="43">
        <f ca="1">IF(DAY(JunMin1)=1,IF(AND(YEAR(JunMin1+8)=TahunKalender,MONTH(JunMin1+8)=6),JunMin1+8,""),IF(AND(YEAR(JunMin1+15)=TahunKalender,MONTH(JunMin1+15)=6),JunMin1+15,""))</f>
        <v>43626</v>
      </c>
      <c r="M37" s="43">
        <f ca="1">IF(DAY(JunMin1)=1,IF(AND(YEAR(JunMin1+9)=TahunKalender,MONTH(JunMin1+9)=6),JunMin1+9,""),IF(AND(YEAR(JunMin1+16)=TahunKalender,MONTH(JunMin1+16)=6),JunMin1+16,""))</f>
        <v>43627</v>
      </c>
      <c r="N37" s="43">
        <f ca="1">IF(DAY(JunMin1)=1,IF(AND(YEAR(JunMin1+10)=TahunKalender,MONTH(JunMin1+10)=6),JunMin1+10,""),IF(AND(YEAR(JunMin1+17)=TahunKalender,MONTH(JunMin1+17)=6),JunMin1+17,""))</f>
        <v>43628</v>
      </c>
      <c r="O37" s="43">
        <f ca="1">IF(DAY(JunMin1)=1,IF(AND(YEAR(JunMin1+11)=TahunKalender,MONTH(JunMin1+11)=6),JunMin1+11,""),IF(AND(YEAR(JunMin1+18)=TahunKalender,MONTH(JunMin1+18)=6),JunMin1+18,""))</f>
        <v>43629</v>
      </c>
      <c r="P37" s="43">
        <f ca="1">IF(DAY(JunMin1)=1,IF(AND(YEAR(JunMin1+12)=TahunKalender,MONTH(JunMin1+12)=6),JunMin1+12,""),IF(AND(YEAR(JunMin1+19)=TahunKalender,MONTH(JunMin1+19)=6),JunMin1+19,""))</f>
        <v>43630</v>
      </c>
      <c r="Q37" s="43">
        <f ca="1">IF(DAY(JunMin1)=1,IF(AND(YEAR(JunMin1+13)=TahunKalender,MONTH(JunMin1+13)=6),JunMin1+13,""),IF(AND(YEAR(JunMin1+20)=TahunKalender,MONTH(JunMin1+20)=6),JunMin1+20,""))</f>
        <v>43631</v>
      </c>
      <c r="R37" s="43">
        <f ca="1">IF(DAY(JunMin1)=1,IF(AND(YEAR(JunMin1+14)=TahunKalender,MONTH(JunMin1+14)=6),JunMin1+14,""),IF(AND(YEAR(JunMin1+21)=TahunKalender,MONTH(JunMin1+21)=6),JunMin1+21,""))</f>
        <v>43632</v>
      </c>
      <c r="S37" s="36"/>
      <c r="T37" s="40"/>
      <c r="U37" s="43">
        <f ca="1">IF(DAY(JulMin1)=1,IF(AND(YEAR(JulMin1+8)=TahunKalender,MONTH(JulMin1+8)=7),JulMin1+8,""),IF(AND(YEAR(JulMin1+15)=TahunKalender,MONTH(JulMin1+15)=7),JulMin1+15,""))</f>
        <v>43661</v>
      </c>
      <c r="V37" s="43">
        <f ca="1">IF(DAY(JulMin1)=1,IF(AND(YEAR(JulMin1+9)=TahunKalender,MONTH(JulMin1+9)=7),JulMin1+9,""),IF(AND(YEAR(JulMin1+16)=TahunKalender,MONTH(JulMin1+16)=7),JulMin1+16,""))</f>
        <v>43662</v>
      </c>
      <c r="W37" s="43">
        <f ca="1">IF(DAY(JulMin1)=1,IF(AND(YEAR(JulMin1+10)=TahunKalender,MONTH(JulMin1+10)=7),JulMin1+10,""),IF(AND(YEAR(JulMin1+17)=TahunKalender,MONTH(JulMin1+17)=7),JulMin1+17,""))</f>
        <v>43663</v>
      </c>
      <c r="X37" s="43">
        <f ca="1">IF(DAY(JulMin1)=1,IF(AND(YEAR(JulMin1+11)=TahunKalender,MONTH(JulMin1+11)=7),JulMin1+11,""),IF(AND(YEAR(JulMin1+18)=TahunKalender,MONTH(JulMin1+18)=7),JulMin1+18,""))</f>
        <v>43664</v>
      </c>
      <c r="Y37" s="43">
        <f ca="1">IF(DAY(JulMin1)=1,IF(AND(YEAR(JulMin1+12)=TahunKalender,MONTH(JulMin1+12)=7),JulMin1+12,""),IF(AND(YEAR(JulMin1+19)=TahunKalender,MONTH(JulMin1+19)=7),JulMin1+19,""))</f>
        <v>43665</v>
      </c>
      <c r="Z37" s="43">
        <f ca="1">IF(DAY(JulMin1)=1,IF(AND(YEAR(JulMin1+13)=TahunKalender,MONTH(JulMin1+13)=7),JulMin1+13,""),IF(AND(YEAR(JulMin1+20)=TahunKalender,MONTH(JulMin1+20)=7),JulMin1+20,""))</f>
        <v>43666</v>
      </c>
      <c r="AA37" s="43">
        <f ca="1">IF(DAY(JulMin1)=1,IF(AND(YEAR(JulMin1+14)=TahunKalender,MONTH(JulMin1+14)=7),JulMin1+14,""),IF(AND(YEAR(JulMin1+21)=TahunKalender,MONTH(JulMin1+21)=7),JulMin1+21,""))</f>
        <v>43667</v>
      </c>
      <c r="AB37" s="36"/>
      <c r="AC37" s="39"/>
      <c r="AD37" s="43">
        <f ca="1">IF(DAY(AguMin1)=1,IF(AND(YEAR(AguMin1+8)=TahunKalender,MONTH(AguMin1+8)=8),AguMin1+8,""),IF(AND(YEAR(AguMin1+15)=TahunKalender,MONTH(AguMin1+15)=8),AguMin1+15,""))</f>
        <v>43689</v>
      </c>
      <c r="AE37" s="43">
        <f ca="1">IF(DAY(AguMin1)=1,IF(AND(YEAR(AguMin1+9)=TahunKalender,MONTH(AguMin1+9)=8),AguMin1+9,""),IF(AND(YEAR(AguMin1+16)=TahunKalender,MONTH(AguMin1+16)=8),AguMin1+16,""))</f>
        <v>43690</v>
      </c>
      <c r="AF37" s="43">
        <f ca="1">IF(DAY(AguMin1)=1,IF(AND(YEAR(AguMin1+10)=TahunKalender,MONTH(AguMin1+10)=8),AguMin1+10,""),IF(AND(YEAR(AguMin1+17)=TahunKalender,MONTH(AguMin1+17)=8),AguMin1+17,""))</f>
        <v>43691</v>
      </c>
      <c r="AG37" s="43">
        <f ca="1">IF(DAY(AguMin1)=1,IF(AND(YEAR(AguMin1+11)=TahunKalender,MONTH(AguMin1+11)=8),AguMin1+11,""),IF(AND(YEAR(AguMin1+18)=TahunKalender,MONTH(AguMin1+18)=8),AguMin1+18,""))</f>
        <v>43692</v>
      </c>
      <c r="AH37" s="43">
        <f ca="1">IF(DAY(AguMin1)=1,IF(AND(YEAR(AguMin1+12)=TahunKalender,MONTH(AguMin1+12)=8),AguMin1+12,""),IF(AND(YEAR(AguMin1+19)=TahunKalender,MONTH(AguMin1+19)=8),AguMin1+19,""))</f>
        <v>43693</v>
      </c>
      <c r="AI37" s="43">
        <f ca="1">IF(DAY(AguMin1)=1,IF(AND(YEAR(AguMin1+13)=TahunKalender,MONTH(AguMin1+13)=8),AguMin1+13,""),IF(AND(YEAR(AguMin1+20)=TahunKalender,MONTH(AguMin1+20)=8),AguMin1+20,""))</f>
        <v>43694</v>
      </c>
      <c r="AJ37" s="43">
        <f ca="1">IF(DAY(AguMin1)=1,IF(AND(YEAR(AguMin1+14)=TahunKalender,MONTH(AguMin1+14)=8),AguMin1+14,""),IF(AND(YEAR(AguMin1+21)=TahunKalender,MONTH(AguMin1+21)=8),AguMin1+21,""))</f>
        <v>43695</v>
      </c>
    </row>
    <row r="38" spans="1:36" x14ac:dyDescent="0.2">
      <c r="C38" s="43">
        <f ca="1">IF(DAY(MeiMin1)=1,IF(AND(YEAR(MeiMin1+15)=TahunKalender,MONTH(MeiMin1+15)=5),MeiMin1+15,""),IF(AND(YEAR(MeiMin1+22)=TahunKalender,MONTH(MeiMin1+22)=5),MeiMin1+22,""))</f>
        <v>43605</v>
      </c>
      <c r="D38" s="43">
        <f ca="1">IF(DAY(MeiMin1)=1,IF(AND(YEAR(MeiMin1+16)=TahunKalender,MONTH(MeiMin1+16)=5),MeiMin1+16,""),IF(AND(YEAR(MeiMin1+23)=TahunKalender,MONTH(MeiMin1+23)=5),MeiMin1+23,""))</f>
        <v>43606</v>
      </c>
      <c r="E38" s="43">
        <f ca="1">IF(DAY(MeiMin1)=1,IF(AND(YEAR(MeiMin1+17)=TahunKalender,MONTH(MeiMin1+17)=5),MeiMin1+17,""),IF(AND(YEAR(MeiMin1+24)=TahunKalender,MONTH(MeiMin1+24)=5),MeiMin1+24,""))</f>
        <v>43607</v>
      </c>
      <c r="F38" s="43">
        <f ca="1">IF(DAY(MeiMin1)=1,IF(AND(YEAR(MeiMin1+18)=TahunKalender,MONTH(MeiMin1+18)=5),MeiMin1+18,""),IF(AND(YEAR(MeiMin1+25)=TahunKalender,MONTH(MeiMin1+25)=5),MeiMin1+25,""))</f>
        <v>43608</v>
      </c>
      <c r="G38" s="43">
        <f ca="1">IF(DAY(MeiMin1)=1,IF(AND(YEAR(MeiMin1+19)=TahunKalender,MONTH(MeiMin1+19)=5),MeiMin1+19,""),IF(AND(YEAR(MeiMin1+26)=TahunKalender,MONTH(MeiMin1+26)=5),MeiMin1+26,""))</f>
        <v>43609</v>
      </c>
      <c r="H38" s="43">
        <f ca="1">IF(DAY(MeiMin1)=1,IF(AND(YEAR(MeiMin1+20)=TahunKalender,MONTH(MeiMin1+20)=5),MeiMin1+20,""),IF(AND(YEAR(MeiMin1+27)=TahunKalender,MONTH(MeiMin1+27)=5),MeiMin1+27,""))</f>
        <v>43610</v>
      </c>
      <c r="I38" s="43">
        <f ca="1">IF(DAY(MeiMin1)=1,IF(AND(YEAR(MeiMin1+21)=TahunKalender,MONTH(MeiMin1+21)=5),MeiMin1+21,""),IF(AND(YEAR(MeiMin1+28)=TahunKalender,MONTH(MeiMin1+28)=5),MeiMin1+28,""))</f>
        <v>43611</v>
      </c>
      <c r="J38" s="36"/>
      <c r="K38" s="35"/>
      <c r="L38" s="43">
        <f ca="1">IF(DAY(JunMin1)=1,IF(AND(YEAR(JunMin1+15)=TahunKalender,MONTH(JunMin1+15)=6),JunMin1+15,""),IF(AND(YEAR(JunMin1+22)=TahunKalender,MONTH(JunMin1+22)=6),JunMin1+22,""))</f>
        <v>43633</v>
      </c>
      <c r="M38" s="43">
        <f ca="1">IF(DAY(JunMin1)=1,IF(AND(YEAR(JunMin1+16)=TahunKalender,MONTH(JunMin1+16)=6),JunMin1+16,""),IF(AND(YEAR(JunMin1+23)=TahunKalender,MONTH(JunMin1+23)=6),JunMin1+23,""))</f>
        <v>43634</v>
      </c>
      <c r="N38" s="43">
        <f ca="1">IF(DAY(JunMin1)=1,IF(AND(YEAR(JunMin1+17)=TahunKalender,MONTH(JunMin1+17)=6),JunMin1+17,""),IF(AND(YEAR(JunMin1+24)=TahunKalender,MONTH(JunMin1+24)=6),JunMin1+24,""))</f>
        <v>43635</v>
      </c>
      <c r="O38" s="43">
        <f ca="1">IF(DAY(JunMin1)=1,IF(AND(YEAR(JunMin1+18)=TahunKalender,MONTH(JunMin1+18)=6),JunMin1+18,""),IF(AND(YEAR(JunMin1+25)=TahunKalender,MONTH(JunMin1+25)=6),JunMin1+25,""))</f>
        <v>43636</v>
      </c>
      <c r="P38" s="43">
        <f ca="1">IF(DAY(JunMin1)=1,IF(AND(YEAR(JunMin1+19)=TahunKalender,MONTH(JunMin1+19)=6),JunMin1+19,""),IF(AND(YEAR(JunMin1+26)=TahunKalender,MONTH(JunMin1+26)=6),JunMin1+26,""))</f>
        <v>43637</v>
      </c>
      <c r="Q38" s="43">
        <f ca="1">IF(DAY(JunMin1)=1,IF(AND(YEAR(JunMin1+20)=TahunKalender,MONTH(JunMin1+20)=6),JunMin1+20,""),IF(AND(YEAR(JunMin1+27)=TahunKalender,MONTH(JunMin1+27)=6),JunMin1+27,""))</f>
        <v>43638</v>
      </c>
      <c r="R38" s="43">
        <f ca="1">IF(DAY(JunMin1)=1,IF(AND(YEAR(JunMin1+21)=TahunKalender,MONTH(JunMin1+21)=6),JunMin1+21,""),IF(AND(YEAR(JunMin1+28)=TahunKalender,MONTH(JunMin1+28)=6),JunMin1+28,""))</f>
        <v>43639</v>
      </c>
      <c r="S38" s="36"/>
      <c r="T38" s="40"/>
      <c r="U38" s="43">
        <f ca="1">IF(DAY(JulMin1)=1,IF(AND(YEAR(JulMin1+15)=TahunKalender,MONTH(JulMin1+15)=7),JulMin1+15,""),IF(AND(YEAR(JulMin1+22)=TahunKalender,MONTH(JulMin1+22)=7),JulMin1+22,""))</f>
        <v>43668</v>
      </c>
      <c r="V38" s="43">
        <f ca="1">IF(DAY(JulMin1)=1,IF(AND(YEAR(JulMin1+16)=TahunKalender,MONTH(JulMin1+16)=7),JulMin1+16,""),IF(AND(YEAR(JulMin1+23)=TahunKalender,MONTH(JulMin1+23)=7),JulMin1+23,""))</f>
        <v>43669</v>
      </c>
      <c r="W38" s="43">
        <f ca="1">IF(DAY(JulMin1)=1,IF(AND(YEAR(JulMin1+17)=TahunKalender,MONTH(JulMin1+17)=7),JulMin1+17,""),IF(AND(YEAR(JulMin1+24)=TahunKalender,MONTH(JulMin1+24)=7),JulMin1+24,""))</f>
        <v>43670</v>
      </c>
      <c r="X38" s="43">
        <f ca="1">IF(DAY(JulMin1)=1,IF(AND(YEAR(JulMin1+18)=TahunKalender,MONTH(JulMin1+18)=7),JulMin1+18,""),IF(AND(YEAR(JulMin1+25)=TahunKalender,MONTH(JulMin1+25)=7),JulMin1+25,""))</f>
        <v>43671</v>
      </c>
      <c r="Y38" s="43">
        <f ca="1">IF(DAY(JulMin1)=1,IF(AND(YEAR(JulMin1+19)=TahunKalender,MONTH(JulMin1+19)=7),JulMin1+19,""),IF(AND(YEAR(JulMin1+26)=TahunKalender,MONTH(JulMin1+26)=7),JulMin1+26,""))</f>
        <v>43672</v>
      </c>
      <c r="Z38" s="43">
        <f ca="1">IF(DAY(JulMin1)=1,IF(AND(YEAR(JulMin1+20)=TahunKalender,MONTH(JulMin1+20)=7),JulMin1+20,""),IF(AND(YEAR(JulMin1+27)=TahunKalender,MONTH(JulMin1+27)=7),JulMin1+27,""))</f>
        <v>43673</v>
      </c>
      <c r="AA38" s="43">
        <f ca="1">IF(DAY(JulMin1)=1,IF(AND(YEAR(JulMin1+21)=TahunKalender,MONTH(JulMin1+21)=7),JulMin1+21,""),IF(AND(YEAR(JulMin1+28)=TahunKalender,MONTH(JulMin1+28)=7),JulMin1+28,""))</f>
        <v>43674</v>
      </c>
      <c r="AB38" s="36"/>
      <c r="AC38" s="39"/>
      <c r="AD38" s="43">
        <f ca="1">IF(DAY(AguMin1)=1,IF(AND(YEAR(AguMin1+15)=TahunKalender,MONTH(AguMin1+15)=8),AguMin1+15,""),IF(AND(YEAR(AguMin1+22)=TahunKalender,MONTH(AguMin1+22)=8),AguMin1+22,""))</f>
        <v>43696</v>
      </c>
      <c r="AE38" s="43">
        <f ca="1">IF(DAY(AguMin1)=1,IF(AND(YEAR(AguMin1+16)=TahunKalender,MONTH(AguMin1+16)=8),AguMin1+16,""),IF(AND(YEAR(AguMin1+23)=TahunKalender,MONTH(AguMin1+23)=8),AguMin1+23,""))</f>
        <v>43697</v>
      </c>
      <c r="AF38" s="43">
        <f ca="1">IF(DAY(AguMin1)=1,IF(AND(YEAR(AguMin1+17)=TahunKalender,MONTH(AguMin1+17)=8),AguMin1+17,""),IF(AND(YEAR(AguMin1+24)=TahunKalender,MONTH(AguMin1+24)=8),AguMin1+24,""))</f>
        <v>43698</v>
      </c>
      <c r="AG38" s="43">
        <f ca="1">IF(DAY(AguMin1)=1,IF(AND(YEAR(AguMin1+18)=TahunKalender,MONTH(AguMin1+18)=8),AguMin1+18,""),IF(AND(YEAR(AguMin1+25)=TahunKalender,MONTH(AguMin1+25)=8),AguMin1+25,""))</f>
        <v>43699</v>
      </c>
      <c r="AH38" s="43">
        <f ca="1">IF(DAY(AguMin1)=1,IF(AND(YEAR(AguMin1+19)=TahunKalender,MONTH(AguMin1+19)=8),AguMin1+19,""),IF(AND(YEAR(AguMin1+26)=TahunKalender,MONTH(AguMin1+26)=8),AguMin1+26,""))</f>
        <v>43700</v>
      </c>
      <c r="AI38" s="43">
        <f ca="1">IF(DAY(AguMin1)=1,IF(AND(YEAR(AguMin1+20)=TahunKalender,MONTH(AguMin1+20)=8),AguMin1+20,""),IF(AND(YEAR(AguMin1+27)=TahunKalender,MONTH(AguMin1+27)=8),AguMin1+27,""))</f>
        <v>43701</v>
      </c>
      <c r="AJ38" s="43">
        <f ca="1">IF(DAY(AguMin1)=1,IF(AND(YEAR(AguMin1+21)=TahunKalender,MONTH(AguMin1+21)=8),AguMin1+21,""),IF(AND(YEAR(AguMin1+28)=TahunKalender,MONTH(AguMin1+28)=8),AguMin1+28,""))</f>
        <v>43702</v>
      </c>
    </row>
    <row r="39" spans="1:36" x14ac:dyDescent="0.2">
      <c r="C39" s="43">
        <f ca="1">IF(DAY(MeiMin1)=1,IF(AND(YEAR(MeiMin1+22)=TahunKalender,MONTH(MeiMin1+22)=5),MeiMin1+22,""),IF(AND(YEAR(MeiMin1+29)=TahunKalender,MONTH(MeiMin1+29)=5),MeiMin1+29,""))</f>
        <v>43612</v>
      </c>
      <c r="D39" s="43">
        <f ca="1">IF(DAY(MeiMin1)=1,IF(AND(YEAR(MeiMin1+23)=TahunKalender,MONTH(MeiMin1+23)=5),MeiMin1+23,""),IF(AND(YEAR(MeiMin1+30)=TahunKalender,MONTH(MeiMin1+30)=5),MeiMin1+30,""))</f>
        <v>43613</v>
      </c>
      <c r="E39" s="43">
        <f ca="1">IF(DAY(MeiMin1)=1,IF(AND(YEAR(MeiMin1+24)=TahunKalender,MONTH(MeiMin1+24)=5),MeiMin1+24,""),IF(AND(YEAR(MeiMin1+31)=TahunKalender,MONTH(MeiMin1+31)=5),MeiMin1+31,""))</f>
        <v>43614</v>
      </c>
      <c r="F39" s="43">
        <f ca="1">IF(DAY(MeiMin1)=1,IF(AND(YEAR(MeiMin1+25)=TahunKalender,MONTH(MeiMin1+25)=5),MeiMin1+25,""),IF(AND(YEAR(MeiMin1+32)=TahunKalender,MONTH(MeiMin1+32)=5),MeiMin1+32,""))</f>
        <v>43615</v>
      </c>
      <c r="G39" s="43">
        <f ca="1">IF(DAY(MeiMin1)=1,IF(AND(YEAR(MeiMin1+26)=TahunKalender,MONTH(MeiMin1+26)=5),MeiMin1+26,""),IF(AND(YEAR(MeiMin1+33)=TahunKalender,MONTH(MeiMin1+33)=5),MeiMin1+33,""))</f>
        <v>43616</v>
      </c>
      <c r="H39" s="43" t="str">
        <f ca="1">IF(DAY(MeiMin1)=1,IF(AND(YEAR(MeiMin1+27)=TahunKalender,MONTH(MeiMin1+27)=5),MeiMin1+27,""),IF(AND(YEAR(MeiMin1+34)=TahunKalender,MONTH(MeiMin1+34)=5),MeiMin1+34,""))</f>
        <v/>
      </c>
      <c r="I39" s="43" t="str">
        <f ca="1">IF(DAY(MeiMin1)=1,IF(AND(YEAR(MeiMin1+28)=TahunKalender,MONTH(MeiMin1+28)=5),MeiMin1+28,""),IF(AND(YEAR(MeiMin1+35)=TahunKalender,MONTH(MeiMin1+35)=5),MeiMin1+35,""))</f>
        <v/>
      </c>
      <c r="J39" s="36"/>
      <c r="K39" s="35"/>
      <c r="L39" s="43">
        <f ca="1">IF(DAY(JunMin1)=1,IF(AND(YEAR(JunMin1+22)=TahunKalender,MONTH(JunMin1+22)=6),JunMin1+22,""),IF(AND(YEAR(JunMin1+29)=TahunKalender,MONTH(JunMin1+29)=6),JunMin1+29,""))</f>
        <v>43640</v>
      </c>
      <c r="M39" s="43">
        <f ca="1">IF(DAY(JunMin1)=1,IF(AND(YEAR(JunMin1+23)=TahunKalender,MONTH(JunMin1+23)=6),JunMin1+23,""),IF(AND(YEAR(JunMin1+30)=TahunKalender,MONTH(JunMin1+30)=6),JunMin1+30,""))</f>
        <v>43641</v>
      </c>
      <c r="N39" s="43">
        <f ca="1">IF(DAY(JunMin1)=1,IF(AND(YEAR(JunMin1+24)=TahunKalender,MONTH(JunMin1+24)=6),JunMin1+24,""),IF(AND(YEAR(JunMin1+31)=TahunKalender,MONTH(JunMin1+31)=6),JunMin1+31,""))</f>
        <v>43642</v>
      </c>
      <c r="O39" s="43">
        <f ca="1">IF(DAY(JunMin1)=1,IF(AND(YEAR(JunMin1+25)=TahunKalender,MONTH(JunMin1+25)=6),JunMin1+25,""),IF(AND(YEAR(JunMin1+32)=TahunKalender,MONTH(JunMin1+32)=6),JunMin1+32,""))</f>
        <v>43643</v>
      </c>
      <c r="P39" s="43">
        <f ca="1">IF(DAY(JunMin1)=1,IF(AND(YEAR(JunMin1+26)=TahunKalender,MONTH(JunMin1+26)=6),JunMin1+26,""),IF(AND(YEAR(JunMin1+33)=TahunKalender,MONTH(JunMin1+33)=6),JunMin1+33,""))</f>
        <v>43644</v>
      </c>
      <c r="Q39" s="43">
        <f ca="1">IF(DAY(JunMin1)=1,IF(AND(YEAR(JunMin1+27)=TahunKalender,MONTH(JunMin1+27)=6),JunMin1+27,""),IF(AND(YEAR(JunMin1+34)=TahunKalender,MONTH(JunMin1+34)=6),JunMin1+34,""))</f>
        <v>43645</v>
      </c>
      <c r="R39" s="43">
        <f ca="1">IF(DAY(JunMin1)=1,IF(AND(YEAR(JunMin1+28)=TahunKalender,MONTH(JunMin1+28)=6),JunMin1+28,""),IF(AND(YEAR(JunMin1+35)=TahunKalender,MONTH(JunMin1+35)=6),JunMin1+35,""))</f>
        <v>43646</v>
      </c>
      <c r="S39" s="36"/>
      <c r="T39" s="40"/>
      <c r="U39" s="43">
        <f ca="1">IF(DAY(JulMin1)=1,IF(AND(YEAR(JulMin1+22)=TahunKalender,MONTH(JulMin1+22)=7),JulMin1+22,""),IF(AND(YEAR(JulMin1+29)=TahunKalender,MONTH(JulMin1+29)=7),JulMin1+29,""))</f>
        <v>43675</v>
      </c>
      <c r="V39" s="43">
        <f ca="1">IF(DAY(JulMin1)=1,IF(AND(YEAR(JulMin1+23)=TahunKalender,MONTH(JulMin1+23)=7),JulMin1+23,""),IF(AND(YEAR(JulMin1+30)=TahunKalender,MONTH(JulMin1+30)=7),JulMin1+30,""))</f>
        <v>43676</v>
      </c>
      <c r="W39" s="43">
        <f ca="1">IF(DAY(JulMin1)=1,IF(AND(YEAR(JulMin1+24)=TahunKalender,MONTH(JulMin1+24)=7),JulMin1+24,""),IF(AND(YEAR(JulMin1+31)=TahunKalender,MONTH(JulMin1+31)=7),JulMin1+31,""))</f>
        <v>43677</v>
      </c>
      <c r="X39" s="43" t="str">
        <f ca="1">IF(DAY(JulMin1)=1,IF(AND(YEAR(JulMin1+25)=TahunKalender,MONTH(JulMin1+25)=7),JulMin1+25,""),IF(AND(YEAR(JulMin1+32)=TahunKalender,MONTH(JulMin1+32)=7),JulMin1+32,""))</f>
        <v/>
      </c>
      <c r="Y39" s="43" t="str">
        <f ca="1">IF(DAY(JulMin1)=1,IF(AND(YEAR(JulMin1+26)=TahunKalender,MONTH(JulMin1+26)=7),JulMin1+26,""),IF(AND(YEAR(JulMin1+33)=TahunKalender,MONTH(JulMin1+33)=7),JulMin1+33,""))</f>
        <v/>
      </c>
      <c r="Z39" s="43" t="str">
        <f ca="1">IF(DAY(JulMin1)=1,IF(AND(YEAR(JulMin1+27)=TahunKalender,MONTH(JulMin1+27)=7),JulMin1+27,""),IF(AND(YEAR(JulMin1+34)=TahunKalender,MONTH(JulMin1+34)=7),JulMin1+34,""))</f>
        <v/>
      </c>
      <c r="AA39" s="43" t="str">
        <f ca="1">IF(DAY(JulMin1)=1,IF(AND(YEAR(JulMin1+28)=TahunKalender,MONTH(JulMin1+28)=7),JulMin1+28,""),IF(AND(YEAR(JulMin1+35)=TahunKalender,MONTH(JulMin1+35)=7),JulMin1+35,""))</f>
        <v/>
      </c>
      <c r="AB39" s="36"/>
      <c r="AC39" s="39"/>
      <c r="AD39" s="43">
        <f ca="1">IF(DAY(AguMin1)=1,IF(AND(YEAR(AguMin1+22)=TahunKalender,MONTH(AguMin1+22)=8),AguMin1+22,""),IF(AND(YEAR(AguMin1+29)=TahunKalender,MONTH(AguMin1+29)=8),AguMin1+29,""))</f>
        <v>43703</v>
      </c>
      <c r="AE39" s="43">
        <f ca="1">IF(DAY(AguMin1)=1,IF(AND(YEAR(AguMin1+23)=TahunKalender,MONTH(AguMin1+23)=8),AguMin1+23,""),IF(AND(YEAR(AguMin1+30)=TahunKalender,MONTH(AguMin1+30)=8),AguMin1+30,""))</f>
        <v>43704</v>
      </c>
      <c r="AF39" s="43">
        <f ca="1">IF(DAY(AguMin1)=1,IF(AND(YEAR(AguMin1+24)=TahunKalender,MONTH(AguMin1+24)=8),AguMin1+24,""),IF(AND(YEAR(AguMin1+31)=TahunKalender,MONTH(AguMin1+31)=8),AguMin1+31,""))</f>
        <v>43705</v>
      </c>
      <c r="AG39" s="43">
        <f ca="1">IF(DAY(AguMin1)=1,IF(AND(YEAR(AguMin1+25)=TahunKalender,MONTH(AguMin1+25)=8),AguMin1+25,""),IF(AND(YEAR(AguMin1+32)=TahunKalender,MONTH(AguMin1+32)=8),AguMin1+32,""))</f>
        <v>43706</v>
      </c>
      <c r="AH39" s="43">
        <f ca="1">IF(DAY(AguMin1)=1,IF(AND(YEAR(AguMin1+26)=TahunKalender,MONTH(AguMin1+26)=8),AguMin1+26,""),IF(AND(YEAR(AguMin1+33)=TahunKalender,MONTH(AguMin1+33)=8),AguMin1+33,""))</f>
        <v>43707</v>
      </c>
      <c r="AI39" s="43">
        <f ca="1">IF(DAY(AguMin1)=1,IF(AND(YEAR(AguMin1+27)=TahunKalender,MONTH(AguMin1+27)=8),AguMin1+27,""),IF(AND(YEAR(AguMin1+34)=TahunKalender,MONTH(AguMin1+34)=8),AguMin1+34,""))</f>
        <v>43708</v>
      </c>
      <c r="AJ39" s="43" t="str">
        <f ca="1">IF(DAY(AguMin1)=1,IF(AND(YEAR(AguMin1+28)=TahunKalender,MONTH(AguMin1+28)=8),AguMin1+28,""),IF(AND(YEAR(AguMin1+35)=TahunKalender,MONTH(AguMin1+35)=8),AguMin1+35,""))</f>
        <v/>
      </c>
    </row>
    <row r="40" spans="1:36" x14ac:dyDescent="0.2">
      <c r="C40" s="43" t="str">
        <f ca="1">IF(DAY(MeiMin1)=1,IF(AND(YEAR(MeiMin1+29)=TahunKalender,MONTH(MeiMin1+29)=5),MeiMin1+29,""),IF(AND(YEAR(MeiMin1+36)=TahunKalender,MONTH(MeiMin1+36)=5),MeiMin1+36,""))</f>
        <v/>
      </c>
      <c r="D40" s="43" t="str">
        <f ca="1">IF(DAY(MeiMin1)=1,IF(AND(YEAR(MeiMin1+30)=TahunKalender,MONTH(MeiMin1+30)=5),MeiMin1+30,""),IF(AND(YEAR(MeiMin1+37)=TahunKalender,MONTH(MeiMin1+37)=5),MeiMin1+37,""))</f>
        <v/>
      </c>
      <c r="E40" s="43" t="str">
        <f ca="1">IF(DAY(MeiMin1)=1,IF(AND(YEAR(MeiMin1+31)=TahunKalender,MONTH(MeiMin1+31)=5),MeiMin1+31,""),IF(AND(YEAR(MeiMin1+38)=TahunKalender,MONTH(MeiMin1+38)=5),MeiMin1+38,""))</f>
        <v/>
      </c>
      <c r="F40" s="43" t="str">
        <f ca="1">IF(DAY(MeiMin1)=1,IF(AND(YEAR(MeiMin1+32)=TahunKalender,MONTH(MeiMin1+32)=5),MeiMin1+32,""),IF(AND(YEAR(MeiMin1+39)=TahunKalender,MONTH(MeiMin1+39)=5),MeiMin1+39,""))</f>
        <v/>
      </c>
      <c r="G40" s="43" t="str">
        <f ca="1">IF(DAY(MeiMin1)=1,IF(AND(YEAR(MeiMin1+33)=TahunKalender,MONTH(MeiMin1+33)=5),MeiMin1+33,""),IF(AND(YEAR(MeiMin1+40)=TahunKalender,MONTH(MeiMin1+40)=5),MeiMin1+40,""))</f>
        <v/>
      </c>
      <c r="H40" s="43" t="str">
        <f ca="1">IF(DAY(MeiMin1)=1,IF(AND(YEAR(MeiMin1+34)=TahunKalender,MONTH(MeiMin1+34)=5),MeiMin1+34,""),IF(AND(YEAR(MeiMin1+41)=TahunKalender,MONTH(MeiMin1+41)=5),MeiMin1+41,""))</f>
        <v/>
      </c>
      <c r="I40" s="43" t="str">
        <f ca="1">IF(DAY(MeiMin1)=1,IF(AND(YEAR(MeiMin1+35)=TahunKalender,MONTH(MeiMin1+35)=5),MeiMin1+35,""),IF(AND(YEAR(MeiMin1+42)=TahunKalender,MONTH(MeiMin1+42)=5),MeiMin1+42,""))</f>
        <v/>
      </c>
      <c r="J40" s="36"/>
      <c r="K40" s="35"/>
      <c r="L40" s="43" t="str">
        <f ca="1">IF(DAY(JunMin1)=1,IF(AND(YEAR(JunMin1+29)=TahunKalender,MONTH(JunMin1+29)=6),JunMin1+29,""),IF(AND(YEAR(JunMin1+36)=TahunKalender,MONTH(JunMin1+36)=6),JunMin1+36,""))</f>
        <v/>
      </c>
      <c r="M40" s="43" t="str">
        <f ca="1">IF(DAY(JunMin1)=1,IF(AND(YEAR(JunMin1+30)=TahunKalender,MONTH(JunMin1+30)=6),JunMin1+30,""),IF(AND(YEAR(JunMin1+37)=TahunKalender,MONTH(JunMin1+37)=6),JunMin1+37,""))</f>
        <v/>
      </c>
      <c r="N40" s="43" t="str">
        <f ca="1">IF(DAY(JunMin1)=1,IF(AND(YEAR(JunMin1+31)=TahunKalender,MONTH(JunMin1+31)=6),JunMin1+31,""),IF(AND(YEAR(JunMin1+38)=TahunKalender,MONTH(JunMin1+38)=6),JunMin1+38,""))</f>
        <v/>
      </c>
      <c r="O40" s="43" t="str">
        <f ca="1">IF(DAY(JunMin1)=1,IF(AND(YEAR(JunMin1+32)=TahunKalender,MONTH(JunMin1+32)=6),JunMin1+32,""),IF(AND(YEAR(JunMin1+39)=TahunKalender,MONTH(JunMin1+39)=6),JunMin1+39,""))</f>
        <v/>
      </c>
      <c r="P40" s="43" t="str">
        <f ca="1">IF(DAY(JunMin1)=1,IF(AND(YEAR(JunMin1+33)=TahunKalender,MONTH(JunMin1+33)=6),JunMin1+33,""),IF(AND(YEAR(JunMin1+40)=TahunKalender,MONTH(JunMin1+40)=6),JunMin1+40,""))</f>
        <v/>
      </c>
      <c r="Q40" s="43" t="str">
        <f ca="1">IF(DAY(JunMin1)=1,IF(AND(YEAR(JunMin1+34)=TahunKalender,MONTH(JunMin1+34)=6),JunMin1+34,""),IF(AND(YEAR(JunMin1+41)=TahunKalender,MONTH(JunMin1+41)=6),JunMin1+41,""))</f>
        <v/>
      </c>
      <c r="R40" s="43" t="str">
        <f ca="1">IF(DAY(JunMin1)=1,IF(AND(YEAR(JunMin1+35)=TahunKalender,MONTH(JunMin1+35)=6),JunMin1+35,""),IF(AND(YEAR(JunMin1+42)=TahunKalender,MONTH(JunMin1+42)=6),JunMin1+42,""))</f>
        <v/>
      </c>
      <c r="S40" s="36"/>
      <c r="T40" s="40"/>
      <c r="U40" s="43" t="str">
        <f ca="1">IF(DAY(JulMin1)=1,IF(AND(YEAR(JulMin1+29)=TahunKalender,MONTH(JulMin1+29)=7),JulMin1+29,""),IF(AND(YEAR(JulMin1+36)=TahunKalender,MONTH(JulMin1+36)=7),JulMin1+36,""))</f>
        <v/>
      </c>
      <c r="V40" s="43" t="str">
        <f ca="1">IF(DAY(JulMin1)=1,IF(AND(YEAR(JulMin1+30)=TahunKalender,MONTH(JulMin1+30)=7),JulMin1+30,""),IF(AND(YEAR(JulMin1+37)=TahunKalender,MONTH(JulMin1+37)=7),JulMin1+37,""))</f>
        <v/>
      </c>
      <c r="W40" s="43" t="str">
        <f ca="1">IF(DAY(JulMin1)=1,IF(AND(YEAR(JulMin1+31)=TahunKalender,MONTH(JulMin1+31)=7),JulMin1+31,""),IF(AND(YEAR(JulMin1+38)=TahunKalender,MONTH(JulMin1+38)=7),JulMin1+38,""))</f>
        <v/>
      </c>
      <c r="X40" s="43" t="str">
        <f ca="1">IF(DAY(JulMin1)=1,IF(AND(YEAR(JulMin1+32)=TahunKalender,MONTH(JulMin1+32)=7),JulMin1+32,""),IF(AND(YEAR(JulMin1+39)=TahunKalender,MONTH(JulMin1+39)=7),JulMin1+39,""))</f>
        <v/>
      </c>
      <c r="Y40" s="43" t="str">
        <f ca="1">IF(DAY(JulMin1)=1,IF(AND(YEAR(JulMin1+33)=TahunKalender,MONTH(JulMin1+33)=7),JulMin1+33,""),IF(AND(YEAR(JulMin1+40)=TahunKalender,MONTH(JulMin1+40)=7),JulMin1+40,""))</f>
        <v/>
      </c>
      <c r="Z40" s="43" t="str">
        <f ca="1">IF(DAY(JulMin1)=1,IF(AND(YEAR(JulMin1+34)=TahunKalender,MONTH(JulMin1+34)=7),JulMin1+34,""),IF(AND(YEAR(JulMin1+41)=TahunKalender,MONTH(JulMin1+41)=7),JulMin1+41,""))</f>
        <v/>
      </c>
      <c r="AA40" s="43" t="str">
        <f ca="1">IF(DAY(JulMin1)=1,IF(AND(YEAR(JulMin1+35)=TahunKalender,MONTH(JulMin1+35)=7),JulMin1+35,""),IF(AND(YEAR(JulMin1+42)=TahunKalender,MONTH(JulMin1+42)=7),JulMin1+42,""))</f>
        <v/>
      </c>
      <c r="AB40" s="36"/>
      <c r="AC40" s="39"/>
      <c r="AD40" s="43" t="str">
        <f ca="1">IF(DAY(AguMin1)=1,IF(AND(YEAR(AguMin1+29)=TahunKalender,MONTH(AguMin1+29)=8),AguMin1+29,""),IF(AND(YEAR(AguMin1+36)=TahunKalender,MONTH(AguMin1+36)=8),AguMin1+36,""))</f>
        <v/>
      </c>
      <c r="AE40" s="43" t="str">
        <f ca="1">IF(DAY(AguMin1)=1,IF(AND(YEAR(AguMin1+30)=TahunKalender,MONTH(AguMin1+30)=8),AguMin1+30,""),IF(AND(YEAR(AguMin1+37)=TahunKalender,MONTH(AguMin1+37)=8),AguMin1+37,""))</f>
        <v/>
      </c>
      <c r="AF40" s="43" t="str">
        <f ca="1">IF(DAY(AguMin1)=1,IF(AND(YEAR(AguMin1+31)=TahunKalender,MONTH(AguMin1+31)=8),AguMin1+31,""),IF(AND(YEAR(AguMin1+38)=TahunKalender,MONTH(AguMin1+38)=8),AguMin1+38,""))</f>
        <v/>
      </c>
      <c r="AG40" s="43" t="str">
        <f ca="1">IF(DAY(AguMin1)=1,IF(AND(YEAR(AguMin1+32)=TahunKalender,MONTH(AguMin1+32)=8),AguMin1+32,""),IF(AND(YEAR(AguMin1+39)=TahunKalender,MONTH(AguMin1+39)=8),AguMin1+39,""))</f>
        <v/>
      </c>
      <c r="AH40" s="43" t="str">
        <f ca="1">IF(DAY(AguMin1)=1,IF(AND(YEAR(AguMin1+33)=TahunKalender,MONTH(AguMin1+33)=8),AguMin1+33,""),IF(AND(YEAR(AguMin1+40)=TahunKalender,MONTH(AguMin1+40)=8),AguMin1+40,""))</f>
        <v/>
      </c>
      <c r="AI40" s="43" t="str">
        <f ca="1">IF(DAY(AguMin1)=1,IF(AND(YEAR(AguMin1+34)=TahunKalender,MONTH(AguMin1+34)=8),AguMin1+34,""),IF(AND(YEAR(AguMin1+41)=TahunKalender,MONTH(AguMin1+41)=8),AguMin1+41,""))</f>
        <v/>
      </c>
      <c r="AJ40" s="43" t="str">
        <f ca="1">IF(DAY(AguMin1)=1,IF(AND(YEAR(AguMin1+35)=TahunKalender,MONTH(AguMin1+35)=8),AguMin1+35,""),IF(AND(YEAR(AguMin1+42)=TahunKalender,MONTH(AguMin1+42)=8),AguMin1+42,""))</f>
        <v/>
      </c>
    </row>
    <row r="41" spans="1:36" ht="15" x14ac:dyDescent="0.2">
      <c r="A41" s="26" t="s">
        <v>17</v>
      </c>
      <c r="C41" s="39"/>
      <c r="D41" s="39"/>
      <c r="E41" s="39"/>
      <c r="F41" s="39"/>
      <c r="G41" s="39"/>
      <c r="H41" s="39"/>
      <c r="I41" s="39"/>
      <c r="J41" s="38"/>
      <c r="K41" s="35"/>
      <c r="L41" s="39"/>
      <c r="M41" s="39"/>
      <c r="N41" s="39"/>
      <c r="O41" s="39"/>
      <c r="P41" s="39"/>
      <c r="Q41" s="39"/>
      <c r="R41" s="39"/>
      <c r="S41" s="38"/>
      <c r="T41" s="40"/>
      <c r="U41" s="35"/>
      <c r="V41" s="35"/>
      <c r="W41" s="35"/>
      <c r="X41" s="35"/>
      <c r="Y41" s="35"/>
      <c r="Z41" s="35"/>
      <c r="AA41" s="35"/>
      <c r="AB41" s="36"/>
      <c r="AC41" s="39"/>
      <c r="AD41" s="35"/>
      <c r="AE41" s="35"/>
      <c r="AF41" s="35"/>
      <c r="AG41" s="35"/>
      <c r="AH41" s="35"/>
      <c r="AI41" s="35"/>
      <c r="AJ41" s="35"/>
    </row>
    <row r="42" spans="1:36" ht="15.75" x14ac:dyDescent="0.25">
      <c r="A42" s="26" t="s">
        <v>18</v>
      </c>
      <c r="C42" s="44">
        <f ca="1">DATE(TahunKalender,9,1)</f>
        <v>43709</v>
      </c>
      <c r="D42" s="44"/>
      <c r="E42" s="44"/>
      <c r="F42" s="44"/>
      <c r="G42" s="44"/>
      <c r="H42" s="44"/>
      <c r="I42" s="44"/>
      <c r="J42" s="32"/>
      <c r="K42" s="39"/>
      <c r="L42" s="44">
        <f ca="1">DATE(TahunKalender,10,1)</f>
        <v>43739</v>
      </c>
      <c r="M42" s="44"/>
      <c r="N42" s="44"/>
      <c r="O42" s="44"/>
      <c r="P42" s="44"/>
      <c r="Q42" s="44"/>
      <c r="R42" s="44"/>
      <c r="S42" s="32"/>
      <c r="T42" s="40"/>
      <c r="U42" s="44">
        <f ca="1">DATE(TahunKalender,11,1)</f>
        <v>43770</v>
      </c>
      <c r="V42" s="44"/>
      <c r="W42" s="44"/>
      <c r="X42" s="44"/>
      <c r="Y42" s="44"/>
      <c r="Z42" s="44"/>
      <c r="AA42" s="44"/>
      <c r="AB42" s="32"/>
      <c r="AC42" s="39"/>
      <c r="AD42" s="44">
        <f ca="1">DATE(TahunKalender,12,1)</f>
        <v>43800</v>
      </c>
      <c r="AE42" s="44"/>
      <c r="AF42" s="44"/>
      <c r="AG42" s="44"/>
      <c r="AH42" s="44"/>
      <c r="AI42" s="44"/>
      <c r="AJ42" s="44"/>
    </row>
    <row r="43" spans="1:36" ht="15" x14ac:dyDescent="0.25">
      <c r="A43" s="26" t="s">
        <v>19</v>
      </c>
      <c r="C43" s="21" t="s">
        <v>21</v>
      </c>
      <c r="D43" s="21" t="s">
        <v>24</v>
      </c>
      <c r="E43" s="21" t="s">
        <v>25</v>
      </c>
      <c r="F43" s="21" t="s">
        <v>26</v>
      </c>
      <c r="G43" s="21" t="s">
        <v>27</v>
      </c>
      <c r="H43" s="21" t="s">
        <v>30</v>
      </c>
      <c r="I43" s="21" t="s">
        <v>31</v>
      </c>
      <c r="J43" s="34"/>
      <c r="K43" s="39"/>
      <c r="L43" s="21" t="s">
        <v>21</v>
      </c>
      <c r="M43" s="21" t="s">
        <v>24</v>
      </c>
      <c r="N43" s="21" t="s">
        <v>25</v>
      </c>
      <c r="O43" s="21" t="s">
        <v>26</v>
      </c>
      <c r="P43" s="21" t="s">
        <v>27</v>
      </c>
      <c r="Q43" s="21" t="s">
        <v>30</v>
      </c>
      <c r="R43" s="21" t="s">
        <v>31</v>
      </c>
      <c r="S43" s="34"/>
      <c r="T43" s="40"/>
      <c r="U43" s="21" t="s">
        <v>21</v>
      </c>
      <c r="V43" s="21" t="s">
        <v>24</v>
      </c>
      <c r="W43" s="21" t="s">
        <v>25</v>
      </c>
      <c r="X43" s="21" t="s">
        <v>26</v>
      </c>
      <c r="Y43" s="21" t="s">
        <v>27</v>
      </c>
      <c r="Z43" s="21" t="s">
        <v>30</v>
      </c>
      <c r="AA43" s="21" t="s">
        <v>31</v>
      </c>
      <c r="AB43" s="34"/>
      <c r="AC43" s="42"/>
      <c r="AD43" s="21" t="s">
        <v>21</v>
      </c>
      <c r="AE43" s="21" t="s">
        <v>24</v>
      </c>
      <c r="AF43" s="21" t="s">
        <v>25</v>
      </c>
      <c r="AG43" s="21" t="s">
        <v>26</v>
      </c>
      <c r="AH43" s="21" t="s">
        <v>27</v>
      </c>
      <c r="AI43" s="21" t="s">
        <v>30</v>
      </c>
      <c r="AJ43" s="21" t="s">
        <v>31</v>
      </c>
    </row>
    <row r="44" spans="1:36" ht="15" x14ac:dyDescent="0.2">
      <c r="A44" s="26" t="s">
        <v>20</v>
      </c>
      <c r="C44" s="43" t="str">
        <f ca="1">IF(DAY(SepMin1)=1,"",IF(AND(YEAR(SepMin1+1)=TahunKalender,MONTH(SepMin1+1)=9),SepMin1+1,""))</f>
        <v/>
      </c>
      <c r="D44" s="43" t="str">
        <f ca="1">IF(DAY(SepMin1)=1,"",IF(AND(YEAR(SepMin1+2)=TahunKalender,MONTH(SepMin1+2)=9),SepMin1+2,""))</f>
        <v/>
      </c>
      <c r="E44" s="43" t="str">
        <f ca="1">IF(DAY(SepMin1)=1,"",IF(AND(YEAR(SepMin1+3)=TahunKalender,MONTH(SepMin1+3)=9),SepMin1+3,""))</f>
        <v/>
      </c>
      <c r="F44" s="43" t="str">
        <f ca="1">IF(DAY(SepMin1)=1,"",IF(AND(YEAR(SepMin1+4)=TahunKalender,MONTH(SepMin1+4)=9),SepMin1+4,""))</f>
        <v/>
      </c>
      <c r="G44" s="43" t="str">
        <f ca="1">IF(DAY(SepMin1)=1,"",IF(AND(YEAR(SepMin1+5)=TahunKalender,MONTH(SepMin1+5)=9),SepMin1+5,""))</f>
        <v/>
      </c>
      <c r="H44" s="43" t="str">
        <f ca="1">IF(DAY(SepMin1)=1,"",IF(AND(YEAR(SepMin1+6)=TahunKalender,MONTH(SepMin1+6)=9),SepMin1+6,""))</f>
        <v/>
      </c>
      <c r="I44" s="43">
        <f ca="1">IF(DAY(SepMin1)=1,IF(AND(YEAR(SepMin1)=TahunKalender,MONTH(SepMin1)=9),SepMin1,""),IF(AND(YEAR(SepMin1+7)=TahunKalender,MONTH(SepMin1+7)=9),SepMin1+7,""))</f>
        <v>43709</v>
      </c>
      <c r="J44" s="36"/>
      <c r="K44" s="39"/>
      <c r="L44" s="43" t="str">
        <f ca="1">IF(DAY(OktMin1)=1,"",IF(AND(YEAR(OktMin1+1)=TahunKalender,MONTH(OktMin1+1)=10),OktMin1+1,""))</f>
        <v/>
      </c>
      <c r="M44" s="43">
        <f ca="1">IF(DAY(OktMin1)=1,"",IF(AND(YEAR(OktMin1+2)=TahunKalender,MONTH(OktMin1+2)=10),OktMin1+2,""))</f>
        <v>43739</v>
      </c>
      <c r="N44" s="43">
        <f ca="1">IF(DAY(OktMin1)=1,"",IF(AND(YEAR(OktMin1+3)=TahunKalender,MONTH(OktMin1+3)=10),OktMin1+3,""))</f>
        <v>43740</v>
      </c>
      <c r="O44" s="43">
        <f ca="1">IF(DAY(OktMin1)=1,"",IF(AND(YEAR(OktMin1+4)=TahunKalender,MONTH(OktMin1+4)=10),OktMin1+4,""))</f>
        <v>43741</v>
      </c>
      <c r="P44" s="43">
        <f ca="1">IF(DAY(OktMin1)=1,"",IF(AND(YEAR(OktMin1+5)=TahunKalender,MONTH(OktMin1+5)=10),OktMin1+5,""))</f>
        <v>43742</v>
      </c>
      <c r="Q44" s="43">
        <f ca="1">IF(DAY(OktMin1)=1,"",IF(AND(YEAR(OktMin1+6)=TahunKalender,MONTH(OktMin1+6)=10),OktMin1+6,""))</f>
        <v>43743</v>
      </c>
      <c r="R44" s="43">
        <f ca="1">IF(DAY(OktMin1)=1,IF(AND(YEAR(OktMin1)=TahunKalender,MONTH(OktMin1)=10),OktMin1,""),IF(AND(YEAR(OktMin1+7)=TahunKalender,MONTH(OktMin1+7)=10),OktMin1+7,""))</f>
        <v>43744</v>
      </c>
      <c r="S44" s="36"/>
      <c r="T44" s="40"/>
      <c r="U44" s="43" t="str">
        <f ca="1">IF(DAY(NovMin1)=1,"",IF(AND(YEAR(NovMin1+1)=TahunKalender,MONTH(NovMin1+1)=11),NovMin1+1,""))</f>
        <v/>
      </c>
      <c r="V44" s="43" t="str">
        <f ca="1">IF(DAY(NovMin1)=1,"",IF(AND(YEAR(NovMin1+2)=TahunKalender,MONTH(NovMin1+2)=11),NovMin1+2,""))</f>
        <v/>
      </c>
      <c r="W44" s="43" t="str">
        <f ca="1">IF(DAY(NovMin1)=1,"",IF(AND(YEAR(NovMin1+3)=TahunKalender,MONTH(NovMin1+3)=11),NovMin1+3,""))</f>
        <v/>
      </c>
      <c r="X44" s="43" t="str">
        <f ca="1">IF(DAY(NovMin1)=1,"",IF(AND(YEAR(NovMin1+4)=TahunKalender,MONTH(NovMin1+4)=11),NovMin1+4,""))</f>
        <v/>
      </c>
      <c r="Y44" s="43">
        <f ca="1">IF(DAY(NovMin1)=1,"",IF(AND(YEAR(NovMin1+5)=TahunKalender,MONTH(NovMin1+5)=11),NovMin1+5,""))</f>
        <v>43770</v>
      </c>
      <c r="Z44" s="43">
        <f ca="1">IF(DAY(NovMin1)=1,"",IF(AND(YEAR(NovMin1+6)=TahunKalender,MONTH(NovMin1+6)=11),NovMin1+6,""))</f>
        <v>43771</v>
      </c>
      <c r="AA44" s="43">
        <f ca="1">IF(DAY(NovMin1)=1,IF(AND(YEAR(NovMin1)=TahunKalender,MONTH(NovMin1)=11),NovMin1,""),IF(AND(YEAR(NovMin1+7)=TahunKalender,MONTH(NovMin1+7)=11),NovMin1+7,""))</f>
        <v>43772</v>
      </c>
      <c r="AB44" s="36"/>
      <c r="AC44" s="39"/>
      <c r="AD44" s="43" t="str">
        <f ca="1">IF(DAY(DesMin1)=1,"",IF(AND(YEAR(DesMin1+1)=TahunKalender,MONTH(DesMin1+1)=12),DesMin1+1,""))</f>
        <v/>
      </c>
      <c r="AE44" s="43" t="str">
        <f ca="1">IF(DAY(DesMin1)=1,"",IF(AND(YEAR(DesMin1+2)=TahunKalender,MONTH(DesMin1+2)=12),DesMin1+2,""))</f>
        <v/>
      </c>
      <c r="AF44" s="43" t="str">
        <f ca="1">IF(DAY(DesMin1)=1,"",IF(AND(YEAR(DesMin1+3)=TahunKalender,MONTH(DesMin1+3)=12),DesMin1+3,""))</f>
        <v/>
      </c>
      <c r="AG44" s="43" t="str">
        <f ca="1">IF(DAY(DesMin1)=1,"",IF(AND(YEAR(DesMin1+4)=TahunKalender,MONTH(DesMin1+4)=12),DesMin1+4,""))</f>
        <v/>
      </c>
      <c r="AH44" s="43" t="str">
        <f ca="1">IF(DAY(DesMin1)=1,"",IF(AND(YEAR(DesMin1+5)=TahunKalender,MONTH(DesMin1+5)=12),DesMin1+5,""))</f>
        <v/>
      </c>
      <c r="AI44" s="43" t="str">
        <f ca="1">IF(DAY(DesMin1)=1,"",IF(AND(YEAR(DesMin1+6)=TahunKalender,MONTH(DesMin1+6)=12),DesMin1+6,""))</f>
        <v/>
      </c>
      <c r="AJ44" s="43">
        <f ca="1">IF(DAY(DesMin1)=1,IF(AND(YEAR(DesMin1)=TahunKalender,MONTH(DesMin1)=12),DesMin1,""),IF(AND(YEAR(DesMin1+7)=TahunKalender,MONTH(DesMin1+7)=12),DesMin1+7,""))</f>
        <v>43800</v>
      </c>
    </row>
    <row r="45" spans="1:36" x14ac:dyDescent="0.2">
      <c r="C45" s="43">
        <f ca="1">IF(DAY(SepMin1)=1,IF(AND(YEAR(SepMin1+1)=TahunKalender,MONTH(SepMin1+1)=9),SepMin1+1,""),IF(AND(YEAR(SepMin1+8)=TahunKalender,MONTH(SepMin1+8)=9),SepMin1+8,""))</f>
        <v>43710</v>
      </c>
      <c r="D45" s="43">
        <f ca="1">IF(DAY(SepMin1)=1,IF(AND(YEAR(SepMin1+2)=TahunKalender,MONTH(SepMin1+2)=9),SepMin1+2,""),IF(AND(YEAR(SepMin1+9)=TahunKalender,MONTH(SepMin1+9)=9),SepMin1+9,""))</f>
        <v>43711</v>
      </c>
      <c r="E45" s="43">
        <f ca="1">IF(DAY(SepMin1)=1,IF(AND(YEAR(SepMin1+3)=TahunKalender,MONTH(SepMin1+3)=9),SepMin1+3,""),IF(AND(YEAR(SepMin1+10)=TahunKalender,MONTH(SepMin1+10)=9),SepMin1+10,""))</f>
        <v>43712</v>
      </c>
      <c r="F45" s="43">
        <f ca="1">IF(DAY(SepMin1)=1,IF(AND(YEAR(SepMin1+4)=TahunKalender,MONTH(SepMin1+4)=9),SepMin1+4,""),IF(AND(YEAR(SepMin1+11)=TahunKalender,MONTH(SepMin1+11)=9),SepMin1+11,""))</f>
        <v>43713</v>
      </c>
      <c r="G45" s="43">
        <f ca="1">IF(DAY(SepMin1)=1,IF(AND(YEAR(SepMin1+5)=TahunKalender,MONTH(SepMin1+5)=9),SepMin1+5,""),IF(AND(YEAR(SepMin1+12)=TahunKalender,MONTH(SepMin1+12)=9),SepMin1+12,""))</f>
        <v>43714</v>
      </c>
      <c r="H45" s="43">
        <f ca="1">IF(DAY(SepMin1)=1,IF(AND(YEAR(SepMin1+6)=TahunKalender,MONTH(SepMin1+6)=9),SepMin1+6,""),IF(AND(YEAR(SepMin1+13)=TahunKalender,MONTH(SepMin1+13)=9),SepMin1+13,""))</f>
        <v>43715</v>
      </c>
      <c r="I45" s="43">
        <f ca="1">IF(DAY(SepMin1)=1,IF(AND(YEAR(SepMin1+7)=TahunKalender,MONTH(SepMin1+7)=9),SepMin1+7,""),IF(AND(YEAR(SepMin1+14)=TahunKalender,MONTH(SepMin1+14)=9),SepMin1+14,""))</f>
        <v>43716</v>
      </c>
      <c r="J45" s="36"/>
      <c r="K45" s="39"/>
      <c r="L45" s="43">
        <f ca="1">IF(DAY(OktMin1)=1,IF(AND(YEAR(OktMin1+1)=TahunKalender,MONTH(OktMin1+1)=10),OktMin1+1,""),IF(AND(YEAR(OktMin1+8)=TahunKalender,MONTH(OktMin1+8)=10),OktMin1+8,""))</f>
        <v>43745</v>
      </c>
      <c r="M45" s="43">
        <f ca="1">IF(DAY(OktMin1)=1,IF(AND(YEAR(OktMin1+2)=TahunKalender,MONTH(OktMin1+2)=10),OktMin1+2,""),IF(AND(YEAR(OktMin1+9)=TahunKalender,MONTH(OktMin1+9)=10),OktMin1+9,""))</f>
        <v>43746</v>
      </c>
      <c r="N45" s="43">
        <f ca="1">IF(DAY(OktMin1)=1,IF(AND(YEAR(OktMin1+3)=TahunKalender,MONTH(OktMin1+3)=10),OktMin1+3,""),IF(AND(YEAR(OktMin1+10)=TahunKalender,MONTH(OktMin1+10)=10),OktMin1+10,""))</f>
        <v>43747</v>
      </c>
      <c r="O45" s="43">
        <f ca="1">IF(DAY(OktMin1)=1,IF(AND(YEAR(OktMin1+4)=TahunKalender,MONTH(OktMin1+4)=10),OktMin1+4,""),IF(AND(YEAR(OktMin1+11)=TahunKalender,MONTH(OktMin1+11)=10),OktMin1+11,""))</f>
        <v>43748</v>
      </c>
      <c r="P45" s="43">
        <f ca="1">IF(DAY(OktMin1)=1,IF(AND(YEAR(OktMin1+5)=TahunKalender,MONTH(OktMin1+5)=10),OktMin1+5,""),IF(AND(YEAR(OktMin1+12)=TahunKalender,MONTH(OktMin1+12)=10),OktMin1+12,""))</f>
        <v>43749</v>
      </c>
      <c r="Q45" s="43">
        <f ca="1">IF(DAY(OktMin1)=1,IF(AND(YEAR(OktMin1+6)=TahunKalender,MONTH(OktMin1+6)=10),OktMin1+6,""),IF(AND(YEAR(OktMin1+13)=TahunKalender,MONTH(OktMin1+13)=10),OktMin1+13,""))</f>
        <v>43750</v>
      </c>
      <c r="R45" s="43">
        <f ca="1">IF(DAY(OktMin1)=1,IF(AND(YEAR(OktMin1+7)=TahunKalender,MONTH(OktMin1+7)=10),OktMin1+7,""),IF(AND(YEAR(OktMin1+14)=TahunKalender,MONTH(OktMin1+14)=10),OktMin1+14,""))</f>
        <v>43751</v>
      </c>
      <c r="S45" s="36"/>
      <c r="T45" s="40"/>
      <c r="U45" s="43">
        <f ca="1">IF(DAY(NovMin1)=1,IF(AND(YEAR(NovMin1+1)=TahunKalender,MONTH(NovMin1+1)=11),NovMin1+1,""),IF(AND(YEAR(NovMin1+8)=TahunKalender,MONTH(NovMin1+8)=11),NovMin1+8,""))</f>
        <v>43773</v>
      </c>
      <c r="V45" s="43">
        <f ca="1">IF(DAY(NovMin1)=1,IF(AND(YEAR(NovMin1+2)=TahunKalender,MONTH(NovMin1+2)=11),NovMin1+2,""),IF(AND(YEAR(NovMin1+9)=TahunKalender,MONTH(NovMin1+9)=11),NovMin1+9,""))</f>
        <v>43774</v>
      </c>
      <c r="W45" s="43">
        <f ca="1">IF(DAY(NovMin1)=1,IF(AND(YEAR(NovMin1+3)=TahunKalender,MONTH(NovMin1+3)=11),NovMin1+3,""),IF(AND(YEAR(NovMin1+10)=TahunKalender,MONTH(NovMin1+10)=11),NovMin1+10,""))</f>
        <v>43775</v>
      </c>
      <c r="X45" s="43">
        <f ca="1">IF(DAY(NovMin1)=1,IF(AND(YEAR(NovMin1+4)=TahunKalender,MONTH(NovMin1+4)=11),NovMin1+4,""),IF(AND(YEAR(NovMin1+11)=TahunKalender,MONTH(NovMin1+11)=11),NovMin1+11,""))</f>
        <v>43776</v>
      </c>
      <c r="Y45" s="43">
        <f ca="1">IF(DAY(NovMin1)=1,IF(AND(YEAR(NovMin1+5)=TahunKalender,MONTH(NovMin1+5)=11),NovMin1+5,""),IF(AND(YEAR(NovMin1+12)=TahunKalender,MONTH(NovMin1+12)=11),NovMin1+12,""))</f>
        <v>43777</v>
      </c>
      <c r="Z45" s="43">
        <f ca="1">IF(DAY(NovMin1)=1,IF(AND(YEAR(NovMin1+6)=TahunKalender,MONTH(NovMin1+6)=11),NovMin1+6,""),IF(AND(YEAR(NovMin1+13)=TahunKalender,MONTH(NovMin1+13)=11),NovMin1+13,""))</f>
        <v>43778</v>
      </c>
      <c r="AA45" s="43">
        <f ca="1">IF(DAY(NovMin1)=1,IF(AND(YEAR(NovMin1+7)=TahunKalender,MONTH(NovMin1+7)=11),NovMin1+7,""),IF(AND(YEAR(NovMin1+14)=TahunKalender,MONTH(NovMin1+14)=11),NovMin1+14,""))</f>
        <v>43779</v>
      </c>
      <c r="AB45" s="36"/>
      <c r="AC45" s="39"/>
      <c r="AD45" s="43">
        <f ca="1">IF(DAY(DesMin1)=1,IF(AND(YEAR(DesMin1+1)=TahunKalender,MONTH(DesMin1+1)=12),DesMin1+1,""),IF(AND(YEAR(DesMin1+8)=TahunKalender,MONTH(DesMin1+8)=12),DesMin1+8,""))</f>
        <v>43801</v>
      </c>
      <c r="AE45" s="43">
        <f ca="1">IF(DAY(DesMin1)=1,IF(AND(YEAR(DesMin1+2)=TahunKalender,MONTH(DesMin1+2)=12),DesMin1+2,""),IF(AND(YEAR(DesMin1+9)=TahunKalender,MONTH(DesMin1+9)=12),DesMin1+9,""))</f>
        <v>43802</v>
      </c>
      <c r="AF45" s="43">
        <f ca="1">IF(DAY(DesMin1)=1,IF(AND(YEAR(DesMin1+3)=TahunKalender,MONTH(DesMin1+3)=12),DesMin1+3,""),IF(AND(YEAR(DesMin1+10)=TahunKalender,MONTH(DesMin1+10)=12),DesMin1+10,""))</f>
        <v>43803</v>
      </c>
      <c r="AG45" s="43">
        <f ca="1">IF(DAY(DesMin1)=1,IF(AND(YEAR(DesMin1+4)=TahunKalender,MONTH(DesMin1+4)=12),DesMin1+4,""),IF(AND(YEAR(DesMin1+11)=TahunKalender,MONTH(DesMin1+11)=12),DesMin1+11,""))</f>
        <v>43804</v>
      </c>
      <c r="AH45" s="43">
        <f ca="1">IF(DAY(DesMin1)=1,IF(AND(YEAR(DesMin1+5)=TahunKalender,MONTH(DesMin1+5)=12),DesMin1+5,""),IF(AND(YEAR(DesMin1+12)=TahunKalender,MONTH(DesMin1+12)=12),DesMin1+12,""))</f>
        <v>43805</v>
      </c>
      <c r="AI45" s="43">
        <f ca="1">IF(DAY(DesMin1)=1,IF(AND(YEAR(DesMin1+6)=TahunKalender,MONTH(DesMin1+6)=12),DesMin1+6,""),IF(AND(YEAR(DesMin1+13)=TahunKalender,MONTH(DesMin1+13)=12),DesMin1+13,""))</f>
        <v>43806</v>
      </c>
      <c r="AJ45" s="43">
        <f ca="1">IF(DAY(DesMin1)=1,IF(AND(YEAR(DesMin1+7)=TahunKalender,MONTH(DesMin1+7)=12),DesMin1+7,""),IF(AND(YEAR(DesMin1+14)=TahunKalender,MONTH(DesMin1+14)=12),DesMin1+14,""))</f>
        <v>43807</v>
      </c>
    </row>
    <row r="46" spans="1:36" x14ac:dyDescent="0.2">
      <c r="C46" s="43">
        <f ca="1">IF(DAY(SepMin1)=1,IF(AND(YEAR(SepMin1+8)=TahunKalender,MONTH(SepMin1+8)=9),SepMin1+8,""),IF(AND(YEAR(SepMin1+15)=TahunKalender,MONTH(SepMin1+15)=9),SepMin1+15,""))</f>
        <v>43717</v>
      </c>
      <c r="D46" s="43">
        <f ca="1">IF(DAY(SepMin1)=1,IF(AND(YEAR(SepMin1+9)=TahunKalender,MONTH(SepMin1+9)=9),SepMin1+9,""),IF(AND(YEAR(SepMin1+16)=TahunKalender,MONTH(SepMin1+16)=9),SepMin1+16,""))</f>
        <v>43718</v>
      </c>
      <c r="E46" s="43">
        <f ca="1">IF(DAY(SepMin1)=1,IF(AND(YEAR(SepMin1+10)=TahunKalender,MONTH(SepMin1+10)=9),SepMin1+10,""),IF(AND(YEAR(SepMin1+17)=TahunKalender,MONTH(SepMin1+17)=9),SepMin1+17,""))</f>
        <v>43719</v>
      </c>
      <c r="F46" s="43">
        <f ca="1">IF(DAY(SepMin1)=1,IF(AND(YEAR(SepMin1+11)=TahunKalender,MONTH(SepMin1+11)=9),SepMin1+11,""),IF(AND(YEAR(SepMin1+18)=TahunKalender,MONTH(SepMin1+18)=9),SepMin1+18,""))</f>
        <v>43720</v>
      </c>
      <c r="G46" s="43">
        <f ca="1">IF(DAY(SepMin1)=1,IF(AND(YEAR(SepMin1+12)=TahunKalender,MONTH(SepMin1+12)=9),SepMin1+12,""),IF(AND(YEAR(SepMin1+19)=TahunKalender,MONTH(SepMin1+19)=9),SepMin1+19,""))</f>
        <v>43721</v>
      </c>
      <c r="H46" s="43">
        <f ca="1">IF(DAY(SepMin1)=1,IF(AND(YEAR(SepMin1+13)=TahunKalender,MONTH(SepMin1+13)=9),SepMin1+13,""),IF(AND(YEAR(SepMin1+20)=TahunKalender,MONTH(SepMin1+20)=9),SepMin1+20,""))</f>
        <v>43722</v>
      </c>
      <c r="I46" s="43">
        <f ca="1">IF(DAY(SepMin1)=1,IF(AND(YEAR(SepMin1+14)=TahunKalender,MONTH(SepMin1+14)=9),SepMin1+14,""),IF(AND(YEAR(SepMin1+21)=TahunKalender,MONTH(SepMin1+21)=9),SepMin1+21,""))</f>
        <v>43723</v>
      </c>
      <c r="J46" s="36"/>
      <c r="K46" s="39"/>
      <c r="L46" s="43">
        <f ca="1">IF(DAY(OktMin1)=1,IF(AND(YEAR(OktMin1+8)=TahunKalender,MONTH(OktMin1+8)=10),OktMin1+8,""),IF(AND(YEAR(OktMin1+15)=TahunKalender,MONTH(OktMin1+15)=10),OktMin1+15,""))</f>
        <v>43752</v>
      </c>
      <c r="M46" s="43">
        <f ca="1">IF(DAY(OktMin1)=1,IF(AND(YEAR(OktMin1+9)=TahunKalender,MONTH(OktMin1+9)=10),OktMin1+9,""),IF(AND(YEAR(OktMin1+16)=TahunKalender,MONTH(OktMin1+16)=10),OktMin1+16,""))</f>
        <v>43753</v>
      </c>
      <c r="N46" s="43">
        <f ca="1">IF(DAY(OktMin1)=1,IF(AND(YEAR(OktMin1+10)=TahunKalender,MONTH(OktMin1+10)=10),OktMin1+10,""),IF(AND(YEAR(OktMin1+17)=TahunKalender,MONTH(OktMin1+17)=10),OktMin1+17,""))</f>
        <v>43754</v>
      </c>
      <c r="O46" s="43">
        <f ca="1">IF(DAY(OktMin1)=1,IF(AND(YEAR(OktMin1+11)=TahunKalender,MONTH(OktMin1+11)=10),OktMin1+11,""),IF(AND(YEAR(OktMin1+18)=TahunKalender,MONTH(OktMin1+18)=10),OktMin1+18,""))</f>
        <v>43755</v>
      </c>
      <c r="P46" s="43">
        <f ca="1">IF(DAY(OktMin1)=1,IF(AND(YEAR(OktMin1+12)=TahunKalender,MONTH(OktMin1+12)=10),OktMin1+12,""),IF(AND(YEAR(OktMin1+19)=TahunKalender,MONTH(OktMin1+19)=10),OktMin1+19,""))</f>
        <v>43756</v>
      </c>
      <c r="Q46" s="43">
        <f ca="1">IF(DAY(OktMin1)=1,IF(AND(YEAR(OktMin1+13)=TahunKalender,MONTH(OktMin1+13)=10),OktMin1+13,""),IF(AND(YEAR(OktMin1+20)=TahunKalender,MONTH(OktMin1+20)=10),OktMin1+20,""))</f>
        <v>43757</v>
      </c>
      <c r="R46" s="43">
        <f ca="1">IF(DAY(OktMin1)=1,IF(AND(YEAR(OktMin1+14)=TahunKalender,MONTH(OktMin1+14)=10),OktMin1+14,""),IF(AND(YEAR(OktMin1+21)=TahunKalender,MONTH(OktMin1+21)=10),OktMin1+21,""))</f>
        <v>43758</v>
      </c>
      <c r="S46" s="36"/>
      <c r="T46" s="40"/>
      <c r="U46" s="43">
        <f ca="1">IF(DAY(NovMin1)=1,IF(AND(YEAR(NovMin1+8)=TahunKalender,MONTH(NovMin1+8)=11),NovMin1+8,""),IF(AND(YEAR(NovMin1+15)=TahunKalender,MONTH(NovMin1+15)=11),NovMin1+15,""))</f>
        <v>43780</v>
      </c>
      <c r="V46" s="43">
        <f ca="1">IF(DAY(NovMin1)=1,IF(AND(YEAR(NovMin1+9)=TahunKalender,MONTH(NovMin1+9)=11),NovMin1+9,""),IF(AND(YEAR(NovMin1+16)=TahunKalender,MONTH(NovMin1+16)=11),NovMin1+16,""))</f>
        <v>43781</v>
      </c>
      <c r="W46" s="43">
        <f ca="1">IF(DAY(NovMin1)=1,IF(AND(YEAR(NovMin1+10)=TahunKalender,MONTH(NovMin1+10)=11),NovMin1+10,""),IF(AND(YEAR(NovMin1+17)=TahunKalender,MONTH(NovMin1+17)=11),NovMin1+17,""))</f>
        <v>43782</v>
      </c>
      <c r="X46" s="43">
        <f ca="1">IF(DAY(NovMin1)=1,IF(AND(YEAR(NovMin1+11)=TahunKalender,MONTH(NovMin1+11)=11),NovMin1+11,""),IF(AND(YEAR(NovMin1+18)=TahunKalender,MONTH(NovMin1+18)=11),NovMin1+18,""))</f>
        <v>43783</v>
      </c>
      <c r="Y46" s="43">
        <f ca="1">IF(DAY(NovMin1)=1,IF(AND(YEAR(NovMin1+12)=TahunKalender,MONTH(NovMin1+12)=11),NovMin1+12,""),IF(AND(YEAR(NovMin1+19)=TahunKalender,MONTH(NovMin1+19)=11),NovMin1+19,""))</f>
        <v>43784</v>
      </c>
      <c r="Z46" s="43">
        <f ca="1">IF(DAY(NovMin1)=1,IF(AND(YEAR(NovMin1+13)=TahunKalender,MONTH(NovMin1+13)=11),NovMin1+13,""),IF(AND(YEAR(NovMin1+20)=TahunKalender,MONTH(NovMin1+20)=11),NovMin1+20,""))</f>
        <v>43785</v>
      </c>
      <c r="AA46" s="43">
        <f ca="1">IF(DAY(NovMin1)=1,IF(AND(YEAR(NovMin1+14)=TahunKalender,MONTH(NovMin1+14)=11),NovMin1+14,""),IF(AND(YEAR(NovMin1+21)=TahunKalender,MONTH(NovMin1+21)=11),NovMin1+21,""))</f>
        <v>43786</v>
      </c>
      <c r="AB46" s="36"/>
      <c r="AC46" s="39"/>
      <c r="AD46" s="43">
        <f ca="1">IF(DAY(DesMin1)=1,IF(AND(YEAR(DesMin1+8)=TahunKalender,MONTH(DesMin1+8)=12),DesMin1+8,""),IF(AND(YEAR(DesMin1+15)=TahunKalender,MONTH(DesMin1+15)=12),DesMin1+15,""))</f>
        <v>43808</v>
      </c>
      <c r="AE46" s="43">
        <f ca="1">IF(DAY(DesMin1)=1,IF(AND(YEAR(DesMin1+9)=TahunKalender,MONTH(DesMin1+9)=12),DesMin1+9,""),IF(AND(YEAR(DesMin1+16)=TahunKalender,MONTH(DesMin1+16)=12),DesMin1+16,""))</f>
        <v>43809</v>
      </c>
      <c r="AF46" s="43">
        <f ca="1">IF(DAY(DesMin1)=1,IF(AND(YEAR(DesMin1+10)=TahunKalender,MONTH(DesMin1+10)=12),DesMin1+10,""),IF(AND(YEAR(DesMin1+17)=TahunKalender,MONTH(DesMin1+17)=12),DesMin1+17,""))</f>
        <v>43810</v>
      </c>
      <c r="AG46" s="43">
        <f ca="1">IF(DAY(DesMin1)=1,IF(AND(YEAR(DesMin1+11)=TahunKalender,MONTH(DesMin1+11)=12),DesMin1+11,""),IF(AND(YEAR(DesMin1+18)=TahunKalender,MONTH(DesMin1+18)=12),DesMin1+18,""))</f>
        <v>43811</v>
      </c>
      <c r="AH46" s="43">
        <f ca="1">IF(DAY(DesMin1)=1,IF(AND(YEAR(DesMin1+12)=TahunKalender,MONTH(DesMin1+12)=12),DesMin1+12,""),IF(AND(YEAR(DesMin1+19)=TahunKalender,MONTH(DesMin1+19)=12),DesMin1+19,""))</f>
        <v>43812</v>
      </c>
      <c r="AI46" s="43">
        <f ca="1">IF(DAY(DesMin1)=1,IF(AND(YEAR(DesMin1+13)=TahunKalender,MONTH(DesMin1+13)=12),DesMin1+13,""),IF(AND(YEAR(DesMin1+20)=TahunKalender,MONTH(DesMin1+20)=12),DesMin1+20,""))</f>
        <v>43813</v>
      </c>
      <c r="AJ46" s="43">
        <f ca="1">IF(DAY(DesMin1)=1,IF(AND(YEAR(DesMin1+14)=TahunKalender,MONTH(DesMin1+14)=12),DesMin1+14,""),IF(AND(YEAR(DesMin1+21)=TahunKalender,MONTH(DesMin1+21)=12),DesMin1+21,""))</f>
        <v>43814</v>
      </c>
    </row>
    <row r="47" spans="1:36" x14ac:dyDescent="0.2">
      <c r="C47" s="43">
        <f ca="1">IF(DAY(SepMin1)=1,IF(AND(YEAR(SepMin1+15)=TahunKalender,MONTH(SepMin1+15)=9),SepMin1+15,""),IF(AND(YEAR(SepMin1+22)=TahunKalender,MONTH(SepMin1+22)=9),SepMin1+22,""))</f>
        <v>43724</v>
      </c>
      <c r="D47" s="43">
        <f ca="1">IF(DAY(SepMin1)=1,IF(AND(YEAR(SepMin1+16)=TahunKalender,MONTH(SepMin1+16)=9),SepMin1+16,""),IF(AND(YEAR(SepMin1+23)=TahunKalender,MONTH(SepMin1+23)=9),SepMin1+23,""))</f>
        <v>43725</v>
      </c>
      <c r="E47" s="43">
        <f ca="1">IF(DAY(SepMin1)=1,IF(AND(YEAR(SepMin1+17)=TahunKalender,MONTH(SepMin1+17)=9),SepMin1+17,""),IF(AND(YEAR(SepMin1+24)=TahunKalender,MONTH(SepMin1+24)=9),SepMin1+24,""))</f>
        <v>43726</v>
      </c>
      <c r="F47" s="43">
        <f ca="1">IF(DAY(SepMin1)=1,IF(AND(YEAR(SepMin1+18)=TahunKalender,MONTH(SepMin1+18)=9),SepMin1+18,""),IF(AND(YEAR(SepMin1+25)=TahunKalender,MONTH(SepMin1+25)=9),SepMin1+25,""))</f>
        <v>43727</v>
      </c>
      <c r="G47" s="43">
        <f ca="1">IF(DAY(SepMin1)=1,IF(AND(YEAR(SepMin1+19)=TahunKalender,MONTH(SepMin1+19)=9),SepMin1+19,""),IF(AND(YEAR(SepMin1+26)=TahunKalender,MONTH(SepMin1+26)=9),SepMin1+26,""))</f>
        <v>43728</v>
      </c>
      <c r="H47" s="43">
        <f ca="1">IF(DAY(SepMin1)=1,IF(AND(YEAR(SepMin1+20)=TahunKalender,MONTH(SepMin1+20)=9),SepMin1+20,""),IF(AND(YEAR(SepMin1+27)=TahunKalender,MONTH(SepMin1+27)=9),SepMin1+27,""))</f>
        <v>43729</v>
      </c>
      <c r="I47" s="43">
        <f ca="1">IF(DAY(SepMin1)=1,IF(AND(YEAR(SepMin1+21)=TahunKalender,MONTH(SepMin1+21)=9),SepMin1+21,""),IF(AND(YEAR(SepMin1+28)=TahunKalender,MONTH(SepMin1+28)=9),SepMin1+28,""))</f>
        <v>43730</v>
      </c>
      <c r="J47" s="36"/>
      <c r="K47" s="39"/>
      <c r="L47" s="43">
        <f ca="1">IF(DAY(OktMin1)=1,IF(AND(YEAR(OktMin1+15)=TahunKalender,MONTH(OktMin1+15)=10),OktMin1+15,""),IF(AND(YEAR(OktMin1+22)=TahunKalender,MONTH(OktMin1+22)=10),OktMin1+22,""))</f>
        <v>43759</v>
      </c>
      <c r="M47" s="43">
        <f ca="1">IF(DAY(OktMin1)=1,IF(AND(YEAR(OktMin1+16)=TahunKalender,MONTH(OktMin1+16)=10),OktMin1+16,""),IF(AND(YEAR(OktMin1+23)=TahunKalender,MONTH(OktMin1+23)=10),OktMin1+23,""))</f>
        <v>43760</v>
      </c>
      <c r="N47" s="43">
        <f ca="1">IF(DAY(OktMin1)=1,IF(AND(YEAR(OktMin1+17)=TahunKalender,MONTH(OktMin1+17)=10),OktMin1+17,""),IF(AND(YEAR(OktMin1+24)=TahunKalender,MONTH(OktMin1+24)=10),OktMin1+24,""))</f>
        <v>43761</v>
      </c>
      <c r="O47" s="43">
        <f ca="1">IF(DAY(OktMin1)=1,IF(AND(YEAR(OktMin1+18)=TahunKalender,MONTH(OktMin1+18)=10),OktMin1+18,""),IF(AND(YEAR(OktMin1+25)=TahunKalender,MONTH(OktMin1+25)=10),OktMin1+25,""))</f>
        <v>43762</v>
      </c>
      <c r="P47" s="43">
        <f ca="1">IF(DAY(OktMin1)=1,IF(AND(YEAR(OktMin1+19)=TahunKalender,MONTH(OktMin1+19)=10),OktMin1+19,""),IF(AND(YEAR(OktMin1+26)=TahunKalender,MONTH(OktMin1+26)=10),OktMin1+26,""))</f>
        <v>43763</v>
      </c>
      <c r="Q47" s="43">
        <f ca="1">IF(DAY(OktMin1)=1,IF(AND(YEAR(OktMin1+20)=TahunKalender,MONTH(OktMin1+20)=10),OktMin1+20,""),IF(AND(YEAR(OktMin1+27)=TahunKalender,MONTH(OktMin1+27)=10),OktMin1+27,""))</f>
        <v>43764</v>
      </c>
      <c r="R47" s="43">
        <f ca="1">IF(DAY(OktMin1)=1,IF(AND(YEAR(OktMin1+21)=TahunKalender,MONTH(OktMin1+21)=10),OktMin1+21,""),IF(AND(YEAR(OktMin1+28)=TahunKalender,MONTH(OktMin1+28)=10),OktMin1+28,""))</f>
        <v>43765</v>
      </c>
      <c r="S47" s="36"/>
      <c r="T47" s="40"/>
      <c r="U47" s="43">
        <f ca="1">IF(DAY(NovMin1)=1,IF(AND(YEAR(NovMin1+15)=TahunKalender,MONTH(NovMin1+15)=11),NovMin1+15,""),IF(AND(YEAR(NovMin1+22)=TahunKalender,MONTH(NovMin1+22)=11),NovMin1+22,""))</f>
        <v>43787</v>
      </c>
      <c r="V47" s="43">
        <f ca="1">IF(DAY(NovMin1)=1,IF(AND(YEAR(NovMin1+16)=TahunKalender,MONTH(NovMin1+16)=11),NovMin1+16,""),IF(AND(YEAR(NovMin1+23)=TahunKalender,MONTH(NovMin1+23)=11),NovMin1+23,""))</f>
        <v>43788</v>
      </c>
      <c r="W47" s="43">
        <f ca="1">IF(DAY(NovMin1)=1,IF(AND(YEAR(NovMin1+17)=TahunKalender,MONTH(NovMin1+17)=11),NovMin1+17,""),IF(AND(YEAR(NovMin1+24)=TahunKalender,MONTH(NovMin1+24)=11),NovMin1+24,""))</f>
        <v>43789</v>
      </c>
      <c r="X47" s="43">
        <f ca="1">IF(DAY(NovMin1)=1,IF(AND(YEAR(NovMin1+18)=TahunKalender,MONTH(NovMin1+18)=11),NovMin1+18,""),IF(AND(YEAR(NovMin1+25)=TahunKalender,MONTH(NovMin1+25)=11),NovMin1+25,""))</f>
        <v>43790</v>
      </c>
      <c r="Y47" s="43">
        <f ca="1">IF(DAY(NovMin1)=1,IF(AND(YEAR(NovMin1+19)=TahunKalender,MONTH(NovMin1+19)=11),NovMin1+19,""),IF(AND(YEAR(NovMin1+26)=TahunKalender,MONTH(NovMin1+26)=11),NovMin1+26,""))</f>
        <v>43791</v>
      </c>
      <c r="Z47" s="43">
        <f ca="1">IF(DAY(NovMin1)=1,IF(AND(YEAR(NovMin1+20)=TahunKalender,MONTH(NovMin1+20)=11),NovMin1+20,""),IF(AND(YEAR(NovMin1+27)=TahunKalender,MONTH(NovMin1+27)=11),NovMin1+27,""))</f>
        <v>43792</v>
      </c>
      <c r="AA47" s="43">
        <f ca="1">IF(DAY(NovMin1)=1,IF(AND(YEAR(NovMin1+21)=TahunKalender,MONTH(NovMin1+21)=11),NovMin1+21,""),IF(AND(YEAR(NovMin1+28)=TahunKalender,MONTH(NovMin1+28)=11),NovMin1+28,""))</f>
        <v>43793</v>
      </c>
      <c r="AB47" s="36"/>
      <c r="AC47" s="39"/>
      <c r="AD47" s="43">
        <f ca="1">IF(DAY(DesMin1)=1,IF(AND(YEAR(DesMin1+15)=TahunKalender,MONTH(DesMin1+15)=12),DesMin1+15,""),IF(AND(YEAR(DesMin1+22)=TahunKalender,MONTH(DesMin1+22)=12),DesMin1+22,""))</f>
        <v>43815</v>
      </c>
      <c r="AE47" s="43">
        <f ca="1">IF(DAY(DesMin1)=1,IF(AND(YEAR(DesMin1+16)=TahunKalender,MONTH(DesMin1+16)=12),DesMin1+16,""),IF(AND(YEAR(DesMin1+23)=TahunKalender,MONTH(DesMin1+23)=12),DesMin1+23,""))</f>
        <v>43816</v>
      </c>
      <c r="AF47" s="43">
        <f ca="1">IF(DAY(DesMin1)=1,IF(AND(YEAR(DesMin1+17)=TahunKalender,MONTH(DesMin1+17)=12),DesMin1+17,""),IF(AND(YEAR(DesMin1+24)=TahunKalender,MONTH(DesMin1+24)=12),DesMin1+24,""))</f>
        <v>43817</v>
      </c>
      <c r="AG47" s="43">
        <f ca="1">IF(DAY(DesMin1)=1,IF(AND(YEAR(DesMin1+18)=TahunKalender,MONTH(DesMin1+18)=12),DesMin1+18,""),IF(AND(YEAR(DesMin1+25)=TahunKalender,MONTH(DesMin1+25)=12),DesMin1+25,""))</f>
        <v>43818</v>
      </c>
      <c r="AH47" s="43">
        <f ca="1">IF(DAY(DesMin1)=1,IF(AND(YEAR(DesMin1+19)=TahunKalender,MONTH(DesMin1+19)=12),DesMin1+19,""),IF(AND(YEAR(DesMin1+26)=TahunKalender,MONTH(DesMin1+26)=12),DesMin1+26,""))</f>
        <v>43819</v>
      </c>
      <c r="AI47" s="43">
        <f ca="1">IF(DAY(DesMin1)=1,IF(AND(YEAR(DesMin1+20)=TahunKalender,MONTH(DesMin1+20)=12),DesMin1+20,""),IF(AND(YEAR(DesMin1+27)=TahunKalender,MONTH(DesMin1+27)=12),DesMin1+27,""))</f>
        <v>43820</v>
      </c>
      <c r="AJ47" s="43">
        <f ca="1">IF(DAY(DesMin1)=1,IF(AND(YEAR(DesMin1+21)=TahunKalender,MONTH(DesMin1+21)=12),DesMin1+21,""),IF(AND(YEAR(DesMin1+28)=TahunKalender,MONTH(DesMin1+28)=12),DesMin1+28,""))</f>
        <v>43821</v>
      </c>
    </row>
    <row r="48" spans="1:36" x14ac:dyDescent="0.2">
      <c r="C48" s="43">
        <f ca="1">IF(DAY(SepMin1)=1,IF(AND(YEAR(SepMin1+22)=TahunKalender,MONTH(SepMin1+22)=9),SepMin1+22,""),IF(AND(YEAR(SepMin1+29)=TahunKalender,MONTH(SepMin1+29)=9),SepMin1+29,""))</f>
        <v>43731</v>
      </c>
      <c r="D48" s="43">
        <f ca="1">IF(DAY(SepMin1)=1,IF(AND(YEAR(SepMin1+23)=TahunKalender,MONTH(SepMin1+23)=9),SepMin1+23,""),IF(AND(YEAR(SepMin1+30)=TahunKalender,MONTH(SepMin1+30)=9),SepMin1+30,""))</f>
        <v>43732</v>
      </c>
      <c r="E48" s="43">
        <f ca="1">IF(DAY(SepMin1)=1,IF(AND(YEAR(SepMin1+24)=TahunKalender,MONTH(SepMin1+24)=9),SepMin1+24,""),IF(AND(YEAR(SepMin1+31)=TahunKalender,MONTH(SepMin1+31)=9),SepMin1+31,""))</f>
        <v>43733</v>
      </c>
      <c r="F48" s="43">
        <f ca="1">IF(DAY(SepMin1)=1,IF(AND(YEAR(SepMin1+25)=TahunKalender,MONTH(SepMin1+25)=9),SepMin1+25,""),IF(AND(YEAR(SepMin1+32)=TahunKalender,MONTH(SepMin1+32)=9),SepMin1+32,""))</f>
        <v>43734</v>
      </c>
      <c r="G48" s="43">
        <f ca="1">IF(DAY(SepMin1)=1,IF(AND(YEAR(SepMin1+26)=TahunKalender,MONTH(SepMin1+26)=9),SepMin1+26,""),IF(AND(YEAR(SepMin1+33)=TahunKalender,MONTH(SepMin1+33)=9),SepMin1+33,""))</f>
        <v>43735</v>
      </c>
      <c r="H48" s="43">
        <f ca="1">IF(DAY(SepMin1)=1,IF(AND(YEAR(SepMin1+27)=TahunKalender,MONTH(SepMin1+27)=9),SepMin1+27,""),IF(AND(YEAR(SepMin1+34)=TahunKalender,MONTH(SepMin1+34)=9),SepMin1+34,""))</f>
        <v>43736</v>
      </c>
      <c r="I48" s="43">
        <f ca="1">IF(DAY(SepMin1)=1,IF(AND(YEAR(SepMin1+28)=TahunKalender,MONTH(SepMin1+28)=9),SepMin1+28,""),IF(AND(YEAR(SepMin1+35)=TahunKalender,MONTH(SepMin1+35)=9),SepMin1+35,""))</f>
        <v>43737</v>
      </c>
      <c r="J48" s="36"/>
      <c r="K48" s="39"/>
      <c r="L48" s="43">
        <f ca="1">IF(DAY(OktMin1)=1,IF(AND(YEAR(OktMin1+22)=TahunKalender,MONTH(OktMin1+22)=10),OktMin1+22,""),IF(AND(YEAR(OktMin1+29)=TahunKalender,MONTH(OktMin1+29)=10),OktMin1+29,""))</f>
        <v>43766</v>
      </c>
      <c r="M48" s="43">
        <f ca="1">IF(DAY(OktMin1)=1,IF(AND(YEAR(OktMin1+23)=TahunKalender,MONTH(OktMin1+23)=10),OktMin1+23,""),IF(AND(YEAR(OktMin1+30)=TahunKalender,MONTH(OktMin1+30)=10),OktMin1+30,""))</f>
        <v>43767</v>
      </c>
      <c r="N48" s="43">
        <f ca="1">IF(DAY(OktMin1)=1,IF(AND(YEAR(OktMin1+24)=TahunKalender,MONTH(OktMin1+24)=10),OktMin1+24,""),IF(AND(YEAR(OktMin1+31)=TahunKalender,MONTH(OktMin1+31)=10),OktMin1+31,""))</f>
        <v>43768</v>
      </c>
      <c r="O48" s="43">
        <f ca="1">IF(DAY(OktMin1)=1,IF(AND(YEAR(OktMin1+25)=TahunKalender,MONTH(OktMin1+25)=10),OktMin1+25,""),IF(AND(YEAR(OktMin1+32)=TahunKalender,MONTH(OktMin1+32)=10),OktMin1+32,""))</f>
        <v>43769</v>
      </c>
      <c r="P48" s="43" t="str">
        <f ca="1">IF(DAY(OktMin1)=1,IF(AND(YEAR(OktMin1+26)=TahunKalender,MONTH(OktMin1+26)=10),OktMin1+26,""),IF(AND(YEAR(OktMin1+33)=TahunKalender,MONTH(OktMin1+33)=10),OktMin1+33,""))</f>
        <v/>
      </c>
      <c r="Q48" s="43" t="str">
        <f ca="1">IF(DAY(OktMin1)=1,IF(AND(YEAR(OktMin1+27)=TahunKalender,MONTH(OktMin1+27)=10),OktMin1+27,""),IF(AND(YEAR(OktMin1+34)=TahunKalender,MONTH(OktMin1+34)=10),OktMin1+34,""))</f>
        <v/>
      </c>
      <c r="R48" s="43" t="str">
        <f ca="1">IF(DAY(OktMin1)=1,IF(AND(YEAR(OktMin1+28)=TahunKalender,MONTH(OktMin1+28)=10),OktMin1+28,""),IF(AND(YEAR(OktMin1+35)=TahunKalender,MONTH(OktMin1+35)=10),OktMin1+35,""))</f>
        <v/>
      </c>
      <c r="S48" s="36"/>
      <c r="T48" s="40"/>
      <c r="U48" s="43">
        <f ca="1">IF(DAY(NovMin1)=1,IF(AND(YEAR(NovMin1+22)=TahunKalender,MONTH(NovMin1+22)=11),NovMin1+22,""),IF(AND(YEAR(NovMin1+29)=TahunKalender,MONTH(NovMin1+29)=11),NovMin1+29,""))</f>
        <v>43794</v>
      </c>
      <c r="V48" s="43">
        <f ca="1">IF(DAY(NovMin1)=1,IF(AND(YEAR(NovMin1+23)=TahunKalender,MONTH(NovMin1+23)=11),NovMin1+23,""),IF(AND(YEAR(NovMin1+30)=TahunKalender,MONTH(NovMin1+30)=11),NovMin1+30,""))</f>
        <v>43795</v>
      </c>
      <c r="W48" s="43">
        <f ca="1">IF(DAY(NovMin1)=1,IF(AND(YEAR(NovMin1+24)=TahunKalender,MONTH(NovMin1+24)=11),NovMin1+24,""),IF(AND(YEAR(NovMin1+31)=TahunKalender,MONTH(NovMin1+31)=11),NovMin1+31,""))</f>
        <v>43796</v>
      </c>
      <c r="X48" s="43">
        <f ca="1">IF(DAY(NovMin1)=1,IF(AND(YEAR(NovMin1+25)=TahunKalender,MONTH(NovMin1+25)=11),NovMin1+25,""),IF(AND(YEAR(NovMin1+32)=TahunKalender,MONTH(NovMin1+32)=11),NovMin1+32,""))</f>
        <v>43797</v>
      </c>
      <c r="Y48" s="43">
        <f ca="1">IF(DAY(NovMin1)=1,IF(AND(YEAR(NovMin1+26)=TahunKalender,MONTH(NovMin1+26)=11),NovMin1+26,""),IF(AND(YEAR(NovMin1+33)=TahunKalender,MONTH(NovMin1+33)=11),NovMin1+33,""))</f>
        <v>43798</v>
      </c>
      <c r="Z48" s="43">
        <f ca="1">IF(DAY(NovMin1)=1,IF(AND(YEAR(NovMin1+27)=TahunKalender,MONTH(NovMin1+27)=11),NovMin1+27,""),IF(AND(YEAR(NovMin1+34)=TahunKalender,MONTH(NovMin1+34)=11),NovMin1+34,""))</f>
        <v>43799</v>
      </c>
      <c r="AA48" s="43" t="str">
        <f ca="1">IF(DAY(NovMin1)=1,IF(AND(YEAR(NovMin1+28)=TahunKalender,MONTH(NovMin1+28)=11),NovMin1+28,""),IF(AND(YEAR(NovMin1+35)=TahunKalender,MONTH(NovMin1+35)=11),NovMin1+35,""))</f>
        <v/>
      </c>
      <c r="AB48" s="36"/>
      <c r="AC48" s="39"/>
      <c r="AD48" s="43">
        <f ca="1">IF(DAY(DesMin1)=1,IF(AND(YEAR(DesMin1+22)=TahunKalender,MONTH(DesMin1+22)=12),DesMin1+22,""),IF(AND(YEAR(DesMin1+29)=TahunKalender,MONTH(DesMin1+29)=12),DesMin1+29,""))</f>
        <v>43822</v>
      </c>
      <c r="AE48" s="43">
        <f ca="1">IF(DAY(DesMin1)=1,IF(AND(YEAR(DesMin1+23)=TahunKalender,MONTH(DesMin1+23)=12),DesMin1+23,""),IF(AND(YEAR(DesMin1+30)=TahunKalender,MONTH(DesMin1+30)=12),DesMin1+30,""))</f>
        <v>43823</v>
      </c>
      <c r="AF48" s="43">
        <f ca="1">IF(DAY(DesMin1)=1,IF(AND(YEAR(DesMin1+24)=TahunKalender,MONTH(DesMin1+24)=12),DesMin1+24,""),IF(AND(YEAR(DesMin1+31)=TahunKalender,MONTH(DesMin1+31)=12),DesMin1+31,""))</f>
        <v>43824</v>
      </c>
      <c r="AG48" s="43">
        <f ca="1">IF(DAY(DesMin1)=1,IF(AND(YEAR(DesMin1+25)=TahunKalender,MONTH(DesMin1+25)=12),DesMin1+25,""),IF(AND(YEAR(DesMin1+32)=TahunKalender,MONTH(DesMin1+32)=12),DesMin1+32,""))</f>
        <v>43825</v>
      </c>
      <c r="AH48" s="43">
        <f ca="1">IF(DAY(DesMin1)=1,IF(AND(YEAR(DesMin1+26)=TahunKalender,MONTH(DesMin1+26)=12),DesMin1+26,""),IF(AND(YEAR(DesMin1+33)=TahunKalender,MONTH(DesMin1+33)=12),DesMin1+33,""))</f>
        <v>43826</v>
      </c>
      <c r="AI48" s="43">
        <f ca="1">IF(DAY(DesMin1)=1,IF(AND(YEAR(DesMin1+27)=TahunKalender,MONTH(DesMin1+27)=12),DesMin1+27,""),IF(AND(YEAR(DesMin1+34)=TahunKalender,MONTH(DesMin1+34)=12),DesMin1+34,""))</f>
        <v>43827</v>
      </c>
      <c r="AJ48" s="43">
        <f ca="1">IF(DAY(DesMin1)=1,IF(AND(YEAR(DesMin1+28)=TahunKalender,MONTH(DesMin1+28)=12),DesMin1+28,""),IF(AND(YEAR(DesMin1+35)=TahunKalender,MONTH(DesMin1+35)=12),DesMin1+35,""))</f>
        <v>43828</v>
      </c>
    </row>
    <row r="49" spans="3:36" x14ac:dyDescent="0.2">
      <c r="C49" s="43">
        <f ca="1">IF(DAY(SepMin1)=1,IF(AND(YEAR(SepMin1+29)=TahunKalender,MONTH(SepMin1+29)=9),SepMin1+29,""),IF(AND(YEAR(SepMin1+36)=TahunKalender,MONTH(SepMin1+36)=9),SepMin1+36,""))</f>
        <v>43738</v>
      </c>
      <c r="D49" s="43" t="str">
        <f ca="1">IF(DAY(SepMin1)=1,IF(AND(YEAR(SepMin1+30)=TahunKalender,MONTH(SepMin1+30)=9),SepMin1+30,""),IF(AND(YEAR(SepMin1+37)=TahunKalender,MONTH(SepMin1+37)=9),SepMin1+37,""))</f>
        <v/>
      </c>
      <c r="E49" s="43" t="str">
        <f ca="1">IF(DAY(SepMin1)=1,IF(AND(YEAR(SepMin1+31)=TahunKalender,MONTH(SepMin1+31)=9),SepMin1+31,""),IF(AND(YEAR(SepMin1+38)=TahunKalender,MONTH(SepMin1+38)=9),SepMin1+38,""))</f>
        <v/>
      </c>
      <c r="F49" s="43" t="str">
        <f ca="1">IF(DAY(SepMin1)=1,IF(AND(YEAR(SepMin1+32)=TahunKalender,MONTH(SepMin1+32)=9),SepMin1+32,""),IF(AND(YEAR(SepMin1+39)=TahunKalender,MONTH(SepMin1+39)=9),SepMin1+39,""))</f>
        <v/>
      </c>
      <c r="G49" s="43" t="str">
        <f ca="1">IF(DAY(SepMin1)=1,IF(AND(YEAR(SepMin1+33)=TahunKalender,MONTH(SepMin1+33)=9),SepMin1+33,""),IF(AND(YEAR(SepMin1+40)=TahunKalender,MONTH(SepMin1+40)=9),SepMin1+40,""))</f>
        <v/>
      </c>
      <c r="H49" s="43" t="str">
        <f ca="1">IF(DAY(SepMin1)=1,IF(AND(YEAR(SepMin1+34)=TahunKalender,MONTH(SepMin1+34)=9),SepMin1+34,""),IF(AND(YEAR(SepMin1+41)=TahunKalender,MONTH(SepMin1+41)=9),SepMin1+41,""))</f>
        <v/>
      </c>
      <c r="I49" s="43" t="str">
        <f ca="1">IF(DAY(SepMin1)=1,IF(AND(YEAR(SepMin1+35)=TahunKalender,MONTH(SepMin1+35)=9),SepMin1+35,""),IF(AND(YEAR(SepMin1+42)=TahunKalender,MONTH(SepMin1+42)=9),SepMin1+42,""))</f>
        <v/>
      </c>
      <c r="J49" s="36"/>
      <c r="K49" s="39"/>
      <c r="L49" s="43" t="str">
        <f ca="1">IF(DAY(OktMin1)=1,IF(AND(YEAR(OktMin1+29)=TahunKalender,MONTH(OktMin1+29)=10),OktMin1+29,""),IF(AND(YEAR(OktMin1+36)=TahunKalender,MONTH(OktMin1+36)=10),OktMin1+36,""))</f>
        <v/>
      </c>
      <c r="M49" s="43" t="str">
        <f ca="1">IF(DAY(OktMin1)=1,IF(AND(YEAR(OktMin1+30)=TahunKalender,MONTH(OktMin1+30)=10),OktMin1+30,""),IF(AND(YEAR(OktMin1+37)=TahunKalender,MONTH(OktMin1+37)=10),OktMin1+37,""))</f>
        <v/>
      </c>
      <c r="N49" s="43" t="str">
        <f ca="1">IF(DAY(OktMin1)=1,IF(AND(YEAR(OktMin1+31)=TahunKalender,MONTH(OktMin1+31)=10),OktMin1+31,""),IF(AND(YEAR(OktMin1+38)=TahunKalender,MONTH(OktMin1+38)=10),OktMin1+38,""))</f>
        <v/>
      </c>
      <c r="O49" s="43" t="str">
        <f ca="1">IF(DAY(OktMin1)=1,IF(AND(YEAR(OktMin1+32)=TahunKalender,MONTH(OktMin1+32)=10),OktMin1+32,""),IF(AND(YEAR(OktMin1+39)=TahunKalender,MONTH(OktMin1+39)=10),OktMin1+39,""))</f>
        <v/>
      </c>
      <c r="P49" s="43" t="str">
        <f ca="1">IF(DAY(OktMin1)=1,IF(AND(YEAR(OktMin1+33)=TahunKalender,MONTH(OktMin1+33)=10),OktMin1+33,""),IF(AND(YEAR(OktMin1+40)=TahunKalender,MONTH(OktMin1+40)=10),OktMin1+40,""))</f>
        <v/>
      </c>
      <c r="Q49" s="43" t="str">
        <f ca="1">IF(DAY(OktMin1)=1,IF(AND(YEAR(OktMin1+34)=TahunKalender,MONTH(OktMin1+34)=10),OktMin1+34,""),IF(AND(YEAR(OktMin1+41)=TahunKalender,MONTH(OktMin1+41)=10),OktMin1+41,""))</f>
        <v/>
      </c>
      <c r="R49" s="43" t="str">
        <f ca="1">IF(DAY(OktMin1)=1,IF(AND(YEAR(OktMin1+35)=TahunKalender,MONTH(OktMin1+35)=10),OktMin1+35,""),IF(AND(YEAR(OktMin1+42)=TahunKalender,MONTH(OktMin1+42)=10),OktMin1+42,""))</f>
        <v/>
      </c>
      <c r="S49" s="36"/>
      <c r="T49" s="40"/>
      <c r="U49" s="43" t="str">
        <f ca="1">IF(DAY(NovMin1)=1,IF(AND(YEAR(NovMin1+29)=TahunKalender,MONTH(NovMin1+29)=11),NovMin1+29,""),IF(AND(YEAR(NovMin1+36)=TahunKalender,MONTH(NovMin1+36)=11),NovMin1+36,""))</f>
        <v/>
      </c>
      <c r="V49" s="43" t="str">
        <f ca="1">IF(DAY(NovMin1)=1,IF(AND(YEAR(NovMin1+30)=TahunKalender,MONTH(NovMin1+30)=11),NovMin1+30,""),IF(AND(YEAR(NovMin1+37)=TahunKalender,MONTH(NovMin1+37)=11),NovMin1+37,""))</f>
        <v/>
      </c>
      <c r="W49" s="43" t="str">
        <f ca="1">IF(DAY(NovMin1)=1,IF(AND(YEAR(NovMin1+31)=TahunKalender,MONTH(NovMin1+31)=11),NovMin1+31,""),IF(AND(YEAR(NovMin1+38)=TahunKalender,MONTH(NovMin1+38)=11),NovMin1+38,""))</f>
        <v/>
      </c>
      <c r="X49" s="43" t="str">
        <f ca="1">IF(DAY(NovMin1)=1,IF(AND(YEAR(NovMin1+32)=TahunKalender,MONTH(NovMin1+32)=11),NovMin1+32,""),IF(AND(YEAR(NovMin1+39)=TahunKalender,MONTH(NovMin1+39)=11),NovMin1+39,""))</f>
        <v/>
      </c>
      <c r="Y49" s="43" t="str">
        <f ca="1">IF(DAY(NovMin1)=1,IF(AND(YEAR(NovMin1+33)=TahunKalender,MONTH(NovMin1+33)=11),NovMin1+33,""),IF(AND(YEAR(NovMin1+40)=TahunKalender,MONTH(NovMin1+40)=11),NovMin1+40,""))</f>
        <v/>
      </c>
      <c r="Z49" s="43" t="str">
        <f ca="1">IF(DAY(NovMin1)=1,IF(AND(YEAR(NovMin1+34)=TahunKalender,MONTH(NovMin1+34)=11),NovMin1+34,""),IF(AND(YEAR(NovMin1+41)=TahunKalender,MONTH(NovMin1+41)=11),NovMin1+41,""))</f>
        <v/>
      </c>
      <c r="AA49" s="43" t="str">
        <f ca="1">IF(DAY(NovMin1)=1,IF(AND(YEAR(NovMin1+35)=TahunKalender,MONTH(NovMin1+35)=11),NovMin1+35,""),IF(AND(YEAR(NovMin1+42)=TahunKalender,MONTH(NovMin1+42)=11),NovMin1+42,""))</f>
        <v/>
      </c>
      <c r="AB49" s="36"/>
      <c r="AC49" s="39"/>
      <c r="AD49" s="43">
        <f ca="1">IF(DAY(DesMin1)=1,IF(AND(YEAR(DesMin1+29)=TahunKalender,MONTH(DesMin1+29)=12),DesMin1+29,""),IF(AND(YEAR(DesMin1+36)=TahunKalender,MONTH(DesMin1+36)=12),DesMin1+36,""))</f>
        <v>43829</v>
      </c>
      <c r="AE49" s="43">
        <f ca="1">IF(DAY(DesMin1)=1,IF(AND(YEAR(DesMin1+30)=TahunKalender,MONTH(DesMin1+30)=12),DesMin1+30,""),IF(AND(YEAR(DesMin1+37)=TahunKalender,MONTH(DesMin1+37)=12),DesMin1+37,""))</f>
        <v>43830</v>
      </c>
      <c r="AF49" s="43" t="str">
        <f ca="1">IF(DAY(DesMin1)=1,IF(AND(YEAR(DesMin1+31)=TahunKalender,MONTH(DesMin1+31)=12),DesMin1+31,""),IF(AND(YEAR(DesMin1+38)=TahunKalender,MONTH(DesMin1+38)=12),DesMin1+38,""))</f>
        <v/>
      </c>
      <c r="AG49" s="43" t="str">
        <f ca="1">IF(DAY(DesMin1)=1,IF(AND(YEAR(DesMin1+32)=TahunKalender,MONTH(DesMin1+32)=12),DesMin1+32,""),IF(AND(YEAR(DesMin1+39)=TahunKalender,MONTH(DesMin1+39)=12),DesMin1+39,""))</f>
        <v/>
      </c>
      <c r="AH49" s="43" t="str">
        <f ca="1">IF(DAY(DesMin1)=1,IF(AND(YEAR(DesMin1+33)=TahunKalender,MONTH(DesMin1+33)=12),DesMin1+33,""),IF(AND(YEAR(DesMin1+40)=TahunKalender,MONTH(DesMin1+40)=12),DesMin1+40,""))</f>
        <v/>
      </c>
      <c r="AI49" s="43" t="str">
        <f ca="1">IF(DAY(DesMin1)=1,IF(AND(YEAR(DesMin1+34)=TahunKalender,MONTH(DesMin1+34)=12),DesMin1+34,""),IF(AND(YEAR(DesMin1+41)=TahunKalender,MONTH(DesMin1+41)=12),DesMin1+41,""))</f>
        <v/>
      </c>
      <c r="AJ49" s="43" t="str">
        <f ca="1">IF(DAY(DesMin1)=1,IF(AND(YEAR(DesMin1+35)=TahunKalender,MONTH(DesMin1+35)=12),DesMin1+35,""),IF(AND(YEAR(DesMin1+42)=TahunKalender,MONTH(DesMin1+42)=12),DesMin1+42,""))</f>
        <v/>
      </c>
    </row>
    <row r="50" spans="3:36" x14ac:dyDescent="0.2">
      <c r="C50" s="2"/>
      <c r="D50" s="2"/>
      <c r="E50" s="2"/>
      <c r="F50" s="2"/>
      <c r="G50" s="2"/>
      <c r="H50" s="2"/>
      <c r="I50" s="2"/>
      <c r="J50" s="2"/>
      <c r="K50" s="1"/>
      <c r="L50" s="1"/>
      <c r="M50" s="1"/>
      <c r="N50" s="1"/>
      <c r="O50" s="1"/>
      <c r="P50" s="1"/>
      <c r="Q50" s="1"/>
      <c r="R50" s="1"/>
      <c r="S50" s="1"/>
    </row>
  </sheetData>
  <mergeCells count="62">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 ref="D18:G18"/>
    <mergeCell ref="D19:G19"/>
    <mergeCell ref="D20:G20"/>
    <mergeCell ref="U13:AI13"/>
    <mergeCell ref="U14:AI14"/>
    <mergeCell ref="U15:AI15"/>
    <mergeCell ref="U16:AI16"/>
    <mergeCell ref="U17:AI17"/>
    <mergeCell ref="H6:Q6"/>
    <mergeCell ref="H7:Q7"/>
    <mergeCell ref="H8:Q8"/>
    <mergeCell ref="H9:Q9"/>
    <mergeCell ref="U18:AI18"/>
    <mergeCell ref="D6:G6"/>
    <mergeCell ref="D7:G7"/>
    <mergeCell ref="D8:G8"/>
    <mergeCell ref="D9:G9"/>
    <mergeCell ref="D10:G10"/>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C42:I42"/>
    <mergeCell ref="L42:R42"/>
    <mergeCell ref="U42:AA42"/>
    <mergeCell ref="AD42:AJ42"/>
    <mergeCell ref="C24:I24"/>
    <mergeCell ref="L24:R24"/>
    <mergeCell ref="U24:AA24"/>
    <mergeCell ref="AD24:AJ24"/>
    <mergeCell ref="C33:I33"/>
    <mergeCell ref="L33:R33"/>
    <mergeCell ref="U33:AA33"/>
    <mergeCell ref="AD33:AJ33"/>
  </mergeCells>
  <conditionalFormatting sqref="C26:I31 L26:R31 U26:AA31 AD26:AJ31 C35:I40 L35:R40 U35:AA40 AD35:AJ40 C44:I49 L44:R49 U44:AA49 AD44:AJ49">
    <cfRule type="expression" dxfId="122" priority="1">
      <formula>VLOOKUP(C26,TanggalPenting,1,FALSE)=C26</formula>
    </cfRule>
  </conditionalFormatting>
  <printOptions horizontalCentered="1"/>
  <pageMargins left="0.5" right="0.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Pemutar">
              <controlPr defaultSize="0" print="0" autoPict="0" altText="Gunakan tombol pemutar untuk mengubah tahun kalender atau ubah tahun dalam sel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Mulai</vt:lpstr>
      <vt:lpstr>Kalender Keluarga</vt:lpstr>
      <vt:lpstr>'Kalender Keluarga'!Print_Area</vt:lpstr>
      <vt:lpstr>TahunKalender</vt:lpstr>
      <vt:lpstr>TanggalPenting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2019-06-26T07:39:34Z</dcterms:modified>
</cp:coreProperties>
</file>

<file path=docProps/custom.xml><?xml version="1.0" encoding="utf-8"?>
<Properties xmlns="http://schemas.openxmlformats.org/officeDocument/2006/custom-properties" xmlns:vt="http://schemas.openxmlformats.org/officeDocument/2006/docPropsVTypes"/>
</file>