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00" windowHeight="16110" xr2:uid="{00000000-000D-0000-FFFF-FFFF00000000}"/>
  </bookViews>
  <sheets>
    <sheet name="Mulai" sheetId="4" r:id="rId1"/>
    <sheet name="PARAMETER PROYEK" sheetId="1" r:id="rId2"/>
    <sheet name="DETAIL PROYEK" sheetId="2" r:id="rId3"/>
    <sheet name="TOTAL PROYEK" sheetId="3" r:id="rId4"/>
  </sheets>
  <definedNames>
    <definedName name="JenisProyek">Parameter[TIPE PROYEK]</definedName>
    <definedName name="_xlnm.Print_Titles" localSheetId="2">'DETAIL PROYEK'!$4:$4</definedName>
    <definedName name="_xlnm.Print_Titles" localSheetId="3">'TOTAL PROYEK'!$5:$5</definedName>
  </definedNames>
  <calcPr calcId="191029"/>
  <pivotCaches>
    <pivotCache cacheId="2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<sst xmlns="http://schemas.openxmlformats.org/spreadsheetml/2006/main" count="107" uniqueCount="81">
  <si>
    <t>TENTANG TEMPLAT INI</t>
  </si>
  <si>
    <t>Gunakan buku kerja ini untuk mencatat Parameter Proyek, Detail Proyek, dan Total Proyek selama Perencanaan Proyek untuk Firma Hukum.</t>
  </si>
  <si>
    <t>Isi Nama Perusahaan dalam lembar kerja Parameter Proyek dan akan diperbarui secara otomatis di lembar kerja lain.</t>
  </si>
  <si>
    <t>Masukkan informasi dalam lembar kerja Parameter Proyek untuk memperbarui bagan kolom, dan di lembar kerja Detail Proyek. PivotTable dalam lembar kerja Total Proyek diperbarui secara otomatis.</t>
  </si>
  <si>
    <t xml:space="preserve">Catatan:  </t>
  </si>
  <si>
    <t>Instruksi Tambahan telah disediakan dalam kolom A setiap lembar kerja. Teks ini sengaja disembunyikan. Untuk menghapus teks, pilih kolom A, lalu pilih HAPUS. Untuk memperlihatkan teks, pilih kolom A, lalu ubah warna font.</t>
  </si>
  <si>
    <t>Untuk mempelajari selengkapnya tentang tabel dalam lembar kerja, tekan SHIFT kemudian F10 dalam tabel, pilih opsi TABEL, lalu pilih TEKS ALTERNATIF. Untuk PivotTable di lembar kerja Total Proyek, tekan SHIFT lalu F10 dalam tabel, pilih OPSI PIVOTTABLE, lalu pilih tab TEKS ALT.</t>
  </si>
  <si>
    <t>Buat Parameter Proyek dalam lembar kerja ini. Masukkan Nama Perusahaan dalam sel di sebelah kanan. Instruksi yang bermanfaat berada dalam sel di kolom ini.</t>
  </si>
  <si>
    <t>Judul lembar kerja ini ada dalam sel di sebelah kanan.</t>
  </si>
  <si>
    <t>Pesan kerahasiaan berada dalam sel di sebelah kanan.</t>
  </si>
  <si>
    <t>Tips berada dalam sel di sebelah kanan.</t>
  </si>
  <si>
    <t>Masukkan detail dalam tabel Parameter yang dimulai dari sel di sebelah kanan. Instruksi berikutnya berada dalam sel A12.</t>
  </si>
  <si>
    <t>Masukkan Tarif Gabungan dalam sel di sebelah kanan, sel C12 hingga H12. Instruksi berikutnya berada dalam sel A14.</t>
  </si>
  <si>
    <t>Bagan kolom yang memperlihatkan perbandingan antara Biaya Rencana dan Aktual berada dalam sel di sebelah kanan, dan bagan kolom yang memperlihatkan perbandingan antara Durasi Rencana dan Aktual berada dalam sel F14.</t>
  </si>
  <si>
    <t>Nama Perusahaan</t>
  </si>
  <si>
    <t>Perencanaan Proyek untuk Firma Hukum</t>
  </si>
  <si>
    <t>Sel berbayang akan dihitung untuk Anda. Anda tidak perlu memasukkan apa pun ke dalamnya.</t>
  </si>
  <si>
    <t>TIPE PROYEK</t>
  </si>
  <si>
    <t>Penggabungan Badan Usaha</t>
  </si>
  <si>
    <t>Akuisisi Badan Usaha</t>
  </si>
  <si>
    <t>Pembelaan Tanggung Jawab Produk</t>
  </si>
  <si>
    <t>Pendaftaran Paten</t>
  </si>
  <si>
    <t>Tuntutan Hukum Karyawan</t>
  </si>
  <si>
    <t>Pailit</t>
  </si>
  <si>
    <t>Tarif gabungan</t>
  </si>
  <si>
    <t>RENCANA BIAYA</t>
  </si>
  <si>
    <t>BIAYA AKTUAL</t>
  </si>
  <si>
    <t>RENCANA DURASI</t>
  </si>
  <si>
    <t>JAM AKTUAL</t>
  </si>
  <si>
    <t>REKAN UMUM</t>
  </si>
  <si>
    <t>PENGACARA BISNIS</t>
  </si>
  <si>
    <t>BISNIS</t>
  </si>
  <si>
    <t>PEMBELA</t>
  </si>
  <si>
    <t>PENGACARA HAK KEKAYAAN INTELEKTUAL</t>
  </si>
  <si>
    <t>HAK KEKAYAAN INTELEKTUAL</t>
  </si>
  <si>
    <t>PENGACARA PAILIT</t>
  </si>
  <si>
    <t>PAILIT</t>
  </si>
  <si>
    <t>STAF ADMIN</t>
  </si>
  <si>
    <t>TOTAL</t>
  </si>
  <si>
    <t>Buat Detail Proyek dalam lembar kerja ini. Nama Perusahaan akan diperbarui secara otomatis dalam sel di sebelah kanan. Instruksi yang bermanfaat berada dalam sel di kolom ini. Tekan panah bawah untuk memulai.</t>
  </si>
  <si>
    <t>Judul lembar kerja ini berada dalam sel di sebelah kanan dan tips Info di sel Y2.</t>
  </si>
  <si>
    <t>Masukkan informasi dalam tabel Detail yang dimulai dari sel di sebelah kanan. Tipe Proyek di tabel Detail di sebelah kanan diperbarui secara otomatis dari tabel Parameter dalam lembar kerja Parameter Proyek.</t>
  </si>
  <si>
    <t>NAMA PROYEK</t>
  </si>
  <si>
    <t>Proyek 1</t>
  </si>
  <si>
    <t>Proyek 2</t>
  </si>
  <si>
    <t>Proyek 3</t>
  </si>
  <si>
    <t>Proyek 4</t>
  </si>
  <si>
    <t>Proyek 5</t>
  </si>
  <si>
    <t>PERKIRAAN MULAI</t>
  </si>
  <si>
    <t>PERKIRAAN SELESAI</t>
  </si>
  <si>
    <t>MULAI AKTUAL</t>
  </si>
  <si>
    <t>SELESAI AKTUAL</t>
  </si>
  <si>
    <t>ESTIMASI PEKERJAAN</t>
  </si>
  <si>
    <t>PEKERJAAN AKTUAL</t>
  </si>
  <si>
    <t>ESTIMASI DURASI</t>
  </si>
  <si>
    <t>DURASI AKTUAL</t>
  </si>
  <si>
    <t>REKAN UMUM 2</t>
  </si>
  <si>
    <t>PENGACARA BISNIS 2</t>
  </si>
  <si>
    <t>PEMBELA 2</t>
  </si>
  <si>
    <t>PENGACARA HAK KEKAYAAN INTELEKTUAL 2</t>
  </si>
  <si>
    <t>PENGACARA PAILIT 2</t>
  </si>
  <si>
    <t>STAF ADMIN 2</t>
  </si>
  <si>
    <t>Dapatkan Total Proyek dalam lembar kerja ini. Nama Perusahaan diperbarui secara otomatis dalam sel di sebelah kanan. Instruksi yang bermanfaat berada dalam sel di kolom ini. Tekan panah bawah untuk memulai.</t>
  </si>
  <si>
    <t>PivotTable yang dimulai dalam sel di sebelah kanan akan diperbarui secara otomatis</t>
  </si>
  <si>
    <t>Total Keseluruhan</t>
  </si>
  <si>
    <t>PERKIRAAN</t>
  </si>
  <si>
    <t xml:space="preserve">REKAN UMUM </t>
  </si>
  <si>
    <t xml:space="preserve">BISNIS </t>
  </si>
  <si>
    <t xml:space="preserve">PEMBELA </t>
  </si>
  <si>
    <t xml:space="preserve">HAK KEKAYAAN INTELEKTUAL </t>
  </si>
  <si>
    <t xml:space="preserve">PAILIT </t>
  </si>
  <si>
    <t xml:space="preserve">STAF ADMIN </t>
  </si>
  <si>
    <t>AKTUAL</t>
  </si>
  <si>
    <t xml:space="preserve">REKAN UMUM  </t>
  </si>
  <si>
    <t xml:space="preserve">PEMBELA  </t>
  </si>
  <si>
    <t xml:space="preserve">PAILIT  </t>
  </si>
  <si>
    <t xml:space="preserve">HAK KEKAYAAN INTELEKTUAL  </t>
  </si>
  <si>
    <t xml:space="preserve">STAF ADMIN  </t>
  </si>
  <si>
    <t>INFO: 
PivotTable ini tidak akan direfresh secara otomatis.  Untuk merefreshnya, pilih (sel mana saja dalam PivotTable), di tab pita ALAT PIVOTTABLE | ANALISIS, pilih Refresh.  Atau tekan SHIFT + F10 dengan memilih PivotTable dan pilih Refresh.</t>
  </si>
  <si>
    <t>INFO:
Untuk menambahkan baris, pilih sel paling kanan bawah di isi tabel (bukan baris total) dan tekan Tab, atau tekan SHIFT lalu F10 dalam tabel tempat Anda ingin menyisipkan baris dan pilih Sisipkan | Baris Tabel Atas/Tabel Baris Bawah.
Pastikan semua baris yang tidak terpakai dihapus, karena PivotTable TOTAL PROYEK akan menggunakan semua sel tabel, dan jika tidak akan menghasilkan hasil yang salah.</t>
  </si>
  <si>
    <t>Label Perkiraan berada dalam sel C4, label Aktual di sel I4, dan tips Info di sel 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</si>
</sst>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
    <numFmt numFmtId="167" formatCode="&quot;Rp&quot;#,##0.00"/>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1" builtinId="26" customBuiltin="1"/>
    <cellStyle name="Buruk" xfId="12" builtinId="27" customBuiltin="1"/>
    <cellStyle name="Catatan" xfId="20" builtinId="10" customBuiltin="1"/>
    <cellStyle name="Judul" xfId="10" builtinId="15" customBuiltin="1"/>
    <cellStyle name="Judul 1" xfId="1" builtinId="16" customBuiltin="1"/>
    <cellStyle name="Judul 2" xfId="2" builtinId="17" customBuiltin="1"/>
    <cellStyle name="Judul 3" xfId="3" builtinId="18" customBuiltin="1"/>
    <cellStyle name="Judul 4" xfId="4" builtinId="19" customBuiltin="1"/>
    <cellStyle name="Keluaran" xfId="15" builtinId="21" customBuiltin="1"/>
    <cellStyle name="Koma" xfId="5" builtinId="3" customBuiltin="1"/>
    <cellStyle name="Koma [0]" xfId="6" builtinId="6" customBuiltin="1"/>
    <cellStyle name="Masukan" xfId="14" builtinId="20" customBuiltin="1"/>
    <cellStyle name="Mata Uang" xfId="7" builtinId="4" customBuiltin="1"/>
    <cellStyle name="Mata Uang [0]" xfId="8" builtinId="7" customBuiltin="1"/>
    <cellStyle name="Netral" xfId="13" builtinId="28" customBuiltin="1"/>
    <cellStyle name="Normal" xfId="0" builtinId="0" customBuiltin="1"/>
    <cellStyle name="Perhitungan" xfId="16" builtinId="22" customBuiltin="1"/>
    <cellStyle name="Persen" xfId="9" builtinId="5" customBuiltin="1"/>
    <cellStyle name="Sel Periksa" xfId="18" builtinId="23" customBuiltin="1"/>
    <cellStyle name="Sel Tertaut" xfId="17" builtinId="24" customBuiltin="1"/>
    <cellStyle name="Teks Penjelasan" xfId="21" builtinId="53" customBuiltin="1"/>
    <cellStyle name="Teks Peringatan" xfId="19" builtinId="11" customBuiltin="1"/>
    <cellStyle name="Total" xfId="22" builtinId="25" customBuiltin="1"/>
  </cellStyles>
  <dxfs count="221">
    <dxf>
      <alignment wrapText="1"/>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numFmt numFmtId="167" formatCode="&quot;Rp&quot;#,##0.00"/>
    </dxf>
    <dxf>
      <alignment wrapText="1"/>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166" formatCode="&quot;Rp&quot;#,##0"/>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RENCANA BIAYA vs. BIAYA AKTUAL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id-ID"/>
        </a:p>
      </c:txPr>
    </c:title>
    <c:autoTitleDeleted val="0"/>
    <c:plotArea>
      <c:layout/>
      <c:barChart>
        <c:barDir val="col"/>
        <c:grouping val="clustered"/>
        <c:varyColors val="0"/>
        <c:ser>
          <c:idx val="0"/>
          <c:order val="0"/>
          <c:tx>
            <c:strRef>
              <c:f>'PARAMETER PROYEK'!$B$16</c:f>
              <c:strCache>
                <c:ptCount val="1"/>
                <c:pt idx="0">
                  <c:v>RENCANA BIAYA</c:v>
                </c:pt>
              </c:strCache>
            </c:strRef>
          </c:tx>
          <c:spPr>
            <a:solidFill>
              <a:schemeClr val="accent1"/>
            </a:solidFill>
            <a:ln>
              <a:noFill/>
            </a:ln>
            <a:effectLst/>
          </c:spPr>
          <c:invertIfNegative val="0"/>
          <c:cat>
            <c:strRef>
              <c:f>'PARAMETER PROYEK'!$C$15:$H$15</c:f>
              <c:strCache>
                <c:ptCount val="6"/>
                <c:pt idx="0">
                  <c:v>REKAN UMUM</c:v>
                </c:pt>
                <c:pt idx="1">
                  <c:v>BISNIS</c:v>
                </c:pt>
                <c:pt idx="2">
                  <c:v>PEMBELA</c:v>
                </c:pt>
                <c:pt idx="3">
                  <c:v>HAK KEKAYAAN INTELEKTUAL</c:v>
                </c:pt>
                <c:pt idx="4">
                  <c:v>PAILIT</c:v>
                </c:pt>
                <c:pt idx="5">
                  <c:v>STAF ADMIN</c:v>
                </c:pt>
              </c:strCache>
            </c:strRef>
          </c:cat>
          <c:val>
            <c:numRef>
              <c:f>'PARAMETER PROYEK'!$C$16:$H$16</c:f>
              <c:numCache>
                <c:formatCode>"Rp"#,##0.00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'PARAMETER PROYEK'!$B$17</c:f>
              <c:strCache>
                <c:ptCount val="1"/>
                <c:pt idx="0">
                  <c:v>BIAYA AKTUAL</c:v>
                </c:pt>
              </c:strCache>
            </c:strRef>
          </c:tx>
          <c:spPr>
            <a:solidFill>
              <a:schemeClr val="accent2"/>
            </a:solidFill>
            <a:ln>
              <a:noFill/>
            </a:ln>
            <a:effectLst/>
          </c:spPr>
          <c:invertIfNegative val="0"/>
          <c:cat>
            <c:strRef>
              <c:f>'PARAMETER PROYEK'!$C$15:$H$15</c:f>
              <c:strCache>
                <c:ptCount val="6"/>
                <c:pt idx="0">
                  <c:v>REKAN UMUM</c:v>
                </c:pt>
                <c:pt idx="1">
                  <c:v>BISNIS</c:v>
                </c:pt>
                <c:pt idx="2">
                  <c:v>PEMBELA</c:v>
                </c:pt>
                <c:pt idx="3">
                  <c:v>HAK KEKAYAAN INTELEKTUAL</c:v>
                </c:pt>
                <c:pt idx="4">
                  <c:v>PAILIT</c:v>
                </c:pt>
                <c:pt idx="5">
                  <c:v>STAF ADMIN</c:v>
                </c:pt>
              </c:strCache>
            </c:strRef>
          </c:cat>
          <c:val>
            <c:numRef>
              <c:f>'PARAMETER PROYEK'!$C$17:$H$17</c:f>
              <c:numCache>
                <c:formatCode>"Rp"#,##0.00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id-ID"/>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Rp&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d-ID"/>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id-I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RENCANA BIAYA vs. JAM AKTUAL</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id-ID"/>
        </a:p>
      </c:txPr>
    </c:title>
    <c:autoTitleDeleted val="0"/>
    <c:plotArea>
      <c:layout/>
      <c:barChart>
        <c:barDir val="col"/>
        <c:grouping val="clustered"/>
        <c:varyColors val="0"/>
        <c:ser>
          <c:idx val="0"/>
          <c:order val="0"/>
          <c:tx>
            <c:strRef>
              <c:f>'PARAMETER PROYEK'!$B$18</c:f>
              <c:strCache>
                <c:ptCount val="1"/>
                <c:pt idx="0">
                  <c:v>RENCANA DURASI</c:v>
                </c:pt>
              </c:strCache>
            </c:strRef>
          </c:tx>
          <c:spPr>
            <a:solidFill>
              <a:schemeClr val="accent1"/>
            </a:solidFill>
            <a:ln>
              <a:noFill/>
            </a:ln>
            <a:effectLst/>
          </c:spPr>
          <c:invertIfNegative val="0"/>
          <c:cat>
            <c:strRef>
              <c:f>'PARAMETER PROYEK'!$C$15:$H$15</c:f>
              <c:strCache>
                <c:ptCount val="6"/>
                <c:pt idx="0">
                  <c:v>REKAN UMUM</c:v>
                </c:pt>
                <c:pt idx="1">
                  <c:v>BISNIS</c:v>
                </c:pt>
                <c:pt idx="2">
                  <c:v>PEMBELA</c:v>
                </c:pt>
                <c:pt idx="3">
                  <c:v>HAK KEKAYAAN INTELEKTUAL</c:v>
                </c:pt>
                <c:pt idx="4">
                  <c:v>PAILIT</c:v>
                </c:pt>
                <c:pt idx="5">
                  <c:v>STAF ADMIN</c:v>
                </c:pt>
              </c:strCache>
            </c:strRef>
          </c:cat>
          <c:val>
            <c:numRef>
              <c:f>'PARAMETER PROYEK'!$C$18:$H$18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'PARAMETER PROYEK'!$B$19</c:f>
              <c:strCache>
                <c:ptCount val="1"/>
                <c:pt idx="0">
                  <c:v>JAM AKTUAL</c:v>
                </c:pt>
              </c:strCache>
            </c:strRef>
          </c:tx>
          <c:spPr>
            <a:solidFill>
              <a:schemeClr val="accent2"/>
            </a:solidFill>
            <a:ln>
              <a:noFill/>
            </a:ln>
            <a:effectLst/>
          </c:spPr>
          <c:invertIfNegative val="0"/>
          <c:cat>
            <c:strRef>
              <c:f>'PARAMETER PROYEK'!$C$15:$H$15</c:f>
              <c:strCache>
                <c:ptCount val="6"/>
                <c:pt idx="0">
                  <c:v>REKAN UMUM</c:v>
                </c:pt>
                <c:pt idx="1">
                  <c:v>BISNIS</c:v>
                </c:pt>
                <c:pt idx="2">
                  <c:v>PEMBELA</c:v>
                </c:pt>
                <c:pt idx="3">
                  <c:v>HAK KEKAYAAN INTELEKTUAL</c:v>
                </c:pt>
                <c:pt idx="4">
                  <c:v>PAILIT</c:v>
                </c:pt>
                <c:pt idx="5">
                  <c:v>STAF ADMIN</c:v>
                </c:pt>
              </c:strCache>
            </c:strRef>
          </c:cat>
          <c:val>
            <c:numRef>
              <c:f>'PARAMETER PROYEK'!$C$19:$H$19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id-ID"/>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d-ID"/>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id-ID"/>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333825</xdr:colOff>
      <xdr:row>42</xdr:row>
      <xdr:rowOff>95250</xdr:rowOff>
    </xdr:to>
    <xdr:graphicFrame macro="">
      <xdr:nvGraphicFramePr>
        <xdr:cNvPr id="7" name="Bagan 6" descr="Bagan kolom memperlihatkan biaya rencana dan aktual">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561975</xdr:colOff>
      <xdr:row>13</xdr:row>
      <xdr:rowOff>19049</xdr:rowOff>
    </xdr:from>
    <xdr:to>
      <xdr:col>9</xdr:col>
      <xdr:colOff>450</xdr:colOff>
      <xdr:row>42</xdr:row>
      <xdr:rowOff>95250</xdr:rowOff>
    </xdr:to>
    <xdr:graphicFrame macro="">
      <xdr:nvGraphicFramePr>
        <xdr:cNvPr id="8" name="Bagan 7" descr="Bagan kolom memperlihatkan rencana waktu dan waktu aktual">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14</xdr:row>
      <xdr:rowOff>28576</xdr:rowOff>
    </xdr:to>
    <xdr:sp macro="" textlink="">
      <xdr:nvSpPr>
        <xdr:cNvPr id="3" name="Persegi panjang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id-id" sz="1800">
              <a:solidFill>
                <a:schemeClr val="tx1">
                  <a:lumMod val="65000"/>
                  <a:lumOff val="35000"/>
                </a:schemeClr>
              </a:solidFill>
              <a:latin typeface="+mj-lt"/>
            </a:rPr>
            <a:t>INFO</a:t>
          </a:r>
        </a:p>
        <a:p>
          <a:pPr algn="l" rtl="0"/>
          <a:endParaRPr lang="en-US" sz="1100">
            <a:solidFill>
              <a:schemeClr val="tx1">
                <a:lumMod val="65000"/>
                <a:lumOff val="35000"/>
              </a:schemeClr>
            </a:solidFill>
          </a:endParaRPr>
        </a:p>
        <a:p>
          <a:pPr algn="l" rtl="0"/>
          <a:r>
            <a:rPr lang="id-id" sz="1100">
              <a:solidFill>
                <a:schemeClr val="tx1">
                  <a:lumMod val="65000"/>
                  <a:lumOff val="35000"/>
                </a:schemeClr>
              </a:solidFill>
            </a:rPr>
            <a:t>Untuk menambahkan baris, pilih</a:t>
          </a:r>
          <a:r>
            <a:rPr lang="id-id" sz="1100" baseline="0">
              <a:solidFill>
                <a:schemeClr val="tx1">
                  <a:lumMod val="65000"/>
                  <a:lumOff val="35000"/>
                </a:schemeClr>
              </a:solidFill>
            </a:rPr>
            <a:t> sel paling kanan bawah di isi tabel (bukan baris total) dan tekan Tab, atau tekan SHIFT lalu F10 dalam tabel tempat Anda ingin menyisipkan baris dan pilih Sisipkan | </a:t>
          </a:r>
          <a:r>
            <a:rPr lang="id-ID" sz="1100" baseline="0">
              <a:solidFill>
                <a:schemeClr val="tx1">
                  <a:lumMod val="65000"/>
                  <a:lumOff val="35000"/>
                </a:schemeClr>
              </a:solidFill>
            </a:rPr>
            <a:t>Baris Tabel Atas/Tabel Baris Bawah</a:t>
          </a:r>
          <a:r>
            <a:rPr lang="id-id" sz="1100" baseline="0">
              <a:solidFill>
                <a:schemeClr val="tx1">
                  <a:lumMod val="65000"/>
                  <a:lumOff val="35000"/>
                </a:schemeClr>
              </a:solidFill>
            </a:rPr>
            <a:t>.</a:t>
          </a:r>
        </a:p>
        <a:p>
          <a:pPr algn="l" rtl="0"/>
          <a:endParaRPr lang="en-US" sz="1100" baseline="0">
            <a:solidFill>
              <a:schemeClr val="tx1">
                <a:lumMod val="65000"/>
                <a:lumOff val="35000"/>
              </a:schemeClr>
            </a:solidFill>
          </a:endParaRPr>
        </a:p>
        <a:p>
          <a:pPr algn="l" rtl="0"/>
          <a:r>
            <a:rPr lang="id-id" sz="1100" baseline="0">
              <a:solidFill>
                <a:schemeClr val="tx1">
                  <a:lumMod val="65000"/>
                  <a:lumOff val="35000"/>
                </a:schemeClr>
              </a:solidFill>
            </a:rPr>
            <a:t>Pastikan semua baris yang tidak terpakai dihapus, karena PivotTable TOTAL PROYEK akan menggunakan semua sel tabel, dan jika tidak akan menghasilkan hasil yang salah.</a:t>
          </a:r>
        </a:p>
        <a:p>
          <a:pPr algn="l" rtl="0"/>
          <a:endParaRPr lang="en-US" sz="1100" baseline="0">
            <a:solidFill>
              <a:schemeClr val="tx1">
                <a:lumMod val="65000"/>
                <a:lumOff val="35000"/>
              </a:schemeClr>
            </a:solidFill>
          </a:endParaRPr>
        </a:p>
        <a:p>
          <a:pPr algn="l" rtl="0"/>
          <a:r>
            <a:rPr lang="id-id" sz="1100" baseline="0">
              <a:solidFill>
                <a:schemeClr val="tx1">
                  <a:lumMod val="65000"/>
                  <a:lumOff val="35000"/>
                </a:schemeClr>
              </a:solidFill>
            </a:rPr>
            <a:t>Untuk menghapus tips info ini, pilih tepi mana pun dan tekan Hapus.</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15</xdr:row>
      <xdr:rowOff>95250</xdr:rowOff>
    </xdr:to>
    <xdr:sp macro="" textlink="">
      <xdr:nvSpPr>
        <xdr:cNvPr id="2" name="Persegi panjang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id-id" sz="1800">
              <a:solidFill>
                <a:schemeClr val="tx1">
                  <a:lumMod val="65000"/>
                  <a:lumOff val="35000"/>
                </a:schemeClr>
              </a:solidFill>
              <a:latin typeface="+mj-lt"/>
            </a:rPr>
            <a:t>INFO</a:t>
          </a:r>
        </a:p>
        <a:p>
          <a:pPr algn="l" rtl="0"/>
          <a:endParaRPr lang="en-US" sz="1100">
            <a:solidFill>
              <a:schemeClr val="tx1">
                <a:lumMod val="65000"/>
                <a:lumOff val="35000"/>
              </a:schemeClr>
            </a:solidFill>
          </a:endParaRPr>
        </a:p>
        <a:p>
          <a:pPr algn="l" rtl="0"/>
          <a:r>
            <a:rPr lang="id-id" sz="1100">
              <a:solidFill>
                <a:schemeClr val="tx1">
                  <a:lumMod val="65000"/>
                  <a:lumOff val="35000"/>
                </a:schemeClr>
              </a:solidFill>
            </a:rPr>
            <a:t>PivotTable ini tidak akan direfresh secara otomatis.  Untuk merefreshnya, pilih</a:t>
          </a:r>
          <a:r>
            <a:rPr lang="id-id" sz="1100" baseline="0">
              <a:solidFill>
                <a:schemeClr val="tx1">
                  <a:lumMod val="65000"/>
                  <a:lumOff val="35000"/>
                </a:schemeClr>
              </a:solidFill>
            </a:rPr>
            <a:t> (sel mana saja dalam PivotTable), di tab pita ALAT PIVOTTABLE | ANALISIS, tekan Refresh.  Atau tekan SHIFT lalu F10 dalam PivotTable dan pilih Refresh.</a:t>
          </a:r>
        </a:p>
        <a:p>
          <a:pPr algn="l" rtl="0"/>
          <a:endParaRPr lang="en-US" sz="1100" baseline="0">
            <a:solidFill>
              <a:schemeClr val="tx1">
                <a:lumMod val="65000"/>
                <a:lumOff val="35000"/>
              </a:schemeClr>
            </a:solidFill>
          </a:endParaRPr>
        </a:p>
        <a:p>
          <a:pPr algn="l" rtl="0"/>
          <a:r>
            <a:rPr lang="id-id" sz="1100" baseline="0">
              <a:solidFill>
                <a:schemeClr val="tx1">
                  <a:lumMod val="65000"/>
                  <a:lumOff val="35000"/>
                </a:schemeClr>
              </a:solidFill>
            </a:rPr>
            <a:t>Untuk menghapus tips info ini, pilih tepi mana pun dan tekan Hapus.</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1.713420138891" createdVersion="5" refreshedVersion="6" minRefreshableVersion="3" recordCount="5" xr:uid="{00000000-000A-0000-FFFF-FFFF00000000}">
  <cacheSource type="worksheet">
    <worksheetSource name="Detail"/>
  </cacheSource>
  <cacheFields count="22">
    <cacheField name="NAMA PROYEK" numFmtId="0">
      <sharedItems count="5">
        <s v="Proyek 1"/>
        <s v="Proyek 2"/>
        <s v="Proyek 3"/>
        <s v="Proyek 4"/>
        <s v="Proyek 5"/>
      </sharedItems>
    </cacheField>
    <cacheField name="TIPE PROYEK" numFmtId="0">
      <sharedItems/>
    </cacheField>
    <cacheField name="PERKIRAAN MULAI" numFmtId="14">
      <sharedItems containsSemiMixedTypes="0" containsNonDate="0" containsDate="1" containsString="0" minDate="2019-02-15T00:00:00" maxDate="2019-09-24T00:00:00"/>
    </cacheField>
    <cacheField name="PERKIRAAN SELESAI" numFmtId="14">
      <sharedItems containsSemiMixedTypes="0" containsNonDate="0" containsDate="1" containsString="0" minDate="2019-04-16T00:00:00" maxDate="2019-10-24T00:00:00"/>
    </cacheField>
    <cacheField name="MULAI AKTUAL" numFmtId="14">
      <sharedItems containsSemiMixedTypes="0" containsNonDate="0" containsDate="1" containsString="0" minDate="2019-02-25T00:00:00" maxDate="2019-10-04T00:00:00"/>
    </cacheField>
    <cacheField name="SELESAI AKTUAL" numFmtId="14">
      <sharedItems containsSemiMixedTypes="0" containsNonDate="0" containsDate="1" containsString="0" minDate="2019-04-21T00:00:00" maxDate="2019-11-02T00:00:00"/>
    </cacheField>
    <cacheField name="ESTIMASI PEKERJAAN" numFmtId="0">
      <sharedItems containsSemiMixedTypes="0" containsString="0" containsNumber="1" containsInteger="1" minValue="150" maxValue="500"/>
    </cacheField>
    <cacheField name="PEKERJAAN AKTUAL" numFmtId="0">
      <sharedItems containsSemiMixedTypes="0" containsString="0" containsNumber="1" containsInteger="1" minValue="145" maxValue="500"/>
    </cacheField>
    <cacheField name="ESTIMASI DURASI" numFmtId="0">
      <sharedItems containsSemiMixedTypes="0" containsString="0" containsNumber="1" containsInteger="1" minValue="0" maxValue="69"/>
    </cacheField>
    <cacheField name="DURASI AKTUAL" numFmtId="0">
      <sharedItems containsSemiMixedTypes="0" containsString="0" containsNumber="1" containsInteger="1" minValue="0" maxValue="68"/>
    </cacheField>
    <cacheField name="REKAN UMUM" numFmtId="166">
      <sharedItems containsSemiMixedTypes="0" containsString="0" containsNumber="1" containsInteger="1" minValue="5250" maxValue="35000"/>
    </cacheField>
    <cacheField name="PENGACARA BISNIS" numFmtId="166">
      <sharedItems containsSemiMixedTypes="0" containsString="0" containsNumber="1" containsInteger="1" minValue="0" maxValue="40000"/>
    </cacheField>
    <cacheField name="PEMBELA" numFmtId="166">
      <sharedItems containsSemiMixedTypes="0" containsString="0" containsNumber="1" containsInteger="1" minValue="0" maxValue="75000"/>
    </cacheField>
    <cacheField name="PENGACARA HAK KEKAYAAN INTELEKTUAL" numFmtId="166">
      <sharedItems containsSemiMixedTypes="0" containsString="0" containsNumber="1" containsInteger="1" minValue="0" maxValue="24750"/>
    </cacheField>
    <cacheField name="PENGACARA PAILIT" numFmtId="166">
      <sharedItems containsSemiMixedTypes="0" containsString="0" containsNumber="1" containsInteger="1" minValue="0" maxValue="0"/>
    </cacheField>
    <cacheField name="STAF ADMIN" numFmtId="166">
      <sharedItems containsSemiMixedTypes="0" containsString="0" containsNumber="1" containsInteger="1" minValue="5625" maxValue="20000"/>
    </cacheField>
    <cacheField name="REKAN UMUM 2" numFmtId="166">
      <sharedItems containsSemiMixedTypes="0" containsString="0" containsNumber="1" containsInteger="1" minValue="5075" maxValue="35000"/>
    </cacheField>
    <cacheField name="PENGACARA BISNIS 2" numFmtId="166">
      <sharedItems containsSemiMixedTypes="0" containsString="0" containsNumber="1" containsInteger="1" minValue="0" maxValue="39000"/>
    </cacheField>
    <cacheField name="PEMBELA 2" numFmtId="166">
      <sharedItems containsSemiMixedTypes="0" containsString="0" containsNumber="1" containsInteger="1" minValue="0" maxValue="75000"/>
    </cacheField>
    <cacheField name="PENGACARA HAK KEKAYAAN INTELEKTUAL 2" numFmtId="166">
      <sharedItems containsSemiMixedTypes="0" containsString="0" containsNumber="1" containsInteger="1" minValue="0" maxValue="23925"/>
    </cacheField>
    <cacheField name="PENGACARA PAILIT 2" numFmtId="166">
      <sharedItems containsSemiMixedTypes="0" containsString="0" containsNumber="1" containsInteger="1" minValue="0" maxValue="0"/>
    </cacheField>
    <cacheField name="STAF ADMIN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Penggabungan Badan Usaha"/>
    <d v="2019-02-15T00:00:00"/>
    <d v="2019-04-16T00:00:00"/>
    <d v="2019-02-25T00:00:00"/>
    <d v="2019-04-21T00:00:00"/>
    <n v="200"/>
    <n v="220"/>
    <n v="61"/>
    <n v="56"/>
    <n v="7000"/>
    <n v="20000"/>
    <n v="0"/>
    <n v="0"/>
    <n v="0"/>
    <n v="12500"/>
    <n v="7700"/>
    <n v="22000"/>
    <n v="0"/>
    <n v="0"/>
    <n v="0"/>
    <n v="13750"/>
  </r>
  <r>
    <x v="1"/>
    <s v="Akuisisi Badan Usaha"/>
    <d v="2019-03-17T00:00:00"/>
    <d v="2019-05-26T00:00:00"/>
    <d v="2019-03-27T00:00:00"/>
    <d v="2019-06-05T00:00:00"/>
    <n v="400"/>
    <n v="390"/>
    <n v="69"/>
    <n v="68"/>
    <n v="14000"/>
    <n v="40000"/>
    <n v="0"/>
    <n v="11000"/>
    <n v="0"/>
    <n v="20000"/>
    <n v="13650"/>
    <n v="39000"/>
    <n v="0"/>
    <n v="10725"/>
    <n v="0"/>
    <n v="19500"/>
  </r>
  <r>
    <x v="2"/>
    <s v="Pembelaan Tanggung Jawab Produk"/>
    <d v="2019-07-15T00:00:00"/>
    <d v="2019-07-15T00:00:00"/>
    <d v="2019-07-15T00:00:00"/>
    <d v="2019-08-04T00:00:00"/>
    <n v="500"/>
    <n v="500"/>
    <n v="0"/>
    <n v="19"/>
    <n v="35000"/>
    <n v="0"/>
    <n v="75000"/>
    <n v="0"/>
    <n v="0"/>
    <n v="18750"/>
    <n v="35000"/>
    <n v="0"/>
    <n v="75000"/>
    <n v="0"/>
    <n v="0"/>
    <n v="18750"/>
  </r>
  <r>
    <x v="3"/>
    <s v="Pendaftaran Paten"/>
    <d v="2019-09-03T00:00:00"/>
    <d v="2019-10-03T00:00:00"/>
    <d v="2019-10-03T00:00:00"/>
    <d v="2019-10-03T00:00:00"/>
    <n v="150"/>
    <n v="145"/>
    <n v="30"/>
    <n v="0"/>
    <n v="5250"/>
    <n v="0"/>
    <n v="0"/>
    <n v="24750"/>
    <n v="0"/>
    <n v="5625"/>
    <n v="5075"/>
    <n v="0"/>
    <n v="0"/>
    <n v="23925"/>
    <n v="0"/>
    <n v="5437.5"/>
  </r>
  <r>
    <x v="4"/>
    <s v="Tuntutan Hukum Karyawan"/>
    <d v="2019-09-23T00:00:00"/>
    <d v="2019-10-23T00:00:00"/>
    <d v="2019-10-03T00:00:00"/>
    <d v="2019-11-01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 cacheId="2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REKAN UMUM " fld="10" baseField="0" baseItem="0" numFmtId="167"/>
    <dataField name="BISNIS " fld="11" baseField="0" baseItem="0" numFmtId="167"/>
    <dataField name="PEMBELA " fld="12" baseField="0" baseItem="1" numFmtId="167"/>
    <dataField name="HAK KEKAYAAN INTELEKTUAL " fld="13" baseField="0" baseItem="1" numFmtId="167"/>
    <dataField name="PAILIT " fld="14" baseField="0" baseItem="1" numFmtId="167"/>
    <dataField name="STAF ADMIN " fld="15" baseField="0" baseItem="2" numFmtId="167"/>
    <dataField name="REKAN UMUM  " fld="16" baseField="0" baseItem="2" numFmtId="167"/>
    <dataField name="BISNIS" fld="17" baseField="0" baseItem="2" numFmtId="167"/>
    <dataField name="PEMBELA  " fld="18" baseField="0" baseItem="2" numFmtId="167"/>
    <dataField name="PAILIT  " fld="19" baseField="0" baseItem="2" numFmtId="167"/>
    <dataField name="HAK KEKAYAAN INTELEKTUAL  " fld="20" baseField="0" baseItem="3" numFmtId="167"/>
    <dataField name="STAF ADMIN  " fld="21" baseField="0" baseItem="3" numFmtId="167"/>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Table ini mencantumkan Nama Proyek dan menghitung nilai untuk semua item dalam lembar kerja PARAMETER PROYEK yang dihitung dengan mengalikan durasi jam dalam lembar kerja DETAIL PROYEK"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er" displayName="Parameter" ref="B5:I11" totalsRowShown="0" headerRowDxfId="220" dataDxfId="219"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IPE PROYEK" dataDxfId="218"/>
    <tableColumn id="2" xr3:uid="{00000000-0010-0000-0000-000002000000}" name="REKAN UMUM" dataDxfId="217"/>
    <tableColumn id="3" xr3:uid="{00000000-0010-0000-0000-000003000000}" name="PENGACARA BISNIS" dataDxfId="216"/>
    <tableColumn id="4" xr3:uid="{00000000-0010-0000-0000-000004000000}" name="PEMBELA" dataDxfId="215"/>
    <tableColumn id="5" xr3:uid="{00000000-0010-0000-0000-000005000000}" name="PENGACARA HAK KEKAYAAN INTELEKTUAL" dataDxfId="214"/>
    <tableColumn id="6" xr3:uid="{00000000-0010-0000-0000-000006000000}" name="PENGACARA PAILIT" dataDxfId="213"/>
    <tableColumn id="7" xr3:uid="{00000000-0010-0000-0000-000007000000}" name="STAF ADMIN" dataDxfId="212"/>
    <tableColumn id="8" xr3:uid="{00000000-0010-0000-0000-000008000000}" name="TOTAL" dataDxfId="211">
      <calculatedColumnFormula>SUM(Parameter[[#This Row],[REKAN UMUM]:[STAF ADMIN]])</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Masukkan Jenis Proyek, persentase untuk Mitra Umum, Pengacara Bisnis, Pengacara Litigasi, Pengacara Hak Kekayaan Intelektual, Pengacara Kepailitan, dan Staf Admin dalam tabel ini. Total akan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il" displayName="Detail" ref="B4:W10" totalsRowCount="1" headerRowDxfId="210"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AMA PROYEK" totalsRowLabel="TOTAL" totalsRowDxfId="209" dataCellStyle="Normal"/>
    <tableColumn id="2" xr3:uid="{00000000-0010-0000-0100-000002000000}" name="TIPE PROYEK" totalsRowDxfId="208" dataCellStyle="Normal"/>
    <tableColumn id="3" xr3:uid="{00000000-0010-0000-0100-000003000000}" name="PERKIRAAN MULAI" dataDxfId="207" totalsRowDxfId="206" dataCellStyle="Normal"/>
    <tableColumn id="4" xr3:uid="{00000000-0010-0000-0100-000004000000}" name="PERKIRAAN SELESAI" dataDxfId="205" totalsRowDxfId="204" dataCellStyle="Normal"/>
    <tableColumn id="7" xr3:uid="{00000000-0010-0000-0100-000007000000}" name="MULAI AKTUAL" dataDxfId="203" totalsRowDxfId="202" dataCellStyle="Normal"/>
    <tableColumn id="8" xr3:uid="{00000000-0010-0000-0100-000008000000}" name="SELESAI AKTUAL" dataDxfId="201" totalsRowDxfId="200" dataCellStyle="Normal"/>
    <tableColumn id="5" xr3:uid="{00000000-0010-0000-0100-000005000000}" name="ESTIMASI PEKERJAAN" totalsRowFunction="sum" totalsRowDxfId="199" dataCellStyle="Normal"/>
    <tableColumn id="9" xr3:uid="{00000000-0010-0000-0100-000009000000}" name="PEKERJAAN AKTUAL" totalsRowFunction="sum" totalsRowDxfId="198" dataCellStyle="Normal"/>
    <tableColumn id="6" xr3:uid="{00000000-0010-0000-0100-000006000000}" name="ESTIMASI DURASI" totalsRowFunction="sum" dataDxfId="197" totalsRowDxfId="196" dataCellStyle="Normal">
      <calculatedColumnFormula>DAYS360(Detail[[#This Row],[PERKIRAAN MULAI]],Detail[[#This Row],[PERKIRAAN SELESAI]],FALSE)</calculatedColumnFormula>
    </tableColumn>
    <tableColumn id="10" xr3:uid="{00000000-0010-0000-0100-00000A000000}" name="DURASI AKTUAL" totalsRowFunction="sum" dataDxfId="195" totalsRowDxfId="194" dataCellStyle="Normal">
      <calculatedColumnFormula>DAYS360(Detail[[#This Row],[MULAI AKTUAL]],Detail[[#This Row],[SELESAI AKTUAL]],FALSE)</calculatedColumnFormula>
    </tableColumn>
    <tableColumn id="11" xr3:uid="{00000000-0010-0000-0100-00000B000000}" name="REKAN UMUM" dataDxfId="193" totalsRowDxfId="192" dataCellStyle="Normal">
      <calculatedColumnFormula>INDEX(Parameter[],MATCH(Detail[[#This Row],[TIPE PROYEK]],Parameter[TIPE PROYEK],0),MATCH(Detail[[#Headers],[REKAN UMUM]],Parameter[#Headers],0))*INDEX('PARAMETER PROYEK'!$B$12:$H$12,1,MATCH(Detail[[#Headers],[REKAN UMUM]],Parameter[#Headers],0))*Detail[[#This Row],[ESTIMASI PEKERJAAN]]</calculatedColumnFormula>
    </tableColumn>
    <tableColumn id="12" xr3:uid="{00000000-0010-0000-0100-00000C000000}" name="PENGACARA BISNIS" dataDxfId="191" totalsRowDxfId="190" dataCellStyle="Normal">
      <calculatedColumnFormula>INDEX(Parameter[],MATCH(Detail[[#This Row],[TIPE PROYEK]],Parameter[TIPE PROYEK],0),MATCH(Detail[[#Headers],[PENGACARA BISNIS]],Parameter[#Headers],0))*INDEX('PARAMETER PROYEK'!$B$12:$H$12,1,MATCH(Detail[[#Headers],[PENGACARA BISNIS]],Parameter[#Headers],0))*Detail[[#This Row],[ESTIMASI PEKERJAAN]]</calculatedColumnFormula>
    </tableColumn>
    <tableColumn id="13" xr3:uid="{00000000-0010-0000-0100-00000D000000}" name="PEMBELA" dataDxfId="189" totalsRowDxfId="188" dataCellStyle="Normal">
      <calculatedColumnFormula>INDEX(Parameter[],MATCH(Detail[[#This Row],[TIPE PROYEK]],Parameter[TIPE PROYEK],0),MATCH(Detail[[#Headers],[PEMBELA]],Parameter[#Headers],0))*INDEX('PARAMETER PROYEK'!$B$12:$H$12,1,MATCH(Detail[[#Headers],[PEMBELA]],Parameter[#Headers],0))*Detail[[#This Row],[ESTIMASI PEKERJAAN]]</calculatedColumnFormula>
    </tableColumn>
    <tableColumn id="14" xr3:uid="{00000000-0010-0000-0100-00000E000000}" name="PENGACARA HAK KEKAYAAN INTELEKTUAL" dataDxfId="187" totalsRowDxfId="186" dataCellStyle="Normal">
      <calculatedColumnFormula>INDEX(Parameter[],MATCH(Detail[[#This Row],[TIPE PROYEK]],Parameter[TIPE PROYEK],0),MATCH(Detail[[#Headers],[PENGACARA HAK KEKAYAAN INTELEKTUAL]],Parameter[#Headers],0))*INDEX('PARAMETER PROYEK'!$B$12:$H$12,1,MATCH(Detail[[#Headers],[PENGACARA HAK KEKAYAAN INTELEKTUAL]],Parameter[#Headers],0))*Detail[[#This Row],[ESTIMASI PEKERJAAN]]</calculatedColumnFormula>
    </tableColumn>
    <tableColumn id="15" xr3:uid="{00000000-0010-0000-0100-00000F000000}" name="PENGACARA PAILIT" dataDxfId="185" totalsRowDxfId="184" dataCellStyle="Normal">
      <calculatedColumnFormula>INDEX(Parameter[],MATCH(Detail[[#This Row],[TIPE PROYEK]],Parameter[TIPE PROYEK],0),MATCH(Detail[[#Headers],[PENGACARA PAILIT]],Parameter[#Headers],0))*INDEX('PARAMETER PROYEK'!$B$12:$H$12,1,MATCH(Detail[[#Headers],[PENGACARA PAILIT]],Parameter[#Headers],0))*Detail[[#This Row],[ESTIMASI PEKERJAAN]]</calculatedColumnFormula>
    </tableColumn>
    <tableColumn id="16" xr3:uid="{00000000-0010-0000-0100-000010000000}" name="STAF ADMIN" dataDxfId="183" totalsRowDxfId="182" dataCellStyle="Normal">
      <calculatedColumnFormula>INDEX(Parameter[],MATCH(Detail[[#This Row],[TIPE PROYEK]],Parameter[TIPE PROYEK],0),MATCH(Detail[[#Headers],[STAF ADMIN]],Parameter[#Headers],0))*INDEX('PARAMETER PROYEK'!$B$12:$H$12,1,MATCH(Detail[[#Headers],[STAF ADMIN]],Parameter[#Headers],0))*Detail[[#This Row],[ESTIMASI PEKERJAAN]]</calculatedColumnFormula>
    </tableColumn>
    <tableColumn id="17" xr3:uid="{00000000-0010-0000-0100-000011000000}" name="REKAN UMUM 2" dataDxfId="181" totalsRowDxfId="180" dataCellStyle="Normal">
      <calculatedColumnFormula>INDEX(Parameter[],MATCH(Detail[[#This Row],[TIPE PROYEK]],Parameter[TIPE PROYEK],0),MATCH(Detail[[#Headers],[REKAN UMUM]],Parameter[#Headers],0))*INDEX('PARAMETER PROYEK'!$B$12:$H$12,1,MATCH(Detail[[#Headers],[REKAN UMUM]],Parameter[#Headers],0))*Detail[[#This Row],[PEKERJAAN AKTUAL]]</calculatedColumnFormula>
    </tableColumn>
    <tableColumn id="18" xr3:uid="{00000000-0010-0000-0100-000012000000}" name="PENGACARA BISNIS 2" dataDxfId="179" totalsRowDxfId="178" dataCellStyle="Normal">
      <calculatedColumnFormula>INDEX(Parameter[],MATCH(Detail[[#This Row],[TIPE PROYEK]],Parameter[TIPE PROYEK],0),MATCH(Detail[[#Headers],[PENGACARA BISNIS]],Parameter[#Headers],0))*INDEX('PARAMETER PROYEK'!$B$12:$H$12,1,MATCH(Detail[[#Headers],[PENGACARA BISNIS]],Parameter[#Headers],0))*Detail[[#This Row],[PEKERJAAN AKTUAL]]</calculatedColumnFormula>
    </tableColumn>
    <tableColumn id="19" xr3:uid="{00000000-0010-0000-0100-000013000000}" name="PEMBELA 2" dataDxfId="177" totalsRowDxfId="176" dataCellStyle="Normal">
      <calculatedColumnFormula>INDEX(Parameter[],MATCH(Detail[[#This Row],[TIPE PROYEK]],Parameter[TIPE PROYEK],0),MATCH(Detail[[#Headers],[PEMBELA]],Parameter[#Headers],0))*INDEX('PARAMETER PROYEK'!$B$12:$H$12,1,MATCH(Detail[[#Headers],[PEMBELA]],Parameter[#Headers],0))*Detail[[#This Row],[PEKERJAAN AKTUAL]]</calculatedColumnFormula>
    </tableColumn>
    <tableColumn id="20" xr3:uid="{00000000-0010-0000-0100-000014000000}" name="PENGACARA HAK KEKAYAAN INTELEKTUAL 2" dataDxfId="175" totalsRowDxfId="174" dataCellStyle="Normal">
      <calculatedColumnFormula>INDEX(Parameter[],MATCH(Detail[[#This Row],[TIPE PROYEK]],Parameter[TIPE PROYEK],0),MATCH(Detail[[#Headers],[PENGACARA HAK KEKAYAAN INTELEKTUAL]],Parameter[#Headers],0))*INDEX('PARAMETER PROYEK'!$B$12:$H$12,1,MATCH(Detail[[#Headers],[PENGACARA HAK KEKAYAAN INTELEKTUAL]],Parameter[#Headers],0))*Detail[[#This Row],[PEKERJAAN AKTUAL]]</calculatedColumnFormula>
    </tableColumn>
    <tableColumn id="21" xr3:uid="{00000000-0010-0000-0100-000015000000}" name="PENGACARA PAILIT 2" dataDxfId="173" totalsRowDxfId="172" dataCellStyle="Normal">
      <calculatedColumnFormula>INDEX(Parameter[],MATCH(Detail[[#This Row],[TIPE PROYEK]],Parameter[TIPE PROYEK],0),MATCH(Detail[[#Headers],[PENGACARA PAILIT]],Parameter[#Headers],0))*INDEX('PARAMETER PROYEK'!$B$12:$H$12,1,MATCH(Detail[[#Headers],[PENGACARA PAILIT]],Parameter[#Headers],0))*Detail[[#This Row],[PEKERJAAN AKTUAL]]</calculatedColumnFormula>
    </tableColumn>
    <tableColumn id="22" xr3:uid="{00000000-0010-0000-0100-000016000000}" name="STAF ADMIN 2" dataDxfId="171" totalsRowDxfId="170" dataCellStyle="Normal">
      <calculatedColumnFormula>INDEX(Parameter[],MATCH(Detail[[#This Row],[TIPE PROYEK]],Parameter[TIPE PROYEK],0),MATCH(Detail[[#Headers],[STAF ADMIN]],Parameter[#Headers],0))*INDEX('PARAMETER PROYEK'!$B$12:$H$12,1,MATCH(Detail[[#Headers],[STAF ADMIN]],Parameter[#Headers],0))*Detail[[#This Row],[PEKERJAAN AKTUAL]]</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Masukkan Nama Proyek, Estimasi Tanggal Mulai &amp; Selesai, tanggal Mulai &amp; Selesai Aktual, serta Estimasi Pekerjaan &amp; Pekerjaan Aktual dalam tabel ini. Pilih Jenis Proyek. Estimasi Durasi &amp; Durasi Aktual serta Total dihitung secara otomatis"/>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39.950000000000003" customHeight="1" x14ac:dyDescent="0.2">
      <c r="B3" s="19" t="s">
        <v>1</v>
      </c>
    </row>
    <row r="4" spans="2:2" ht="39.950000000000003" customHeight="1" x14ac:dyDescent="0.2">
      <c r="B4" s="19" t="s">
        <v>2</v>
      </c>
    </row>
    <row r="5" spans="2:2" ht="54.95" customHeight="1" x14ac:dyDescent="0.2">
      <c r="B5" s="19" t="s">
        <v>3</v>
      </c>
    </row>
    <row r="6" spans="2:2" ht="44.25" customHeight="1" x14ac:dyDescent="0.2">
      <c r="B6" s="20" t="s">
        <v>4</v>
      </c>
    </row>
    <row r="7" spans="2:2" ht="52.5" customHeight="1" x14ac:dyDescent="0.2">
      <c r="B7" s="19" t="s">
        <v>5</v>
      </c>
    </row>
    <row r="8" spans="2:2" ht="69.95" customHeight="1" x14ac:dyDescent="0.2">
      <c r="B8" s="1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1"/>
  <sheetViews>
    <sheetView showGridLines="0" workbookViewId="0"/>
  </sheetViews>
  <sheetFormatPr defaultColWidth="9.140625" defaultRowHeight="14.25" x14ac:dyDescent="0.2"/>
  <cols>
    <col min="1" max="1" width="1.85546875" style="12" customWidth="1"/>
    <col min="2" max="2" width="35.42578125" style="5" customWidth="1"/>
    <col min="3" max="3" width="21.42578125" style="5" bestFit="1" customWidth="1"/>
    <col min="4" max="4" width="20.85546875" style="5" bestFit="1" customWidth="1"/>
    <col min="5" max="5" width="22.42578125" style="5" bestFit="1" customWidth="1"/>
    <col min="6" max="6" width="30.5703125" style="5" bestFit="1" customWidth="1"/>
    <col min="7" max="7" width="14.5703125" style="5" bestFit="1" customWidth="1"/>
    <col min="8" max="8" width="15.42578125" style="5" bestFit="1" customWidth="1"/>
    <col min="9" max="9" width="8.5703125" style="5" customWidth="1"/>
    <col min="10" max="16384" width="9.140625" style="5"/>
  </cols>
  <sheetData>
    <row r="1" spans="1:9" ht="35.450000000000003" customHeight="1" x14ac:dyDescent="0.35">
      <c r="A1" s="12" t="s">
        <v>7</v>
      </c>
      <c r="B1" s="2" t="s">
        <v>14</v>
      </c>
      <c r="C1" s="2"/>
      <c r="D1" s="2"/>
      <c r="E1" s="2"/>
      <c r="F1" s="2"/>
      <c r="G1" s="2"/>
      <c r="H1" s="2"/>
      <c r="I1" s="2"/>
    </row>
    <row r="2" spans="1:9" ht="19.5" x14ac:dyDescent="0.25">
      <c r="A2" s="12" t="s">
        <v>8</v>
      </c>
      <c r="B2" s="3" t="s">
        <v>15</v>
      </c>
      <c r="C2" s="3"/>
      <c r="D2" s="3"/>
      <c r="E2" s="3"/>
      <c r="F2" s="3"/>
      <c r="G2" s="3"/>
      <c r="H2" s="3"/>
      <c r="I2" s="3"/>
    </row>
    <row r="3" spans="1:9" ht="15" x14ac:dyDescent="0.2">
      <c r="A3" s="12" t="s">
        <v>9</v>
      </c>
      <c r="B3" s="4" t="str">
        <f>B1&amp;" Rahasia"</f>
        <v>Nama Perusahaan Rahasia</v>
      </c>
      <c r="C3" s="4"/>
      <c r="D3" s="4"/>
      <c r="E3" s="4"/>
      <c r="F3" s="4"/>
      <c r="G3" s="4"/>
      <c r="H3" s="4"/>
      <c r="I3" s="4"/>
    </row>
    <row r="4" spans="1:9" ht="28.5" customHeight="1" x14ac:dyDescent="0.2">
      <c r="A4" s="12" t="s">
        <v>10</v>
      </c>
      <c r="B4" s="8" t="s">
        <v>16</v>
      </c>
    </row>
    <row r="5" spans="1:9" ht="25.5" x14ac:dyDescent="0.2">
      <c r="A5" s="12" t="s">
        <v>11</v>
      </c>
      <c r="B5" s="10" t="s">
        <v>17</v>
      </c>
      <c r="C5" s="10" t="s">
        <v>29</v>
      </c>
      <c r="D5" s="10" t="s">
        <v>30</v>
      </c>
      <c r="E5" s="10" t="s">
        <v>32</v>
      </c>
      <c r="F5" s="10" t="s">
        <v>33</v>
      </c>
      <c r="G5" s="10" t="s">
        <v>35</v>
      </c>
      <c r="H5" s="10" t="s">
        <v>37</v>
      </c>
      <c r="I5" s="10" t="s">
        <v>38</v>
      </c>
    </row>
    <row r="6" spans="1:9" x14ac:dyDescent="0.2">
      <c r="B6" s="5" t="s">
        <v>18</v>
      </c>
      <c r="C6" s="6">
        <v>0.1</v>
      </c>
      <c r="D6" s="6">
        <v>0.4</v>
      </c>
      <c r="E6" s="6">
        <v>0</v>
      </c>
      <c r="F6" s="6">
        <v>0</v>
      </c>
      <c r="G6" s="6">
        <v>0</v>
      </c>
      <c r="H6" s="6">
        <v>0.5</v>
      </c>
      <c r="I6" s="7">
        <f>SUM(Parameter[[#This Row],[REKAN UMUM]:[STAF ADMIN]])</f>
        <v>1</v>
      </c>
    </row>
    <row r="7" spans="1:9" x14ac:dyDescent="0.2">
      <c r="B7" s="5" t="s">
        <v>19</v>
      </c>
      <c r="C7" s="6">
        <v>0.1</v>
      </c>
      <c r="D7" s="6">
        <v>0.4</v>
      </c>
      <c r="E7" s="6">
        <v>0</v>
      </c>
      <c r="F7" s="6">
        <v>0.1</v>
      </c>
      <c r="G7" s="6">
        <v>0</v>
      </c>
      <c r="H7" s="6">
        <v>0.4</v>
      </c>
      <c r="I7" s="7">
        <f>SUM(Parameter[[#This Row],[REKAN UMUM]:[STAF ADMIN]])</f>
        <v>1</v>
      </c>
    </row>
    <row r="8" spans="1:9" x14ac:dyDescent="0.2">
      <c r="B8" s="5" t="s">
        <v>20</v>
      </c>
      <c r="C8" s="6">
        <v>0.2</v>
      </c>
      <c r="D8" s="6">
        <v>0</v>
      </c>
      <c r="E8" s="6">
        <v>0.5</v>
      </c>
      <c r="F8" s="6">
        <v>0</v>
      </c>
      <c r="G8" s="6">
        <v>0</v>
      </c>
      <c r="H8" s="6">
        <v>0.3</v>
      </c>
      <c r="I8" s="7">
        <f>SUM(Parameter[[#This Row],[REKAN UMUM]:[STAF ADMIN]])</f>
        <v>1</v>
      </c>
    </row>
    <row r="9" spans="1:9" x14ac:dyDescent="0.2">
      <c r="B9" s="5" t="s">
        <v>21</v>
      </c>
      <c r="C9" s="6">
        <v>0.1</v>
      </c>
      <c r="D9" s="6">
        <v>0</v>
      </c>
      <c r="E9" s="6">
        <v>0</v>
      </c>
      <c r="F9" s="6">
        <v>0.6</v>
      </c>
      <c r="G9" s="6">
        <v>0</v>
      </c>
      <c r="H9" s="6">
        <v>0.3</v>
      </c>
      <c r="I9" s="7">
        <f>SUM(Parameter[[#This Row],[REKAN UMUM]:[STAF ADMIN]])</f>
        <v>1</v>
      </c>
    </row>
    <row r="10" spans="1:9" x14ac:dyDescent="0.2">
      <c r="B10" s="5" t="s">
        <v>22</v>
      </c>
      <c r="C10" s="6">
        <v>0.2</v>
      </c>
      <c r="D10" s="6">
        <v>0.1</v>
      </c>
      <c r="E10" s="6">
        <v>0.4</v>
      </c>
      <c r="F10" s="6">
        <v>0</v>
      </c>
      <c r="G10" s="6">
        <v>0</v>
      </c>
      <c r="H10" s="6">
        <v>0.3</v>
      </c>
      <c r="I10" s="7">
        <f>SUM(Parameter[[#This Row],[REKAN UMUM]:[STAF ADMIN]])</f>
        <v>1</v>
      </c>
    </row>
    <row r="11" spans="1:9" x14ac:dyDescent="0.2">
      <c r="B11" s="5" t="s">
        <v>23</v>
      </c>
      <c r="C11" s="6">
        <v>0.1</v>
      </c>
      <c r="D11" s="6">
        <v>0.2</v>
      </c>
      <c r="E11" s="6">
        <v>0</v>
      </c>
      <c r="F11" s="6">
        <v>0</v>
      </c>
      <c r="G11" s="6">
        <v>0.4</v>
      </c>
      <c r="H11" s="6">
        <v>0.3</v>
      </c>
      <c r="I11" s="7">
        <f>SUM(Parameter[[#This Row],[REKAN UMUM]:[STAF ADMIN]])</f>
        <v>1</v>
      </c>
    </row>
    <row r="12" spans="1:9" ht="15" x14ac:dyDescent="0.2">
      <c r="A12" s="21" t="s">
        <v>12</v>
      </c>
      <c r="B12" s="5" t="s">
        <v>24</v>
      </c>
      <c r="C12" s="23">
        <v>350</v>
      </c>
      <c r="D12" s="23">
        <v>250</v>
      </c>
      <c r="E12" s="23">
        <v>300</v>
      </c>
      <c r="F12" s="23">
        <v>275</v>
      </c>
      <c r="G12" s="23">
        <v>225</v>
      </c>
      <c r="H12" s="23">
        <v>125</v>
      </c>
      <c r="I12" s="6"/>
    </row>
    <row r="14" spans="1:9" x14ac:dyDescent="0.2">
      <c r="A14" s="12" t="s">
        <v>13</v>
      </c>
      <c r="B14" s="12"/>
      <c r="C14" s="12"/>
      <c r="D14" s="12"/>
      <c r="E14" s="12"/>
      <c r="F14" s="12"/>
      <c r="G14" s="12"/>
      <c r="H14" s="12"/>
      <c r="I14" s="12"/>
    </row>
    <row r="15" spans="1:9" x14ac:dyDescent="0.2">
      <c r="B15" s="12"/>
      <c r="C15" s="12" t="s">
        <v>29</v>
      </c>
      <c r="D15" s="12" t="s">
        <v>31</v>
      </c>
      <c r="E15" s="12" t="s">
        <v>32</v>
      </c>
      <c r="F15" s="12" t="s">
        <v>34</v>
      </c>
      <c r="G15" s="12" t="s">
        <v>36</v>
      </c>
      <c r="H15" s="12" t="s">
        <v>37</v>
      </c>
      <c r="I15" s="12"/>
    </row>
    <row r="16" spans="1:9" x14ac:dyDescent="0.2">
      <c r="B16" s="12" t="s">
        <v>25</v>
      </c>
      <c r="C16" s="24">
        <f>SUBTOTAL(109,Detail[REKAN UMUM])</f>
        <v>78750</v>
      </c>
      <c r="D16" s="24">
        <f>SUBTOTAL(109,Detail[PENGACARA BISNIS])</f>
        <v>66250</v>
      </c>
      <c r="E16" s="24">
        <f>SUBTOTAL(109,Detail[PEMBELA])</f>
        <v>105000</v>
      </c>
      <c r="F16" s="24">
        <f>SUBTOTAL(109,Detail[PENGACARA HAK KEKAYAAN INTELEKTUAL])</f>
        <v>35750</v>
      </c>
      <c r="G16" s="24">
        <f>SUBTOTAL(109,Detail[PENGACARA PAILIT])</f>
        <v>0</v>
      </c>
      <c r="H16" s="24">
        <f>SUBTOTAL(109,Detail[STAF ADMIN])</f>
        <v>66250</v>
      </c>
      <c r="I16" s="12"/>
    </row>
    <row r="17" spans="2:9" x14ac:dyDescent="0.2">
      <c r="B17" s="12" t="s">
        <v>26</v>
      </c>
      <c r="C17" s="24">
        <f>SUBTOTAL(109,Detail[REKAN UMUM 2])</f>
        <v>79275</v>
      </c>
      <c r="D17" s="24">
        <f>SUBTOTAL(109,Detail[PENGACARA BISNIS 2])</f>
        <v>67375</v>
      </c>
      <c r="E17" s="24">
        <f>SUBTOTAL(109,Detail[PEMBELA 2])</f>
        <v>105600</v>
      </c>
      <c r="F17" s="24">
        <f>SUBTOTAL(109,Detail[PENGACARA HAK KEKAYAAN INTELEKTUAL 2])</f>
        <v>34650</v>
      </c>
      <c r="G17" s="24">
        <f>SUBTOTAL(109,Detail[PENGACARA PAILIT 2])</f>
        <v>0</v>
      </c>
      <c r="H17" s="24">
        <f>SUBTOTAL(109,Detail[STAF ADMIN 2])</f>
        <v>67000</v>
      </c>
      <c r="I17" s="12"/>
    </row>
    <row r="18" spans="2:9" x14ac:dyDescent="0.2">
      <c r="B18" s="12" t="s">
        <v>27</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28</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29.42578125" style="1" bestFit="1" customWidth="1"/>
    <col min="4" max="4" width="13.140625" style="1" customWidth="1"/>
    <col min="5" max="5" width="13.28515625" style="1" customWidth="1"/>
    <col min="6" max="7" width="11.85546875" style="1" customWidth="1"/>
    <col min="8" max="8" width="13.140625" style="1" customWidth="1"/>
    <col min="9" max="9" width="13.42578125" style="1" customWidth="1"/>
    <col min="10" max="10" width="11.140625" style="1" bestFit="1" customWidth="1"/>
    <col min="11" max="11" width="10.85546875" style="1" customWidth="1"/>
    <col min="12" max="12" width="11.7109375" style="1" hidden="1" customWidth="1"/>
    <col min="13" max="13" width="13.5703125" style="1" hidden="1" customWidth="1"/>
    <col min="14" max="14" width="11.140625" style="1" hidden="1" customWidth="1"/>
    <col min="15" max="15" width="18" style="1" hidden="1" customWidth="1"/>
    <col min="16" max="16" width="14.85546875" style="1" hidden="1" customWidth="1"/>
    <col min="17" max="17" width="13.42578125" style="1" hidden="1" customWidth="1"/>
    <col min="18" max="19" width="12.28515625" style="1" hidden="1" customWidth="1"/>
    <col min="20" max="20" width="12.5703125" style="1" hidden="1" customWidth="1"/>
    <col min="21" max="21" width="18.42578125" style="1" hidden="1" customWidth="1"/>
    <col min="22" max="22" width="14.140625" style="1" hidden="1" customWidth="1"/>
    <col min="23" max="23" width="15.42578125" style="1" hidden="1" customWidth="1"/>
    <col min="24" max="24" width="2.7109375" style="1" customWidth="1"/>
    <col min="25" max="16384" width="9.140625" style="1"/>
  </cols>
  <sheetData>
    <row r="1" spans="1:29" ht="35.450000000000003" customHeight="1" x14ac:dyDescent="0.35">
      <c r="A1" s="12" t="s">
        <v>39</v>
      </c>
      <c r="B1" s="2" t="str">
        <f>'PARAMETER PROYEK'!B1</f>
        <v>Nama Perusahaan</v>
      </c>
      <c r="C1" s="2"/>
      <c r="D1" s="2"/>
      <c r="E1" s="2"/>
      <c r="F1" s="2"/>
      <c r="G1" s="2"/>
      <c r="H1" s="2"/>
      <c r="I1" s="2"/>
      <c r="J1" s="2"/>
      <c r="K1" s="2"/>
    </row>
    <row r="2" spans="1:29" ht="19.5" x14ac:dyDescent="0.25">
      <c r="A2" s="12" t="s">
        <v>40</v>
      </c>
      <c r="B2" s="3" t="str">
        <f>'PARAMETER PROYEK'!B2</f>
        <v>Perencanaan Proyek untuk Firma Hukum</v>
      </c>
      <c r="C2" s="3"/>
      <c r="D2" s="3"/>
      <c r="E2" s="3"/>
      <c r="F2" s="3"/>
      <c r="G2" s="3"/>
      <c r="H2" s="3"/>
      <c r="I2" s="3"/>
      <c r="J2" s="3"/>
      <c r="K2" s="3"/>
      <c r="Y2" s="27" t="s">
        <v>79</v>
      </c>
      <c r="Z2" s="28"/>
      <c r="AA2" s="28"/>
      <c r="AB2" s="28"/>
      <c r="AC2" s="28"/>
    </row>
    <row r="3" spans="1:29" s="17" customFormat="1" ht="29.25" customHeight="1" x14ac:dyDescent="0.2">
      <c r="A3" s="21" t="s">
        <v>9</v>
      </c>
      <c r="B3" s="16" t="str">
        <f>'PARAMETER PROYEK'!B3</f>
        <v>Nama Perusahaan Rahasia</v>
      </c>
      <c r="C3" s="16"/>
      <c r="D3" s="16"/>
      <c r="E3" s="16"/>
      <c r="F3" s="16"/>
      <c r="G3" s="16"/>
      <c r="H3" s="16"/>
      <c r="I3" s="16"/>
      <c r="J3" s="16"/>
      <c r="K3" s="16"/>
      <c r="Y3" s="28"/>
      <c r="Z3" s="28"/>
      <c r="AA3" s="28"/>
      <c r="AB3" s="28"/>
      <c r="AC3" s="28"/>
    </row>
    <row r="4" spans="1:29" ht="38.25" x14ac:dyDescent="0.2">
      <c r="A4" s="21" t="s">
        <v>41</v>
      </c>
      <c r="B4" s="15" t="s">
        <v>42</v>
      </c>
      <c r="C4" s="15" t="s">
        <v>17</v>
      </c>
      <c r="D4" s="15" t="s">
        <v>48</v>
      </c>
      <c r="E4" s="15" t="s">
        <v>49</v>
      </c>
      <c r="F4" s="15" t="s">
        <v>50</v>
      </c>
      <c r="G4" s="15" t="s">
        <v>51</v>
      </c>
      <c r="H4" s="15" t="s">
        <v>52</v>
      </c>
      <c r="I4" s="15" t="s">
        <v>53</v>
      </c>
      <c r="J4" s="15" t="s">
        <v>54</v>
      </c>
      <c r="K4" s="15" t="s">
        <v>55</v>
      </c>
      <c r="L4" s="15" t="s">
        <v>29</v>
      </c>
      <c r="M4" s="15" t="s">
        <v>30</v>
      </c>
      <c r="N4" s="15" t="s">
        <v>32</v>
      </c>
      <c r="O4" s="15" t="s">
        <v>33</v>
      </c>
      <c r="P4" s="15" t="s">
        <v>35</v>
      </c>
      <c r="Q4" s="15" t="s">
        <v>37</v>
      </c>
      <c r="R4" s="15" t="s">
        <v>56</v>
      </c>
      <c r="S4" s="15" t="s">
        <v>57</v>
      </c>
      <c r="T4" s="15" t="s">
        <v>58</v>
      </c>
      <c r="U4" s="15" t="s">
        <v>59</v>
      </c>
      <c r="V4" s="15" t="s">
        <v>60</v>
      </c>
      <c r="W4" s="15" t="s">
        <v>61</v>
      </c>
      <c r="Y4" s="28"/>
      <c r="Z4" s="28"/>
      <c r="AA4" s="28"/>
      <c r="AB4" s="28"/>
      <c r="AC4" s="28"/>
    </row>
    <row r="5" spans="1:29" x14ac:dyDescent="0.2">
      <c r="B5" t="s">
        <v>43</v>
      </c>
      <c r="C5" t="s">
        <v>18</v>
      </c>
      <c r="D5" s="9">
        <f ca="1">TODAY()</f>
        <v>43511</v>
      </c>
      <c r="E5" s="9">
        <f ca="1">TODAY()+60</f>
        <v>43571</v>
      </c>
      <c r="F5" s="9">
        <f ca="1">TODAY()+10</f>
        <v>43521</v>
      </c>
      <c r="G5" s="9">
        <f ca="1">TODAY()+65</f>
        <v>43576</v>
      </c>
      <c r="H5">
        <v>200</v>
      </c>
      <c r="I5">
        <v>220</v>
      </c>
      <c r="J5">
        <f ca="1">DAYS360(Detail[[#This Row],[PERKIRAAN MULAI]],Detail[[#This Row],[PERKIRAAN SELESAI]],FALSE)</f>
        <v>61</v>
      </c>
      <c r="K5">
        <f ca="1">DAYS360(Detail[[#This Row],[MULAI AKTUAL]],Detail[[#This Row],[SELESAI AKTUAL]],FALSE)</f>
        <v>56</v>
      </c>
      <c r="L5" s="25">
        <f>INDEX(Parameter[],MATCH(Detail[[#This Row],[TIPE PROYEK]],Parameter[TIPE PROYEK],0),MATCH(Detail[[#Headers],[REKAN UMUM]],Parameter[#Headers],0))*INDEX('PARAMETER PROYEK'!$B$12:$H$12,1,MATCH(Detail[[#Headers],[REKAN UMUM]],Parameter[#Headers],0))*Detail[[#This Row],[ESTIMASI PEKERJAAN]]</f>
        <v>7000</v>
      </c>
      <c r="M5" s="25">
        <f>INDEX(Parameter[],MATCH(Detail[[#This Row],[TIPE PROYEK]],Parameter[TIPE PROYEK],0),MATCH(Detail[[#Headers],[PENGACARA BISNIS]],Parameter[#Headers],0))*INDEX('PARAMETER PROYEK'!$B$12:$H$12,1,MATCH(Detail[[#Headers],[PENGACARA BISNIS]],Parameter[#Headers],0))*Detail[[#This Row],[ESTIMASI PEKERJAAN]]</f>
        <v>20000</v>
      </c>
      <c r="N5" s="25">
        <f>INDEX(Parameter[],MATCH(Detail[[#This Row],[TIPE PROYEK]],Parameter[TIPE PROYEK],0),MATCH(Detail[[#Headers],[PEMBELA]],Parameter[#Headers],0))*INDEX('PARAMETER PROYEK'!$B$12:$H$12,1,MATCH(Detail[[#Headers],[PEMBELA]],Parameter[#Headers],0))*Detail[[#This Row],[ESTIMASI PEKERJAAN]]</f>
        <v>0</v>
      </c>
      <c r="O5" s="25">
        <f>INDEX(Parameter[],MATCH(Detail[[#This Row],[TIPE PROYEK]],Parameter[TIPE PROYEK],0),MATCH(Detail[[#Headers],[PENGACARA HAK KEKAYAAN INTELEKTUAL]],Parameter[#Headers],0))*INDEX('PARAMETER PROYEK'!$B$12:$H$12,1,MATCH(Detail[[#Headers],[PENGACARA HAK KEKAYAAN INTELEKTUAL]],Parameter[#Headers],0))*Detail[[#This Row],[ESTIMASI PEKERJAAN]]</f>
        <v>0</v>
      </c>
      <c r="P5" s="25">
        <f>INDEX(Parameter[],MATCH(Detail[[#This Row],[TIPE PROYEK]],Parameter[TIPE PROYEK],0),MATCH(Detail[[#Headers],[PENGACARA PAILIT]],Parameter[#Headers],0))*INDEX('PARAMETER PROYEK'!$B$12:$H$12,1,MATCH(Detail[[#Headers],[PENGACARA PAILIT]],Parameter[#Headers],0))*Detail[[#This Row],[ESTIMASI PEKERJAAN]]</f>
        <v>0</v>
      </c>
      <c r="Q5" s="25">
        <f>INDEX(Parameter[],MATCH(Detail[[#This Row],[TIPE PROYEK]],Parameter[TIPE PROYEK],0),MATCH(Detail[[#Headers],[STAF ADMIN]],Parameter[#Headers],0))*INDEX('PARAMETER PROYEK'!$B$12:$H$12,1,MATCH(Detail[[#Headers],[STAF ADMIN]],Parameter[#Headers],0))*Detail[[#This Row],[ESTIMASI PEKERJAAN]]</f>
        <v>12500</v>
      </c>
      <c r="R5" s="25">
        <f>INDEX(Parameter[],MATCH(Detail[[#This Row],[TIPE PROYEK]],Parameter[TIPE PROYEK],0),MATCH(Detail[[#Headers],[REKAN UMUM]],Parameter[#Headers],0))*INDEX('PARAMETER PROYEK'!$B$12:$H$12,1,MATCH(Detail[[#Headers],[REKAN UMUM]],Parameter[#Headers],0))*Detail[[#This Row],[PEKERJAAN AKTUAL]]</f>
        <v>7700</v>
      </c>
      <c r="S5" s="25">
        <f>INDEX(Parameter[],MATCH(Detail[[#This Row],[TIPE PROYEK]],Parameter[TIPE PROYEK],0),MATCH(Detail[[#Headers],[PENGACARA BISNIS]],Parameter[#Headers],0))*INDEX('PARAMETER PROYEK'!$B$12:$H$12,1,MATCH(Detail[[#Headers],[PENGACARA BISNIS]],Parameter[#Headers],0))*Detail[[#This Row],[PEKERJAAN AKTUAL]]</f>
        <v>22000</v>
      </c>
      <c r="T5" s="25">
        <f>INDEX(Parameter[],MATCH(Detail[[#This Row],[TIPE PROYEK]],Parameter[TIPE PROYEK],0),MATCH(Detail[[#Headers],[PEMBELA]],Parameter[#Headers],0))*INDEX('PARAMETER PROYEK'!$B$12:$H$12,1,MATCH(Detail[[#Headers],[PEMBELA]],Parameter[#Headers],0))*Detail[[#This Row],[PEKERJAAN AKTUAL]]</f>
        <v>0</v>
      </c>
      <c r="U5" s="25">
        <f>INDEX(Parameter[],MATCH(Detail[[#This Row],[TIPE PROYEK]],Parameter[TIPE PROYEK],0),MATCH(Detail[[#Headers],[PENGACARA HAK KEKAYAAN INTELEKTUAL]],Parameter[#Headers],0))*INDEX('PARAMETER PROYEK'!$B$12:$H$12,1,MATCH(Detail[[#Headers],[PENGACARA HAK KEKAYAAN INTELEKTUAL]],Parameter[#Headers],0))*Detail[[#This Row],[PEKERJAAN AKTUAL]]</f>
        <v>0</v>
      </c>
      <c r="V5" s="25">
        <f>INDEX(Parameter[],MATCH(Detail[[#This Row],[TIPE PROYEK]],Parameter[TIPE PROYEK],0),MATCH(Detail[[#Headers],[PENGACARA PAILIT]],Parameter[#Headers],0))*INDEX('PARAMETER PROYEK'!$B$12:$H$12,1,MATCH(Detail[[#Headers],[PENGACARA PAILIT]],Parameter[#Headers],0))*Detail[[#This Row],[PEKERJAAN AKTUAL]]</f>
        <v>0</v>
      </c>
      <c r="W5" s="25">
        <f>INDEX(Parameter[],MATCH(Detail[[#This Row],[TIPE PROYEK]],Parameter[TIPE PROYEK],0),MATCH(Detail[[#Headers],[STAF ADMIN]],Parameter[#Headers],0))*INDEX('PARAMETER PROYEK'!$B$12:$H$12,1,MATCH(Detail[[#Headers],[STAF ADMIN]],Parameter[#Headers],0))*Detail[[#This Row],[PEKERJAAN AKTUAL]]</f>
        <v>13750</v>
      </c>
      <c r="Y5" s="28"/>
      <c r="Z5" s="28"/>
      <c r="AA5" s="28"/>
      <c r="AB5" s="28"/>
      <c r="AC5" s="28"/>
    </row>
    <row r="6" spans="1:29" x14ac:dyDescent="0.2">
      <c r="B6" t="s">
        <v>44</v>
      </c>
      <c r="C6" t="s">
        <v>19</v>
      </c>
      <c r="D6" s="9">
        <f ca="1">TODAY()+30</f>
        <v>43541</v>
      </c>
      <c r="E6" s="9">
        <f ca="1">TODAY()+100</f>
        <v>43611</v>
      </c>
      <c r="F6" s="9">
        <f ca="1">TODAY()+40</f>
        <v>43551</v>
      </c>
      <c r="G6" s="9">
        <f ca="1">TODAY()+110</f>
        <v>43621</v>
      </c>
      <c r="H6">
        <v>400</v>
      </c>
      <c r="I6">
        <v>390</v>
      </c>
      <c r="J6">
        <f ca="1">DAYS360(Detail[[#This Row],[PERKIRAAN MULAI]],Detail[[#This Row],[PERKIRAAN SELESAI]],FALSE)</f>
        <v>69</v>
      </c>
      <c r="K6">
        <f ca="1">DAYS360(Detail[[#This Row],[MULAI AKTUAL]],Detail[[#This Row],[SELESAI AKTUAL]],FALSE)</f>
        <v>68</v>
      </c>
      <c r="L6" s="25">
        <f>INDEX(Parameter[],MATCH(Detail[[#This Row],[TIPE PROYEK]],Parameter[TIPE PROYEK],0),MATCH(Detail[[#Headers],[REKAN UMUM]],Parameter[#Headers],0))*INDEX('PARAMETER PROYEK'!$B$12:$H$12,1,MATCH(Detail[[#Headers],[REKAN UMUM]],Parameter[#Headers],0))*Detail[[#This Row],[ESTIMASI PEKERJAAN]]</f>
        <v>14000</v>
      </c>
      <c r="M6" s="25">
        <f>INDEX(Parameter[],MATCH(Detail[[#This Row],[TIPE PROYEK]],Parameter[TIPE PROYEK],0),MATCH(Detail[[#Headers],[PENGACARA BISNIS]],Parameter[#Headers],0))*INDEX('PARAMETER PROYEK'!$B$12:$H$12,1,MATCH(Detail[[#Headers],[PENGACARA BISNIS]],Parameter[#Headers],0))*Detail[[#This Row],[ESTIMASI PEKERJAAN]]</f>
        <v>40000</v>
      </c>
      <c r="N6" s="25">
        <f>INDEX(Parameter[],MATCH(Detail[[#This Row],[TIPE PROYEK]],Parameter[TIPE PROYEK],0),MATCH(Detail[[#Headers],[PEMBELA]],Parameter[#Headers],0))*INDEX('PARAMETER PROYEK'!$B$12:$H$12,1,MATCH(Detail[[#Headers],[PEMBELA]],Parameter[#Headers],0))*Detail[[#This Row],[ESTIMASI PEKERJAAN]]</f>
        <v>0</v>
      </c>
      <c r="O6" s="25">
        <f>INDEX(Parameter[],MATCH(Detail[[#This Row],[TIPE PROYEK]],Parameter[TIPE PROYEK],0),MATCH(Detail[[#Headers],[PENGACARA HAK KEKAYAAN INTELEKTUAL]],Parameter[#Headers],0))*INDEX('PARAMETER PROYEK'!$B$12:$H$12,1,MATCH(Detail[[#Headers],[PENGACARA HAK KEKAYAAN INTELEKTUAL]],Parameter[#Headers],0))*Detail[[#This Row],[ESTIMASI PEKERJAAN]]</f>
        <v>11000</v>
      </c>
      <c r="P6" s="25">
        <f>INDEX(Parameter[],MATCH(Detail[[#This Row],[TIPE PROYEK]],Parameter[TIPE PROYEK],0),MATCH(Detail[[#Headers],[PENGACARA PAILIT]],Parameter[#Headers],0))*INDEX('PARAMETER PROYEK'!$B$12:$H$12,1,MATCH(Detail[[#Headers],[PENGACARA PAILIT]],Parameter[#Headers],0))*Detail[[#This Row],[ESTIMASI PEKERJAAN]]</f>
        <v>0</v>
      </c>
      <c r="Q6" s="25">
        <f>INDEX(Parameter[],MATCH(Detail[[#This Row],[TIPE PROYEK]],Parameter[TIPE PROYEK],0),MATCH(Detail[[#Headers],[STAF ADMIN]],Parameter[#Headers],0))*INDEX('PARAMETER PROYEK'!$B$12:$H$12,1,MATCH(Detail[[#Headers],[STAF ADMIN]],Parameter[#Headers],0))*Detail[[#This Row],[ESTIMASI PEKERJAAN]]</f>
        <v>20000</v>
      </c>
      <c r="R6" s="25">
        <f>INDEX(Parameter[],MATCH(Detail[[#This Row],[TIPE PROYEK]],Parameter[TIPE PROYEK],0),MATCH(Detail[[#Headers],[REKAN UMUM]],Parameter[#Headers],0))*INDEX('PARAMETER PROYEK'!$B$12:$H$12,1,MATCH(Detail[[#Headers],[REKAN UMUM]],Parameter[#Headers],0))*Detail[[#This Row],[PEKERJAAN AKTUAL]]</f>
        <v>13650</v>
      </c>
      <c r="S6" s="25">
        <f>INDEX(Parameter[],MATCH(Detail[[#This Row],[TIPE PROYEK]],Parameter[TIPE PROYEK],0),MATCH(Detail[[#Headers],[PENGACARA BISNIS]],Parameter[#Headers],0))*INDEX('PARAMETER PROYEK'!$B$12:$H$12,1,MATCH(Detail[[#Headers],[PENGACARA BISNIS]],Parameter[#Headers],0))*Detail[[#This Row],[PEKERJAAN AKTUAL]]</f>
        <v>39000</v>
      </c>
      <c r="T6" s="25">
        <f>INDEX(Parameter[],MATCH(Detail[[#This Row],[TIPE PROYEK]],Parameter[TIPE PROYEK],0),MATCH(Detail[[#Headers],[PEMBELA]],Parameter[#Headers],0))*INDEX('PARAMETER PROYEK'!$B$12:$H$12,1,MATCH(Detail[[#Headers],[PEMBELA]],Parameter[#Headers],0))*Detail[[#This Row],[PEKERJAAN AKTUAL]]</f>
        <v>0</v>
      </c>
      <c r="U6" s="25">
        <f>INDEX(Parameter[],MATCH(Detail[[#This Row],[TIPE PROYEK]],Parameter[TIPE PROYEK],0),MATCH(Detail[[#Headers],[PENGACARA HAK KEKAYAAN INTELEKTUAL]],Parameter[#Headers],0))*INDEX('PARAMETER PROYEK'!$B$12:$H$12,1,MATCH(Detail[[#Headers],[PENGACARA HAK KEKAYAAN INTELEKTUAL]],Parameter[#Headers],0))*Detail[[#This Row],[PEKERJAAN AKTUAL]]</f>
        <v>10725</v>
      </c>
      <c r="V6" s="25">
        <f>INDEX(Parameter[],MATCH(Detail[[#This Row],[TIPE PROYEK]],Parameter[TIPE PROYEK],0),MATCH(Detail[[#Headers],[PENGACARA PAILIT]],Parameter[#Headers],0))*INDEX('PARAMETER PROYEK'!$B$12:$H$12,1,MATCH(Detail[[#Headers],[PENGACARA PAILIT]],Parameter[#Headers],0))*Detail[[#This Row],[PEKERJAAN AKTUAL]]</f>
        <v>0</v>
      </c>
      <c r="W6" s="25">
        <f>INDEX(Parameter[],MATCH(Detail[[#This Row],[TIPE PROYEK]],Parameter[TIPE PROYEK],0),MATCH(Detail[[#Headers],[STAF ADMIN]],Parameter[#Headers],0))*INDEX('PARAMETER PROYEK'!$B$12:$H$12,1,MATCH(Detail[[#Headers],[STAF ADMIN]],Parameter[#Headers],0))*Detail[[#This Row],[PEKERJAAN AKTUAL]]</f>
        <v>19500</v>
      </c>
      <c r="Y6" s="28"/>
      <c r="Z6" s="28"/>
      <c r="AA6" s="28"/>
      <c r="AB6" s="28"/>
      <c r="AC6" s="28"/>
    </row>
    <row r="7" spans="1:29" x14ac:dyDescent="0.2">
      <c r="B7" t="s">
        <v>45</v>
      </c>
      <c r="C7" t="s">
        <v>20</v>
      </c>
      <c r="D7" s="9">
        <f ca="1">TODAY()+150</f>
        <v>43661</v>
      </c>
      <c r="E7" s="9">
        <f ca="1">TODAY()+150</f>
        <v>43661</v>
      </c>
      <c r="F7" s="9">
        <f ca="1">TODAY()+150</f>
        <v>43661</v>
      </c>
      <c r="G7" s="9">
        <f ca="1">TODAY()+170</f>
        <v>43681</v>
      </c>
      <c r="H7">
        <v>500</v>
      </c>
      <c r="I7">
        <v>500</v>
      </c>
      <c r="J7">
        <f ca="1">DAYS360(Detail[[#This Row],[PERKIRAAN MULAI]],Detail[[#This Row],[PERKIRAAN SELESAI]],FALSE)</f>
        <v>0</v>
      </c>
      <c r="K7">
        <f ca="1">DAYS360(Detail[[#This Row],[MULAI AKTUAL]],Detail[[#This Row],[SELESAI AKTUAL]],FALSE)</f>
        <v>19</v>
      </c>
      <c r="L7" s="25">
        <f>INDEX(Parameter[],MATCH(Detail[[#This Row],[TIPE PROYEK]],Parameter[TIPE PROYEK],0),MATCH(Detail[[#Headers],[REKAN UMUM]],Parameter[#Headers],0))*INDEX('PARAMETER PROYEK'!$B$12:$H$12,1,MATCH(Detail[[#Headers],[REKAN UMUM]],Parameter[#Headers],0))*Detail[[#This Row],[ESTIMASI PEKERJAAN]]</f>
        <v>35000</v>
      </c>
      <c r="M7" s="25">
        <f>INDEX(Parameter[],MATCH(Detail[[#This Row],[TIPE PROYEK]],Parameter[TIPE PROYEK],0),MATCH(Detail[[#Headers],[PENGACARA BISNIS]],Parameter[#Headers],0))*INDEX('PARAMETER PROYEK'!$B$12:$H$12,1,MATCH(Detail[[#Headers],[PENGACARA BISNIS]],Parameter[#Headers],0))*Detail[[#This Row],[ESTIMASI PEKERJAAN]]</f>
        <v>0</v>
      </c>
      <c r="N7" s="25">
        <f>INDEX(Parameter[],MATCH(Detail[[#This Row],[TIPE PROYEK]],Parameter[TIPE PROYEK],0),MATCH(Detail[[#Headers],[PEMBELA]],Parameter[#Headers],0))*INDEX('PARAMETER PROYEK'!$B$12:$H$12,1,MATCH(Detail[[#Headers],[PEMBELA]],Parameter[#Headers],0))*Detail[[#This Row],[ESTIMASI PEKERJAAN]]</f>
        <v>75000</v>
      </c>
      <c r="O7" s="25">
        <f>INDEX(Parameter[],MATCH(Detail[[#This Row],[TIPE PROYEK]],Parameter[TIPE PROYEK],0),MATCH(Detail[[#Headers],[PENGACARA HAK KEKAYAAN INTELEKTUAL]],Parameter[#Headers],0))*INDEX('PARAMETER PROYEK'!$B$12:$H$12,1,MATCH(Detail[[#Headers],[PENGACARA HAK KEKAYAAN INTELEKTUAL]],Parameter[#Headers],0))*Detail[[#This Row],[ESTIMASI PEKERJAAN]]</f>
        <v>0</v>
      </c>
      <c r="P7" s="25">
        <f>INDEX(Parameter[],MATCH(Detail[[#This Row],[TIPE PROYEK]],Parameter[TIPE PROYEK],0),MATCH(Detail[[#Headers],[PENGACARA PAILIT]],Parameter[#Headers],0))*INDEX('PARAMETER PROYEK'!$B$12:$H$12,1,MATCH(Detail[[#Headers],[PENGACARA PAILIT]],Parameter[#Headers],0))*Detail[[#This Row],[ESTIMASI PEKERJAAN]]</f>
        <v>0</v>
      </c>
      <c r="Q7" s="25">
        <f>INDEX(Parameter[],MATCH(Detail[[#This Row],[TIPE PROYEK]],Parameter[TIPE PROYEK],0),MATCH(Detail[[#Headers],[STAF ADMIN]],Parameter[#Headers],0))*INDEX('PARAMETER PROYEK'!$B$12:$H$12,1,MATCH(Detail[[#Headers],[STAF ADMIN]],Parameter[#Headers],0))*Detail[[#This Row],[ESTIMASI PEKERJAAN]]</f>
        <v>18750</v>
      </c>
      <c r="R7" s="25">
        <f>INDEX(Parameter[],MATCH(Detail[[#This Row],[TIPE PROYEK]],Parameter[TIPE PROYEK],0),MATCH(Detail[[#Headers],[REKAN UMUM]],Parameter[#Headers],0))*INDEX('PARAMETER PROYEK'!$B$12:$H$12,1,MATCH(Detail[[#Headers],[REKAN UMUM]],Parameter[#Headers],0))*Detail[[#This Row],[PEKERJAAN AKTUAL]]</f>
        <v>35000</v>
      </c>
      <c r="S7" s="25">
        <f>INDEX(Parameter[],MATCH(Detail[[#This Row],[TIPE PROYEK]],Parameter[TIPE PROYEK],0),MATCH(Detail[[#Headers],[PENGACARA BISNIS]],Parameter[#Headers],0))*INDEX('PARAMETER PROYEK'!$B$12:$H$12,1,MATCH(Detail[[#Headers],[PENGACARA BISNIS]],Parameter[#Headers],0))*Detail[[#This Row],[PEKERJAAN AKTUAL]]</f>
        <v>0</v>
      </c>
      <c r="T7" s="25">
        <f>INDEX(Parameter[],MATCH(Detail[[#This Row],[TIPE PROYEK]],Parameter[TIPE PROYEK],0),MATCH(Detail[[#Headers],[PEMBELA]],Parameter[#Headers],0))*INDEX('PARAMETER PROYEK'!$B$12:$H$12,1,MATCH(Detail[[#Headers],[PEMBELA]],Parameter[#Headers],0))*Detail[[#This Row],[PEKERJAAN AKTUAL]]</f>
        <v>75000</v>
      </c>
      <c r="U7" s="25">
        <f>INDEX(Parameter[],MATCH(Detail[[#This Row],[TIPE PROYEK]],Parameter[TIPE PROYEK],0),MATCH(Detail[[#Headers],[PENGACARA HAK KEKAYAAN INTELEKTUAL]],Parameter[#Headers],0))*INDEX('PARAMETER PROYEK'!$B$12:$H$12,1,MATCH(Detail[[#Headers],[PENGACARA HAK KEKAYAAN INTELEKTUAL]],Parameter[#Headers],0))*Detail[[#This Row],[PEKERJAAN AKTUAL]]</f>
        <v>0</v>
      </c>
      <c r="V7" s="25">
        <f>INDEX(Parameter[],MATCH(Detail[[#This Row],[TIPE PROYEK]],Parameter[TIPE PROYEK],0),MATCH(Detail[[#Headers],[PENGACARA PAILIT]],Parameter[#Headers],0))*INDEX('PARAMETER PROYEK'!$B$12:$H$12,1,MATCH(Detail[[#Headers],[PENGACARA PAILIT]],Parameter[#Headers],0))*Detail[[#This Row],[PEKERJAAN AKTUAL]]</f>
        <v>0</v>
      </c>
      <c r="W7" s="25">
        <f>INDEX(Parameter[],MATCH(Detail[[#This Row],[TIPE PROYEK]],Parameter[TIPE PROYEK],0),MATCH(Detail[[#Headers],[STAF ADMIN]],Parameter[#Headers],0))*INDEX('PARAMETER PROYEK'!$B$12:$H$12,1,MATCH(Detail[[#Headers],[STAF ADMIN]],Parameter[#Headers],0))*Detail[[#This Row],[PEKERJAAN AKTUAL]]</f>
        <v>18750</v>
      </c>
      <c r="Y7" s="28"/>
      <c r="Z7" s="28"/>
      <c r="AA7" s="28"/>
      <c r="AB7" s="28"/>
      <c r="AC7" s="28"/>
    </row>
    <row r="8" spans="1:29" x14ac:dyDescent="0.2">
      <c r="B8" t="s">
        <v>46</v>
      </c>
      <c r="C8" t="s">
        <v>21</v>
      </c>
      <c r="D8" s="9">
        <f ca="1">TODAY()+200</f>
        <v>43711</v>
      </c>
      <c r="E8" s="9">
        <f ca="1">TODAY()+230</f>
        <v>43741</v>
      </c>
      <c r="F8" s="9">
        <f ca="1">TODAY()+230</f>
        <v>43741</v>
      </c>
      <c r="G8" s="9">
        <f ca="1">TODAY()+230</f>
        <v>43741</v>
      </c>
      <c r="H8">
        <v>150</v>
      </c>
      <c r="I8">
        <v>145</v>
      </c>
      <c r="J8">
        <f ca="1">DAYS360(Detail[[#This Row],[PERKIRAAN MULAI]],Detail[[#This Row],[PERKIRAAN SELESAI]],FALSE)</f>
        <v>30</v>
      </c>
      <c r="K8">
        <f ca="1">DAYS360(Detail[[#This Row],[MULAI AKTUAL]],Detail[[#This Row],[SELESAI AKTUAL]],FALSE)</f>
        <v>0</v>
      </c>
      <c r="L8" s="25">
        <f>INDEX(Parameter[],MATCH(Detail[[#This Row],[TIPE PROYEK]],Parameter[TIPE PROYEK],0),MATCH(Detail[[#Headers],[REKAN UMUM]],Parameter[#Headers],0))*INDEX('PARAMETER PROYEK'!$B$12:$H$12,1,MATCH(Detail[[#Headers],[REKAN UMUM]],Parameter[#Headers],0))*Detail[[#This Row],[ESTIMASI PEKERJAAN]]</f>
        <v>5250</v>
      </c>
      <c r="M8" s="25">
        <f>INDEX(Parameter[],MATCH(Detail[[#This Row],[TIPE PROYEK]],Parameter[TIPE PROYEK],0),MATCH(Detail[[#Headers],[PENGACARA BISNIS]],Parameter[#Headers],0))*INDEX('PARAMETER PROYEK'!$B$12:$H$12,1,MATCH(Detail[[#Headers],[PENGACARA BISNIS]],Parameter[#Headers],0))*Detail[[#This Row],[ESTIMASI PEKERJAAN]]</f>
        <v>0</v>
      </c>
      <c r="N8" s="25">
        <f>INDEX(Parameter[],MATCH(Detail[[#This Row],[TIPE PROYEK]],Parameter[TIPE PROYEK],0),MATCH(Detail[[#Headers],[PEMBELA]],Parameter[#Headers],0))*INDEX('PARAMETER PROYEK'!$B$12:$H$12,1,MATCH(Detail[[#Headers],[PEMBELA]],Parameter[#Headers],0))*Detail[[#This Row],[ESTIMASI PEKERJAAN]]</f>
        <v>0</v>
      </c>
      <c r="O8" s="25">
        <f>INDEX(Parameter[],MATCH(Detail[[#This Row],[TIPE PROYEK]],Parameter[TIPE PROYEK],0),MATCH(Detail[[#Headers],[PENGACARA HAK KEKAYAAN INTELEKTUAL]],Parameter[#Headers],0))*INDEX('PARAMETER PROYEK'!$B$12:$H$12,1,MATCH(Detail[[#Headers],[PENGACARA HAK KEKAYAAN INTELEKTUAL]],Parameter[#Headers],0))*Detail[[#This Row],[ESTIMASI PEKERJAAN]]</f>
        <v>24750</v>
      </c>
      <c r="P8" s="25">
        <f>INDEX(Parameter[],MATCH(Detail[[#This Row],[TIPE PROYEK]],Parameter[TIPE PROYEK],0),MATCH(Detail[[#Headers],[PENGACARA PAILIT]],Parameter[#Headers],0))*INDEX('PARAMETER PROYEK'!$B$12:$H$12,1,MATCH(Detail[[#Headers],[PENGACARA PAILIT]],Parameter[#Headers],0))*Detail[[#This Row],[ESTIMASI PEKERJAAN]]</f>
        <v>0</v>
      </c>
      <c r="Q8" s="25">
        <f>INDEX(Parameter[],MATCH(Detail[[#This Row],[TIPE PROYEK]],Parameter[TIPE PROYEK],0),MATCH(Detail[[#Headers],[STAF ADMIN]],Parameter[#Headers],0))*INDEX('PARAMETER PROYEK'!$B$12:$H$12,1,MATCH(Detail[[#Headers],[STAF ADMIN]],Parameter[#Headers],0))*Detail[[#This Row],[ESTIMASI PEKERJAAN]]</f>
        <v>5625</v>
      </c>
      <c r="R8" s="25">
        <f>INDEX(Parameter[],MATCH(Detail[[#This Row],[TIPE PROYEK]],Parameter[TIPE PROYEK],0),MATCH(Detail[[#Headers],[REKAN UMUM]],Parameter[#Headers],0))*INDEX('PARAMETER PROYEK'!$B$12:$H$12,1,MATCH(Detail[[#Headers],[REKAN UMUM]],Parameter[#Headers],0))*Detail[[#This Row],[PEKERJAAN AKTUAL]]</f>
        <v>5075</v>
      </c>
      <c r="S8" s="25">
        <f>INDEX(Parameter[],MATCH(Detail[[#This Row],[TIPE PROYEK]],Parameter[TIPE PROYEK],0),MATCH(Detail[[#Headers],[PENGACARA BISNIS]],Parameter[#Headers],0))*INDEX('PARAMETER PROYEK'!$B$12:$H$12,1,MATCH(Detail[[#Headers],[PENGACARA BISNIS]],Parameter[#Headers],0))*Detail[[#This Row],[PEKERJAAN AKTUAL]]</f>
        <v>0</v>
      </c>
      <c r="T8" s="25">
        <f>INDEX(Parameter[],MATCH(Detail[[#This Row],[TIPE PROYEK]],Parameter[TIPE PROYEK],0),MATCH(Detail[[#Headers],[PEMBELA]],Parameter[#Headers],0))*INDEX('PARAMETER PROYEK'!$B$12:$H$12,1,MATCH(Detail[[#Headers],[PEMBELA]],Parameter[#Headers],0))*Detail[[#This Row],[PEKERJAAN AKTUAL]]</f>
        <v>0</v>
      </c>
      <c r="U8" s="25">
        <f>INDEX(Parameter[],MATCH(Detail[[#This Row],[TIPE PROYEK]],Parameter[TIPE PROYEK],0),MATCH(Detail[[#Headers],[PENGACARA HAK KEKAYAAN INTELEKTUAL]],Parameter[#Headers],0))*INDEX('PARAMETER PROYEK'!$B$12:$H$12,1,MATCH(Detail[[#Headers],[PENGACARA HAK KEKAYAAN INTELEKTUAL]],Parameter[#Headers],0))*Detail[[#This Row],[PEKERJAAN AKTUAL]]</f>
        <v>23925</v>
      </c>
      <c r="V8" s="25">
        <f>INDEX(Parameter[],MATCH(Detail[[#This Row],[TIPE PROYEK]],Parameter[TIPE PROYEK],0),MATCH(Detail[[#Headers],[PENGACARA PAILIT]],Parameter[#Headers],0))*INDEX('PARAMETER PROYEK'!$B$12:$H$12,1,MATCH(Detail[[#Headers],[PENGACARA PAILIT]],Parameter[#Headers],0))*Detail[[#This Row],[PEKERJAAN AKTUAL]]</f>
        <v>0</v>
      </c>
      <c r="W8" s="25">
        <f>INDEX(Parameter[],MATCH(Detail[[#This Row],[TIPE PROYEK]],Parameter[TIPE PROYEK],0),MATCH(Detail[[#Headers],[STAF ADMIN]],Parameter[#Headers],0))*INDEX('PARAMETER PROYEK'!$B$12:$H$12,1,MATCH(Detail[[#Headers],[STAF ADMIN]],Parameter[#Headers],0))*Detail[[#This Row],[PEKERJAAN AKTUAL]]</f>
        <v>5437.5</v>
      </c>
      <c r="Y8" s="28"/>
      <c r="Z8" s="28"/>
      <c r="AA8" s="28"/>
      <c r="AB8" s="28"/>
      <c r="AC8" s="28"/>
    </row>
    <row r="9" spans="1:29" x14ac:dyDescent="0.2">
      <c r="B9" t="s">
        <v>47</v>
      </c>
      <c r="C9" t="s">
        <v>22</v>
      </c>
      <c r="D9" s="9">
        <f ca="1">TODAY()+220</f>
        <v>43731</v>
      </c>
      <c r="E9" s="9">
        <f ca="1">TODAY()+250</f>
        <v>43761</v>
      </c>
      <c r="F9" s="9">
        <f ca="1">TODAY()+230</f>
        <v>43741</v>
      </c>
      <c r="G9" s="9">
        <f ca="1">TODAY()+259</f>
        <v>43770</v>
      </c>
      <c r="H9">
        <v>250</v>
      </c>
      <c r="I9">
        <v>255</v>
      </c>
      <c r="J9">
        <f ca="1">DAYS360(Detail[[#This Row],[PERKIRAAN MULAI]],Detail[[#This Row],[PERKIRAAN SELESAI]],FALSE)</f>
        <v>30</v>
      </c>
      <c r="K9">
        <f ca="1">DAYS360(Detail[[#This Row],[MULAI AKTUAL]],Detail[[#This Row],[SELESAI AKTUAL]],FALSE)</f>
        <v>28</v>
      </c>
      <c r="L9" s="25">
        <f>INDEX(Parameter[],MATCH(Detail[[#This Row],[TIPE PROYEK]],Parameter[TIPE PROYEK],0),MATCH(Detail[[#Headers],[REKAN UMUM]],Parameter[#Headers],0))*INDEX('PARAMETER PROYEK'!$B$12:$H$12,1,MATCH(Detail[[#Headers],[REKAN UMUM]],Parameter[#Headers],0))*Detail[[#This Row],[ESTIMASI PEKERJAAN]]</f>
        <v>17500</v>
      </c>
      <c r="M9" s="25">
        <f>INDEX(Parameter[],MATCH(Detail[[#This Row],[TIPE PROYEK]],Parameter[TIPE PROYEK],0),MATCH(Detail[[#Headers],[PENGACARA BISNIS]],Parameter[#Headers],0))*INDEX('PARAMETER PROYEK'!$B$12:$H$12,1,MATCH(Detail[[#Headers],[PENGACARA BISNIS]],Parameter[#Headers],0))*Detail[[#This Row],[ESTIMASI PEKERJAAN]]</f>
        <v>6250</v>
      </c>
      <c r="N9" s="25">
        <f>INDEX(Parameter[],MATCH(Detail[[#This Row],[TIPE PROYEK]],Parameter[TIPE PROYEK],0),MATCH(Detail[[#Headers],[PEMBELA]],Parameter[#Headers],0))*INDEX('PARAMETER PROYEK'!$B$12:$H$12,1,MATCH(Detail[[#Headers],[PEMBELA]],Parameter[#Headers],0))*Detail[[#This Row],[ESTIMASI PEKERJAAN]]</f>
        <v>30000</v>
      </c>
      <c r="O9" s="25">
        <f>INDEX(Parameter[],MATCH(Detail[[#This Row],[TIPE PROYEK]],Parameter[TIPE PROYEK],0),MATCH(Detail[[#Headers],[PENGACARA HAK KEKAYAAN INTELEKTUAL]],Parameter[#Headers],0))*INDEX('PARAMETER PROYEK'!$B$12:$H$12,1,MATCH(Detail[[#Headers],[PENGACARA HAK KEKAYAAN INTELEKTUAL]],Parameter[#Headers],0))*Detail[[#This Row],[ESTIMASI PEKERJAAN]]</f>
        <v>0</v>
      </c>
      <c r="P9" s="25">
        <f>INDEX(Parameter[],MATCH(Detail[[#This Row],[TIPE PROYEK]],Parameter[TIPE PROYEK],0),MATCH(Detail[[#Headers],[PENGACARA PAILIT]],Parameter[#Headers],0))*INDEX('PARAMETER PROYEK'!$B$12:$H$12,1,MATCH(Detail[[#Headers],[PENGACARA PAILIT]],Parameter[#Headers],0))*Detail[[#This Row],[ESTIMASI PEKERJAAN]]</f>
        <v>0</v>
      </c>
      <c r="Q9" s="25">
        <f>INDEX(Parameter[],MATCH(Detail[[#This Row],[TIPE PROYEK]],Parameter[TIPE PROYEK],0),MATCH(Detail[[#Headers],[STAF ADMIN]],Parameter[#Headers],0))*INDEX('PARAMETER PROYEK'!$B$12:$H$12,1,MATCH(Detail[[#Headers],[STAF ADMIN]],Parameter[#Headers],0))*Detail[[#This Row],[ESTIMASI PEKERJAAN]]</f>
        <v>9375</v>
      </c>
      <c r="R9" s="25">
        <f>INDEX(Parameter[],MATCH(Detail[[#This Row],[TIPE PROYEK]],Parameter[TIPE PROYEK],0),MATCH(Detail[[#Headers],[REKAN UMUM]],Parameter[#Headers],0))*INDEX('PARAMETER PROYEK'!$B$12:$H$12,1,MATCH(Detail[[#Headers],[REKAN UMUM]],Parameter[#Headers],0))*Detail[[#This Row],[PEKERJAAN AKTUAL]]</f>
        <v>17850</v>
      </c>
      <c r="S9" s="25">
        <f>INDEX(Parameter[],MATCH(Detail[[#This Row],[TIPE PROYEK]],Parameter[TIPE PROYEK],0),MATCH(Detail[[#Headers],[PENGACARA BISNIS]],Parameter[#Headers],0))*INDEX('PARAMETER PROYEK'!$B$12:$H$12,1,MATCH(Detail[[#Headers],[PENGACARA BISNIS]],Parameter[#Headers],0))*Detail[[#This Row],[PEKERJAAN AKTUAL]]</f>
        <v>6375</v>
      </c>
      <c r="T9" s="25">
        <f>INDEX(Parameter[],MATCH(Detail[[#This Row],[TIPE PROYEK]],Parameter[TIPE PROYEK],0),MATCH(Detail[[#Headers],[PEMBELA]],Parameter[#Headers],0))*INDEX('PARAMETER PROYEK'!$B$12:$H$12,1,MATCH(Detail[[#Headers],[PEMBELA]],Parameter[#Headers],0))*Detail[[#This Row],[PEKERJAAN AKTUAL]]</f>
        <v>30600</v>
      </c>
      <c r="U9" s="25">
        <f>INDEX(Parameter[],MATCH(Detail[[#This Row],[TIPE PROYEK]],Parameter[TIPE PROYEK],0),MATCH(Detail[[#Headers],[PENGACARA HAK KEKAYAAN INTELEKTUAL]],Parameter[#Headers],0))*INDEX('PARAMETER PROYEK'!$B$12:$H$12,1,MATCH(Detail[[#Headers],[PENGACARA HAK KEKAYAAN INTELEKTUAL]],Parameter[#Headers],0))*Detail[[#This Row],[PEKERJAAN AKTUAL]]</f>
        <v>0</v>
      </c>
      <c r="V9" s="25">
        <f>INDEX(Parameter[],MATCH(Detail[[#This Row],[TIPE PROYEK]],Parameter[TIPE PROYEK],0),MATCH(Detail[[#Headers],[PENGACARA PAILIT]],Parameter[#Headers],0))*INDEX('PARAMETER PROYEK'!$B$12:$H$12,1,MATCH(Detail[[#Headers],[PENGACARA PAILIT]],Parameter[#Headers],0))*Detail[[#This Row],[PEKERJAAN AKTUAL]]</f>
        <v>0</v>
      </c>
      <c r="W9" s="25">
        <f>INDEX(Parameter[],MATCH(Detail[[#This Row],[TIPE PROYEK]],Parameter[TIPE PROYEK],0),MATCH(Detail[[#Headers],[STAF ADMIN]],Parameter[#Headers],0))*INDEX('PARAMETER PROYEK'!$B$12:$H$12,1,MATCH(Detail[[#Headers],[STAF ADMIN]],Parameter[#Headers],0))*Detail[[#This Row],[PEKERJAAN AKTUAL]]</f>
        <v>9562.5</v>
      </c>
      <c r="Y9" s="28"/>
      <c r="Z9" s="28"/>
      <c r="AA9" s="28"/>
      <c r="AB9" s="28"/>
      <c r="AC9" s="28"/>
    </row>
    <row r="10" spans="1:29" x14ac:dyDescent="0.2">
      <c r="B10" s="1" t="s">
        <v>38</v>
      </c>
      <c r="H10" s="1">
        <f>SUBTOTAL(109,Detail[ESTIMASI PEKERJAAN])</f>
        <v>1500</v>
      </c>
      <c r="I10" s="1">
        <f>SUBTOTAL(109,Detail[PEKERJAAN AKTUAL])</f>
        <v>1510</v>
      </c>
      <c r="J10" s="1">
        <f ca="1">SUBTOTAL(109,Detail[ESTIMASI DURASI])</f>
        <v>190</v>
      </c>
      <c r="K10" s="1">
        <f ca="1">SUBTOTAL(109,Detail[DURASI AKTUAL])</f>
        <v>171</v>
      </c>
    </row>
  </sheetData>
  <mergeCells count="1">
    <mergeCell ref="Y2:AC9"/>
  </mergeCells>
  <dataValidations count="1">
    <dataValidation type="list" allowBlank="1" showInputMessage="1" showErrorMessage="1" sqref="C5:C9" xr:uid="{00000000-0002-0000-0100-000000000000}">
      <formula1>JenisProyek</formula1>
    </dataValidation>
  </dataValidations>
  <pageMargins left="0.7" right="0.7" top="0.75" bottom="0.75" header="0.3" footer="0.3"/>
  <pageSetup paperSize="9"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workbookViewId="0"/>
  </sheetViews>
  <sheetFormatPr defaultColWidth="9.140625" defaultRowHeight="14.25" x14ac:dyDescent="0.2"/>
  <cols>
    <col min="1" max="1" width="1.85546875" style="12" customWidth="1"/>
    <col min="2" max="2" width="17.28515625" style="1" bestFit="1" customWidth="1"/>
    <col min="3" max="3" width="12.5703125" style="1" bestFit="1" customWidth="1"/>
    <col min="4" max="4" width="12.28515625" style="1" bestFit="1" customWidth="1"/>
    <col min="5" max="5" width="13.5703125" style="1" bestFit="1" customWidth="1"/>
    <col min="6" max="6" width="14.140625" style="1" bestFit="1" customWidth="1"/>
    <col min="7" max="7" width="7.28515625" style="1" bestFit="1" customWidth="1"/>
    <col min="8" max="8" width="12.28515625" style="1" bestFit="1" customWidth="1"/>
    <col min="9" max="9" width="12.5703125" style="1" bestFit="1" customWidth="1"/>
    <col min="10" max="10" width="12.28515625" style="1" bestFit="1" customWidth="1"/>
    <col min="11" max="11" width="13.5703125" style="1" bestFit="1" customWidth="1"/>
    <col min="12" max="12" width="12.28515625" style="1" bestFit="1" customWidth="1"/>
    <col min="13" max="13" width="14.140625" style="1" bestFit="1" customWidth="1"/>
    <col min="14" max="14" width="12.28515625" style="1" bestFit="1" customWidth="1"/>
    <col min="15" max="15" width="2.7109375" style="1" customWidth="1"/>
    <col min="16" max="16384" width="9.140625" style="1"/>
  </cols>
  <sheetData>
    <row r="1" spans="1:20" ht="35.450000000000003" customHeight="1" x14ac:dyDescent="0.35">
      <c r="A1" s="12" t="s">
        <v>62</v>
      </c>
      <c r="B1" s="2" t="str">
        <f>'PARAMETER PROYEK'!B1</f>
        <v>Nama Perusahaan</v>
      </c>
      <c r="C1" s="2"/>
      <c r="D1" s="2"/>
      <c r="E1" s="2"/>
      <c r="F1" s="2"/>
      <c r="G1" s="2"/>
      <c r="H1" s="2"/>
      <c r="I1" s="2"/>
      <c r="J1" s="2"/>
      <c r="K1" s="2"/>
      <c r="L1" s="2"/>
      <c r="M1" s="2"/>
      <c r="N1" s="2"/>
    </row>
    <row r="2" spans="1:20" ht="19.5" x14ac:dyDescent="0.25">
      <c r="A2" s="12" t="s">
        <v>8</v>
      </c>
      <c r="B2" s="3" t="str">
        <f>'PARAMETER PROYEK'!B2</f>
        <v>Perencanaan Proyek untuk Firma Hukum</v>
      </c>
      <c r="C2" s="3"/>
      <c r="D2" s="3"/>
      <c r="E2" s="3"/>
      <c r="F2" s="3"/>
      <c r="G2" s="3"/>
      <c r="H2" s="3"/>
      <c r="I2" s="3"/>
      <c r="J2" s="3"/>
      <c r="K2" s="3"/>
    </row>
    <row r="3" spans="1:20" ht="15" x14ac:dyDescent="0.2">
      <c r="A3" s="12" t="s">
        <v>9</v>
      </c>
      <c r="B3" s="4" t="str">
        <f>'PARAMETER PROYEK'!B3</f>
        <v>Nama Perusahaan Rahasia</v>
      </c>
      <c r="C3" s="4"/>
      <c r="D3" s="4"/>
      <c r="E3" s="4"/>
      <c r="F3" s="4"/>
      <c r="G3" s="4"/>
      <c r="H3" s="4"/>
      <c r="I3" s="4"/>
      <c r="J3" s="4"/>
      <c r="K3" s="4"/>
    </row>
    <row r="4" spans="1:20" x14ac:dyDescent="0.2">
      <c r="A4" s="12" t="s">
        <v>80</v>
      </c>
      <c r="C4" s="29" t="s">
        <v>65</v>
      </c>
      <c r="D4" s="30"/>
      <c r="E4" s="30"/>
      <c r="F4" s="30"/>
      <c r="G4" s="30"/>
      <c r="H4" s="31"/>
      <c r="I4" s="29" t="s">
        <v>72</v>
      </c>
      <c r="J4" s="30"/>
      <c r="K4" s="30"/>
      <c r="L4" s="30"/>
      <c r="M4" s="30"/>
      <c r="N4" s="31"/>
      <c r="P4" s="32" t="s">
        <v>78</v>
      </c>
      <c r="Q4" s="33"/>
      <c r="R4" s="33"/>
      <c r="S4" s="33"/>
      <c r="T4" s="33"/>
    </row>
    <row r="5" spans="1:20" s="11" customFormat="1" ht="25.5" x14ac:dyDescent="0.2">
      <c r="A5" s="21" t="s">
        <v>63</v>
      </c>
      <c r="B5" s="22" t="s">
        <v>42</v>
      </c>
      <c r="C5" s="10" t="s">
        <v>66</v>
      </c>
      <c r="D5" s="10" t="s">
        <v>67</v>
      </c>
      <c r="E5" s="10" t="s">
        <v>68</v>
      </c>
      <c r="F5" s="10" t="s">
        <v>69</v>
      </c>
      <c r="G5" s="10" t="s">
        <v>70</v>
      </c>
      <c r="H5" s="10" t="s">
        <v>71</v>
      </c>
      <c r="I5" s="10" t="s">
        <v>73</v>
      </c>
      <c r="J5" s="10" t="s">
        <v>31</v>
      </c>
      <c r="K5" s="10" t="s">
        <v>74</v>
      </c>
      <c r="L5" s="10" t="s">
        <v>75</v>
      </c>
      <c r="M5" s="10" t="s">
        <v>76</v>
      </c>
      <c r="N5" s="10" t="s">
        <v>77</v>
      </c>
      <c r="P5" s="33"/>
      <c r="Q5" s="33"/>
      <c r="R5" s="33"/>
      <c r="S5" s="33"/>
      <c r="T5" s="33"/>
    </row>
    <row r="6" spans="1:20" x14ac:dyDescent="0.2">
      <c r="B6" t="s">
        <v>43</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44</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45</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46</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47</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64</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ageMargins left="0.7" right="0.7" top="0.75" bottom="0.75" header="0.3" footer="0.3"/>
  <pageSetup paperSize="9" fitToHeight="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4</vt:i4>
      </vt:variant>
      <vt:variant>
        <vt:lpstr>Rentang Bernama</vt:lpstr>
      </vt:variant>
      <vt:variant>
        <vt:i4>3</vt:i4>
      </vt:variant>
    </vt:vector>
  </HeadingPairs>
  <TitlesOfParts>
    <vt:vector size="7" baseType="lpstr">
      <vt:lpstr>Mulai</vt:lpstr>
      <vt:lpstr>PARAMETER PROYEK</vt:lpstr>
      <vt:lpstr>DETAIL PROYEK</vt:lpstr>
      <vt:lpstr>TOTAL PROYEK</vt:lpstr>
      <vt:lpstr>JenisProyek</vt:lpstr>
      <vt:lpstr>'DETAIL PROYEK'!Print_Titles</vt:lpstr>
      <vt:lpstr>'TOTAL PROYEK'!Print_Titles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2019-02-15T09:20:15Z</dcterms:modified>
</cp:coreProperties>
</file>

<file path=docProps/custom.xml><?xml version="1.0" encoding="utf-8"?>
<Properties xmlns="http://schemas.openxmlformats.org/officeDocument/2006/custom-properties" xmlns:vt="http://schemas.openxmlformats.org/officeDocument/2006/docPropsVTypes"/>
</file>