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autoCompressPictures="0"/>
  <xr:revisionPtr revIDLastSave="0" documentId="13_ncr:1_{E1056F28-33CF-4E53-9B25-39A794BF975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Kezdés" sheetId="2" r:id="rId1"/>
    <sheet name="Éves naptár" sheetId="1" r:id="rId2"/>
  </sheets>
  <definedNames>
    <definedName name="ÁprVas1">DATE(NaptáriÉv,4,1)-WEEKDAY(DATE(NaptáriÉv,4,1))+1</definedName>
    <definedName name="AugVas1">DATE(NaptáriÉv,8,1)-WEEKDAY(DATE(NaptáriÉv,8,1))+1</definedName>
    <definedName name="DecVas1">DATE(NaptáriÉv,12,1)-WEEKDAY(DATE(NaptáriÉv,12,1))+1</definedName>
    <definedName name="FebVas1">DATE(NaptáriÉv,2,1)-WEEKDAY(DATE(NaptáriÉv,2,1))+1</definedName>
    <definedName name="JanVas1">DATE(NaptáriÉv,1,1)-WEEKDAY(DATE(NaptáriÉv,1,1))+1</definedName>
    <definedName name="JúlVas1">DATE(NaptáriÉv,7,1)-WEEKDAY(DATE(NaptáriÉv,7,1))+1</definedName>
    <definedName name="JúnVas1">DATE(NaptáriÉv,6,1)-WEEKDAY(DATE(NaptáriÉv,6,1))+1</definedName>
    <definedName name="MájVas1">DATE(NaptáriÉv,5,1)-WEEKDAY(DATE(NaptáriÉv,5,1))+1</definedName>
    <definedName name="MárcVas1">DATE(NaptáriÉv,3,1)-WEEKDAY(DATE(NaptáriÉv,3,1))+1</definedName>
    <definedName name="NaptáriÉv">'Éves naptár'!$C$1</definedName>
    <definedName name="NovVas1">DATE(NaptáriÉv,11,1)-WEEKDAY(DATE(NaptáriÉv,11,1))+1</definedName>
    <definedName name="OktVas1">DATE(NaptáriÉv,10,1)-WEEKDAY(DATE(NaptáriÉv,10,1))+1</definedName>
    <definedName name="_xlnm.Print_Area" localSheetId="1">'Éves naptár'!$B$1:$W$55</definedName>
    <definedName name="SzeptVas1">DATE(NaptáriÉv,9,1)-WEEKDAY(DATE(NaptáriÉv,9,1))+1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<sst xmlns="http://schemas.openxmlformats.org/spreadsheetml/2006/main" count="135" uniqueCount="58">
  <si>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A SABLON BEMUTATÁSA</t>
  </si>
  <si>
    <t>Ezzel a sablonnal egy, a kisvállalkozások számára hasznos, személyes naptárat hozhat létre egy tetszőleges évről.</t>
  </si>
  <si>
    <t>Írja be a cégnevet és a kapcsolattartási adatokat, valamint illessze be a cég emblémáját.</t>
  </si>
  <si>
    <t>Válassza ki az évet, illetve adja meg a fontosabb dátumokat és alkalmakat.</t>
  </si>
  <si>
    <t>Megjegyzés: </t>
  </si>
  <si>
    <t xml:space="preserve">Az ÉVES NAPTÁR munkalap A oszlopában további útmutatások találhatók. Ez a szöveg szándékosan van elrejtve. Ha törölni szeretné a szöveget, jelölje ki az A oszlopot, majd nyomja le a DELETE billentyűt. </t>
  </si>
  <si>
    <t>Ha többet meg szeretne tudni a táblázatokról, nyomja le a SHIFT+F10 billentyűkombinációt egy táblázaton belül, és válassza a TÁBLÁZAT parancsot, majd a HELYETTESÍTŐ SZÖVEG elemet.</t>
  </si>
  <si>
    <t>Ezen a munkalapon egy kisvállalkozásoknak szánt naptárat készíthet egy tetszőleges évről. Ennek az oszlopnak a celláiban a munkalap használatát megkönnyítő útmutatások olvashatók. A C1 cellában található év módosításához válassza a jobbra található cellában lévő léptetőt. A Fontos dátumok címke az U1 cellában található</t>
  </si>
  <si>
    <t>A jobbra lévő cella tippeket tartalmaz</t>
  </si>
  <si>
    <t>A kiválasztott év naptára a C3–Q55 cellákban, a január hónap naptára a C4–I10, a február hónap naptára a K4–Q10 cellákban találhatók. A Január címke a C3, a Február címke pedig a K3 cellákban található. Az U3–U42 cellákba írja be a fontos dátumokat és alkalmakat.</t>
  </si>
  <si>
    <t>A Január hónap naptárának táblázata a C4–I10, a Február hónap naptárának táblázata a K4–Q10 cellákban található. A következő utasítás az A12 cellában található</t>
  </si>
  <si>
    <t>A Március címke a C12, az Április címke pedig a K12 cellákban található</t>
  </si>
  <si>
    <t>A Március hónap naptárának táblázata a C13–I19, az Április hónap naptárának táblázata a K13–Q19 cellákban található. A következő utasítás az A21 cellában található</t>
  </si>
  <si>
    <t>A Május címke a C21, a Június címke pedig a K21 cellákban található</t>
  </si>
  <si>
    <t>A Május hónap naptárának táblázata a C22–I28, a Június hónap naptárának táblázata a K22–Q28 cellákban található. A következő utasítás az A30 cellában található</t>
  </si>
  <si>
    <t>A Július címke a C30, az Augusztus címke pedig a K30 cellákban található</t>
  </si>
  <si>
    <t>A Július hónap naptárának táblázata a C31–I37, az Augusztus hónap naptárának táblázata a K31–Q37 cellákban található. A következő utasítás az A39 cellában található</t>
  </si>
  <si>
    <t>A Szeptember címke a C39, az Október címke pedig a K39 cellákban található</t>
  </si>
  <si>
    <t>A Szeptember hónap naptárának táblázata a C40–I46, az Október hónap naptárának táblázata a K40–Q46 cellákban található. A következő utasítás az A44 cellában található</t>
  </si>
  <si>
    <t>Az U44 cellában adhatja meg az utcanevet és a házszámot</t>
  </si>
  <si>
    <t>Az U45 cellában adhatja meg a települést és az irányítószámot. A következő utasítás az A47 cellában található</t>
  </si>
  <si>
    <t>Az U47 cellában adhatja meg a cég telefonszámát</t>
  </si>
  <si>
    <t>A November címke a C48, a December címke pedig a K48 cellákban található. Az U48 cellában adhatja meg az e-mail címet</t>
  </si>
  <si>
    <t>A November hónap naptárának táblázata a C49–I55, a December hónap naptárának táblázata a K49–Q55 cellákban található. A következő utasítás az A51 cellában található</t>
  </si>
  <si>
    <t>Az U51 cellába illesztheti be a cég emblémáját</t>
  </si>
  <si>
    <t>A naptár évét a léptető segítségével módosíthatja</t>
  </si>
  <si>
    <t>JANUÁR</t>
  </si>
  <si>
    <t>H</t>
  </si>
  <si>
    <t>MÁRCIUS</t>
  </si>
  <si>
    <t>MÁJUS</t>
  </si>
  <si>
    <t>JÚLIUS</t>
  </si>
  <si>
    <t>SZEPTEMBER</t>
  </si>
  <si>
    <t>NOVEMBER</t>
  </si>
  <si>
    <t>K</t>
  </si>
  <si>
    <t>SZE</t>
  </si>
  <si>
    <t>CS</t>
  </si>
  <si>
    <t>P</t>
  </si>
  <si>
    <t>SZO</t>
  </si>
  <si>
    <t>V</t>
  </si>
  <si>
    <t>FEBRUÁR</t>
  </si>
  <si>
    <t>ÁPRILIS</t>
  </si>
  <si>
    <t>JÚNIUS</t>
  </si>
  <si>
    <t>AUGUSZTUS</t>
  </si>
  <si>
    <t>OKTÓBER</t>
  </si>
  <si>
    <t>DECEMBER</t>
  </si>
  <si>
    <t>FONTOS DÁTUMOK</t>
  </si>
  <si>
    <t>JANUÁR 1.</t>
  </si>
  <si>
    <t>ÚJÉV</t>
  </si>
  <si>
    <t>FEBRUÁR 14.</t>
  </si>
  <si>
    <t>VALENTIN-NAP</t>
  </si>
  <si>
    <t>FEBRUÁR 22.</t>
  </si>
  <si>
    <t>NYÍLT NAP</t>
  </si>
  <si>
    <t>Utca, házszám</t>
  </si>
  <si>
    <t>Telefonszám</t>
  </si>
  <si>
    <t>E-mail-cím</t>
  </si>
  <si>
    <t>Honlap</t>
  </si>
  <si>
    <t>Ebben a cellában az embléma helyőrzője található.</t>
  </si>
  <si>
    <t>Irányítószám Település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</si>
</sst>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;;;"/>
    <numFmt numFmtId="167" formatCode="d"/>
  </numFmts>
  <fonts count="3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2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2" fillId="0" borderId="0" xfId="0" applyNumberFormat="1" applyFont="1"/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6" fillId="0" borderId="1" xfId="0" applyNumberFormat="1" applyFont="1" applyBorder="1"/>
    <xf numFmtId="49" fontId="16" fillId="0" borderId="0" xfId="0" applyNumberFormat="1" applyFont="1"/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2" borderId="0" xfId="0" applyFill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8" builtinId="16" customBuiltin="1"/>
    <cellStyle name="Heading 2" xfId="1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Falevelek" descr="Hat levél párosával és egyesével elhelyezve különböző távolságokb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Léptető" descr="A léptetőgombot használva válassza ki a naptári évet, vagy adja meg az évet a C1 cellában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Embléma" descr="Embléma helyőrzője cég emblémájának hozzáadásához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Szeptember" displayName="Szeptember" ref="C40:I46" totalsRowShown="0" headerRowDxfId="107" dataDxfId="106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H" dataDxfId="105"/>
    <tableColumn id="2" xr3:uid="{00000000-0010-0000-0000-000002000000}" name="K" dataDxfId="104"/>
    <tableColumn id="3" xr3:uid="{00000000-0010-0000-0000-000003000000}" name="SZE" dataDxfId="103"/>
    <tableColumn id="4" xr3:uid="{00000000-0010-0000-0000-000004000000}" name="CS" dataDxfId="102"/>
    <tableColumn id="5" xr3:uid="{00000000-0010-0000-0000-000005000000}" name="P" dataDxfId="101"/>
    <tableColumn id="6" xr3:uid="{00000000-0010-0000-0000-000006000000}" name="SZO" dataDxfId="100"/>
    <tableColumn id="7" xr3:uid="{00000000-0010-0000-0000-000007000000}" name="V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szeptemberi naptár automatikusan frissül a hét napjainak nevével és a dátumokkal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Április" displayName="Április" ref="K13:Q19" totalsRowShown="0" headerRowDxfId="26" dataDxfId="2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H" dataDxfId="24"/>
    <tableColumn id="2" xr3:uid="{00000000-0010-0000-0900-000002000000}" name="K" dataDxfId="23"/>
    <tableColumn id="3" xr3:uid="{00000000-0010-0000-0900-000003000000}" name="SZE" dataDxfId="22"/>
    <tableColumn id="4" xr3:uid="{00000000-0010-0000-0900-000004000000}" name="CS" dataDxfId="21"/>
    <tableColumn id="5" xr3:uid="{00000000-0010-0000-0900-000005000000}" name="P" dataDxfId="20"/>
    <tableColumn id="6" xr3:uid="{00000000-0010-0000-0900-000006000000}" name="SZO" dataDxfId="19"/>
    <tableColumn id="7" xr3:uid="{00000000-0010-0000-0900-000007000000}" name="V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áprilisi naptár automatikusan frissül a hét napjainak nevével és a dátumokkal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Február" displayName="Február" ref="K4:Q10" totalsRowShown="0" headerRowDxfId="17" dataDxfId="16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H" dataDxfId="15"/>
    <tableColumn id="2" xr3:uid="{00000000-0010-0000-0A00-000002000000}" name="K" dataDxfId="14"/>
    <tableColumn id="3" xr3:uid="{00000000-0010-0000-0A00-000003000000}" name="SZE" dataDxfId="13"/>
    <tableColumn id="4" xr3:uid="{00000000-0010-0000-0A00-000004000000}" name="CS" dataDxfId="12"/>
    <tableColumn id="5" xr3:uid="{00000000-0010-0000-0A00-000005000000}" name="P" dataDxfId="11"/>
    <tableColumn id="6" xr3:uid="{00000000-0010-0000-0A00-000006000000}" name="SZO" dataDxfId="10"/>
    <tableColumn id="7" xr3:uid="{00000000-0010-0000-0A00-000007000000}" name="V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februári naptár automatikusan frissül a hét napjainak nevével és a dátumokkal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Január" displayName="Január" ref="C4:I10" totalsRowShown="0" headerRowDxfId="8" dataDxfId="7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H" dataDxfId="6"/>
    <tableColumn id="2" xr3:uid="{00000000-0010-0000-0B00-000002000000}" name="K" dataDxfId="5"/>
    <tableColumn id="3" xr3:uid="{00000000-0010-0000-0B00-000003000000}" name="SZE" dataDxfId="4"/>
    <tableColumn id="4" xr3:uid="{00000000-0010-0000-0B00-000004000000}" name="CS" dataDxfId="3"/>
    <tableColumn id="5" xr3:uid="{00000000-0010-0000-0B00-000005000000}" name="P" dataDxfId="2"/>
    <tableColumn id="6" xr3:uid="{00000000-0010-0000-0B00-000006000000}" name="SZO" dataDxfId="1"/>
    <tableColumn id="7" xr3:uid="{00000000-0010-0000-0B00-000007000000}" name="V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anuári naptár automatikusan frissül a hét napjainak nevével és a dátumokk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Október" displayName="Október" ref="K40:Q46" totalsRowShown="0" headerRowDxfId="98" dataDxfId="97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H" dataDxfId="96"/>
    <tableColumn id="2" xr3:uid="{00000000-0010-0000-0100-000002000000}" name="K" dataDxfId="95"/>
    <tableColumn id="3" xr3:uid="{00000000-0010-0000-0100-000003000000}" name="SZE" dataDxfId="94"/>
    <tableColumn id="4" xr3:uid="{00000000-0010-0000-0100-000004000000}" name="CS" dataDxfId="93"/>
    <tableColumn id="5" xr3:uid="{00000000-0010-0000-0100-000005000000}" name="P" dataDxfId="92"/>
    <tableColumn id="6" xr3:uid="{00000000-0010-0000-0100-000006000000}" name="SZO" dataDxfId="91"/>
    <tableColumn id="7" xr3:uid="{00000000-0010-0000-0100-000007000000}" name="V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októberi naptár automatikusan frissül a hét napjainak nevével és a dátumokkal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December" displayName="December" ref="K49:Q55" totalsRowShown="0" headerRowDxfId="89" dataDxfId="88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H" dataDxfId="87"/>
    <tableColumn id="2" xr3:uid="{00000000-0010-0000-0200-000002000000}" name="K" dataDxfId="86"/>
    <tableColumn id="3" xr3:uid="{00000000-0010-0000-0200-000003000000}" name="SZE" dataDxfId="85"/>
    <tableColumn id="4" xr3:uid="{00000000-0010-0000-0200-000004000000}" name="CS" dataDxfId="84"/>
    <tableColumn id="5" xr3:uid="{00000000-0010-0000-0200-000005000000}" name="P" dataDxfId="83"/>
    <tableColumn id="6" xr3:uid="{00000000-0010-0000-0200-000006000000}" name="SZO" dataDxfId="82"/>
    <tableColumn id="7" xr3:uid="{00000000-0010-0000-0200-000007000000}" name="V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decemberi naptár automatikusan frissül a hét napjainak nevével és a dátumokkal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November" displayName="November" ref="C49:I55" totalsRowShown="0" headerRowDxfId="80" dataDxfId="79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H" dataDxfId="78"/>
    <tableColumn id="2" xr3:uid="{00000000-0010-0000-0300-000002000000}" name="K" dataDxfId="77"/>
    <tableColumn id="3" xr3:uid="{00000000-0010-0000-0300-000003000000}" name="SZE" dataDxfId="76"/>
    <tableColumn id="4" xr3:uid="{00000000-0010-0000-0300-000004000000}" name="CS" dataDxfId="75"/>
    <tableColumn id="5" xr3:uid="{00000000-0010-0000-0300-000005000000}" name="P" dataDxfId="74"/>
    <tableColumn id="6" xr3:uid="{00000000-0010-0000-0300-000006000000}" name="SZO" dataDxfId="73"/>
    <tableColumn id="7" xr3:uid="{00000000-0010-0000-0300-000007000000}" name="V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novemberi naptár automatikusan frissül a hét napjainak nevével és a dátumokkal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Augusztus" displayName="Augusztus" ref="K31:Q37" totalsRowShown="0" headerRowDxfId="71" dataDxfId="70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H" dataDxfId="69"/>
    <tableColumn id="2" xr3:uid="{00000000-0010-0000-0400-000002000000}" name="K" dataDxfId="68"/>
    <tableColumn id="3" xr3:uid="{00000000-0010-0000-0400-000003000000}" name="SZE" dataDxfId="67"/>
    <tableColumn id="4" xr3:uid="{00000000-0010-0000-0400-000004000000}" name="CS" dataDxfId="66"/>
    <tableColumn id="5" xr3:uid="{00000000-0010-0000-0400-000005000000}" name="P" dataDxfId="65"/>
    <tableColumn id="6" xr3:uid="{00000000-0010-0000-0400-000006000000}" name="SZO" dataDxfId="64"/>
    <tableColumn id="7" xr3:uid="{00000000-0010-0000-0400-000007000000}" name="V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augusztusi naptár automatikusan frissül a hét napjainak nevével és a dátumokkal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Július" displayName="Július" ref="C31:I37" totalsRowShown="0" headerRowDxfId="62" dataDxfId="61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H" dataDxfId="60"/>
    <tableColumn id="2" xr3:uid="{00000000-0010-0000-0500-000002000000}" name="K" dataDxfId="59"/>
    <tableColumn id="3" xr3:uid="{00000000-0010-0000-0500-000003000000}" name="SZE" dataDxfId="58"/>
    <tableColumn id="4" xr3:uid="{00000000-0010-0000-0500-000004000000}" name="CS" dataDxfId="57"/>
    <tableColumn id="5" xr3:uid="{00000000-0010-0000-0500-000005000000}" name="P" dataDxfId="56"/>
    <tableColumn id="6" xr3:uid="{00000000-0010-0000-0500-000006000000}" name="SZO" dataDxfId="55"/>
    <tableColumn id="7" xr3:uid="{00000000-0010-0000-0500-000007000000}" name="V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úliusi naptár automatikusan frissül a hét napjainak nevével és a dátumokkal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Június" displayName="Június" ref="K22:Q28" totalsRowShown="0" headerRowDxfId="53" dataDxfId="52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H" dataDxfId="51"/>
    <tableColumn id="2" xr3:uid="{00000000-0010-0000-0600-000002000000}" name="K" dataDxfId="50"/>
    <tableColumn id="3" xr3:uid="{00000000-0010-0000-0600-000003000000}" name="SZE" dataDxfId="49"/>
    <tableColumn id="4" xr3:uid="{00000000-0010-0000-0600-000004000000}" name="CS" dataDxfId="48"/>
    <tableColumn id="5" xr3:uid="{00000000-0010-0000-0600-000005000000}" name="P" dataDxfId="47"/>
    <tableColumn id="6" xr3:uid="{00000000-0010-0000-0600-000006000000}" name="SZO" dataDxfId="46"/>
    <tableColumn id="7" xr3:uid="{00000000-0010-0000-0600-000007000000}" name="V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júniusi naptár automatikusan frissül a hét napjainak nevével és a dátumokkal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Május" displayName="Május" ref="C22:I28" totalsRowShown="0" headerRowDxfId="44" dataDxfId="43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H" dataDxfId="42"/>
    <tableColumn id="2" xr3:uid="{00000000-0010-0000-0700-000002000000}" name="K" dataDxfId="41"/>
    <tableColumn id="3" xr3:uid="{00000000-0010-0000-0700-000003000000}" name="SZE" dataDxfId="40"/>
    <tableColumn id="4" xr3:uid="{00000000-0010-0000-0700-000004000000}" name="CS" dataDxfId="39"/>
    <tableColumn id="5" xr3:uid="{00000000-0010-0000-0700-000005000000}" name="P" dataDxfId="38"/>
    <tableColumn id="6" xr3:uid="{00000000-0010-0000-0700-000006000000}" name="SZO" dataDxfId="37"/>
    <tableColumn id="7" xr3:uid="{00000000-0010-0000-0700-000007000000}" name="V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májusi naptár automatikusan frissül a hét napjainak nevével és a dátumokkal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Március" displayName="Március" ref="C13:I19" totalsRowShown="0" headerRowDxfId="35" dataDxfId="3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H" dataDxfId="33"/>
    <tableColumn id="2" xr3:uid="{00000000-0010-0000-0800-000002000000}" name="K" dataDxfId="32"/>
    <tableColumn id="3" xr3:uid="{00000000-0010-0000-0800-000003000000}" name="SZE" dataDxfId="31"/>
    <tableColumn id="4" xr3:uid="{00000000-0010-0000-0800-000004000000}" name="CS" dataDxfId="30"/>
    <tableColumn id="5" xr3:uid="{00000000-0010-0000-0800-000005000000}" name="P" dataDxfId="29"/>
    <tableColumn id="6" xr3:uid="{00000000-0010-0000-0800-000006000000}" name="SZO" dataDxfId="28"/>
    <tableColumn id="7" xr3:uid="{00000000-0010-0000-0800-000007000000}" name="V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áblázatban szereplő márciusi naptár automatikusan frissül a hét napjainak nevével és a dátumokkal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51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0" t="s">
        <v>5</v>
      </c>
    </row>
    <row r="7" spans="2:2" ht="51.75" customHeight="1" x14ac:dyDescent="0.2">
      <c r="B7" s="14" t="s">
        <v>6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7</v>
      </c>
      <c r="B1" s="4"/>
      <c r="C1" s="28">
        <v>2020</v>
      </c>
      <c r="D1" s="28"/>
      <c r="E1" s="28"/>
      <c r="F1" s="28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45</v>
      </c>
      <c r="V1" s="4"/>
      <c r="W1" s="4"/>
    </row>
    <row r="2" spans="1:23" ht="15" customHeight="1" x14ac:dyDescent="0.2">
      <c r="A2" s="18" t="s">
        <v>8</v>
      </c>
      <c r="B2" s="30" t="s">
        <v>25</v>
      </c>
      <c r="C2" s="30"/>
      <c r="D2" s="30"/>
      <c r="E2" s="30"/>
      <c r="F2" s="30"/>
      <c r="G2" s="30"/>
      <c r="H2" s="30"/>
      <c r="I2" s="30"/>
      <c r="J2" s="30"/>
      <c r="K2" s="30"/>
      <c r="S2" s="24"/>
    </row>
    <row r="3" spans="1:23" ht="15" customHeight="1" x14ac:dyDescent="0.25">
      <c r="A3" s="19" t="s">
        <v>9</v>
      </c>
      <c r="C3" s="27" t="s">
        <v>26</v>
      </c>
      <c r="D3" s="27"/>
      <c r="E3" s="27"/>
      <c r="F3" s="27"/>
      <c r="G3" s="27"/>
      <c r="H3" s="27"/>
      <c r="I3" s="27"/>
      <c r="J3" s="21"/>
      <c r="K3" s="27" t="s">
        <v>39</v>
      </c>
      <c r="L3" s="27"/>
      <c r="M3" s="27"/>
      <c r="N3" s="27"/>
      <c r="O3" s="27"/>
      <c r="P3" s="27"/>
      <c r="Q3" s="27"/>
      <c r="S3" s="24"/>
      <c r="U3" s="10" t="s">
        <v>46</v>
      </c>
      <c r="V3" s="26"/>
      <c r="W3" s="26"/>
    </row>
    <row r="4" spans="1:23" ht="15" customHeight="1" x14ac:dyDescent="0.2">
      <c r="A4" s="18" t="s">
        <v>10</v>
      </c>
      <c r="C4" s="11" t="s">
        <v>27</v>
      </c>
      <c r="D4" s="11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22"/>
      <c r="K4" s="11" t="s">
        <v>27</v>
      </c>
      <c r="L4" s="11" t="s">
        <v>33</v>
      </c>
      <c r="M4" s="11" t="s">
        <v>34</v>
      </c>
      <c r="N4" s="11" t="s">
        <v>35</v>
      </c>
      <c r="O4" s="11" t="s">
        <v>36</v>
      </c>
      <c r="P4" s="11" t="s">
        <v>37</v>
      </c>
      <c r="Q4" s="11" t="s">
        <v>38</v>
      </c>
      <c r="S4" s="24"/>
      <c r="U4" s="3" t="s">
        <v>47</v>
      </c>
      <c r="V4" s="26"/>
      <c r="W4" s="26"/>
    </row>
    <row r="5" spans="1:23" ht="15" customHeight="1" x14ac:dyDescent="0.2">
      <c r="A5" s="18"/>
      <c r="C5" s="25" t="str">
        <f>IF(DAY(JanVas1)=1,"",IF(AND(YEAR(JanVas1+1)=NaptáriÉv,MONTH(JanVas1+1)=1),JanVas1+1,""))</f>
        <v/>
      </c>
      <c r="D5" s="25" t="str">
        <f>IF(DAY(JanVas1)=1,"",IF(AND(YEAR(JanVas1+2)=NaptáriÉv,MONTH(JanVas1+2)=1),JanVas1+2,""))</f>
        <v/>
      </c>
      <c r="E5" s="25">
        <f>IF(DAY(JanVas1)=1,"",IF(AND(YEAR(JanVas1+3)=NaptáriÉv,MONTH(JanVas1+3)=1),JanVas1+3,""))</f>
        <v>43831</v>
      </c>
      <c r="F5" s="25">
        <f>IF(DAY(JanVas1)=1,"",IF(AND(YEAR(JanVas1+4)=NaptáriÉv,MONTH(JanVas1+4)=1),JanVas1+4,""))</f>
        <v>43832</v>
      </c>
      <c r="G5" s="25">
        <f>IF(DAY(JanVas1)=1,"",IF(AND(YEAR(JanVas1+5)=NaptáriÉv,MONTH(JanVas1+5)=1),JanVas1+5,""))</f>
        <v>43833</v>
      </c>
      <c r="H5" s="25">
        <f>IF(DAY(JanVas1)=1,"",IF(AND(YEAR(JanVas1+6)=NaptáriÉv,MONTH(JanVas1+6)=1),JanVas1+6,""))</f>
        <v>43834</v>
      </c>
      <c r="I5" s="25">
        <f>IF(DAY(JanVas1)=1,IF(AND(YEAR(JanVas1)=NaptáriÉv,MONTH(JanVas1)=1),JanVas1,""),IF(AND(YEAR(JanVas1+7)=NaptáriÉv,MONTH(JanVas1+7)=1),JanVas1+7,""))</f>
        <v>43835</v>
      </c>
      <c r="J5" s="22"/>
      <c r="K5" s="25" t="str">
        <f>IF(DAY(FebVas1)=1,"",IF(AND(YEAR(FebVas1+1)=NaptáriÉv,MONTH(FebVas1+1)=2),FebVas1+1,""))</f>
        <v/>
      </c>
      <c r="L5" s="25" t="str">
        <f>IF(DAY(FebVas1)=1,"",IF(AND(YEAR(FebVas1+2)=NaptáriÉv,MONTH(FebVas1+2)=2),FebVas1+2,""))</f>
        <v/>
      </c>
      <c r="M5" s="25" t="str">
        <f>IF(DAY(FebVas1)=1,"",IF(AND(YEAR(FebVas1+3)=NaptáriÉv,MONTH(FebVas1+3)=2),FebVas1+3,""))</f>
        <v/>
      </c>
      <c r="N5" s="25" t="str">
        <f>IF(DAY(FebVas1)=1,"",IF(AND(YEAR(FebVas1+4)=NaptáriÉv,MONTH(FebVas1+4)=2),FebVas1+4,""))</f>
        <v/>
      </c>
      <c r="O5" s="25" t="str">
        <f>IF(DAY(FebVas1)=1,"",IF(AND(YEAR(FebVas1+5)=NaptáriÉv,MONTH(FebVas1+5)=2),FebVas1+5,""))</f>
        <v/>
      </c>
      <c r="P5" s="25">
        <f>IF(DAY(FebVas1)=1,"",IF(AND(YEAR(FebVas1+6)=NaptáriÉv,MONTH(FebVas1+6)=2),FebVas1+6,""))</f>
        <v>43862</v>
      </c>
      <c r="Q5" s="25">
        <f>IF(DAY(FebVas1)=1,IF(AND(YEAR(FebVas1)=NaptáriÉv,MONTH(FebVas1)=2),FebVas1,""),IF(AND(YEAR(FebVas1+7)=NaptáriÉv,MONTH(FebVas1+7)=2),FebVas1+7,""))</f>
        <v>43863</v>
      </c>
      <c r="S5" s="24"/>
      <c r="U5" s="2"/>
      <c r="V5" s="26"/>
      <c r="W5" s="26"/>
    </row>
    <row r="6" spans="1:23" ht="15" customHeight="1" x14ac:dyDescent="0.2">
      <c r="A6" s="18"/>
      <c r="C6" s="25">
        <f>IF(DAY(JanVas1)=1,IF(AND(YEAR(JanVas1+1)=NaptáriÉv,MONTH(JanVas1+1)=1),JanVas1+1,""),IF(AND(YEAR(JanVas1+8)=NaptáriÉv,MONTH(JanVas1+8)=1),JanVas1+8,""))</f>
        <v>43836</v>
      </c>
      <c r="D6" s="25">
        <f>IF(DAY(JanVas1)=1,IF(AND(YEAR(JanVas1+2)=NaptáriÉv,MONTH(JanVas1+2)=1),JanVas1+2,""),IF(AND(YEAR(JanVas1+9)=NaptáriÉv,MONTH(JanVas1+9)=1),JanVas1+9,""))</f>
        <v>43837</v>
      </c>
      <c r="E6" s="25">
        <f>IF(DAY(JanVas1)=1,IF(AND(YEAR(JanVas1+3)=NaptáriÉv,MONTH(JanVas1+3)=1),JanVas1+3,""),IF(AND(YEAR(JanVas1+10)=NaptáriÉv,MONTH(JanVas1+10)=1),JanVas1+10,""))</f>
        <v>43838</v>
      </c>
      <c r="F6" s="25">
        <f>IF(DAY(JanVas1)=1,IF(AND(YEAR(JanVas1+4)=NaptáriÉv,MONTH(JanVas1+4)=1),JanVas1+4,""),IF(AND(YEAR(JanVas1+11)=NaptáriÉv,MONTH(JanVas1+11)=1),JanVas1+11,""))</f>
        <v>43839</v>
      </c>
      <c r="G6" s="25">
        <f>IF(DAY(JanVas1)=1,IF(AND(YEAR(JanVas1+5)=NaptáriÉv,MONTH(JanVas1+5)=1),JanVas1+5,""),IF(AND(YEAR(JanVas1+12)=NaptáriÉv,MONTH(JanVas1+12)=1),JanVas1+12,""))</f>
        <v>43840</v>
      </c>
      <c r="H6" s="25">
        <f>IF(DAY(JanVas1)=1,IF(AND(YEAR(JanVas1+6)=NaptáriÉv,MONTH(JanVas1+6)=1),JanVas1+6,""),IF(AND(YEAR(JanVas1+13)=NaptáriÉv,MONTH(JanVas1+13)=1),JanVas1+13,""))</f>
        <v>43841</v>
      </c>
      <c r="I6" s="25">
        <f>IF(DAY(JanVas1)=1,IF(AND(YEAR(JanVas1+7)=NaptáriÉv,MONTH(JanVas1+7)=1),JanVas1+7,""),IF(AND(YEAR(JanVas1+14)=NaptáriÉv,MONTH(JanVas1+14)=1),JanVas1+14,""))</f>
        <v>43842</v>
      </c>
      <c r="J6" s="22"/>
      <c r="K6" s="25">
        <f>IF(DAY(FebVas1)=1,IF(AND(YEAR(FebVas1+1)=NaptáriÉv,MONTH(FebVas1+1)=2),FebVas1+1,""),IF(AND(YEAR(FebVas1+8)=NaptáriÉv,MONTH(FebVas1+8)=2),FebVas1+8,""))</f>
        <v>43864</v>
      </c>
      <c r="L6" s="25">
        <f>IF(DAY(FebVas1)=1,IF(AND(YEAR(FebVas1+2)=NaptáriÉv,MONTH(FebVas1+2)=2),FebVas1+2,""),IF(AND(YEAR(FebVas1+9)=NaptáriÉv,MONTH(FebVas1+9)=2),FebVas1+9,""))</f>
        <v>43865</v>
      </c>
      <c r="M6" s="25">
        <f>IF(DAY(FebVas1)=1,IF(AND(YEAR(FebVas1+3)=NaptáriÉv,MONTH(FebVas1+3)=2),FebVas1+3,""),IF(AND(YEAR(FebVas1+10)=NaptáriÉv,MONTH(FebVas1+10)=2),FebVas1+10,""))</f>
        <v>43866</v>
      </c>
      <c r="N6" s="25">
        <f>IF(DAY(FebVas1)=1,IF(AND(YEAR(FebVas1+4)=NaptáriÉv,MONTH(FebVas1+4)=2),FebVas1+4,""),IF(AND(YEAR(FebVas1+11)=NaptáriÉv,MONTH(FebVas1+11)=2),FebVas1+11,""))</f>
        <v>43867</v>
      </c>
      <c r="O6" s="25">
        <f>IF(DAY(FebVas1)=1,IF(AND(YEAR(FebVas1+5)=NaptáriÉv,MONTH(FebVas1+5)=2),FebVas1+5,""),IF(AND(YEAR(FebVas1+12)=NaptáriÉv,MONTH(FebVas1+12)=2),FebVas1+12,""))</f>
        <v>43868</v>
      </c>
      <c r="P6" s="25">
        <f>IF(DAY(FebVas1)=1,IF(AND(YEAR(FebVas1+6)=NaptáriÉv,MONTH(FebVas1+6)=2),FebVas1+6,""),IF(AND(YEAR(FebVas1+13)=NaptáriÉv,MONTH(FebVas1+13)=2),FebVas1+13,""))</f>
        <v>43869</v>
      </c>
      <c r="Q6" s="25">
        <f>IF(DAY(FebVas1)=1,IF(AND(YEAR(FebVas1+7)=NaptáriÉv,MONTH(FebVas1+7)=2),FebVas1+7,""),IF(AND(YEAR(FebVas1+14)=NaptáriÉv,MONTH(FebVas1+14)=2),FebVas1+14,""))</f>
        <v>43870</v>
      </c>
      <c r="S6" s="24"/>
      <c r="U6" s="10" t="s">
        <v>48</v>
      </c>
      <c r="V6" s="26"/>
      <c r="W6" s="26"/>
    </row>
    <row r="7" spans="1:23" ht="15" customHeight="1" x14ac:dyDescent="0.2">
      <c r="C7" s="25">
        <f>IF(DAY(JanVas1)=1,IF(AND(YEAR(JanVas1+8)=NaptáriÉv,MONTH(JanVas1+8)=1),JanVas1+8,""),IF(AND(YEAR(JanVas1+15)=NaptáriÉv,MONTH(JanVas1+15)=1),JanVas1+15,""))</f>
        <v>43843</v>
      </c>
      <c r="D7" s="25">
        <f>IF(DAY(JanVas1)=1,IF(AND(YEAR(JanVas1+9)=NaptáriÉv,MONTH(JanVas1+9)=1),JanVas1+9,""),IF(AND(YEAR(JanVas1+16)=NaptáriÉv,MONTH(JanVas1+16)=1),JanVas1+16,""))</f>
        <v>43844</v>
      </c>
      <c r="E7" s="25">
        <f>IF(DAY(JanVas1)=1,IF(AND(YEAR(JanVas1+10)=NaptáriÉv,MONTH(JanVas1+10)=1),JanVas1+10,""),IF(AND(YEAR(JanVas1+17)=NaptáriÉv,MONTH(JanVas1+17)=1),JanVas1+17,""))</f>
        <v>43845</v>
      </c>
      <c r="F7" s="25">
        <f>IF(DAY(JanVas1)=1,IF(AND(YEAR(JanVas1+11)=NaptáriÉv,MONTH(JanVas1+11)=1),JanVas1+11,""),IF(AND(YEAR(JanVas1+18)=NaptáriÉv,MONTH(JanVas1+18)=1),JanVas1+18,""))</f>
        <v>43846</v>
      </c>
      <c r="G7" s="25">
        <f>IF(DAY(JanVas1)=1,IF(AND(YEAR(JanVas1+12)=NaptáriÉv,MONTH(JanVas1+12)=1),JanVas1+12,""),IF(AND(YEAR(JanVas1+19)=NaptáriÉv,MONTH(JanVas1+19)=1),JanVas1+19,""))</f>
        <v>43847</v>
      </c>
      <c r="H7" s="25">
        <f>IF(DAY(JanVas1)=1,IF(AND(YEAR(JanVas1+13)=NaptáriÉv,MONTH(JanVas1+13)=1),JanVas1+13,""),IF(AND(YEAR(JanVas1+20)=NaptáriÉv,MONTH(JanVas1+20)=1),JanVas1+20,""))</f>
        <v>43848</v>
      </c>
      <c r="I7" s="25">
        <f>IF(DAY(JanVas1)=1,IF(AND(YEAR(JanVas1+14)=NaptáriÉv,MONTH(JanVas1+14)=1),JanVas1+14,""),IF(AND(YEAR(JanVas1+21)=NaptáriÉv,MONTH(JanVas1+21)=1),JanVas1+21,""))</f>
        <v>43849</v>
      </c>
      <c r="J7" s="22"/>
      <c r="K7" s="25">
        <f>IF(DAY(FebVas1)=1,IF(AND(YEAR(FebVas1+8)=NaptáriÉv,MONTH(FebVas1+8)=2),FebVas1+8,""),IF(AND(YEAR(FebVas1+15)=NaptáriÉv,MONTH(FebVas1+15)=2),FebVas1+15,""))</f>
        <v>43871</v>
      </c>
      <c r="L7" s="25">
        <f>IF(DAY(FebVas1)=1,IF(AND(YEAR(FebVas1+9)=NaptáriÉv,MONTH(FebVas1+9)=2),FebVas1+9,""),IF(AND(YEAR(FebVas1+16)=NaptáriÉv,MONTH(FebVas1+16)=2),FebVas1+16,""))</f>
        <v>43872</v>
      </c>
      <c r="M7" s="25">
        <f>IF(DAY(FebVas1)=1,IF(AND(YEAR(FebVas1+10)=NaptáriÉv,MONTH(FebVas1+10)=2),FebVas1+10,""),IF(AND(YEAR(FebVas1+17)=NaptáriÉv,MONTH(FebVas1+17)=2),FebVas1+17,""))</f>
        <v>43873</v>
      </c>
      <c r="N7" s="25">
        <f>IF(DAY(FebVas1)=1,IF(AND(YEAR(FebVas1+11)=NaptáriÉv,MONTH(FebVas1+11)=2),FebVas1+11,""),IF(AND(YEAR(FebVas1+18)=NaptáriÉv,MONTH(FebVas1+18)=2),FebVas1+18,""))</f>
        <v>43874</v>
      </c>
      <c r="O7" s="25">
        <f>IF(DAY(FebVas1)=1,IF(AND(YEAR(FebVas1+12)=NaptáriÉv,MONTH(FebVas1+12)=2),FebVas1+12,""),IF(AND(YEAR(FebVas1+19)=NaptáriÉv,MONTH(FebVas1+19)=2),FebVas1+19,""))</f>
        <v>43875</v>
      </c>
      <c r="P7" s="25">
        <f>IF(DAY(FebVas1)=1,IF(AND(YEAR(FebVas1+13)=NaptáriÉv,MONTH(FebVas1+13)=2),FebVas1+13,""),IF(AND(YEAR(FebVas1+20)=NaptáriÉv,MONTH(FebVas1+20)=2),FebVas1+20,""))</f>
        <v>43876</v>
      </c>
      <c r="Q7" s="25">
        <f>IF(DAY(FebVas1)=1,IF(AND(YEAR(FebVas1+14)=NaptáriÉv,MONTH(FebVas1+14)=2),FebVas1+14,""),IF(AND(YEAR(FebVas1+21)=NaptáriÉv,MONTH(FebVas1+21)=2),FebVas1+21,""))</f>
        <v>43877</v>
      </c>
      <c r="S7" s="24"/>
      <c r="U7" s="3" t="s">
        <v>49</v>
      </c>
      <c r="V7" s="26"/>
      <c r="W7" s="26"/>
    </row>
    <row r="8" spans="1:23" ht="15" customHeight="1" x14ac:dyDescent="0.2">
      <c r="C8" s="25">
        <f>IF(DAY(JanVas1)=1,IF(AND(YEAR(JanVas1+15)=NaptáriÉv,MONTH(JanVas1+15)=1),JanVas1+15,""),IF(AND(YEAR(JanVas1+22)=NaptáriÉv,MONTH(JanVas1+22)=1),JanVas1+22,""))</f>
        <v>43850</v>
      </c>
      <c r="D8" s="25">
        <f>IF(DAY(JanVas1)=1,IF(AND(YEAR(JanVas1+16)=NaptáriÉv,MONTH(JanVas1+16)=1),JanVas1+16,""),IF(AND(YEAR(JanVas1+23)=NaptáriÉv,MONTH(JanVas1+23)=1),JanVas1+23,""))</f>
        <v>43851</v>
      </c>
      <c r="E8" s="25">
        <f>IF(DAY(JanVas1)=1,IF(AND(YEAR(JanVas1+17)=NaptáriÉv,MONTH(JanVas1+17)=1),JanVas1+17,""),IF(AND(YEAR(JanVas1+24)=NaptáriÉv,MONTH(JanVas1+24)=1),JanVas1+24,""))</f>
        <v>43852</v>
      </c>
      <c r="F8" s="25">
        <f>IF(DAY(JanVas1)=1,IF(AND(YEAR(JanVas1+18)=NaptáriÉv,MONTH(JanVas1+18)=1),JanVas1+18,""),IF(AND(YEAR(JanVas1+25)=NaptáriÉv,MONTH(JanVas1+25)=1),JanVas1+25,""))</f>
        <v>43853</v>
      </c>
      <c r="G8" s="25">
        <f>IF(DAY(JanVas1)=1,IF(AND(YEAR(JanVas1+19)=NaptáriÉv,MONTH(JanVas1+19)=1),JanVas1+19,""),IF(AND(YEAR(JanVas1+26)=NaptáriÉv,MONTH(JanVas1+26)=1),JanVas1+26,""))</f>
        <v>43854</v>
      </c>
      <c r="H8" s="25">
        <f>IF(DAY(JanVas1)=1,IF(AND(YEAR(JanVas1+20)=NaptáriÉv,MONTH(JanVas1+20)=1),JanVas1+20,""),IF(AND(YEAR(JanVas1+27)=NaptáriÉv,MONTH(JanVas1+27)=1),JanVas1+27,""))</f>
        <v>43855</v>
      </c>
      <c r="I8" s="25">
        <f>IF(DAY(JanVas1)=1,IF(AND(YEAR(JanVas1+21)=NaptáriÉv,MONTH(JanVas1+21)=1),JanVas1+21,""),IF(AND(YEAR(JanVas1+28)=NaptáriÉv,MONTH(JanVas1+28)=1),JanVas1+28,""))</f>
        <v>43856</v>
      </c>
      <c r="J8" s="22"/>
      <c r="K8" s="25">
        <f>IF(DAY(FebVas1)=1,IF(AND(YEAR(FebVas1+15)=NaptáriÉv,MONTH(FebVas1+15)=2),FebVas1+15,""),IF(AND(YEAR(FebVas1+22)=NaptáriÉv,MONTH(FebVas1+22)=2),FebVas1+22,""))</f>
        <v>43878</v>
      </c>
      <c r="L8" s="25">
        <f>IF(DAY(FebVas1)=1,IF(AND(YEAR(FebVas1+16)=NaptáriÉv,MONTH(FebVas1+16)=2),FebVas1+16,""),IF(AND(YEAR(FebVas1+23)=NaptáriÉv,MONTH(FebVas1+23)=2),FebVas1+23,""))</f>
        <v>43879</v>
      </c>
      <c r="M8" s="25">
        <f>IF(DAY(FebVas1)=1,IF(AND(YEAR(FebVas1+17)=NaptáriÉv,MONTH(FebVas1+17)=2),FebVas1+17,""),IF(AND(YEAR(FebVas1+24)=NaptáriÉv,MONTH(FebVas1+24)=2),FebVas1+24,""))</f>
        <v>43880</v>
      </c>
      <c r="N8" s="25">
        <f>IF(DAY(FebVas1)=1,IF(AND(YEAR(FebVas1+18)=NaptáriÉv,MONTH(FebVas1+18)=2),FebVas1+18,""),IF(AND(YEAR(FebVas1+25)=NaptáriÉv,MONTH(FebVas1+25)=2),FebVas1+25,""))</f>
        <v>43881</v>
      </c>
      <c r="O8" s="25">
        <f>IF(DAY(FebVas1)=1,IF(AND(YEAR(FebVas1+19)=NaptáriÉv,MONTH(FebVas1+19)=2),FebVas1+19,""),IF(AND(YEAR(FebVas1+26)=NaptáriÉv,MONTH(FebVas1+26)=2),FebVas1+26,""))</f>
        <v>43882</v>
      </c>
      <c r="P8" s="25">
        <f>IF(DAY(FebVas1)=1,IF(AND(YEAR(FebVas1+20)=NaptáriÉv,MONTH(FebVas1+20)=2),FebVas1+20,""),IF(AND(YEAR(FebVas1+27)=NaptáriÉv,MONTH(FebVas1+27)=2),FebVas1+27,""))</f>
        <v>43883</v>
      </c>
      <c r="Q8" s="25">
        <f>IF(DAY(FebVas1)=1,IF(AND(YEAR(FebVas1+21)=NaptáriÉv,MONTH(FebVas1+21)=2),FebVas1+21,""),IF(AND(YEAR(FebVas1+28)=NaptáriÉv,MONTH(FebVas1+28)=2),FebVas1+28,""))</f>
        <v>43884</v>
      </c>
      <c r="S8" s="24"/>
      <c r="U8" s="2"/>
      <c r="V8" s="26"/>
      <c r="W8" s="26"/>
    </row>
    <row r="9" spans="1:23" ht="15" customHeight="1" x14ac:dyDescent="0.2">
      <c r="C9" s="25">
        <f>IF(DAY(JanVas1)=1,IF(AND(YEAR(JanVas1+22)=NaptáriÉv,MONTH(JanVas1+22)=1),JanVas1+22,""),IF(AND(YEAR(JanVas1+29)=NaptáriÉv,MONTH(JanVas1+29)=1),JanVas1+29,""))</f>
        <v>43857</v>
      </c>
      <c r="D9" s="25">
        <f>IF(DAY(JanVas1)=1,IF(AND(YEAR(JanVas1+23)=NaptáriÉv,MONTH(JanVas1+23)=1),JanVas1+23,""),IF(AND(YEAR(JanVas1+30)=NaptáriÉv,MONTH(JanVas1+30)=1),JanVas1+30,""))</f>
        <v>43858</v>
      </c>
      <c r="E9" s="25">
        <f>IF(DAY(JanVas1)=1,IF(AND(YEAR(JanVas1+24)=NaptáriÉv,MONTH(JanVas1+24)=1),JanVas1+24,""),IF(AND(YEAR(JanVas1+31)=NaptáriÉv,MONTH(JanVas1+31)=1),JanVas1+31,""))</f>
        <v>43859</v>
      </c>
      <c r="F9" s="25">
        <f>IF(DAY(JanVas1)=1,IF(AND(YEAR(JanVas1+25)=NaptáriÉv,MONTH(JanVas1+25)=1),JanVas1+25,""),IF(AND(YEAR(JanVas1+32)=NaptáriÉv,MONTH(JanVas1+32)=1),JanVas1+32,""))</f>
        <v>43860</v>
      </c>
      <c r="G9" s="25">
        <f>IF(DAY(JanVas1)=1,IF(AND(YEAR(JanVas1+26)=NaptáriÉv,MONTH(JanVas1+26)=1),JanVas1+26,""),IF(AND(YEAR(JanVas1+33)=NaptáriÉv,MONTH(JanVas1+33)=1),JanVas1+33,""))</f>
        <v>43861</v>
      </c>
      <c r="H9" s="25" t="str">
        <f>IF(DAY(JanVas1)=1,IF(AND(YEAR(JanVas1+27)=NaptáriÉv,MONTH(JanVas1+27)=1),JanVas1+27,""),IF(AND(YEAR(JanVas1+34)=NaptáriÉv,MONTH(JanVas1+34)=1),JanVas1+34,""))</f>
        <v/>
      </c>
      <c r="I9" s="25" t="str">
        <f>IF(DAY(JanVas1)=1,IF(AND(YEAR(JanVas1+28)=NaptáriÉv,MONTH(JanVas1+28)=1),JanVas1+28,""),IF(AND(YEAR(JanVas1+35)=NaptáriÉv,MONTH(JanVas1+35)=1),JanVas1+35,""))</f>
        <v/>
      </c>
      <c r="J9" s="22"/>
      <c r="K9" s="25">
        <f>IF(DAY(FebVas1)=1,IF(AND(YEAR(FebVas1+22)=NaptáriÉv,MONTH(FebVas1+22)=2),FebVas1+22,""),IF(AND(YEAR(FebVas1+29)=NaptáriÉv,MONTH(FebVas1+29)=2),FebVas1+29,""))</f>
        <v>43885</v>
      </c>
      <c r="L9" s="25">
        <f>IF(DAY(FebVas1)=1,IF(AND(YEAR(FebVas1+23)=NaptáriÉv,MONTH(FebVas1+23)=2),FebVas1+23,""),IF(AND(YEAR(FebVas1+30)=NaptáriÉv,MONTH(FebVas1+30)=2),FebVas1+30,""))</f>
        <v>43886</v>
      </c>
      <c r="M9" s="25">
        <f>IF(DAY(FebVas1)=1,IF(AND(YEAR(FebVas1+24)=NaptáriÉv,MONTH(FebVas1+24)=2),FebVas1+24,""),IF(AND(YEAR(FebVas1+31)=NaptáriÉv,MONTH(FebVas1+31)=2),FebVas1+31,""))</f>
        <v>43887</v>
      </c>
      <c r="N9" s="25">
        <f>IF(DAY(FebVas1)=1,IF(AND(YEAR(FebVas1+25)=NaptáriÉv,MONTH(FebVas1+25)=2),FebVas1+25,""),IF(AND(YEAR(FebVas1+32)=NaptáriÉv,MONTH(FebVas1+32)=2),FebVas1+32,""))</f>
        <v>43888</v>
      </c>
      <c r="O9" s="25">
        <f>IF(DAY(FebVas1)=1,IF(AND(YEAR(FebVas1+26)=NaptáriÉv,MONTH(FebVas1+26)=2),FebVas1+26,""),IF(AND(YEAR(FebVas1+33)=NaptáriÉv,MONTH(FebVas1+33)=2),FebVas1+33,""))</f>
        <v>43889</v>
      </c>
      <c r="P9" s="25">
        <f>IF(DAY(FebVas1)=1,IF(AND(YEAR(FebVas1+27)=NaptáriÉv,MONTH(FebVas1+27)=2),FebVas1+27,""),IF(AND(YEAR(FebVas1+34)=NaptáriÉv,MONTH(FebVas1+34)=2),FebVas1+34,""))</f>
        <v>43890</v>
      </c>
      <c r="Q9" s="25" t="str">
        <f>IF(DAY(FebVas1)=1,IF(AND(YEAR(FebVas1+28)=NaptáriÉv,MONTH(FebVas1+28)=2),FebVas1+28,""),IF(AND(YEAR(FebVas1+35)=NaptáriÉv,MONTH(FebVas1+35)=2),FebVas1+35,""))</f>
        <v/>
      </c>
      <c r="S9" s="24"/>
      <c r="U9" s="10" t="s">
        <v>50</v>
      </c>
      <c r="V9" s="26"/>
      <c r="W9" s="26"/>
    </row>
    <row r="10" spans="1:23" ht="15" customHeight="1" x14ac:dyDescent="0.2">
      <c r="C10" s="25" t="str">
        <f>IF(DAY(JanVas1)=1,IF(AND(YEAR(JanVas1+29)=NaptáriÉv,MONTH(JanVas1+29)=1),JanVas1+29,""),IF(AND(YEAR(JanVas1+36)=NaptáriÉv,MONTH(JanVas1+36)=1),JanVas1+36,""))</f>
        <v/>
      </c>
      <c r="D10" s="25" t="str">
        <f>IF(DAY(JanVas1)=1,IF(AND(YEAR(JanVas1+30)=NaptáriÉv,MONTH(JanVas1+30)=1),JanVas1+30,""),IF(AND(YEAR(JanVas1+37)=NaptáriÉv,MONTH(JanVas1+37)=1),JanVas1+37,""))</f>
        <v/>
      </c>
      <c r="E10" s="25" t="str">
        <f>IF(DAY(JanVas1)=1,IF(AND(YEAR(JanVas1+31)=NaptáriÉv,MONTH(JanVas1+31)=1),JanVas1+31,""),IF(AND(YEAR(JanVas1+38)=NaptáriÉv,MONTH(JanVas1+38)=1),JanVas1+38,""))</f>
        <v/>
      </c>
      <c r="F10" s="25" t="str">
        <f>IF(DAY(JanVas1)=1,IF(AND(YEAR(JanVas1+32)=NaptáriÉv,MONTH(JanVas1+32)=1),JanVas1+32,""),IF(AND(YEAR(JanVas1+39)=NaptáriÉv,MONTH(JanVas1+39)=1),JanVas1+39,""))</f>
        <v/>
      </c>
      <c r="G10" s="25" t="str">
        <f>IF(DAY(JanVas1)=1,IF(AND(YEAR(JanVas1+33)=NaptáriÉv,MONTH(JanVas1+33)=1),JanVas1+33,""),IF(AND(YEAR(JanVas1+40)=NaptáriÉv,MONTH(JanVas1+40)=1),JanVas1+40,""))</f>
        <v/>
      </c>
      <c r="H10" s="25" t="str">
        <f>IF(DAY(JanVas1)=1,IF(AND(YEAR(JanVas1+34)=NaptáriÉv,MONTH(JanVas1+34)=1),JanVas1+34,""),IF(AND(YEAR(JanVas1+41)=NaptáriÉv,MONTH(JanVas1+41)=1),JanVas1+41,""))</f>
        <v/>
      </c>
      <c r="I10" s="25" t="str">
        <f>IF(DAY(JanVas1)=1,IF(AND(YEAR(JanVas1+35)=NaptáriÉv,MONTH(JanVas1+35)=1),JanVas1+35,""),IF(AND(YEAR(JanVas1+42)=NaptáriÉv,MONTH(JanVas1+42)=1),JanVas1+42,""))</f>
        <v/>
      </c>
      <c r="J10" s="22"/>
      <c r="K10" s="25" t="str">
        <f>IF(DAY(FebVas1)=1,IF(AND(YEAR(FebVas1+29)=NaptáriÉv,MONTH(FebVas1+29)=2),FebVas1+29,""),IF(AND(YEAR(FebVas1+36)=NaptáriÉv,MONTH(FebVas1+36)=2),FebVas1+36,""))</f>
        <v/>
      </c>
      <c r="L10" s="25" t="str">
        <f>IF(DAY(FebVas1)=1,IF(AND(YEAR(FebVas1+30)=NaptáriÉv,MONTH(FebVas1+30)=2),FebVas1+30,""),IF(AND(YEAR(FebVas1+37)=NaptáriÉv,MONTH(FebVas1+37)=2),FebVas1+37,""))</f>
        <v/>
      </c>
      <c r="M10" s="25" t="str">
        <f>IF(DAY(FebVas1)=1,IF(AND(YEAR(FebVas1+31)=NaptáriÉv,MONTH(FebVas1+31)=2),FebVas1+31,""),IF(AND(YEAR(FebVas1+38)=NaptáriÉv,MONTH(FebVas1+38)=2),FebVas1+38,""))</f>
        <v/>
      </c>
      <c r="N10" s="25" t="str">
        <f>IF(DAY(FebVas1)=1,IF(AND(YEAR(FebVas1+32)=NaptáriÉv,MONTH(FebVas1+32)=2),FebVas1+32,""),IF(AND(YEAR(FebVas1+39)=NaptáriÉv,MONTH(FebVas1+39)=2),FebVas1+39,""))</f>
        <v/>
      </c>
      <c r="O10" s="25" t="str">
        <f>IF(DAY(FebVas1)=1,IF(AND(YEAR(FebVas1+33)=NaptáriÉv,MONTH(FebVas1+33)=2),FebVas1+33,""),IF(AND(YEAR(FebVas1+40)=NaptáriÉv,MONTH(FebVas1+40)=2),FebVas1+40,""))</f>
        <v/>
      </c>
      <c r="P10" s="25" t="str">
        <f>IF(DAY(FebVas1)=1,IF(AND(YEAR(FebVas1+34)=NaptáriÉv,MONTH(FebVas1+34)=2),FebVas1+34,""),IF(AND(YEAR(FebVas1+41)=NaptáriÉv,MONTH(FebVas1+41)=2),FebVas1+41,""))</f>
        <v/>
      </c>
      <c r="Q10" s="25" t="str">
        <f>IF(DAY(FebVas1)=1,IF(AND(YEAR(FebVas1+35)=NaptáriÉv,MONTH(FebVas1+35)=2),FebVas1+35,""),IF(AND(YEAR(FebVas1+42)=NaptáriÉv,MONTH(FebVas1+42)=2),FebVas1+42,""))</f>
        <v/>
      </c>
      <c r="S10" s="24"/>
      <c r="U10" s="3" t="s">
        <v>51</v>
      </c>
      <c r="V10" s="26"/>
      <c r="W10" s="26"/>
    </row>
    <row r="11" spans="1:23" ht="15" customHeight="1" x14ac:dyDescent="0.2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S11" s="24"/>
      <c r="U11" s="2"/>
      <c r="V11" s="26"/>
      <c r="W11" s="26"/>
    </row>
    <row r="12" spans="1:23" ht="15" customHeight="1" x14ac:dyDescent="0.2">
      <c r="A12" s="18" t="s">
        <v>11</v>
      </c>
      <c r="C12" s="27" t="s">
        <v>28</v>
      </c>
      <c r="D12" s="27"/>
      <c r="E12" s="27"/>
      <c r="F12" s="27"/>
      <c r="G12" s="27"/>
      <c r="H12" s="27"/>
      <c r="I12" s="27"/>
      <c r="K12" s="27" t="s">
        <v>40</v>
      </c>
      <c r="L12" s="27"/>
      <c r="M12" s="27"/>
      <c r="N12" s="27"/>
      <c r="O12" s="27"/>
      <c r="P12" s="27"/>
      <c r="Q12" s="27"/>
      <c r="S12" s="24"/>
      <c r="U12" s="10"/>
      <c r="V12" s="26"/>
      <c r="W12" s="26"/>
    </row>
    <row r="13" spans="1:23" ht="15" customHeight="1" x14ac:dyDescent="0.25">
      <c r="A13" s="18" t="s">
        <v>12</v>
      </c>
      <c r="C13" s="11" t="s">
        <v>27</v>
      </c>
      <c r="D13" s="11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21"/>
      <c r="K13" s="11" t="s">
        <v>27</v>
      </c>
      <c r="L13" s="11" t="s">
        <v>33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S13" s="24"/>
      <c r="U13" s="3"/>
      <c r="V13" s="26"/>
      <c r="W13" s="26"/>
    </row>
    <row r="14" spans="1:23" ht="15" customHeight="1" x14ac:dyDescent="0.2">
      <c r="C14" s="25" t="str">
        <f>IF(DAY(MárcVas1)=1,"",IF(AND(YEAR(MárcVas1+1)=NaptáriÉv,MONTH(MárcVas1+1)=3),MárcVas1+1,""))</f>
        <v/>
      </c>
      <c r="D14" s="25" t="str">
        <f>IF(DAY(MárcVas1)=1,"",IF(AND(YEAR(MárcVas1+2)=NaptáriÉv,MONTH(MárcVas1+2)=3),MárcVas1+2,""))</f>
        <v/>
      </c>
      <c r="E14" s="25" t="str">
        <f>IF(DAY(MárcVas1)=1,"",IF(AND(YEAR(MárcVas1+3)=NaptáriÉv,MONTH(MárcVas1+3)=3),MárcVas1+3,""))</f>
        <v/>
      </c>
      <c r="F14" s="25" t="str">
        <f>IF(DAY(MárcVas1)=1,"",IF(AND(YEAR(MárcVas1+4)=NaptáriÉv,MONTH(MárcVas1+4)=3),MárcVas1+4,""))</f>
        <v/>
      </c>
      <c r="G14" s="25" t="str">
        <f>IF(DAY(MárcVas1)=1,"",IF(AND(YEAR(MárcVas1+5)=NaptáriÉv,MONTH(MárcVas1+5)=3),MárcVas1+5,""))</f>
        <v/>
      </c>
      <c r="H14" s="25" t="str">
        <f>IF(DAY(MárcVas1)=1,"",IF(AND(YEAR(MárcVas1+6)=NaptáriÉv,MONTH(MárcVas1+6)=3),MárcVas1+6,""))</f>
        <v/>
      </c>
      <c r="I14" s="25">
        <f>IF(DAY(MárcVas1)=1,IF(AND(YEAR(MárcVas1)=NaptáriÉv,MONTH(MárcVas1)=3),MárcVas1,""),IF(AND(YEAR(MárcVas1+7)=NaptáriÉv,MONTH(MárcVas1+7)=3),MárcVas1+7,""))</f>
        <v>43891</v>
      </c>
      <c r="J14" s="22"/>
      <c r="K14" s="25" t="str">
        <f>IF(DAY(ÁprVas1)=1,"",IF(AND(YEAR(ÁprVas1+1)=NaptáriÉv,MONTH(ÁprVas1+1)=4),ÁprVas1+1,""))</f>
        <v/>
      </c>
      <c r="L14" s="25" t="str">
        <f>IF(DAY(ÁprVas1)=1,"",IF(AND(YEAR(ÁprVas1+2)=NaptáriÉv,MONTH(ÁprVas1+2)=4),ÁprVas1+2,""))</f>
        <v/>
      </c>
      <c r="M14" s="25">
        <f>IF(DAY(ÁprVas1)=1,"",IF(AND(YEAR(ÁprVas1+3)=NaptáriÉv,MONTH(ÁprVas1+3)=4),ÁprVas1+3,""))</f>
        <v>43922</v>
      </c>
      <c r="N14" s="25">
        <f>IF(DAY(ÁprVas1)=1,"",IF(AND(YEAR(ÁprVas1+4)=NaptáriÉv,MONTH(ÁprVas1+4)=4),ÁprVas1+4,""))</f>
        <v>43923</v>
      </c>
      <c r="O14" s="25">
        <f>IF(DAY(ÁprVas1)=1,"",IF(AND(YEAR(ÁprVas1+5)=NaptáriÉv,MONTH(ÁprVas1+5)=4),ÁprVas1+5,""))</f>
        <v>43924</v>
      </c>
      <c r="P14" s="25">
        <f>IF(DAY(ÁprVas1)=1,"",IF(AND(YEAR(ÁprVas1+6)=NaptáriÉv,MONTH(ÁprVas1+6)=4),ÁprVas1+6,""))</f>
        <v>43925</v>
      </c>
      <c r="Q14" s="25">
        <f>IF(DAY(ÁprVas1)=1,IF(AND(YEAR(ÁprVas1)=NaptáriÉv,MONTH(ÁprVas1)=4),ÁprVas1,""),IF(AND(YEAR(ÁprVas1+7)=NaptáriÉv,MONTH(ÁprVas1+7)=4),ÁprVas1+7,""))</f>
        <v>43926</v>
      </c>
      <c r="S14" s="24"/>
      <c r="U14" s="2"/>
      <c r="V14" s="26"/>
      <c r="W14" s="26"/>
    </row>
    <row r="15" spans="1:23" ht="15" customHeight="1" x14ac:dyDescent="0.2">
      <c r="A15" s="18"/>
      <c r="C15" s="25">
        <f>IF(DAY(MárcVas1)=1,IF(AND(YEAR(MárcVas1+1)=NaptáriÉv,MONTH(MárcVas1+1)=3),MárcVas1+1,""),IF(AND(YEAR(MárcVas1+8)=NaptáriÉv,MONTH(MárcVas1+8)=3),MárcVas1+8,""))</f>
        <v>43892</v>
      </c>
      <c r="D15" s="25">
        <f>IF(DAY(MárcVas1)=1,IF(AND(YEAR(MárcVas1+2)=NaptáriÉv,MONTH(MárcVas1+2)=3),MárcVas1+2,""),IF(AND(YEAR(MárcVas1+9)=NaptáriÉv,MONTH(MárcVas1+9)=3),MárcVas1+9,""))</f>
        <v>43893</v>
      </c>
      <c r="E15" s="25">
        <f>IF(DAY(MárcVas1)=1,IF(AND(YEAR(MárcVas1+3)=NaptáriÉv,MONTH(MárcVas1+3)=3),MárcVas1+3,""),IF(AND(YEAR(MárcVas1+10)=NaptáriÉv,MONTH(MárcVas1+10)=3),MárcVas1+10,""))</f>
        <v>43894</v>
      </c>
      <c r="F15" s="25">
        <f>IF(DAY(MárcVas1)=1,IF(AND(YEAR(MárcVas1+4)=NaptáriÉv,MONTH(MárcVas1+4)=3),MárcVas1+4,""),IF(AND(YEAR(MárcVas1+11)=NaptáriÉv,MONTH(MárcVas1+11)=3),MárcVas1+11,""))</f>
        <v>43895</v>
      </c>
      <c r="G15" s="25">
        <f>IF(DAY(MárcVas1)=1,IF(AND(YEAR(MárcVas1+5)=NaptáriÉv,MONTH(MárcVas1+5)=3),MárcVas1+5,""),IF(AND(YEAR(MárcVas1+12)=NaptáriÉv,MONTH(MárcVas1+12)=3),MárcVas1+12,""))</f>
        <v>43896</v>
      </c>
      <c r="H15" s="25">
        <f>IF(DAY(MárcVas1)=1,IF(AND(YEAR(MárcVas1+6)=NaptáriÉv,MONTH(MárcVas1+6)=3),MárcVas1+6,""),IF(AND(YEAR(MárcVas1+13)=NaptáriÉv,MONTH(MárcVas1+13)=3),MárcVas1+13,""))</f>
        <v>43897</v>
      </c>
      <c r="I15" s="25">
        <f>IF(DAY(MárcVas1)=1,IF(AND(YEAR(MárcVas1+7)=NaptáriÉv,MONTH(MárcVas1+7)=3),MárcVas1+7,""),IF(AND(YEAR(MárcVas1+14)=NaptáriÉv,MONTH(MárcVas1+14)=3),MárcVas1+14,""))</f>
        <v>43898</v>
      </c>
      <c r="J15" s="22"/>
      <c r="K15" s="25">
        <f>IF(DAY(ÁprVas1)=1,IF(AND(YEAR(ÁprVas1+1)=NaptáriÉv,MONTH(ÁprVas1+1)=4),ÁprVas1+1,""),IF(AND(YEAR(ÁprVas1+8)=NaptáriÉv,MONTH(ÁprVas1+8)=4),ÁprVas1+8,""))</f>
        <v>43927</v>
      </c>
      <c r="L15" s="25">
        <f>IF(DAY(ÁprVas1)=1,IF(AND(YEAR(ÁprVas1+2)=NaptáriÉv,MONTH(ÁprVas1+2)=4),ÁprVas1+2,""),IF(AND(YEAR(ÁprVas1+9)=NaptáriÉv,MONTH(ÁprVas1+9)=4),ÁprVas1+9,""))</f>
        <v>43928</v>
      </c>
      <c r="M15" s="25">
        <f>IF(DAY(ÁprVas1)=1,IF(AND(YEAR(ÁprVas1+3)=NaptáriÉv,MONTH(ÁprVas1+3)=4),ÁprVas1+3,""),IF(AND(YEAR(ÁprVas1+10)=NaptáriÉv,MONTH(ÁprVas1+10)=4),ÁprVas1+10,""))</f>
        <v>43929</v>
      </c>
      <c r="N15" s="25">
        <f>IF(DAY(ÁprVas1)=1,IF(AND(YEAR(ÁprVas1+4)=NaptáriÉv,MONTH(ÁprVas1+4)=4),ÁprVas1+4,""),IF(AND(YEAR(ÁprVas1+11)=NaptáriÉv,MONTH(ÁprVas1+11)=4),ÁprVas1+11,""))</f>
        <v>43930</v>
      </c>
      <c r="O15" s="25">
        <f>IF(DAY(ÁprVas1)=1,IF(AND(YEAR(ÁprVas1+5)=NaptáriÉv,MONTH(ÁprVas1+5)=4),ÁprVas1+5,""),IF(AND(YEAR(ÁprVas1+12)=NaptáriÉv,MONTH(ÁprVas1+12)=4),ÁprVas1+12,""))</f>
        <v>43931</v>
      </c>
      <c r="P15" s="25">
        <f>IF(DAY(ÁprVas1)=1,IF(AND(YEAR(ÁprVas1+6)=NaptáriÉv,MONTH(ÁprVas1+6)=4),ÁprVas1+6,""),IF(AND(YEAR(ÁprVas1+13)=NaptáriÉv,MONTH(ÁprVas1+13)=4),ÁprVas1+13,""))</f>
        <v>43932</v>
      </c>
      <c r="Q15" s="25">
        <f>IF(DAY(ÁprVas1)=1,IF(AND(YEAR(ÁprVas1+7)=NaptáriÉv,MONTH(ÁprVas1+7)=4),ÁprVas1+7,""),IF(AND(YEAR(ÁprVas1+14)=NaptáriÉv,MONTH(ÁprVas1+14)=4),ÁprVas1+14,""))</f>
        <v>43933</v>
      </c>
      <c r="S15" s="24"/>
      <c r="U15" s="10"/>
      <c r="V15" s="26"/>
      <c r="W15" s="26"/>
    </row>
    <row r="16" spans="1:23" ht="15" customHeight="1" x14ac:dyDescent="0.2">
      <c r="C16" s="25">
        <f>IF(DAY(MárcVas1)=1,IF(AND(YEAR(MárcVas1+8)=NaptáriÉv,MONTH(MárcVas1+8)=3),MárcVas1+8,""),IF(AND(YEAR(MárcVas1+15)=NaptáriÉv,MONTH(MárcVas1+15)=3),MárcVas1+15,""))</f>
        <v>43899</v>
      </c>
      <c r="D16" s="25">
        <f>IF(DAY(MárcVas1)=1,IF(AND(YEAR(MárcVas1+9)=NaptáriÉv,MONTH(MárcVas1+9)=3),MárcVas1+9,""),IF(AND(YEAR(MárcVas1+16)=NaptáriÉv,MONTH(MárcVas1+16)=3),MárcVas1+16,""))</f>
        <v>43900</v>
      </c>
      <c r="E16" s="25">
        <f>IF(DAY(MárcVas1)=1,IF(AND(YEAR(MárcVas1+10)=NaptáriÉv,MONTH(MárcVas1+10)=3),MárcVas1+10,""),IF(AND(YEAR(MárcVas1+17)=NaptáriÉv,MONTH(MárcVas1+17)=3),MárcVas1+17,""))</f>
        <v>43901</v>
      </c>
      <c r="F16" s="25">
        <f>IF(DAY(MárcVas1)=1,IF(AND(YEAR(MárcVas1+11)=NaptáriÉv,MONTH(MárcVas1+11)=3),MárcVas1+11,""),IF(AND(YEAR(MárcVas1+18)=NaptáriÉv,MONTH(MárcVas1+18)=3),MárcVas1+18,""))</f>
        <v>43902</v>
      </c>
      <c r="G16" s="25">
        <f>IF(DAY(MárcVas1)=1,IF(AND(YEAR(MárcVas1+12)=NaptáriÉv,MONTH(MárcVas1+12)=3),MárcVas1+12,""),IF(AND(YEAR(MárcVas1+19)=NaptáriÉv,MONTH(MárcVas1+19)=3),MárcVas1+19,""))</f>
        <v>43903</v>
      </c>
      <c r="H16" s="25">
        <f>IF(DAY(MárcVas1)=1,IF(AND(YEAR(MárcVas1+13)=NaptáriÉv,MONTH(MárcVas1+13)=3),MárcVas1+13,""),IF(AND(YEAR(MárcVas1+20)=NaptáriÉv,MONTH(MárcVas1+20)=3),MárcVas1+20,""))</f>
        <v>43904</v>
      </c>
      <c r="I16" s="25">
        <f>IF(DAY(MárcVas1)=1,IF(AND(YEAR(MárcVas1+14)=NaptáriÉv,MONTH(MárcVas1+14)=3),MárcVas1+14,""),IF(AND(YEAR(MárcVas1+21)=NaptáriÉv,MONTH(MárcVas1+21)=3),MárcVas1+21,""))</f>
        <v>43905</v>
      </c>
      <c r="J16" s="22"/>
      <c r="K16" s="25">
        <f>IF(DAY(ÁprVas1)=1,IF(AND(YEAR(ÁprVas1+8)=NaptáriÉv,MONTH(ÁprVas1+8)=4),ÁprVas1+8,""),IF(AND(YEAR(ÁprVas1+15)=NaptáriÉv,MONTH(ÁprVas1+15)=4),ÁprVas1+15,""))</f>
        <v>43934</v>
      </c>
      <c r="L16" s="25">
        <f>IF(DAY(ÁprVas1)=1,IF(AND(YEAR(ÁprVas1+9)=NaptáriÉv,MONTH(ÁprVas1+9)=4),ÁprVas1+9,""),IF(AND(YEAR(ÁprVas1+16)=NaptáriÉv,MONTH(ÁprVas1+16)=4),ÁprVas1+16,""))</f>
        <v>43935</v>
      </c>
      <c r="M16" s="25">
        <f>IF(DAY(ÁprVas1)=1,IF(AND(YEAR(ÁprVas1+10)=NaptáriÉv,MONTH(ÁprVas1+10)=4),ÁprVas1+10,""),IF(AND(YEAR(ÁprVas1+17)=NaptáriÉv,MONTH(ÁprVas1+17)=4),ÁprVas1+17,""))</f>
        <v>43936</v>
      </c>
      <c r="N16" s="25">
        <f>IF(DAY(ÁprVas1)=1,IF(AND(YEAR(ÁprVas1+11)=NaptáriÉv,MONTH(ÁprVas1+11)=4),ÁprVas1+11,""),IF(AND(YEAR(ÁprVas1+18)=NaptáriÉv,MONTH(ÁprVas1+18)=4),ÁprVas1+18,""))</f>
        <v>43937</v>
      </c>
      <c r="O16" s="25">
        <f>IF(DAY(ÁprVas1)=1,IF(AND(YEAR(ÁprVas1+12)=NaptáriÉv,MONTH(ÁprVas1+12)=4),ÁprVas1+12,""),IF(AND(YEAR(ÁprVas1+19)=NaptáriÉv,MONTH(ÁprVas1+19)=4),ÁprVas1+19,""))</f>
        <v>43938</v>
      </c>
      <c r="P16" s="25">
        <f>IF(DAY(ÁprVas1)=1,IF(AND(YEAR(ÁprVas1+13)=NaptáriÉv,MONTH(ÁprVas1+13)=4),ÁprVas1+13,""),IF(AND(YEAR(ÁprVas1+20)=NaptáriÉv,MONTH(ÁprVas1+20)=4),ÁprVas1+20,""))</f>
        <v>43939</v>
      </c>
      <c r="Q16" s="25">
        <f>IF(DAY(ÁprVas1)=1,IF(AND(YEAR(ÁprVas1+14)=NaptáriÉv,MONTH(ÁprVas1+14)=4),ÁprVas1+14,""),IF(AND(YEAR(ÁprVas1+21)=NaptáriÉv,MONTH(ÁprVas1+21)=4),ÁprVas1+21,""))</f>
        <v>43940</v>
      </c>
      <c r="S16" s="24"/>
      <c r="U16" s="3"/>
      <c r="V16" s="26"/>
      <c r="W16" s="26"/>
    </row>
    <row r="17" spans="1:23" ht="15" customHeight="1" x14ac:dyDescent="0.2">
      <c r="C17" s="25">
        <f>IF(DAY(MárcVas1)=1,IF(AND(YEAR(MárcVas1+15)=NaptáriÉv,MONTH(MárcVas1+15)=3),MárcVas1+15,""),IF(AND(YEAR(MárcVas1+22)=NaptáriÉv,MONTH(MárcVas1+22)=3),MárcVas1+22,""))</f>
        <v>43906</v>
      </c>
      <c r="D17" s="25">
        <f>IF(DAY(MárcVas1)=1,IF(AND(YEAR(MárcVas1+16)=NaptáriÉv,MONTH(MárcVas1+16)=3),MárcVas1+16,""),IF(AND(YEAR(MárcVas1+23)=NaptáriÉv,MONTH(MárcVas1+23)=3),MárcVas1+23,""))</f>
        <v>43907</v>
      </c>
      <c r="E17" s="25">
        <f>IF(DAY(MárcVas1)=1,IF(AND(YEAR(MárcVas1+17)=NaptáriÉv,MONTH(MárcVas1+17)=3),MárcVas1+17,""),IF(AND(YEAR(MárcVas1+24)=NaptáriÉv,MONTH(MárcVas1+24)=3),MárcVas1+24,""))</f>
        <v>43908</v>
      </c>
      <c r="F17" s="25">
        <f>IF(DAY(MárcVas1)=1,IF(AND(YEAR(MárcVas1+18)=NaptáriÉv,MONTH(MárcVas1+18)=3),MárcVas1+18,""),IF(AND(YEAR(MárcVas1+25)=NaptáriÉv,MONTH(MárcVas1+25)=3),MárcVas1+25,""))</f>
        <v>43909</v>
      </c>
      <c r="G17" s="25">
        <f>IF(DAY(MárcVas1)=1,IF(AND(YEAR(MárcVas1+19)=NaptáriÉv,MONTH(MárcVas1+19)=3),MárcVas1+19,""),IF(AND(YEAR(MárcVas1+26)=NaptáriÉv,MONTH(MárcVas1+26)=3),MárcVas1+26,""))</f>
        <v>43910</v>
      </c>
      <c r="H17" s="25">
        <f>IF(DAY(MárcVas1)=1,IF(AND(YEAR(MárcVas1+20)=NaptáriÉv,MONTH(MárcVas1+20)=3),MárcVas1+20,""),IF(AND(YEAR(MárcVas1+27)=NaptáriÉv,MONTH(MárcVas1+27)=3),MárcVas1+27,""))</f>
        <v>43911</v>
      </c>
      <c r="I17" s="25">
        <f>IF(DAY(MárcVas1)=1,IF(AND(YEAR(MárcVas1+21)=NaptáriÉv,MONTH(MárcVas1+21)=3),MárcVas1+21,""),IF(AND(YEAR(MárcVas1+28)=NaptáriÉv,MONTH(MárcVas1+28)=3),MárcVas1+28,""))</f>
        <v>43912</v>
      </c>
      <c r="J17" s="22"/>
      <c r="K17" s="25">
        <f>IF(DAY(ÁprVas1)=1,IF(AND(YEAR(ÁprVas1+15)=NaptáriÉv,MONTH(ÁprVas1+15)=4),ÁprVas1+15,""),IF(AND(YEAR(ÁprVas1+22)=NaptáriÉv,MONTH(ÁprVas1+22)=4),ÁprVas1+22,""))</f>
        <v>43941</v>
      </c>
      <c r="L17" s="25">
        <f>IF(DAY(ÁprVas1)=1,IF(AND(YEAR(ÁprVas1+16)=NaptáriÉv,MONTH(ÁprVas1+16)=4),ÁprVas1+16,""),IF(AND(YEAR(ÁprVas1+23)=NaptáriÉv,MONTH(ÁprVas1+23)=4),ÁprVas1+23,""))</f>
        <v>43942</v>
      </c>
      <c r="M17" s="25">
        <f>IF(DAY(ÁprVas1)=1,IF(AND(YEAR(ÁprVas1+17)=NaptáriÉv,MONTH(ÁprVas1+17)=4),ÁprVas1+17,""),IF(AND(YEAR(ÁprVas1+24)=NaptáriÉv,MONTH(ÁprVas1+24)=4),ÁprVas1+24,""))</f>
        <v>43943</v>
      </c>
      <c r="N17" s="25">
        <f>IF(DAY(ÁprVas1)=1,IF(AND(YEAR(ÁprVas1+18)=NaptáriÉv,MONTH(ÁprVas1+18)=4),ÁprVas1+18,""),IF(AND(YEAR(ÁprVas1+25)=NaptáriÉv,MONTH(ÁprVas1+25)=4),ÁprVas1+25,""))</f>
        <v>43944</v>
      </c>
      <c r="O17" s="25">
        <f>IF(DAY(ÁprVas1)=1,IF(AND(YEAR(ÁprVas1+19)=NaptáriÉv,MONTH(ÁprVas1+19)=4),ÁprVas1+19,""),IF(AND(YEAR(ÁprVas1+26)=NaptáriÉv,MONTH(ÁprVas1+26)=4),ÁprVas1+26,""))</f>
        <v>43945</v>
      </c>
      <c r="P17" s="25">
        <f>IF(DAY(ÁprVas1)=1,IF(AND(YEAR(ÁprVas1+20)=NaptáriÉv,MONTH(ÁprVas1+20)=4),ÁprVas1+20,""),IF(AND(YEAR(ÁprVas1+27)=NaptáriÉv,MONTH(ÁprVas1+27)=4),ÁprVas1+27,""))</f>
        <v>43946</v>
      </c>
      <c r="Q17" s="25">
        <f>IF(DAY(ÁprVas1)=1,IF(AND(YEAR(ÁprVas1+21)=NaptáriÉv,MONTH(ÁprVas1+21)=4),ÁprVas1+21,""),IF(AND(YEAR(ÁprVas1+28)=NaptáriÉv,MONTH(ÁprVas1+28)=4),ÁprVas1+28,""))</f>
        <v>43947</v>
      </c>
      <c r="S17" s="24"/>
      <c r="U17" s="2"/>
      <c r="V17" s="26"/>
      <c r="W17" s="26"/>
    </row>
    <row r="18" spans="1:23" ht="15" customHeight="1" x14ac:dyDescent="0.2">
      <c r="C18" s="25">
        <f>IF(DAY(MárcVas1)=1,IF(AND(YEAR(MárcVas1+22)=NaptáriÉv,MONTH(MárcVas1+22)=3),MárcVas1+22,""),IF(AND(YEAR(MárcVas1+29)=NaptáriÉv,MONTH(MárcVas1+29)=3),MárcVas1+29,""))</f>
        <v>43913</v>
      </c>
      <c r="D18" s="25">
        <f>IF(DAY(MárcVas1)=1,IF(AND(YEAR(MárcVas1+23)=NaptáriÉv,MONTH(MárcVas1+23)=3),MárcVas1+23,""),IF(AND(YEAR(MárcVas1+30)=NaptáriÉv,MONTH(MárcVas1+30)=3),MárcVas1+30,""))</f>
        <v>43914</v>
      </c>
      <c r="E18" s="25">
        <f>IF(DAY(MárcVas1)=1,IF(AND(YEAR(MárcVas1+24)=NaptáriÉv,MONTH(MárcVas1+24)=3),MárcVas1+24,""),IF(AND(YEAR(MárcVas1+31)=NaptáriÉv,MONTH(MárcVas1+31)=3),MárcVas1+31,""))</f>
        <v>43915</v>
      </c>
      <c r="F18" s="25">
        <f>IF(DAY(MárcVas1)=1,IF(AND(YEAR(MárcVas1+25)=NaptáriÉv,MONTH(MárcVas1+25)=3),MárcVas1+25,""),IF(AND(YEAR(MárcVas1+32)=NaptáriÉv,MONTH(MárcVas1+32)=3),MárcVas1+32,""))</f>
        <v>43916</v>
      </c>
      <c r="G18" s="25">
        <f>IF(DAY(MárcVas1)=1,IF(AND(YEAR(MárcVas1+26)=NaptáriÉv,MONTH(MárcVas1+26)=3),MárcVas1+26,""),IF(AND(YEAR(MárcVas1+33)=NaptáriÉv,MONTH(MárcVas1+33)=3),MárcVas1+33,""))</f>
        <v>43917</v>
      </c>
      <c r="H18" s="25">
        <f>IF(DAY(MárcVas1)=1,IF(AND(YEAR(MárcVas1+27)=NaptáriÉv,MONTH(MárcVas1+27)=3),MárcVas1+27,""),IF(AND(YEAR(MárcVas1+34)=NaptáriÉv,MONTH(MárcVas1+34)=3),MárcVas1+34,""))</f>
        <v>43918</v>
      </c>
      <c r="I18" s="25">
        <f>IF(DAY(MárcVas1)=1,IF(AND(YEAR(MárcVas1+28)=NaptáriÉv,MONTH(MárcVas1+28)=3),MárcVas1+28,""),IF(AND(YEAR(MárcVas1+35)=NaptáriÉv,MONTH(MárcVas1+35)=3),MárcVas1+35,""))</f>
        <v>43919</v>
      </c>
      <c r="J18" s="22"/>
      <c r="K18" s="25">
        <f>IF(DAY(ÁprVas1)=1,IF(AND(YEAR(ÁprVas1+22)=NaptáriÉv,MONTH(ÁprVas1+22)=4),ÁprVas1+22,""),IF(AND(YEAR(ÁprVas1+29)=NaptáriÉv,MONTH(ÁprVas1+29)=4),ÁprVas1+29,""))</f>
        <v>43948</v>
      </c>
      <c r="L18" s="25">
        <f>IF(DAY(ÁprVas1)=1,IF(AND(YEAR(ÁprVas1+23)=NaptáriÉv,MONTH(ÁprVas1+23)=4),ÁprVas1+23,""),IF(AND(YEAR(ÁprVas1+30)=NaptáriÉv,MONTH(ÁprVas1+30)=4),ÁprVas1+30,""))</f>
        <v>43949</v>
      </c>
      <c r="M18" s="25">
        <f>IF(DAY(ÁprVas1)=1,IF(AND(YEAR(ÁprVas1+24)=NaptáriÉv,MONTH(ÁprVas1+24)=4),ÁprVas1+24,""),IF(AND(YEAR(ÁprVas1+31)=NaptáriÉv,MONTH(ÁprVas1+31)=4),ÁprVas1+31,""))</f>
        <v>43950</v>
      </c>
      <c r="N18" s="25">
        <f>IF(DAY(ÁprVas1)=1,IF(AND(YEAR(ÁprVas1+25)=NaptáriÉv,MONTH(ÁprVas1+25)=4),ÁprVas1+25,""),IF(AND(YEAR(ÁprVas1+32)=NaptáriÉv,MONTH(ÁprVas1+32)=4),ÁprVas1+32,""))</f>
        <v>43951</v>
      </c>
      <c r="O18" s="25" t="str">
        <f>IF(DAY(ÁprVas1)=1,IF(AND(YEAR(ÁprVas1+26)=NaptáriÉv,MONTH(ÁprVas1+26)=4),ÁprVas1+26,""),IF(AND(YEAR(ÁprVas1+33)=NaptáriÉv,MONTH(ÁprVas1+33)=4),ÁprVas1+33,""))</f>
        <v/>
      </c>
      <c r="P18" s="25" t="str">
        <f>IF(DAY(ÁprVas1)=1,IF(AND(YEAR(ÁprVas1+27)=NaptáriÉv,MONTH(ÁprVas1+27)=4),ÁprVas1+27,""),IF(AND(YEAR(ÁprVas1+34)=NaptáriÉv,MONTH(ÁprVas1+34)=4),ÁprVas1+34,""))</f>
        <v/>
      </c>
      <c r="Q18" s="25" t="str">
        <f>IF(DAY(ÁprVas1)=1,IF(AND(YEAR(ÁprVas1+28)=NaptáriÉv,MONTH(ÁprVas1+28)=4),ÁprVas1+28,""),IF(AND(YEAR(ÁprVas1+35)=NaptáriÉv,MONTH(ÁprVas1+35)=4),ÁprVas1+35,""))</f>
        <v/>
      </c>
      <c r="S18" s="24"/>
      <c r="U18" s="10"/>
      <c r="V18" s="26"/>
      <c r="W18" s="26"/>
    </row>
    <row r="19" spans="1:23" ht="15" customHeight="1" x14ac:dyDescent="0.2">
      <c r="C19" s="25">
        <f>IF(DAY(MárcVas1)=1,IF(AND(YEAR(MárcVas1+29)=NaptáriÉv,MONTH(MárcVas1+29)=3),MárcVas1+29,""),IF(AND(YEAR(MárcVas1+36)=NaptáriÉv,MONTH(MárcVas1+36)=3),MárcVas1+36,""))</f>
        <v>43920</v>
      </c>
      <c r="D19" s="25">
        <f>IF(DAY(MárcVas1)=1,IF(AND(YEAR(MárcVas1+30)=NaptáriÉv,MONTH(MárcVas1+30)=3),MárcVas1+30,""),IF(AND(YEAR(MárcVas1+37)=NaptáriÉv,MONTH(MárcVas1+37)=3),MárcVas1+37,""))</f>
        <v>43921</v>
      </c>
      <c r="E19" s="25" t="str">
        <f>IF(DAY(MárcVas1)=1,IF(AND(YEAR(MárcVas1+31)=NaptáriÉv,MONTH(MárcVas1+31)=3),MárcVas1+31,""),IF(AND(YEAR(MárcVas1+38)=NaptáriÉv,MONTH(MárcVas1+38)=3),MárcVas1+38,""))</f>
        <v/>
      </c>
      <c r="F19" s="25" t="str">
        <f>IF(DAY(MárcVas1)=1,IF(AND(YEAR(MárcVas1+32)=NaptáriÉv,MONTH(MárcVas1+32)=3),MárcVas1+32,""),IF(AND(YEAR(MárcVas1+39)=NaptáriÉv,MONTH(MárcVas1+39)=3),MárcVas1+39,""))</f>
        <v/>
      </c>
      <c r="G19" s="25" t="str">
        <f>IF(DAY(MárcVas1)=1,IF(AND(YEAR(MárcVas1+33)=NaptáriÉv,MONTH(MárcVas1+33)=3),MárcVas1+33,""),IF(AND(YEAR(MárcVas1+40)=NaptáriÉv,MONTH(MárcVas1+40)=3),MárcVas1+40,""))</f>
        <v/>
      </c>
      <c r="H19" s="25" t="str">
        <f>IF(DAY(MárcVas1)=1,IF(AND(YEAR(MárcVas1+34)=NaptáriÉv,MONTH(MárcVas1+34)=3),MárcVas1+34,""),IF(AND(YEAR(MárcVas1+41)=NaptáriÉv,MONTH(MárcVas1+41)=3),MárcVas1+41,""))</f>
        <v/>
      </c>
      <c r="I19" s="25" t="str">
        <f>IF(DAY(MárcVas1)=1,IF(AND(YEAR(MárcVas1+35)=NaptáriÉv,MONTH(MárcVas1+35)=3),MárcVas1+35,""),IF(AND(YEAR(MárcVas1+42)=NaptáriÉv,MONTH(MárcVas1+42)=3),MárcVas1+42,""))</f>
        <v/>
      </c>
      <c r="J19" s="22"/>
      <c r="K19" s="25" t="str">
        <f>IF(DAY(ÁprVas1)=1,IF(AND(YEAR(ÁprVas1+29)=NaptáriÉv,MONTH(ÁprVas1+29)=4),ÁprVas1+29,""),IF(AND(YEAR(ÁprVas1+36)=NaptáriÉv,MONTH(ÁprVas1+36)=4),ÁprVas1+36,""))</f>
        <v/>
      </c>
      <c r="L19" s="25" t="str">
        <f>IF(DAY(ÁprVas1)=1,IF(AND(YEAR(ÁprVas1+30)=NaptáriÉv,MONTH(ÁprVas1+30)=4),ÁprVas1+30,""),IF(AND(YEAR(ÁprVas1+37)=NaptáriÉv,MONTH(ÁprVas1+37)=4),ÁprVas1+37,""))</f>
        <v/>
      </c>
      <c r="M19" s="25" t="str">
        <f>IF(DAY(ÁprVas1)=1,IF(AND(YEAR(ÁprVas1+31)=NaptáriÉv,MONTH(ÁprVas1+31)=4),ÁprVas1+31,""),IF(AND(YEAR(ÁprVas1+38)=NaptáriÉv,MONTH(ÁprVas1+38)=4),ÁprVas1+38,""))</f>
        <v/>
      </c>
      <c r="N19" s="25" t="str">
        <f>IF(DAY(ÁprVas1)=1,IF(AND(YEAR(ÁprVas1+32)=NaptáriÉv,MONTH(ÁprVas1+32)=4),ÁprVas1+32,""),IF(AND(YEAR(ÁprVas1+39)=NaptáriÉv,MONTH(ÁprVas1+39)=4),ÁprVas1+39,""))</f>
        <v/>
      </c>
      <c r="O19" s="25" t="str">
        <f>IF(DAY(ÁprVas1)=1,IF(AND(YEAR(ÁprVas1+33)=NaptáriÉv,MONTH(ÁprVas1+33)=4),ÁprVas1+33,""),IF(AND(YEAR(ÁprVas1+40)=NaptáriÉv,MONTH(ÁprVas1+40)=4),ÁprVas1+40,""))</f>
        <v/>
      </c>
      <c r="P19" s="25" t="str">
        <f>IF(DAY(ÁprVas1)=1,IF(AND(YEAR(ÁprVas1+34)=NaptáriÉv,MONTH(ÁprVas1+34)=4),ÁprVas1+34,""),IF(AND(YEAR(ÁprVas1+41)=NaptáriÉv,MONTH(ÁprVas1+41)=4),ÁprVas1+41,""))</f>
        <v/>
      </c>
      <c r="Q19" s="25" t="str">
        <f>IF(DAY(ÁprVas1)=1,IF(AND(YEAR(ÁprVas1+35)=NaptáriÉv,MONTH(ÁprVas1+35)=4),ÁprVas1+35,""),IF(AND(YEAR(ÁprVas1+42)=NaptáriÉv,MONTH(ÁprVas1+42)=4),ÁprVas1+42,""))</f>
        <v/>
      </c>
      <c r="S19" s="24"/>
      <c r="U19" s="3"/>
      <c r="V19" s="26"/>
      <c r="W19" s="26"/>
    </row>
    <row r="20" spans="1:23" ht="15" customHeight="1" x14ac:dyDescent="0.2">
      <c r="J20" s="22"/>
      <c r="S20" s="24"/>
      <c r="U20" s="2"/>
      <c r="V20" s="26"/>
      <c r="W20" s="26"/>
    </row>
    <row r="21" spans="1:23" ht="15" customHeight="1" x14ac:dyDescent="0.2">
      <c r="A21" s="18" t="s">
        <v>13</v>
      </c>
      <c r="C21" s="27" t="s">
        <v>29</v>
      </c>
      <c r="D21" s="27"/>
      <c r="E21" s="27"/>
      <c r="F21" s="27"/>
      <c r="G21" s="27"/>
      <c r="H21" s="27"/>
      <c r="I21" s="27"/>
      <c r="J21" s="22"/>
      <c r="K21" s="27" t="s">
        <v>41</v>
      </c>
      <c r="L21" s="27"/>
      <c r="M21" s="27"/>
      <c r="N21" s="27"/>
      <c r="O21" s="27"/>
      <c r="P21" s="27"/>
      <c r="Q21" s="27"/>
      <c r="S21" s="24"/>
      <c r="U21" s="10"/>
      <c r="V21" s="26"/>
      <c r="W21" s="26"/>
    </row>
    <row r="22" spans="1:23" ht="15" customHeight="1" x14ac:dyDescent="0.2">
      <c r="A22" s="18" t="s">
        <v>14</v>
      </c>
      <c r="C22" s="11" t="s">
        <v>27</v>
      </c>
      <c r="D22" s="11" t="s">
        <v>33</v>
      </c>
      <c r="E22" s="11" t="s">
        <v>34</v>
      </c>
      <c r="F22" s="11" t="s">
        <v>35</v>
      </c>
      <c r="G22" s="11" t="s">
        <v>36</v>
      </c>
      <c r="H22" s="11" t="s">
        <v>37</v>
      </c>
      <c r="I22" s="11" t="s">
        <v>38</v>
      </c>
      <c r="K22" s="11" t="s">
        <v>27</v>
      </c>
      <c r="L22" s="11" t="s">
        <v>33</v>
      </c>
      <c r="M22" s="11" t="s">
        <v>34</v>
      </c>
      <c r="N22" s="11" t="s">
        <v>35</v>
      </c>
      <c r="O22" s="11" t="s">
        <v>36</v>
      </c>
      <c r="P22" s="11" t="s">
        <v>37</v>
      </c>
      <c r="Q22" s="11" t="s">
        <v>38</v>
      </c>
      <c r="S22" s="24"/>
      <c r="U22" s="3"/>
      <c r="V22" s="26"/>
      <c r="W22" s="26"/>
    </row>
    <row r="23" spans="1:23" ht="15" customHeight="1" x14ac:dyDescent="0.25">
      <c r="A23" s="18"/>
      <c r="C23" s="25" t="str">
        <f>IF(DAY(MájVas1)=1,"",IF(AND(YEAR(MájVas1+1)=NaptáriÉv,MONTH(MájVas1+1)=5),MájVas1+1,""))</f>
        <v/>
      </c>
      <c r="D23" s="25" t="str">
        <f>IF(DAY(MájVas1)=1,"",IF(AND(YEAR(MájVas1+2)=NaptáriÉv,MONTH(MájVas1+2)=5),MájVas1+2,""))</f>
        <v/>
      </c>
      <c r="E23" s="25" t="str">
        <f>IF(DAY(MájVas1)=1,"",IF(AND(YEAR(MájVas1+3)=NaptáriÉv,MONTH(MájVas1+3)=5),MájVas1+3,""))</f>
        <v/>
      </c>
      <c r="F23" s="25" t="str">
        <f>IF(DAY(MájVas1)=1,"",IF(AND(YEAR(MájVas1+4)=NaptáriÉv,MONTH(MájVas1+4)=5),MájVas1+4,""))</f>
        <v/>
      </c>
      <c r="G23" s="25">
        <f>IF(DAY(MájVas1)=1,"",IF(AND(YEAR(MájVas1+5)=NaptáriÉv,MONTH(MájVas1+5)=5),MájVas1+5,""))</f>
        <v>43952</v>
      </c>
      <c r="H23" s="25">
        <f>IF(DAY(MájVas1)=1,"",IF(AND(YEAR(MájVas1+6)=NaptáriÉv,MONTH(MájVas1+6)=5),MájVas1+6,""))</f>
        <v>43953</v>
      </c>
      <c r="I23" s="25">
        <f>IF(DAY(MájVas1)=1,IF(AND(YEAR(MájVas1)=NaptáriÉv,MONTH(MájVas1)=5),MájVas1,""),IF(AND(YEAR(MájVas1+7)=NaptáriÉv,MONTH(MájVas1+7)=5),MájVas1+7,""))</f>
        <v>43954</v>
      </c>
      <c r="J23" s="21"/>
      <c r="K23" s="25">
        <f>IF(DAY(JúnVas1)=1,"",IF(AND(YEAR(JúnVas1+1)=NaptáriÉv,MONTH(JúnVas1+1)=6),JúnVas1+1,""))</f>
        <v>43983</v>
      </c>
      <c r="L23" s="25">
        <f>IF(DAY(JúnVas1)=1,"",IF(AND(YEAR(JúnVas1+2)=NaptáriÉv,MONTH(JúnVas1+2)=6),JúnVas1+2,""))</f>
        <v>43984</v>
      </c>
      <c r="M23" s="25">
        <f>IF(DAY(JúnVas1)=1,"",IF(AND(YEAR(JúnVas1+3)=NaptáriÉv,MONTH(JúnVas1+3)=6),JúnVas1+3,""))</f>
        <v>43985</v>
      </c>
      <c r="N23" s="25">
        <f>IF(DAY(JúnVas1)=1,"",IF(AND(YEAR(JúnVas1+4)=NaptáriÉv,MONTH(JúnVas1+4)=6),JúnVas1+4,""))</f>
        <v>43986</v>
      </c>
      <c r="O23" s="25">
        <f>IF(DAY(JúnVas1)=1,"",IF(AND(YEAR(JúnVas1+5)=NaptáriÉv,MONTH(JúnVas1+5)=6),JúnVas1+5,""))</f>
        <v>43987</v>
      </c>
      <c r="P23" s="25">
        <f>IF(DAY(JúnVas1)=1,"",IF(AND(YEAR(JúnVas1+6)=NaptáriÉv,MONTH(JúnVas1+6)=6),JúnVas1+6,""))</f>
        <v>43988</v>
      </c>
      <c r="Q23" s="25">
        <f>IF(DAY(JúnVas1)=1,IF(AND(YEAR(JúnVas1)=NaptáriÉv,MONTH(JúnVas1)=6),JúnVas1,""),IF(AND(YEAR(JúnVas1+7)=NaptáriÉv,MONTH(JúnVas1+7)=6),JúnVas1+7,""))</f>
        <v>43989</v>
      </c>
      <c r="S23" s="24"/>
      <c r="U23" s="2"/>
      <c r="V23" s="26"/>
      <c r="W23" s="26"/>
    </row>
    <row r="24" spans="1:23" ht="15" customHeight="1" x14ac:dyDescent="0.2">
      <c r="C24" s="25">
        <f>IF(DAY(MájVas1)=1,IF(AND(YEAR(MájVas1+1)=NaptáriÉv,MONTH(MájVas1+1)=5),MájVas1+1,""),IF(AND(YEAR(MájVas1+8)=NaptáriÉv,MONTH(MájVas1+8)=5),MájVas1+8,""))</f>
        <v>43955</v>
      </c>
      <c r="D24" s="25">
        <f>IF(DAY(MájVas1)=1,IF(AND(YEAR(MájVas1+2)=NaptáriÉv,MONTH(MájVas1+2)=5),MájVas1+2,""),IF(AND(YEAR(MájVas1+9)=NaptáriÉv,MONTH(MájVas1+9)=5),MájVas1+9,""))</f>
        <v>43956</v>
      </c>
      <c r="E24" s="25">
        <f>IF(DAY(MájVas1)=1,IF(AND(YEAR(MájVas1+3)=NaptáriÉv,MONTH(MájVas1+3)=5),MájVas1+3,""),IF(AND(YEAR(MájVas1+10)=NaptáriÉv,MONTH(MájVas1+10)=5),MájVas1+10,""))</f>
        <v>43957</v>
      </c>
      <c r="F24" s="25">
        <f>IF(DAY(MájVas1)=1,IF(AND(YEAR(MájVas1+4)=NaptáriÉv,MONTH(MájVas1+4)=5),MájVas1+4,""),IF(AND(YEAR(MájVas1+11)=NaptáriÉv,MONTH(MájVas1+11)=5),MájVas1+11,""))</f>
        <v>43958</v>
      </c>
      <c r="G24" s="25">
        <f>IF(DAY(MájVas1)=1,IF(AND(YEAR(MájVas1+5)=NaptáriÉv,MONTH(MájVas1+5)=5),MájVas1+5,""),IF(AND(YEAR(MájVas1+12)=NaptáriÉv,MONTH(MájVas1+12)=5),MájVas1+12,""))</f>
        <v>43959</v>
      </c>
      <c r="H24" s="25">
        <f>IF(DAY(MájVas1)=1,IF(AND(YEAR(MájVas1+6)=NaptáriÉv,MONTH(MájVas1+6)=5),MájVas1+6,""),IF(AND(YEAR(MájVas1+13)=NaptáriÉv,MONTH(MájVas1+13)=5),MájVas1+13,""))</f>
        <v>43960</v>
      </c>
      <c r="I24" s="25">
        <f>IF(DAY(MájVas1)=1,IF(AND(YEAR(MájVas1+7)=NaptáriÉv,MONTH(MájVas1+7)=5),MájVas1+7,""),IF(AND(YEAR(MájVas1+14)=NaptáriÉv,MONTH(MájVas1+14)=5),MájVas1+14,""))</f>
        <v>43961</v>
      </c>
      <c r="J24" s="22"/>
      <c r="K24" s="25">
        <f>IF(DAY(JúnVas1)=1,IF(AND(YEAR(JúnVas1+1)=NaptáriÉv,MONTH(JúnVas1+1)=6),JúnVas1+1,""),IF(AND(YEAR(JúnVas1+8)=NaptáriÉv,MONTH(JúnVas1+8)=6),JúnVas1+8,""))</f>
        <v>43990</v>
      </c>
      <c r="L24" s="25">
        <f>IF(DAY(JúnVas1)=1,IF(AND(YEAR(JúnVas1+2)=NaptáriÉv,MONTH(JúnVas1+2)=6),JúnVas1+2,""),IF(AND(YEAR(JúnVas1+9)=NaptáriÉv,MONTH(JúnVas1+9)=6),JúnVas1+9,""))</f>
        <v>43991</v>
      </c>
      <c r="M24" s="25">
        <f>IF(DAY(JúnVas1)=1,IF(AND(YEAR(JúnVas1+3)=NaptáriÉv,MONTH(JúnVas1+3)=6),JúnVas1+3,""),IF(AND(YEAR(JúnVas1+10)=NaptáriÉv,MONTH(JúnVas1+10)=6),JúnVas1+10,""))</f>
        <v>43992</v>
      </c>
      <c r="N24" s="25">
        <f>IF(DAY(JúnVas1)=1,IF(AND(YEAR(JúnVas1+4)=NaptáriÉv,MONTH(JúnVas1+4)=6),JúnVas1+4,""),IF(AND(YEAR(JúnVas1+11)=NaptáriÉv,MONTH(JúnVas1+11)=6),JúnVas1+11,""))</f>
        <v>43993</v>
      </c>
      <c r="O24" s="25">
        <f>IF(DAY(JúnVas1)=1,IF(AND(YEAR(JúnVas1+5)=NaptáriÉv,MONTH(JúnVas1+5)=6),JúnVas1+5,""),IF(AND(YEAR(JúnVas1+12)=NaptáriÉv,MONTH(JúnVas1+12)=6),JúnVas1+12,""))</f>
        <v>43994</v>
      </c>
      <c r="P24" s="25">
        <f>IF(DAY(JúnVas1)=1,IF(AND(YEAR(JúnVas1+6)=NaptáriÉv,MONTH(JúnVas1+6)=6),JúnVas1+6,""),IF(AND(YEAR(JúnVas1+13)=NaptáriÉv,MONTH(JúnVas1+13)=6),JúnVas1+13,""))</f>
        <v>43995</v>
      </c>
      <c r="Q24" s="25">
        <f>IF(DAY(JúnVas1)=1,IF(AND(YEAR(JúnVas1+7)=NaptáriÉv,MONTH(JúnVas1+7)=6),JúnVas1+7,""),IF(AND(YEAR(JúnVas1+14)=NaptáriÉv,MONTH(JúnVas1+14)=6),JúnVas1+14,""))</f>
        <v>43996</v>
      </c>
      <c r="S24" s="24"/>
      <c r="U24" s="10"/>
      <c r="V24" s="26"/>
      <c r="W24" s="26"/>
    </row>
    <row r="25" spans="1:23" ht="15" customHeight="1" x14ac:dyDescent="0.2">
      <c r="C25" s="25">
        <f>IF(DAY(MájVas1)=1,IF(AND(YEAR(MájVas1+8)=NaptáriÉv,MONTH(MájVas1+8)=5),MájVas1+8,""),IF(AND(YEAR(MájVas1+15)=NaptáriÉv,MONTH(MájVas1+15)=5),MájVas1+15,""))</f>
        <v>43962</v>
      </c>
      <c r="D25" s="25">
        <f>IF(DAY(MájVas1)=1,IF(AND(YEAR(MájVas1+9)=NaptáriÉv,MONTH(MájVas1+9)=5),MájVas1+9,""),IF(AND(YEAR(MájVas1+16)=NaptáriÉv,MONTH(MájVas1+16)=5),MájVas1+16,""))</f>
        <v>43963</v>
      </c>
      <c r="E25" s="25">
        <f>IF(DAY(MájVas1)=1,IF(AND(YEAR(MájVas1+10)=NaptáriÉv,MONTH(MájVas1+10)=5),MájVas1+10,""),IF(AND(YEAR(MájVas1+17)=NaptáriÉv,MONTH(MájVas1+17)=5),MájVas1+17,""))</f>
        <v>43964</v>
      </c>
      <c r="F25" s="25">
        <f>IF(DAY(MájVas1)=1,IF(AND(YEAR(MájVas1+11)=NaptáriÉv,MONTH(MájVas1+11)=5),MájVas1+11,""),IF(AND(YEAR(MájVas1+18)=NaptáriÉv,MONTH(MájVas1+18)=5),MájVas1+18,""))</f>
        <v>43965</v>
      </c>
      <c r="G25" s="25">
        <f>IF(DAY(MájVas1)=1,IF(AND(YEAR(MájVas1+12)=NaptáriÉv,MONTH(MájVas1+12)=5),MájVas1+12,""),IF(AND(YEAR(MájVas1+19)=NaptáriÉv,MONTH(MájVas1+19)=5),MájVas1+19,""))</f>
        <v>43966</v>
      </c>
      <c r="H25" s="25">
        <f>IF(DAY(MájVas1)=1,IF(AND(YEAR(MájVas1+13)=NaptáriÉv,MONTH(MájVas1+13)=5),MájVas1+13,""),IF(AND(YEAR(MájVas1+20)=NaptáriÉv,MONTH(MájVas1+20)=5),MájVas1+20,""))</f>
        <v>43967</v>
      </c>
      <c r="I25" s="25">
        <f>IF(DAY(MájVas1)=1,IF(AND(YEAR(MájVas1+14)=NaptáriÉv,MONTH(MájVas1+14)=5),MájVas1+14,""),IF(AND(YEAR(MájVas1+21)=NaptáriÉv,MONTH(MájVas1+21)=5),MájVas1+21,""))</f>
        <v>43968</v>
      </c>
      <c r="J25" s="22"/>
      <c r="K25" s="25">
        <f>IF(DAY(JúnVas1)=1,IF(AND(YEAR(JúnVas1+8)=NaptáriÉv,MONTH(JúnVas1+8)=6),JúnVas1+8,""),IF(AND(YEAR(JúnVas1+15)=NaptáriÉv,MONTH(JúnVas1+15)=6),JúnVas1+15,""))</f>
        <v>43997</v>
      </c>
      <c r="L25" s="25">
        <f>IF(DAY(JúnVas1)=1,IF(AND(YEAR(JúnVas1+9)=NaptáriÉv,MONTH(JúnVas1+9)=6),JúnVas1+9,""),IF(AND(YEAR(JúnVas1+16)=NaptáriÉv,MONTH(JúnVas1+16)=6),JúnVas1+16,""))</f>
        <v>43998</v>
      </c>
      <c r="M25" s="25">
        <f>IF(DAY(JúnVas1)=1,IF(AND(YEAR(JúnVas1+10)=NaptáriÉv,MONTH(JúnVas1+10)=6),JúnVas1+10,""),IF(AND(YEAR(JúnVas1+17)=NaptáriÉv,MONTH(JúnVas1+17)=6),JúnVas1+17,""))</f>
        <v>43999</v>
      </c>
      <c r="N25" s="25">
        <f>IF(DAY(JúnVas1)=1,IF(AND(YEAR(JúnVas1+11)=NaptáriÉv,MONTH(JúnVas1+11)=6),JúnVas1+11,""),IF(AND(YEAR(JúnVas1+18)=NaptáriÉv,MONTH(JúnVas1+18)=6),JúnVas1+18,""))</f>
        <v>44000</v>
      </c>
      <c r="O25" s="25">
        <f>IF(DAY(JúnVas1)=1,IF(AND(YEAR(JúnVas1+12)=NaptáriÉv,MONTH(JúnVas1+12)=6),JúnVas1+12,""),IF(AND(YEAR(JúnVas1+19)=NaptáriÉv,MONTH(JúnVas1+19)=6),JúnVas1+19,""))</f>
        <v>44001</v>
      </c>
      <c r="P25" s="25">
        <f>IF(DAY(JúnVas1)=1,IF(AND(YEAR(JúnVas1+13)=NaptáriÉv,MONTH(JúnVas1+13)=6),JúnVas1+13,""),IF(AND(YEAR(JúnVas1+20)=NaptáriÉv,MONTH(JúnVas1+20)=6),JúnVas1+20,""))</f>
        <v>44002</v>
      </c>
      <c r="Q25" s="25">
        <f>IF(DAY(JúnVas1)=1,IF(AND(YEAR(JúnVas1+14)=NaptáriÉv,MONTH(JúnVas1+14)=6),JúnVas1+14,""),IF(AND(YEAR(JúnVas1+21)=NaptáriÉv,MONTH(JúnVas1+21)=6),JúnVas1+21,""))</f>
        <v>44003</v>
      </c>
      <c r="S25" s="24"/>
      <c r="U25" s="3"/>
      <c r="V25" s="26"/>
      <c r="W25" s="26"/>
    </row>
    <row r="26" spans="1:23" ht="15" customHeight="1" x14ac:dyDescent="0.2">
      <c r="C26" s="25">
        <f>IF(DAY(MájVas1)=1,IF(AND(YEAR(MájVas1+15)=NaptáriÉv,MONTH(MájVas1+15)=5),MájVas1+15,""),IF(AND(YEAR(MájVas1+22)=NaptáriÉv,MONTH(MájVas1+22)=5),MájVas1+22,""))</f>
        <v>43969</v>
      </c>
      <c r="D26" s="25">
        <f>IF(DAY(MájVas1)=1,IF(AND(YEAR(MájVas1+16)=NaptáriÉv,MONTH(MájVas1+16)=5),MájVas1+16,""),IF(AND(YEAR(MájVas1+23)=NaptáriÉv,MONTH(MájVas1+23)=5),MájVas1+23,""))</f>
        <v>43970</v>
      </c>
      <c r="E26" s="25">
        <f>IF(DAY(MájVas1)=1,IF(AND(YEAR(MájVas1+17)=NaptáriÉv,MONTH(MájVas1+17)=5),MájVas1+17,""),IF(AND(YEAR(MájVas1+24)=NaptáriÉv,MONTH(MájVas1+24)=5),MájVas1+24,""))</f>
        <v>43971</v>
      </c>
      <c r="F26" s="25">
        <f>IF(DAY(MájVas1)=1,IF(AND(YEAR(MájVas1+18)=NaptáriÉv,MONTH(MájVas1+18)=5),MájVas1+18,""),IF(AND(YEAR(MájVas1+25)=NaptáriÉv,MONTH(MájVas1+25)=5),MájVas1+25,""))</f>
        <v>43972</v>
      </c>
      <c r="G26" s="25">
        <f>IF(DAY(MájVas1)=1,IF(AND(YEAR(MájVas1+19)=NaptáriÉv,MONTH(MájVas1+19)=5),MájVas1+19,""),IF(AND(YEAR(MájVas1+26)=NaptáriÉv,MONTH(MájVas1+26)=5),MájVas1+26,""))</f>
        <v>43973</v>
      </c>
      <c r="H26" s="25">
        <f>IF(DAY(MájVas1)=1,IF(AND(YEAR(MájVas1+20)=NaptáriÉv,MONTH(MájVas1+20)=5),MájVas1+20,""),IF(AND(YEAR(MájVas1+27)=NaptáriÉv,MONTH(MájVas1+27)=5),MájVas1+27,""))</f>
        <v>43974</v>
      </c>
      <c r="I26" s="25">
        <f>IF(DAY(MájVas1)=1,IF(AND(YEAR(MájVas1+21)=NaptáriÉv,MONTH(MájVas1+21)=5),MájVas1+21,""),IF(AND(YEAR(MájVas1+28)=NaptáriÉv,MONTH(MájVas1+28)=5),MájVas1+28,""))</f>
        <v>43975</v>
      </c>
      <c r="J26" s="22"/>
      <c r="K26" s="25">
        <f>IF(DAY(JúnVas1)=1,IF(AND(YEAR(JúnVas1+15)=NaptáriÉv,MONTH(JúnVas1+15)=6),JúnVas1+15,""),IF(AND(YEAR(JúnVas1+22)=NaptáriÉv,MONTH(JúnVas1+22)=6),JúnVas1+22,""))</f>
        <v>44004</v>
      </c>
      <c r="L26" s="25">
        <f>IF(DAY(JúnVas1)=1,IF(AND(YEAR(JúnVas1+16)=NaptáriÉv,MONTH(JúnVas1+16)=6),JúnVas1+16,""),IF(AND(YEAR(JúnVas1+23)=NaptáriÉv,MONTH(JúnVas1+23)=6),JúnVas1+23,""))</f>
        <v>44005</v>
      </c>
      <c r="M26" s="25">
        <f>IF(DAY(JúnVas1)=1,IF(AND(YEAR(JúnVas1+17)=NaptáriÉv,MONTH(JúnVas1+17)=6),JúnVas1+17,""),IF(AND(YEAR(JúnVas1+24)=NaptáriÉv,MONTH(JúnVas1+24)=6),JúnVas1+24,""))</f>
        <v>44006</v>
      </c>
      <c r="N26" s="25">
        <f>IF(DAY(JúnVas1)=1,IF(AND(YEAR(JúnVas1+18)=NaptáriÉv,MONTH(JúnVas1+18)=6),JúnVas1+18,""),IF(AND(YEAR(JúnVas1+25)=NaptáriÉv,MONTH(JúnVas1+25)=6),JúnVas1+25,""))</f>
        <v>44007</v>
      </c>
      <c r="O26" s="25">
        <f>IF(DAY(JúnVas1)=1,IF(AND(YEAR(JúnVas1+19)=NaptáriÉv,MONTH(JúnVas1+19)=6),JúnVas1+19,""),IF(AND(YEAR(JúnVas1+26)=NaptáriÉv,MONTH(JúnVas1+26)=6),JúnVas1+26,""))</f>
        <v>44008</v>
      </c>
      <c r="P26" s="25">
        <f>IF(DAY(JúnVas1)=1,IF(AND(YEAR(JúnVas1+20)=NaptáriÉv,MONTH(JúnVas1+20)=6),JúnVas1+20,""),IF(AND(YEAR(JúnVas1+27)=NaptáriÉv,MONTH(JúnVas1+27)=6),JúnVas1+27,""))</f>
        <v>44009</v>
      </c>
      <c r="Q26" s="25">
        <f>IF(DAY(JúnVas1)=1,IF(AND(YEAR(JúnVas1+21)=NaptáriÉv,MONTH(JúnVas1+21)=6),JúnVas1+21,""),IF(AND(YEAR(JúnVas1+28)=NaptáriÉv,MONTH(JúnVas1+28)=6),JúnVas1+28,""))</f>
        <v>44010</v>
      </c>
      <c r="S26" s="24"/>
      <c r="U26" s="2"/>
      <c r="V26" s="26"/>
      <c r="W26" s="26"/>
    </row>
    <row r="27" spans="1:23" ht="15" customHeight="1" x14ac:dyDescent="0.2">
      <c r="C27" s="25">
        <f>IF(DAY(MájVas1)=1,IF(AND(YEAR(MájVas1+22)=NaptáriÉv,MONTH(MájVas1+22)=5),MájVas1+22,""),IF(AND(YEAR(MájVas1+29)=NaptáriÉv,MONTH(MájVas1+29)=5),MájVas1+29,""))</f>
        <v>43976</v>
      </c>
      <c r="D27" s="25">
        <f>IF(DAY(MájVas1)=1,IF(AND(YEAR(MájVas1+23)=NaptáriÉv,MONTH(MájVas1+23)=5),MájVas1+23,""),IF(AND(YEAR(MájVas1+30)=NaptáriÉv,MONTH(MájVas1+30)=5),MájVas1+30,""))</f>
        <v>43977</v>
      </c>
      <c r="E27" s="25">
        <f>IF(DAY(MájVas1)=1,IF(AND(YEAR(MájVas1+24)=NaptáriÉv,MONTH(MájVas1+24)=5),MájVas1+24,""),IF(AND(YEAR(MájVas1+31)=NaptáriÉv,MONTH(MájVas1+31)=5),MájVas1+31,""))</f>
        <v>43978</v>
      </c>
      <c r="F27" s="25">
        <f>IF(DAY(MájVas1)=1,IF(AND(YEAR(MájVas1+25)=NaptáriÉv,MONTH(MájVas1+25)=5),MájVas1+25,""),IF(AND(YEAR(MájVas1+32)=NaptáriÉv,MONTH(MájVas1+32)=5),MájVas1+32,""))</f>
        <v>43979</v>
      </c>
      <c r="G27" s="25">
        <f>IF(DAY(MájVas1)=1,IF(AND(YEAR(MájVas1+26)=NaptáriÉv,MONTH(MájVas1+26)=5),MájVas1+26,""),IF(AND(YEAR(MájVas1+33)=NaptáriÉv,MONTH(MájVas1+33)=5),MájVas1+33,""))</f>
        <v>43980</v>
      </c>
      <c r="H27" s="25">
        <f>IF(DAY(MájVas1)=1,IF(AND(YEAR(MájVas1+27)=NaptáriÉv,MONTH(MájVas1+27)=5),MájVas1+27,""),IF(AND(YEAR(MájVas1+34)=NaptáriÉv,MONTH(MájVas1+34)=5),MájVas1+34,""))</f>
        <v>43981</v>
      </c>
      <c r="I27" s="25">
        <f>IF(DAY(MájVas1)=1,IF(AND(YEAR(MájVas1+28)=NaptáriÉv,MONTH(MájVas1+28)=5),MájVas1+28,""),IF(AND(YEAR(MájVas1+35)=NaptáriÉv,MONTH(MájVas1+35)=5),MájVas1+35,""))</f>
        <v>43982</v>
      </c>
      <c r="J27" s="22"/>
      <c r="K27" s="25">
        <f>IF(DAY(JúnVas1)=1,IF(AND(YEAR(JúnVas1+22)=NaptáriÉv,MONTH(JúnVas1+22)=6),JúnVas1+22,""),IF(AND(YEAR(JúnVas1+29)=NaptáriÉv,MONTH(JúnVas1+29)=6),JúnVas1+29,""))</f>
        <v>44011</v>
      </c>
      <c r="L27" s="25">
        <f>IF(DAY(JúnVas1)=1,IF(AND(YEAR(JúnVas1+23)=NaptáriÉv,MONTH(JúnVas1+23)=6),JúnVas1+23,""),IF(AND(YEAR(JúnVas1+30)=NaptáriÉv,MONTH(JúnVas1+30)=6),JúnVas1+30,""))</f>
        <v>44012</v>
      </c>
      <c r="M27" s="25" t="str">
        <f>IF(DAY(JúnVas1)=1,IF(AND(YEAR(JúnVas1+24)=NaptáriÉv,MONTH(JúnVas1+24)=6),JúnVas1+24,""),IF(AND(YEAR(JúnVas1+31)=NaptáriÉv,MONTH(JúnVas1+31)=6),JúnVas1+31,""))</f>
        <v/>
      </c>
      <c r="N27" s="25" t="str">
        <f>IF(DAY(JúnVas1)=1,IF(AND(YEAR(JúnVas1+25)=NaptáriÉv,MONTH(JúnVas1+25)=6),JúnVas1+25,""),IF(AND(YEAR(JúnVas1+32)=NaptáriÉv,MONTH(JúnVas1+32)=6),JúnVas1+32,""))</f>
        <v/>
      </c>
      <c r="O27" s="25" t="str">
        <f>IF(DAY(JúnVas1)=1,IF(AND(YEAR(JúnVas1+26)=NaptáriÉv,MONTH(JúnVas1+26)=6),JúnVas1+26,""),IF(AND(YEAR(JúnVas1+33)=NaptáriÉv,MONTH(JúnVas1+33)=6),JúnVas1+33,""))</f>
        <v/>
      </c>
      <c r="P27" s="25" t="str">
        <f>IF(DAY(JúnVas1)=1,IF(AND(YEAR(JúnVas1+27)=NaptáriÉv,MONTH(JúnVas1+27)=6),JúnVas1+27,""),IF(AND(YEAR(JúnVas1+34)=NaptáriÉv,MONTH(JúnVas1+34)=6),JúnVas1+34,""))</f>
        <v/>
      </c>
      <c r="Q27" s="25" t="str">
        <f>IF(DAY(JúnVas1)=1,IF(AND(YEAR(JúnVas1+28)=NaptáriÉv,MONTH(JúnVas1+28)=6),JúnVas1+28,""),IF(AND(YEAR(JúnVas1+35)=NaptáriÉv,MONTH(JúnVas1+35)=6),JúnVas1+35,""))</f>
        <v/>
      </c>
      <c r="S27" s="24"/>
      <c r="U27" s="10"/>
      <c r="V27" s="26"/>
      <c r="W27" s="26"/>
    </row>
    <row r="28" spans="1:23" ht="15" customHeight="1" x14ac:dyDescent="0.2">
      <c r="C28" s="25" t="str">
        <f>IF(DAY(MájVas1)=1,IF(AND(YEAR(MájVas1+29)=NaptáriÉv,MONTH(MájVas1+29)=5),MájVas1+29,""),IF(AND(YEAR(MájVas1+36)=NaptáriÉv,MONTH(MájVas1+36)=5),MájVas1+36,""))</f>
        <v/>
      </c>
      <c r="D28" s="25" t="str">
        <f>IF(DAY(MájVas1)=1,IF(AND(YEAR(MájVas1+30)=NaptáriÉv,MONTH(MájVas1+30)=5),MájVas1+30,""),IF(AND(YEAR(MájVas1+37)=NaptáriÉv,MONTH(MájVas1+37)=5),MájVas1+37,""))</f>
        <v/>
      </c>
      <c r="E28" s="25" t="str">
        <f>IF(DAY(MájVas1)=1,IF(AND(YEAR(MájVas1+31)=NaptáriÉv,MONTH(MájVas1+31)=5),MájVas1+31,""),IF(AND(YEAR(MájVas1+38)=NaptáriÉv,MONTH(MájVas1+38)=5),MájVas1+38,""))</f>
        <v/>
      </c>
      <c r="F28" s="25" t="str">
        <f>IF(DAY(MájVas1)=1,IF(AND(YEAR(MájVas1+32)=NaptáriÉv,MONTH(MájVas1+32)=5),MájVas1+32,""),IF(AND(YEAR(MájVas1+39)=NaptáriÉv,MONTH(MájVas1+39)=5),MájVas1+39,""))</f>
        <v/>
      </c>
      <c r="G28" s="25" t="str">
        <f>IF(DAY(MájVas1)=1,IF(AND(YEAR(MájVas1+33)=NaptáriÉv,MONTH(MájVas1+33)=5),MájVas1+33,""),IF(AND(YEAR(MájVas1+40)=NaptáriÉv,MONTH(MájVas1+40)=5),MájVas1+40,""))</f>
        <v/>
      </c>
      <c r="H28" s="25" t="str">
        <f>IF(DAY(MájVas1)=1,IF(AND(YEAR(MájVas1+34)=NaptáriÉv,MONTH(MájVas1+34)=5),MájVas1+34,""),IF(AND(YEAR(MájVas1+41)=NaptáriÉv,MONTH(MájVas1+41)=5),MájVas1+41,""))</f>
        <v/>
      </c>
      <c r="I28" s="25" t="str">
        <f>IF(DAY(MájVas1)=1,IF(AND(YEAR(MájVas1+35)=NaptáriÉv,MONTH(MájVas1+35)=5),MájVas1+35,""),IF(AND(YEAR(MájVas1+42)=NaptáriÉv,MONTH(MájVas1+42)=5),MájVas1+42,""))</f>
        <v/>
      </c>
      <c r="J28" s="22"/>
      <c r="K28" s="25" t="str">
        <f>IF(DAY(JúnVas1)=1,IF(AND(YEAR(JúnVas1+29)=NaptáriÉv,MONTH(JúnVas1+29)=6),JúnVas1+29,""),IF(AND(YEAR(JúnVas1+36)=NaptáriÉv,MONTH(JúnVas1+36)=6),JúnVas1+36,""))</f>
        <v/>
      </c>
      <c r="L28" s="25" t="str">
        <f>IF(DAY(JúnVas1)=1,IF(AND(YEAR(JúnVas1+30)=NaptáriÉv,MONTH(JúnVas1+30)=6),JúnVas1+30,""),IF(AND(YEAR(JúnVas1+37)=NaptáriÉv,MONTH(JúnVas1+37)=6),JúnVas1+37,""))</f>
        <v/>
      </c>
      <c r="M28" s="25" t="str">
        <f>IF(DAY(JúnVas1)=1,IF(AND(YEAR(JúnVas1+31)=NaptáriÉv,MONTH(JúnVas1+31)=6),JúnVas1+31,""),IF(AND(YEAR(JúnVas1+38)=NaptáriÉv,MONTH(JúnVas1+38)=6),JúnVas1+38,""))</f>
        <v/>
      </c>
      <c r="N28" s="25" t="str">
        <f>IF(DAY(JúnVas1)=1,IF(AND(YEAR(JúnVas1+32)=NaptáriÉv,MONTH(JúnVas1+32)=6),JúnVas1+32,""),IF(AND(YEAR(JúnVas1+39)=NaptáriÉv,MONTH(JúnVas1+39)=6),JúnVas1+39,""))</f>
        <v/>
      </c>
      <c r="O28" s="25" t="str">
        <f>IF(DAY(JúnVas1)=1,IF(AND(YEAR(JúnVas1+33)=NaptáriÉv,MONTH(JúnVas1+33)=6),JúnVas1+33,""),IF(AND(YEAR(JúnVas1+40)=NaptáriÉv,MONTH(JúnVas1+40)=6),JúnVas1+40,""))</f>
        <v/>
      </c>
      <c r="P28" s="25" t="str">
        <f>IF(DAY(JúnVas1)=1,IF(AND(YEAR(JúnVas1+34)=NaptáriÉv,MONTH(JúnVas1+34)=6),JúnVas1+34,""),IF(AND(YEAR(JúnVas1+41)=NaptáriÉv,MONTH(JúnVas1+41)=6),JúnVas1+41,""))</f>
        <v/>
      </c>
      <c r="Q28" s="25" t="str">
        <f>IF(DAY(JúnVas1)=1,IF(AND(YEAR(JúnVas1+35)=NaptáriÉv,MONTH(JúnVas1+35)=6),JúnVas1+35,""),IF(AND(YEAR(JúnVas1+42)=NaptáriÉv,MONTH(JúnVas1+42)=6),JúnVas1+42,""))</f>
        <v/>
      </c>
      <c r="S28" s="24"/>
      <c r="U28" s="3"/>
      <c r="V28" s="26"/>
      <c r="W28" s="26"/>
    </row>
    <row r="29" spans="1:23" ht="15" customHeight="1" x14ac:dyDescent="0.2">
      <c r="J29" s="22"/>
      <c r="S29" s="24"/>
      <c r="U29" s="2"/>
      <c r="V29" s="26"/>
      <c r="W29" s="26"/>
    </row>
    <row r="30" spans="1:23" ht="15" customHeight="1" x14ac:dyDescent="0.2">
      <c r="A30" s="18" t="s">
        <v>15</v>
      </c>
      <c r="C30" s="27" t="s">
        <v>30</v>
      </c>
      <c r="D30" s="27"/>
      <c r="E30" s="27"/>
      <c r="F30" s="27"/>
      <c r="G30" s="27"/>
      <c r="H30" s="27"/>
      <c r="I30" s="27"/>
      <c r="J30" s="22"/>
      <c r="K30" s="27" t="s">
        <v>42</v>
      </c>
      <c r="L30" s="27"/>
      <c r="M30" s="27"/>
      <c r="N30" s="27"/>
      <c r="O30" s="27"/>
      <c r="P30" s="27"/>
      <c r="Q30" s="27"/>
      <c r="S30" s="24"/>
      <c r="U30" s="10"/>
      <c r="V30" s="26"/>
      <c r="W30" s="26"/>
    </row>
    <row r="31" spans="1:23" ht="15" customHeight="1" x14ac:dyDescent="0.2">
      <c r="A31" s="18" t="s">
        <v>16</v>
      </c>
      <c r="C31" s="11" t="s">
        <v>27</v>
      </c>
      <c r="D31" s="11" t="s">
        <v>33</v>
      </c>
      <c r="E31" s="11" t="s">
        <v>34</v>
      </c>
      <c r="F31" s="11" t="s">
        <v>35</v>
      </c>
      <c r="G31" s="11" t="s">
        <v>36</v>
      </c>
      <c r="H31" s="11" t="s">
        <v>37</v>
      </c>
      <c r="I31" s="11" t="s">
        <v>38</v>
      </c>
      <c r="J31" s="22"/>
      <c r="K31" s="11" t="s">
        <v>27</v>
      </c>
      <c r="L31" s="11" t="s">
        <v>33</v>
      </c>
      <c r="M31" s="11" t="s">
        <v>34</v>
      </c>
      <c r="N31" s="11" t="s">
        <v>35</v>
      </c>
      <c r="O31" s="11" t="s">
        <v>36</v>
      </c>
      <c r="P31" s="11" t="s">
        <v>37</v>
      </c>
      <c r="Q31" s="11" t="s">
        <v>38</v>
      </c>
      <c r="S31" s="24"/>
      <c r="U31" s="3"/>
      <c r="V31" s="26"/>
      <c r="W31" s="26"/>
    </row>
    <row r="32" spans="1:23" ht="15" customHeight="1" x14ac:dyDescent="0.2">
      <c r="A32" s="18"/>
      <c r="C32" s="25" t="str">
        <f>IF(DAY(JúlVas1)=1,"",IF(AND(YEAR(JúlVas1+1)=NaptáriÉv,MONTH(JúlVas1+1)=7),JúlVas1+1,""))</f>
        <v/>
      </c>
      <c r="D32" s="25" t="str">
        <f>IF(DAY(JúlVas1)=1,"",IF(AND(YEAR(JúlVas1+2)=NaptáriÉv,MONTH(JúlVas1+2)=7),JúlVas1+2,""))</f>
        <v/>
      </c>
      <c r="E32" s="25">
        <f>IF(DAY(JúlVas1)=1,"",IF(AND(YEAR(JúlVas1+3)=NaptáriÉv,MONTH(JúlVas1+3)=7),JúlVas1+3,""))</f>
        <v>44013</v>
      </c>
      <c r="F32" s="25">
        <f>IF(DAY(JúlVas1)=1,"",IF(AND(YEAR(JúlVas1+4)=NaptáriÉv,MONTH(JúlVas1+4)=7),JúlVas1+4,""))</f>
        <v>44014</v>
      </c>
      <c r="G32" s="25">
        <f>IF(DAY(JúlVas1)=1,"",IF(AND(YEAR(JúlVas1+5)=NaptáriÉv,MONTH(JúlVas1+5)=7),JúlVas1+5,""))</f>
        <v>44015</v>
      </c>
      <c r="H32" s="25">
        <f>IF(DAY(JúlVas1)=1,"",IF(AND(YEAR(JúlVas1+6)=NaptáriÉv,MONTH(JúlVas1+6)=7),JúlVas1+6,""))</f>
        <v>44016</v>
      </c>
      <c r="I32" s="25">
        <f>IF(DAY(JúlVas1)=1,IF(AND(YEAR(JúlVas1)=NaptáriÉv,MONTH(JúlVas1)=7),JúlVas1,""),IF(AND(YEAR(JúlVas1+7)=NaptáriÉv,MONTH(JúlVas1+7)=7),JúlVas1+7,""))</f>
        <v>44017</v>
      </c>
      <c r="K32" s="25" t="str">
        <f>IF(DAY(AugVas1)=1,"",IF(AND(YEAR(AugVas1+1)=NaptáriÉv,MONTH(AugVas1+1)=8),AugVas1+1,""))</f>
        <v/>
      </c>
      <c r="L32" s="25" t="str">
        <f>IF(DAY(AugVas1)=1,"",IF(AND(YEAR(AugVas1+2)=NaptáriÉv,MONTH(AugVas1+2)=8),AugVas1+2,""))</f>
        <v/>
      </c>
      <c r="M32" s="25" t="str">
        <f>IF(DAY(AugVas1)=1,"",IF(AND(YEAR(AugVas1+3)=NaptáriÉv,MONTH(AugVas1+3)=8),AugVas1+3,""))</f>
        <v/>
      </c>
      <c r="N32" s="25" t="str">
        <f>IF(DAY(AugVas1)=1,"",IF(AND(YEAR(AugVas1+4)=NaptáriÉv,MONTH(AugVas1+4)=8),AugVas1+4,""))</f>
        <v/>
      </c>
      <c r="O32" s="25" t="str">
        <f>IF(DAY(AugVas1)=1,"",IF(AND(YEAR(AugVas1+5)=NaptáriÉv,MONTH(AugVas1+5)=8),AugVas1+5,""))</f>
        <v/>
      </c>
      <c r="P32" s="25">
        <f>IF(DAY(AugVas1)=1,"",IF(AND(YEAR(AugVas1+6)=NaptáriÉv,MONTH(AugVas1+6)=8),AugVas1+6,""))</f>
        <v>44044</v>
      </c>
      <c r="Q32" s="25">
        <f>IF(DAY(AugVas1)=1,IF(AND(YEAR(AugVas1)=NaptáriÉv,MONTH(AugVas1)=8),AugVas1,""),IF(AND(YEAR(AugVas1+7)=NaptáriÉv,MONTH(AugVas1+7)=8),AugVas1+7,""))</f>
        <v>44045</v>
      </c>
      <c r="S32" s="24"/>
      <c r="U32" s="2"/>
      <c r="V32" s="26"/>
      <c r="W32" s="26"/>
    </row>
    <row r="33" spans="1:23" ht="15" customHeight="1" x14ac:dyDescent="0.2">
      <c r="A33" s="18"/>
      <c r="C33" s="25">
        <f>IF(DAY(JúlVas1)=1,IF(AND(YEAR(JúlVas1+1)=NaptáriÉv,MONTH(JúlVas1+1)=7),JúlVas1+1,""),IF(AND(YEAR(JúlVas1+8)=NaptáriÉv,MONTH(JúlVas1+8)=7),JúlVas1+8,""))</f>
        <v>44018</v>
      </c>
      <c r="D33" s="25">
        <f>IF(DAY(JúlVas1)=1,IF(AND(YEAR(JúlVas1+2)=NaptáriÉv,MONTH(JúlVas1+2)=7),JúlVas1+2,""),IF(AND(YEAR(JúlVas1+9)=NaptáriÉv,MONTH(JúlVas1+9)=7),JúlVas1+9,""))</f>
        <v>44019</v>
      </c>
      <c r="E33" s="25">
        <f>IF(DAY(JúlVas1)=1,IF(AND(YEAR(JúlVas1+3)=NaptáriÉv,MONTH(JúlVas1+3)=7),JúlVas1+3,""),IF(AND(YEAR(JúlVas1+10)=NaptáriÉv,MONTH(JúlVas1+10)=7),JúlVas1+10,""))</f>
        <v>44020</v>
      </c>
      <c r="F33" s="25">
        <f>IF(DAY(JúlVas1)=1,IF(AND(YEAR(JúlVas1+4)=NaptáriÉv,MONTH(JúlVas1+4)=7),JúlVas1+4,""),IF(AND(YEAR(JúlVas1+11)=NaptáriÉv,MONTH(JúlVas1+11)=7),JúlVas1+11,""))</f>
        <v>44021</v>
      </c>
      <c r="G33" s="25">
        <f>IF(DAY(JúlVas1)=1,IF(AND(YEAR(JúlVas1+5)=NaptáriÉv,MONTH(JúlVas1+5)=7),JúlVas1+5,""),IF(AND(YEAR(JúlVas1+12)=NaptáriÉv,MONTH(JúlVas1+12)=7),JúlVas1+12,""))</f>
        <v>44022</v>
      </c>
      <c r="H33" s="25">
        <f>IF(DAY(JúlVas1)=1,IF(AND(YEAR(JúlVas1+6)=NaptáriÉv,MONTH(JúlVas1+6)=7),JúlVas1+6,""),IF(AND(YEAR(JúlVas1+13)=NaptáriÉv,MONTH(JúlVas1+13)=7),JúlVas1+13,""))</f>
        <v>44023</v>
      </c>
      <c r="I33" s="25">
        <f>IF(DAY(JúlVas1)=1,IF(AND(YEAR(JúlVas1+7)=NaptáriÉv,MONTH(JúlVas1+7)=7),JúlVas1+7,""),IF(AND(YEAR(JúlVas1+14)=NaptáriÉv,MONTH(JúlVas1+14)=7),JúlVas1+14,""))</f>
        <v>44024</v>
      </c>
      <c r="K33" s="25">
        <f>IF(DAY(AugVas1)=1,IF(AND(YEAR(AugVas1+1)=NaptáriÉv,MONTH(AugVas1+1)=8),AugVas1+1,""),IF(AND(YEAR(AugVas1+8)=NaptáriÉv,MONTH(AugVas1+8)=8),AugVas1+8,""))</f>
        <v>44046</v>
      </c>
      <c r="L33" s="25">
        <f>IF(DAY(AugVas1)=1,IF(AND(YEAR(AugVas1+2)=NaptáriÉv,MONTH(AugVas1+2)=8),AugVas1+2,""),IF(AND(YEAR(AugVas1+9)=NaptáriÉv,MONTH(AugVas1+9)=8),AugVas1+9,""))</f>
        <v>44047</v>
      </c>
      <c r="M33" s="25">
        <f>IF(DAY(AugVas1)=1,IF(AND(YEAR(AugVas1+3)=NaptáriÉv,MONTH(AugVas1+3)=8),AugVas1+3,""),IF(AND(YEAR(AugVas1+10)=NaptáriÉv,MONTH(AugVas1+10)=8),AugVas1+10,""))</f>
        <v>44048</v>
      </c>
      <c r="N33" s="25">
        <f>IF(DAY(AugVas1)=1,IF(AND(YEAR(AugVas1+4)=NaptáriÉv,MONTH(AugVas1+4)=8),AugVas1+4,""),IF(AND(YEAR(AugVas1+11)=NaptáriÉv,MONTH(AugVas1+11)=8),AugVas1+11,""))</f>
        <v>44049</v>
      </c>
      <c r="O33" s="25">
        <f>IF(DAY(AugVas1)=1,IF(AND(YEAR(AugVas1+5)=NaptáriÉv,MONTH(AugVas1+5)=8),AugVas1+5,""),IF(AND(YEAR(AugVas1+12)=NaptáriÉv,MONTH(AugVas1+12)=8),AugVas1+12,""))</f>
        <v>44050</v>
      </c>
      <c r="P33" s="25">
        <f>IF(DAY(AugVas1)=1,IF(AND(YEAR(AugVas1+6)=NaptáriÉv,MONTH(AugVas1+6)=8),AugVas1+6,""),IF(AND(YEAR(AugVas1+13)=NaptáriÉv,MONTH(AugVas1+13)=8),AugVas1+13,""))</f>
        <v>44051</v>
      </c>
      <c r="Q33" s="25">
        <f>IF(DAY(AugVas1)=1,IF(AND(YEAR(AugVas1+7)=NaptáriÉv,MONTH(AugVas1+7)=8),AugVas1+7,""),IF(AND(YEAR(AugVas1+14)=NaptáriÉv,MONTH(AugVas1+14)=8),AugVas1+14,""))</f>
        <v>44052</v>
      </c>
      <c r="S33" s="24"/>
      <c r="U33" s="10"/>
      <c r="V33" s="26"/>
      <c r="W33" s="26"/>
    </row>
    <row r="34" spans="1:23" ht="15" customHeight="1" x14ac:dyDescent="0.2">
      <c r="C34" s="25">
        <f>IF(DAY(JúlVas1)=1,IF(AND(YEAR(JúlVas1+8)=NaptáriÉv,MONTH(JúlVas1+8)=7),JúlVas1+8,""),IF(AND(YEAR(JúlVas1+15)=NaptáriÉv,MONTH(JúlVas1+15)=7),JúlVas1+15,""))</f>
        <v>44025</v>
      </c>
      <c r="D34" s="25">
        <f>IF(DAY(JúlVas1)=1,IF(AND(YEAR(JúlVas1+9)=NaptáriÉv,MONTH(JúlVas1+9)=7),JúlVas1+9,""),IF(AND(YEAR(JúlVas1+16)=NaptáriÉv,MONTH(JúlVas1+16)=7),JúlVas1+16,""))</f>
        <v>44026</v>
      </c>
      <c r="E34" s="25">
        <f>IF(DAY(JúlVas1)=1,IF(AND(YEAR(JúlVas1+10)=NaptáriÉv,MONTH(JúlVas1+10)=7),JúlVas1+10,""),IF(AND(YEAR(JúlVas1+17)=NaptáriÉv,MONTH(JúlVas1+17)=7),JúlVas1+17,""))</f>
        <v>44027</v>
      </c>
      <c r="F34" s="25">
        <f>IF(DAY(JúlVas1)=1,IF(AND(YEAR(JúlVas1+11)=NaptáriÉv,MONTH(JúlVas1+11)=7),JúlVas1+11,""),IF(AND(YEAR(JúlVas1+18)=NaptáriÉv,MONTH(JúlVas1+18)=7),JúlVas1+18,""))</f>
        <v>44028</v>
      </c>
      <c r="G34" s="25">
        <f>IF(DAY(JúlVas1)=1,IF(AND(YEAR(JúlVas1+12)=NaptáriÉv,MONTH(JúlVas1+12)=7),JúlVas1+12,""),IF(AND(YEAR(JúlVas1+19)=NaptáriÉv,MONTH(JúlVas1+19)=7),JúlVas1+19,""))</f>
        <v>44029</v>
      </c>
      <c r="H34" s="25">
        <f>IF(DAY(JúlVas1)=1,IF(AND(YEAR(JúlVas1+13)=NaptáriÉv,MONTH(JúlVas1+13)=7),JúlVas1+13,""),IF(AND(YEAR(JúlVas1+20)=NaptáriÉv,MONTH(JúlVas1+20)=7),JúlVas1+20,""))</f>
        <v>44030</v>
      </c>
      <c r="I34" s="25">
        <f>IF(DAY(JúlVas1)=1,IF(AND(YEAR(JúlVas1+14)=NaptáriÉv,MONTH(JúlVas1+14)=7),JúlVas1+14,""),IF(AND(YEAR(JúlVas1+21)=NaptáriÉv,MONTH(JúlVas1+21)=7),JúlVas1+21,""))</f>
        <v>44031</v>
      </c>
      <c r="K34" s="25">
        <f>IF(DAY(AugVas1)=1,IF(AND(YEAR(AugVas1+8)=NaptáriÉv,MONTH(AugVas1+8)=8),AugVas1+8,""),IF(AND(YEAR(AugVas1+15)=NaptáriÉv,MONTH(AugVas1+15)=8),AugVas1+15,""))</f>
        <v>44053</v>
      </c>
      <c r="L34" s="25">
        <f>IF(DAY(AugVas1)=1,IF(AND(YEAR(AugVas1+9)=NaptáriÉv,MONTH(AugVas1+9)=8),AugVas1+9,""),IF(AND(YEAR(AugVas1+16)=NaptáriÉv,MONTH(AugVas1+16)=8),AugVas1+16,""))</f>
        <v>44054</v>
      </c>
      <c r="M34" s="25">
        <f>IF(DAY(AugVas1)=1,IF(AND(YEAR(AugVas1+10)=NaptáriÉv,MONTH(AugVas1+10)=8),AugVas1+10,""),IF(AND(YEAR(AugVas1+17)=NaptáriÉv,MONTH(AugVas1+17)=8),AugVas1+17,""))</f>
        <v>44055</v>
      </c>
      <c r="N34" s="25">
        <f>IF(DAY(AugVas1)=1,IF(AND(YEAR(AugVas1+11)=NaptáriÉv,MONTH(AugVas1+11)=8),AugVas1+11,""),IF(AND(YEAR(AugVas1+18)=NaptáriÉv,MONTH(AugVas1+18)=8),AugVas1+18,""))</f>
        <v>44056</v>
      </c>
      <c r="O34" s="25">
        <f>IF(DAY(AugVas1)=1,IF(AND(YEAR(AugVas1+12)=NaptáriÉv,MONTH(AugVas1+12)=8),AugVas1+12,""),IF(AND(YEAR(AugVas1+19)=NaptáriÉv,MONTH(AugVas1+19)=8),AugVas1+19,""))</f>
        <v>44057</v>
      </c>
      <c r="P34" s="25">
        <f>IF(DAY(AugVas1)=1,IF(AND(YEAR(AugVas1+13)=NaptáriÉv,MONTH(AugVas1+13)=8),AugVas1+13,""),IF(AND(YEAR(AugVas1+20)=NaptáriÉv,MONTH(AugVas1+20)=8),AugVas1+20,""))</f>
        <v>44058</v>
      </c>
      <c r="Q34" s="25">
        <f>IF(DAY(AugVas1)=1,IF(AND(YEAR(AugVas1+14)=NaptáriÉv,MONTH(AugVas1+14)=8),AugVas1+14,""),IF(AND(YEAR(AugVas1+21)=NaptáriÉv,MONTH(AugVas1+21)=8),AugVas1+21,""))</f>
        <v>44059</v>
      </c>
      <c r="S34" s="24"/>
      <c r="U34" s="3"/>
      <c r="V34" s="26"/>
      <c r="W34" s="26"/>
    </row>
    <row r="35" spans="1:23" ht="15" customHeight="1" x14ac:dyDescent="0.2">
      <c r="C35" s="25">
        <f>IF(DAY(JúlVas1)=1,IF(AND(YEAR(JúlVas1+15)=NaptáriÉv,MONTH(JúlVas1+15)=7),JúlVas1+15,""),IF(AND(YEAR(JúlVas1+22)=NaptáriÉv,MONTH(JúlVas1+22)=7),JúlVas1+22,""))</f>
        <v>44032</v>
      </c>
      <c r="D35" s="25">
        <f>IF(DAY(JúlVas1)=1,IF(AND(YEAR(JúlVas1+16)=NaptáriÉv,MONTH(JúlVas1+16)=7),JúlVas1+16,""),IF(AND(YEAR(JúlVas1+23)=NaptáriÉv,MONTH(JúlVas1+23)=7),JúlVas1+23,""))</f>
        <v>44033</v>
      </c>
      <c r="E35" s="25">
        <f>IF(DAY(JúlVas1)=1,IF(AND(YEAR(JúlVas1+17)=NaptáriÉv,MONTH(JúlVas1+17)=7),JúlVas1+17,""),IF(AND(YEAR(JúlVas1+24)=NaptáriÉv,MONTH(JúlVas1+24)=7),JúlVas1+24,""))</f>
        <v>44034</v>
      </c>
      <c r="F35" s="25">
        <f>IF(DAY(JúlVas1)=1,IF(AND(YEAR(JúlVas1+18)=NaptáriÉv,MONTH(JúlVas1+18)=7),JúlVas1+18,""),IF(AND(YEAR(JúlVas1+25)=NaptáriÉv,MONTH(JúlVas1+25)=7),JúlVas1+25,""))</f>
        <v>44035</v>
      </c>
      <c r="G35" s="25">
        <f>IF(DAY(JúlVas1)=1,IF(AND(YEAR(JúlVas1+19)=NaptáriÉv,MONTH(JúlVas1+19)=7),JúlVas1+19,""),IF(AND(YEAR(JúlVas1+26)=NaptáriÉv,MONTH(JúlVas1+26)=7),JúlVas1+26,""))</f>
        <v>44036</v>
      </c>
      <c r="H35" s="25">
        <f>IF(DAY(JúlVas1)=1,IF(AND(YEAR(JúlVas1+20)=NaptáriÉv,MONTH(JúlVas1+20)=7),JúlVas1+20,""),IF(AND(YEAR(JúlVas1+27)=NaptáriÉv,MONTH(JúlVas1+27)=7),JúlVas1+27,""))</f>
        <v>44037</v>
      </c>
      <c r="I35" s="25">
        <f>IF(DAY(JúlVas1)=1,IF(AND(YEAR(JúlVas1+21)=NaptáriÉv,MONTH(JúlVas1+21)=7),JúlVas1+21,""),IF(AND(YEAR(JúlVas1+28)=NaptáriÉv,MONTH(JúlVas1+28)=7),JúlVas1+28,""))</f>
        <v>44038</v>
      </c>
      <c r="K35" s="25">
        <f>IF(DAY(AugVas1)=1,IF(AND(YEAR(AugVas1+15)=NaptáriÉv,MONTH(AugVas1+15)=8),AugVas1+15,""),IF(AND(YEAR(AugVas1+22)=NaptáriÉv,MONTH(AugVas1+22)=8),AugVas1+22,""))</f>
        <v>44060</v>
      </c>
      <c r="L35" s="25">
        <f>IF(DAY(AugVas1)=1,IF(AND(YEAR(AugVas1+16)=NaptáriÉv,MONTH(AugVas1+16)=8),AugVas1+16,""),IF(AND(YEAR(AugVas1+23)=NaptáriÉv,MONTH(AugVas1+23)=8),AugVas1+23,""))</f>
        <v>44061</v>
      </c>
      <c r="M35" s="25">
        <f>IF(DAY(AugVas1)=1,IF(AND(YEAR(AugVas1+17)=NaptáriÉv,MONTH(AugVas1+17)=8),AugVas1+17,""),IF(AND(YEAR(AugVas1+24)=NaptáriÉv,MONTH(AugVas1+24)=8),AugVas1+24,""))</f>
        <v>44062</v>
      </c>
      <c r="N35" s="25">
        <f>IF(DAY(AugVas1)=1,IF(AND(YEAR(AugVas1+18)=NaptáriÉv,MONTH(AugVas1+18)=8),AugVas1+18,""),IF(AND(YEAR(AugVas1+25)=NaptáriÉv,MONTH(AugVas1+25)=8),AugVas1+25,""))</f>
        <v>44063</v>
      </c>
      <c r="O35" s="25">
        <f>IF(DAY(AugVas1)=1,IF(AND(YEAR(AugVas1+19)=NaptáriÉv,MONTH(AugVas1+19)=8),AugVas1+19,""),IF(AND(YEAR(AugVas1+26)=NaptáriÉv,MONTH(AugVas1+26)=8),AugVas1+26,""))</f>
        <v>44064</v>
      </c>
      <c r="P35" s="25">
        <f>IF(DAY(AugVas1)=1,IF(AND(YEAR(AugVas1+20)=NaptáriÉv,MONTH(AugVas1+20)=8),AugVas1+20,""),IF(AND(YEAR(AugVas1+27)=NaptáriÉv,MONTH(AugVas1+27)=8),AugVas1+27,""))</f>
        <v>44065</v>
      </c>
      <c r="Q35" s="25">
        <f>IF(DAY(AugVas1)=1,IF(AND(YEAR(AugVas1+21)=NaptáriÉv,MONTH(AugVas1+21)=8),AugVas1+21,""),IF(AND(YEAR(AugVas1+28)=NaptáriÉv,MONTH(AugVas1+28)=8),AugVas1+28,""))</f>
        <v>44066</v>
      </c>
      <c r="S35" s="24"/>
      <c r="U35" s="2"/>
      <c r="V35" s="26"/>
      <c r="W35" s="26"/>
    </row>
    <row r="36" spans="1:23" ht="15" customHeight="1" x14ac:dyDescent="0.2">
      <c r="C36" s="25">
        <f>IF(DAY(JúlVas1)=1,IF(AND(YEAR(JúlVas1+22)=NaptáriÉv,MONTH(JúlVas1+22)=7),JúlVas1+22,""),IF(AND(YEAR(JúlVas1+29)=NaptáriÉv,MONTH(JúlVas1+29)=7),JúlVas1+29,""))</f>
        <v>44039</v>
      </c>
      <c r="D36" s="25">
        <f>IF(DAY(JúlVas1)=1,IF(AND(YEAR(JúlVas1+23)=NaptáriÉv,MONTH(JúlVas1+23)=7),JúlVas1+23,""),IF(AND(YEAR(JúlVas1+30)=NaptáriÉv,MONTH(JúlVas1+30)=7),JúlVas1+30,""))</f>
        <v>44040</v>
      </c>
      <c r="E36" s="25">
        <f>IF(DAY(JúlVas1)=1,IF(AND(YEAR(JúlVas1+24)=NaptáriÉv,MONTH(JúlVas1+24)=7),JúlVas1+24,""),IF(AND(YEAR(JúlVas1+31)=NaptáriÉv,MONTH(JúlVas1+31)=7),JúlVas1+31,""))</f>
        <v>44041</v>
      </c>
      <c r="F36" s="25">
        <f>IF(DAY(JúlVas1)=1,IF(AND(YEAR(JúlVas1+25)=NaptáriÉv,MONTH(JúlVas1+25)=7),JúlVas1+25,""),IF(AND(YEAR(JúlVas1+32)=NaptáriÉv,MONTH(JúlVas1+32)=7),JúlVas1+32,""))</f>
        <v>44042</v>
      </c>
      <c r="G36" s="25">
        <f>IF(DAY(JúlVas1)=1,IF(AND(YEAR(JúlVas1+26)=NaptáriÉv,MONTH(JúlVas1+26)=7),JúlVas1+26,""),IF(AND(YEAR(JúlVas1+33)=NaptáriÉv,MONTH(JúlVas1+33)=7),JúlVas1+33,""))</f>
        <v>44043</v>
      </c>
      <c r="H36" s="25" t="str">
        <f>IF(DAY(JúlVas1)=1,IF(AND(YEAR(JúlVas1+27)=NaptáriÉv,MONTH(JúlVas1+27)=7),JúlVas1+27,""),IF(AND(YEAR(JúlVas1+34)=NaptáriÉv,MONTH(JúlVas1+34)=7),JúlVas1+34,""))</f>
        <v/>
      </c>
      <c r="I36" s="25" t="str">
        <f>IF(DAY(JúlVas1)=1,IF(AND(YEAR(JúlVas1+28)=NaptáriÉv,MONTH(JúlVas1+28)=7),JúlVas1+28,""),IF(AND(YEAR(JúlVas1+35)=NaptáriÉv,MONTH(JúlVas1+35)=7),JúlVas1+35,""))</f>
        <v/>
      </c>
      <c r="K36" s="25">
        <f>IF(DAY(AugVas1)=1,IF(AND(YEAR(AugVas1+22)=NaptáriÉv,MONTH(AugVas1+22)=8),AugVas1+22,""),IF(AND(YEAR(AugVas1+29)=NaptáriÉv,MONTH(AugVas1+29)=8),AugVas1+29,""))</f>
        <v>44067</v>
      </c>
      <c r="L36" s="25">
        <f>IF(DAY(AugVas1)=1,IF(AND(YEAR(AugVas1+23)=NaptáriÉv,MONTH(AugVas1+23)=8),AugVas1+23,""),IF(AND(YEAR(AugVas1+30)=NaptáriÉv,MONTH(AugVas1+30)=8),AugVas1+30,""))</f>
        <v>44068</v>
      </c>
      <c r="M36" s="25">
        <f>IF(DAY(AugVas1)=1,IF(AND(YEAR(AugVas1+24)=NaptáriÉv,MONTH(AugVas1+24)=8),AugVas1+24,""),IF(AND(YEAR(AugVas1+31)=NaptáriÉv,MONTH(AugVas1+31)=8),AugVas1+31,""))</f>
        <v>44069</v>
      </c>
      <c r="N36" s="25">
        <f>IF(DAY(AugVas1)=1,IF(AND(YEAR(AugVas1+25)=NaptáriÉv,MONTH(AugVas1+25)=8),AugVas1+25,""),IF(AND(YEAR(AugVas1+32)=NaptáriÉv,MONTH(AugVas1+32)=8),AugVas1+32,""))</f>
        <v>44070</v>
      </c>
      <c r="O36" s="25">
        <f>IF(DAY(AugVas1)=1,IF(AND(YEAR(AugVas1+26)=NaptáriÉv,MONTH(AugVas1+26)=8),AugVas1+26,""),IF(AND(YEAR(AugVas1+33)=NaptáriÉv,MONTH(AugVas1+33)=8),AugVas1+33,""))</f>
        <v>44071</v>
      </c>
      <c r="P36" s="25">
        <f>IF(DAY(AugVas1)=1,IF(AND(YEAR(AugVas1+27)=NaptáriÉv,MONTH(AugVas1+27)=8),AugVas1+27,""),IF(AND(YEAR(AugVas1+34)=NaptáriÉv,MONTH(AugVas1+34)=8),AugVas1+34,""))</f>
        <v>44072</v>
      </c>
      <c r="Q36" s="25">
        <f>IF(DAY(AugVas1)=1,IF(AND(YEAR(AugVas1+28)=NaptáriÉv,MONTH(AugVas1+28)=8),AugVas1+28,""),IF(AND(YEAR(AugVas1+35)=NaptáriÉv,MONTH(AugVas1+35)=8),AugVas1+35,""))</f>
        <v>44073</v>
      </c>
      <c r="S36" s="24"/>
      <c r="U36" s="10"/>
      <c r="V36" s="26"/>
      <c r="W36" s="26"/>
    </row>
    <row r="37" spans="1:23" ht="15" customHeight="1" x14ac:dyDescent="0.2">
      <c r="C37" s="25" t="str">
        <f>IF(DAY(JúlVas1)=1,IF(AND(YEAR(JúlVas1+29)=NaptáriÉv,MONTH(JúlVas1+29)=7),JúlVas1+29,""),IF(AND(YEAR(JúlVas1+36)=NaptáriÉv,MONTH(JúlVas1+36)=7),JúlVas1+36,""))</f>
        <v/>
      </c>
      <c r="D37" s="25" t="str">
        <f>IF(DAY(JúlVas1)=1,IF(AND(YEAR(JúlVas1+30)=NaptáriÉv,MONTH(JúlVas1+30)=7),JúlVas1+30,""),IF(AND(YEAR(JúlVas1+37)=NaptáriÉv,MONTH(JúlVas1+37)=7),JúlVas1+37,""))</f>
        <v/>
      </c>
      <c r="E37" s="25" t="str">
        <f>IF(DAY(JúlVas1)=1,IF(AND(YEAR(JúlVas1+31)=NaptáriÉv,MONTH(JúlVas1+31)=7),JúlVas1+31,""),IF(AND(YEAR(JúlVas1+38)=NaptáriÉv,MONTH(JúlVas1+38)=7),JúlVas1+38,""))</f>
        <v/>
      </c>
      <c r="F37" s="25" t="str">
        <f>IF(DAY(JúlVas1)=1,IF(AND(YEAR(JúlVas1+32)=NaptáriÉv,MONTH(JúlVas1+32)=7),JúlVas1+32,""),IF(AND(YEAR(JúlVas1+39)=NaptáriÉv,MONTH(JúlVas1+39)=7),JúlVas1+39,""))</f>
        <v/>
      </c>
      <c r="G37" s="25" t="str">
        <f>IF(DAY(JúlVas1)=1,IF(AND(YEAR(JúlVas1+33)=NaptáriÉv,MONTH(JúlVas1+33)=7),JúlVas1+33,""),IF(AND(YEAR(JúlVas1+40)=NaptáriÉv,MONTH(JúlVas1+40)=7),JúlVas1+40,""))</f>
        <v/>
      </c>
      <c r="H37" s="25" t="str">
        <f>IF(DAY(JúlVas1)=1,IF(AND(YEAR(JúlVas1+34)=NaptáriÉv,MONTH(JúlVas1+34)=7),JúlVas1+34,""),IF(AND(YEAR(JúlVas1+41)=NaptáriÉv,MONTH(JúlVas1+41)=7),JúlVas1+41,""))</f>
        <v/>
      </c>
      <c r="I37" s="25" t="str">
        <f>IF(DAY(JúlVas1)=1,IF(AND(YEAR(JúlVas1+35)=NaptáriÉv,MONTH(JúlVas1+35)=7),JúlVas1+35,""),IF(AND(YEAR(JúlVas1+42)=NaptáriÉv,MONTH(JúlVas1+42)=7),JúlVas1+42,""))</f>
        <v/>
      </c>
      <c r="K37" s="25">
        <f>IF(DAY(AugVas1)=1,IF(AND(YEAR(AugVas1+29)=NaptáriÉv,MONTH(AugVas1+29)=8),AugVas1+29,""),IF(AND(YEAR(AugVas1+36)=NaptáriÉv,MONTH(AugVas1+36)=8),AugVas1+36,""))</f>
        <v>44074</v>
      </c>
      <c r="L37" s="25" t="str">
        <f>IF(DAY(AugVas1)=1,IF(AND(YEAR(AugVas1+30)=NaptáriÉv,MONTH(AugVas1+30)=8),AugVas1+30,""),IF(AND(YEAR(AugVas1+37)=NaptáriÉv,MONTH(AugVas1+37)=8),AugVas1+37,""))</f>
        <v/>
      </c>
      <c r="M37" s="25" t="str">
        <f>IF(DAY(AugVas1)=1,IF(AND(YEAR(AugVas1+31)=NaptáriÉv,MONTH(AugVas1+31)=8),AugVas1+31,""),IF(AND(YEAR(AugVas1+38)=NaptáriÉv,MONTH(AugVas1+38)=8),AugVas1+38,""))</f>
        <v/>
      </c>
      <c r="N37" s="25" t="str">
        <f>IF(DAY(AugVas1)=1,IF(AND(YEAR(AugVas1+32)=NaptáriÉv,MONTH(AugVas1+32)=8),AugVas1+32,""),IF(AND(YEAR(AugVas1+39)=NaptáriÉv,MONTH(AugVas1+39)=8),AugVas1+39,""))</f>
        <v/>
      </c>
      <c r="O37" s="25" t="str">
        <f>IF(DAY(AugVas1)=1,IF(AND(YEAR(AugVas1+33)=NaptáriÉv,MONTH(AugVas1+33)=8),AugVas1+33,""),IF(AND(YEAR(AugVas1+40)=NaptáriÉv,MONTH(AugVas1+40)=8),AugVas1+40,""))</f>
        <v/>
      </c>
      <c r="P37" s="25" t="str">
        <f>IF(DAY(AugVas1)=1,IF(AND(YEAR(AugVas1+34)=NaptáriÉv,MONTH(AugVas1+34)=8),AugVas1+34,""),IF(AND(YEAR(AugVas1+41)=NaptáriÉv,MONTH(AugVas1+41)=8),AugVas1+41,""))</f>
        <v/>
      </c>
      <c r="Q37" s="25" t="str">
        <f>IF(DAY(AugVas1)=1,IF(AND(YEAR(AugVas1+35)=NaptáriÉv,MONTH(AugVas1+35)=8),AugVas1+35,""),IF(AND(YEAR(AugVas1+42)=NaptáriÉv,MONTH(AugVas1+42)=8),AugVas1+42,""))</f>
        <v/>
      </c>
      <c r="S37" s="24"/>
      <c r="U37" s="3"/>
      <c r="V37" s="26"/>
      <c r="W37" s="26"/>
    </row>
    <row r="38" spans="1:23" ht="15" customHeight="1" x14ac:dyDescent="0.2"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S38" s="24"/>
      <c r="U38" s="2"/>
      <c r="V38" s="26"/>
      <c r="W38" s="26"/>
    </row>
    <row r="39" spans="1:23" ht="15" customHeight="1" x14ac:dyDescent="0.2">
      <c r="A39" s="18" t="s">
        <v>17</v>
      </c>
      <c r="C39" s="27" t="s">
        <v>31</v>
      </c>
      <c r="D39" s="27"/>
      <c r="E39" s="27"/>
      <c r="F39" s="27"/>
      <c r="G39" s="27"/>
      <c r="H39" s="27"/>
      <c r="I39" s="27"/>
      <c r="K39" s="27" t="s">
        <v>43</v>
      </c>
      <c r="L39" s="27"/>
      <c r="M39" s="27"/>
      <c r="N39" s="27"/>
      <c r="O39" s="27"/>
      <c r="P39" s="27"/>
      <c r="Q39" s="27"/>
      <c r="S39" s="24"/>
      <c r="U39" s="10"/>
      <c r="V39" s="26"/>
      <c r="W39" s="26"/>
    </row>
    <row r="40" spans="1:23" ht="15" customHeight="1" x14ac:dyDescent="0.2">
      <c r="A40" s="18" t="s">
        <v>18</v>
      </c>
      <c r="C40" s="11" t="s">
        <v>27</v>
      </c>
      <c r="D40" s="11" t="s">
        <v>33</v>
      </c>
      <c r="E40" s="11" t="s">
        <v>34</v>
      </c>
      <c r="F40" s="11" t="s">
        <v>35</v>
      </c>
      <c r="G40" s="11" t="s">
        <v>36</v>
      </c>
      <c r="H40" s="11" t="s">
        <v>37</v>
      </c>
      <c r="I40" s="11" t="s">
        <v>38</v>
      </c>
      <c r="K40" s="11" t="s">
        <v>27</v>
      </c>
      <c r="L40" s="11" t="s">
        <v>33</v>
      </c>
      <c r="M40" s="11" t="s">
        <v>34</v>
      </c>
      <c r="N40" s="11" t="s">
        <v>35</v>
      </c>
      <c r="O40" s="11" t="s">
        <v>36</v>
      </c>
      <c r="P40" s="11" t="s">
        <v>37</v>
      </c>
      <c r="Q40" s="11" t="s">
        <v>38</v>
      </c>
      <c r="S40" s="24"/>
      <c r="U40" s="3"/>
      <c r="V40" s="26"/>
      <c r="W40" s="26"/>
    </row>
    <row r="41" spans="1:23" ht="15" customHeight="1" x14ac:dyDescent="0.2">
      <c r="C41" s="25" t="str">
        <f>IF(DAY(SzeptVas1)=1,"",IF(AND(YEAR(SzeptVas1+1)=NaptáriÉv,MONTH(SzeptVas1+1)=9),SzeptVas1+1,""))</f>
        <v/>
      </c>
      <c r="D41" s="25">
        <f>IF(DAY(SzeptVas1)=1,"",IF(AND(YEAR(SzeptVas1+2)=NaptáriÉv,MONTH(SzeptVas1+2)=9),SzeptVas1+2,""))</f>
        <v>44075</v>
      </c>
      <c r="E41" s="25">
        <f>IF(DAY(SzeptVas1)=1,"",IF(AND(YEAR(SzeptVas1+3)=NaptáriÉv,MONTH(SzeptVas1+3)=9),SzeptVas1+3,""))</f>
        <v>44076</v>
      </c>
      <c r="F41" s="25">
        <f>IF(DAY(SzeptVas1)=1,"",IF(AND(YEAR(SzeptVas1+4)=NaptáriÉv,MONTH(SzeptVas1+4)=9),SzeptVas1+4,""))</f>
        <v>44077</v>
      </c>
      <c r="G41" s="25">
        <f>IF(DAY(SzeptVas1)=1,"",IF(AND(YEAR(SzeptVas1+5)=NaptáriÉv,MONTH(SzeptVas1+5)=9),SzeptVas1+5,""))</f>
        <v>44078</v>
      </c>
      <c r="H41" s="25">
        <f>IF(DAY(SzeptVas1)=1,"",IF(AND(YEAR(SzeptVas1+6)=NaptáriÉv,MONTH(SzeptVas1+6)=9),SzeptVas1+6,""))</f>
        <v>44079</v>
      </c>
      <c r="I41" s="25">
        <f>IF(DAY(SzeptVas1)=1,IF(AND(YEAR(SzeptVas1)=NaptáriÉv,MONTH(SzeptVas1)=9),SzeptVas1,""),IF(AND(YEAR(SzeptVas1+7)=NaptáriÉv,MONTH(SzeptVas1+7)=9),SzeptVas1+7,""))</f>
        <v>44080</v>
      </c>
      <c r="K41" s="25" t="str">
        <f>IF(DAY(OktVas1)=1,"",IF(AND(YEAR(OktVas1+1)=NaptáriÉv,MONTH(OktVas1+1)=10),OktVas1+1,""))</f>
        <v/>
      </c>
      <c r="L41" s="25" t="str">
        <f>IF(DAY(OktVas1)=1,"",IF(AND(YEAR(OktVas1+2)=NaptáriÉv,MONTH(OktVas1+2)=10),OktVas1+2,""))</f>
        <v/>
      </c>
      <c r="M41" s="25" t="str">
        <f>IF(DAY(OktVas1)=1,"",IF(AND(YEAR(OktVas1+3)=NaptáriÉv,MONTH(OktVas1+3)=10),OktVas1+3,""))</f>
        <v/>
      </c>
      <c r="N41" s="25">
        <f>IF(DAY(OktVas1)=1,"",IF(AND(YEAR(OktVas1+4)=NaptáriÉv,MONTH(OktVas1+4)=10),OktVas1+4,""))</f>
        <v>44105</v>
      </c>
      <c r="O41" s="25">
        <f>IF(DAY(OktVas1)=1,"",IF(AND(YEAR(OktVas1+5)=NaptáriÉv,MONTH(OktVas1+5)=10),OktVas1+5,""))</f>
        <v>44106</v>
      </c>
      <c r="P41" s="25">
        <f>IF(DAY(OktVas1)=1,"",IF(AND(YEAR(OktVas1+6)=NaptáriÉv,MONTH(OktVas1+6)=10),OktVas1+6,""))</f>
        <v>44107</v>
      </c>
      <c r="Q41" s="25">
        <f>IF(DAY(OktVas1)=1,IF(AND(YEAR(OktVas1)=NaptáriÉv,MONTH(OktVas1)=10),OktVas1,""),IF(AND(YEAR(OktVas1+7)=NaptáriÉv,MONTH(OktVas1+7)=10),OktVas1+7,""))</f>
        <v>44108</v>
      </c>
      <c r="S41" s="24"/>
      <c r="U41" s="2"/>
      <c r="V41" s="26"/>
      <c r="W41" s="26"/>
    </row>
    <row r="42" spans="1:23" ht="15" customHeight="1" x14ac:dyDescent="0.2">
      <c r="C42" s="25">
        <f>IF(DAY(SzeptVas1)=1,IF(AND(YEAR(SzeptVas1+1)=NaptáriÉv,MONTH(SzeptVas1+1)=9),SzeptVas1+1,""),IF(AND(YEAR(SzeptVas1+8)=NaptáriÉv,MONTH(SzeptVas1+8)=9),SzeptVas1+8,""))</f>
        <v>44081</v>
      </c>
      <c r="D42" s="25">
        <f>IF(DAY(SzeptVas1)=1,IF(AND(YEAR(SzeptVas1+2)=NaptáriÉv,MONTH(SzeptVas1+2)=9),SzeptVas1+2,""),IF(AND(YEAR(SzeptVas1+9)=NaptáriÉv,MONTH(SzeptVas1+9)=9),SzeptVas1+9,""))</f>
        <v>44082</v>
      </c>
      <c r="E42" s="25">
        <f>IF(DAY(SzeptVas1)=1,IF(AND(YEAR(SzeptVas1+3)=NaptáriÉv,MONTH(SzeptVas1+3)=9),SzeptVas1+3,""),IF(AND(YEAR(SzeptVas1+10)=NaptáriÉv,MONTH(SzeptVas1+10)=9),SzeptVas1+10,""))</f>
        <v>44083</v>
      </c>
      <c r="F42" s="25">
        <f>IF(DAY(SzeptVas1)=1,IF(AND(YEAR(SzeptVas1+4)=NaptáriÉv,MONTH(SzeptVas1+4)=9),SzeptVas1+4,""),IF(AND(YEAR(SzeptVas1+11)=NaptáriÉv,MONTH(SzeptVas1+11)=9),SzeptVas1+11,""))</f>
        <v>44084</v>
      </c>
      <c r="G42" s="25">
        <f>IF(DAY(SzeptVas1)=1,IF(AND(YEAR(SzeptVas1+5)=NaptáriÉv,MONTH(SzeptVas1+5)=9),SzeptVas1+5,""),IF(AND(YEAR(SzeptVas1+12)=NaptáriÉv,MONTH(SzeptVas1+12)=9),SzeptVas1+12,""))</f>
        <v>44085</v>
      </c>
      <c r="H42" s="25">
        <f>IF(DAY(SzeptVas1)=1,IF(AND(YEAR(SzeptVas1+6)=NaptáriÉv,MONTH(SzeptVas1+6)=9),SzeptVas1+6,""),IF(AND(YEAR(SzeptVas1+13)=NaptáriÉv,MONTH(SzeptVas1+13)=9),SzeptVas1+13,""))</f>
        <v>44086</v>
      </c>
      <c r="I42" s="25">
        <f>IF(DAY(SzeptVas1)=1,IF(AND(YEAR(SzeptVas1+7)=NaptáriÉv,MONTH(SzeptVas1+7)=9),SzeptVas1+7,""),IF(AND(YEAR(SzeptVas1+14)=NaptáriÉv,MONTH(SzeptVas1+14)=9),SzeptVas1+14,""))</f>
        <v>44087</v>
      </c>
      <c r="K42" s="25">
        <f>IF(DAY(OktVas1)=1,IF(AND(YEAR(OktVas1+1)=NaptáriÉv,MONTH(OktVas1+1)=10),OktVas1+1,""),IF(AND(YEAR(OktVas1+8)=NaptáriÉv,MONTH(OktVas1+8)=10),OktVas1+8,""))</f>
        <v>44109</v>
      </c>
      <c r="L42" s="25">
        <f>IF(DAY(OktVas1)=1,IF(AND(YEAR(OktVas1+2)=NaptáriÉv,MONTH(OktVas1+2)=10),OktVas1+2,""),IF(AND(YEAR(OktVas1+9)=NaptáriÉv,MONTH(OktVas1+9)=10),OktVas1+9,""))</f>
        <v>44110</v>
      </c>
      <c r="M42" s="25">
        <f>IF(DAY(OktVas1)=1,IF(AND(YEAR(OktVas1+3)=NaptáriÉv,MONTH(OktVas1+3)=10),OktVas1+3,""),IF(AND(YEAR(OktVas1+10)=NaptáriÉv,MONTH(OktVas1+10)=10),OktVas1+10,""))</f>
        <v>44111</v>
      </c>
      <c r="N42" s="25">
        <f>IF(DAY(OktVas1)=1,IF(AND(YEAR(OktVas1+4)=NaptáriÉv,MONTH(OktVas1+4)=10),OktVas1+4,""),IF(AND(YEAR(OktVas1+11)=NaptáriÉv,MONTH(OktVas1+11)=10),OktVas1+11,""))</f>
        <v>44112</v>
      </c>
      <c r="O42" s="25">
        <f>IF(DAY(OktVas1)=1,IF(AND(YEAR(OktVas1+5)=NaptáriÉv,MONTH(OktVas1+5)=10),OktVas1+5,""),IF(AND(YEAR(OktVas1+12)=NaptáriÉv,MONTH(OktVas1+12)=10),OktVas1+12,""))</f>
        <v>44113</v>
      </c>
      <c r="P42" s="25">
        <f>IF(DAY(OktVas1)=1,IF(AND(YEAR(OktVas1+6)=NaptáriÉv,MONTH(OktVas1+6)=10),OktVas1+6,""),IF(AND(YEAR(OktVas1+13)=NaptáriÉv,MONTH(OktVas1+13)=10),OktVas1+13,""))</f>
        <v>44114</v>
      </c>
      <c r="Q42" s="25">
        <f>IF(DAY(OktVas1)=1,IF(AND(YEAR(OktVas1+7)=NaptáriÉv,MONTH(OktVas1+7)=10),OktVas1+7,""),IF(AND(YEAR(OktVas1+14)=NaptáriÉv,MONTH(OktVas1+14)=10),OktVas1+14,""))</f>
        <v>44115</v>
      </c>
      <c r="S42" s="24"/>
      <c r="U42" s="10"/>
      <c r="V42" s="26"/>
      <c r="W42" s="26"/>
    </row>
    <row r="43" spans="1:23" ht="15" customHeight="1" x14ac:dyDescent="0.2">
      <c r="C43" s="25">
        <f>IF(DAY(SzeptVas1)=1,IF(AND(YEAR(SzeptVas1+8)=NaptáriÉv,MONTH(SzeptVas1+8)=9),SzeptVas1+8,""),IF(AND(YEAR(SzeptVas1+15)=NaptáriÉv,MONTH(SzeptVas1+15)=9),SzeptVas1+15,""))</f>
        <v>44088</v>
      </c>
      <c r="D43" s="25">
        <f>IF(DAY(SzeptVas1)=1,IF(AND(YEAR(SzeptVas1+9)=NaptáriÉv,MONTH(SzeptVas1+9)=9),SzeptVas1+9,""),IF(AND(YEAR(SzeptVas1+16)=NaptáriÉv,MONTH(SzeptVas1+16)=9),SzeptVas1+16,""))</f>
        <v>44089</v>
      </c>
      <c r="E43" s="25">
        <f>IF(DAY(SzeptVas1)=1,IF(AND(YEAR(SzeptVas1+10)=NaptáriÉv,MONTH(SzeptVas1+10)=9),SzeptVas1+10,""),IF(AND(YEAR(SzeptVas1+17)=NaptáriÉv,MONTH(SzeptVas1+17)=9),SzeptVas1+17,""))</f>
        <v>44090</v>
      </c>
      <c r="F43" s="25">
        <f>IF(DAY(SzeptVas1)=1,IF(AND(YEAR(SzeptVas1+11)=NaptáriÉv,MONTH(SzeptVas1+11)=9),SzeptVas1+11,""),IF(AND(YEAR(SzeptVas1+18)=NaptáriÉv,MONTH(SzeptVas1+18)=9),SzeptVas1+18,""))</f>
        <v>44091</v>
      </c>
      <c r="G43" s="25">
        <f>IF(DAY(SzeptVas1)=1,IF(AND(YEAR(SzeptVas1+12)=NaptáriÉv,MONTH(SzeptVas1+12)=9),SzeptVas1+12,""),IF(AND(YEAR(SzeptVas1+19)=NaptáriÉv,MONTH(SzeptVas1+19)=9),SzeptVas1+19,""))</f>
        <v>44092</v>
      </c>
      <c r="H43" s="25">
        <f>IF(DAY(SzeptVas1)=1,IF(AND(YEAR(SzeptVas1+13)=NaptáriÉv,MONTH(SzeptVas1+13)=9),SzeptVas1+13,""),IF(AND(YEAR(SzeptVas1+20)=NaptáriÉv,MONTH(SzeptVas1+20)=9),SzeptVas1+20,""))</f>
        <v>44093</v>
      </c>
      <c r="I43" s="25">
        <f>IF(DAY(SzeptVas1)=1,IF(AND(YEAR(SzeptVas1+14)=NaptáriÉv,MONTH(SzeptVas1+14)=9),SzeptVas1+14,""),IF(AND(YEAR(SzeptVas1+21)=NaptáriÉv,MONTH(SzeptVas1+21)=9),SzeptVas1+21,""))</f>
        <v>44094</v>
      </c>
      <c r="K43" s="25">
        <f>IF(DAY(OktVas1)=1,IF(AND(YEAR(OktVas1+8)=NaptáriÉv,MONTH(OktVas1+8)=10),OktVas1+8,""),IF(AND(YEAR(OktVas1+15)=NaptáriÉv,MONTH(OktVas1+15)=10),OktVas1+15,""))</f>
        <v>44116</v>
      </c>
      <c r="L43" s="25">
        <f>IF(DAY(OktVas1)=1,IF(AND(YEAR(OktVas1+9)=NaptáriÉv,MONTH(OktVas1+9)=10),OktVas1+9,""),IF(AND(YEAR(OktVas1+16)=NaptáriÉv,MONTH(OktVas1+16)=10),OktVas1+16,""))</f>
        <v>44117</v>
      </c>
      <c r="M43" s="25">
        <f>IF(DAY(OktVas1)=1,IF(AND(YEAR(OktVas1+10)=NaptáriÉv,MONTH(OktVas1+10)=10),OktVas1+10,""),IF(AND(YEAR(OktVas1+17)=NaptáriÉv,MONTH(OktVas1+17)=10),OktVas1+17,""))</f>
        <v>44118</v>
      </c>
      <c r="N43" s="25">
        <f>IF(DAY(OktVas1)=1,IF(AND(YEAR(OktVas1+11)=NaptáriÉv,MONTH(OktVas1+11)=10),OktVas1+11,""),IF(AND(YEAR(OktVas1+18)=NaptáriÉv,MONTH(OktVas1+18)=10),OktVas1+18,""))</f>
        <v>44119</v>
      </c>
      <c r="O43" s="25">
        <f>IF(DAY(OktVas1)=1,IF(AND(YEAR(OktVas1+12)=NaptáriÉv,MONTH(OktVas1+12)=10),OktVas1+12,""),IF(AND(YEAR(OktVas1+19)=NaptáriÉv,MONTH(OktVas1+19)=10),OktVas1+19,""))</f>
        <v>44120</v>
      </c>
      <c r="P43" s="25">
        <f>IF(DAY(OktVas1)=1,IF(AND(YEAR(OktVas1+13)=NaptáriÉv,MONTH(OktVas1+13)=10),OktVas1+13,""),IF(AND(YEAR(OktVas1+20)=NaptáriÉv,MONTH(OktVas1+20)=10),OktVas1+20,""))</f>
        <v>44121</v>
      </c>
      <c r="Q43" s="25">
        <f>IF(DAY(OktVas1)=1,IF(AND(YEAR(OktVas1+14)=NaptáriÉv,MONTH(OktVas1+14)=10),OktVas1+14,""),IF(AND(YEAR(OktVas1+21)=NaptáriÉv,MONTH(OktVas1+21)=10),OktVas1+21,""))</f>
        <v>44122</v>
      </c>
      <c r="S43" s="24"/>
      <c r="U43" s="3"/>
      <c r="V43" s="26"/>
      <c r="W43" s="26"/>
    </row>
    <row r="44" spans="1:23" ht="15" customHeight="1" x14ac:dyDescent="0.2">
      <c r="A44" s="18" t="s">
        <v>19</v>
      </c>
      <c r="C44" s="25">
        <f>IF(DAY(SzeptVas1)=1,IF(AND(YEAR(SzeptVas1+15)=NaptáriÉv,MONTH(SzeptVas1+15)=9),SzeptVas1+15,""),IF(AND(YEAR(SzeptVas1+22)=NaptáriÉv,MONTH(SzeptVas1+22)=9),SzeptVas1+22,""))</f>
        <v>44095</v>
      </c>
      <c r="D44" s="25">
        <f>IF(DAY(SzeptVas1)=1,IF(AND(YEAR(SzeptVas1+16)=NaptáriÉv,MONTH(SzeptVas1+16)=9),SzeptVas1+16,""),IF(AND(YEAR(SzeptVas1+23)=NaptáriÉv,MONTH(SzeptVas1+23)=9),SzeptVas1+23,""))</f>
        <v>44096</v>
      </c>
      <c r="E44" s="25">
        <f>IF(DAY(SzeptVas1)=1,IF(AND(YEAR(SzeptVas1+17)=NaptáriÉv,MONTH(SzeptVas1+17)=9),SzeptVas1+17,""),IF(AND(YEAR(SzeptVas1+24)=NaptáriÉv,MONTH(SzeptVas1+24)=9),SzeptVas1+24,""))</f>
        <v>44097</v>
      </c>
      <c r="F44" s="25">
        <f>IF(DAY(SzeptVas1)=1,IF(AND(YEAR(SzeptVas1+18)=NaptáriÉv,MONTH(SzeptVas1+18)=9),SzeptVas1+18,""),IF(AND(YEAR(SzeptVas1+25)=NaptáriÉv,MONTH(SzeptVas1+25)=9),SzeptVas1+25,""))</f>
        <v>44098</v>
      </c>
      <c r="G44" s="25">
        <f>IF(DAY(SzeptVas1)=1,IF(AND(YEAR(SzeptVas1+19)=NaptáriÉv,MONTH(SzeptVas1+19)=9),SzeptVas1+19,""),IF(AND(YEAR(SzeptVas1+26)=NaptáriÉv,MONTH(SzeptVas1+26)=9),SzeptVas1+26,""))</f>
        <v>44099</v>
      </c>
      <c r="H44" s="25">
        <f>IF(DAY(SzeptVas1)=1,IF(AND(YEAR(SzeptVas1+20)=NaptáriÉv,MONTH(SzeptVas1+20)=9),SzeptVas1+20,""),IF(AND(YEAR(SzeptVas1+27)=NaptáriÉv,MONTH(SzeptVas1+27)=9),SzeptVas1+27,""))</f>
        <v>44100</v>
      </c>
      <c r="I44" s="25">
        <f>IF(DAY(SzeptVas1)=1,IF(AND(YEAR(SzeptVas1+21)=NaptáriÉv,MONTH(SzeptVas1+21)=9),SzeptVas1+21,""),IF(AND(YEAR(SzeptVas1+28)=NaptáriÉv,MONTH(SzeptVas1+28)=9),SzeptVas1+28,""))</f>
        <v>44101</v>
      </c>
      <c r="K44" s="25">
        <f>IF(DAY(OktVas1)=1,IF(AND(YEAR(OktVas1+15)=NaptáriÉv,MONTH(OktVas1+15)=10),OktVas1+15,""),IF(AND(YEAR(OktVas1+22)=NaptáriÉv,MONTH(OktVas1+22)=10),OktVas1+22,""))</f>
        <v>44123</v>
      </c>
      <c r="L44" s="25">
        <f>IF(DAY(OktVas1)=1,IF(AND(YEAR(OktVas1+16)=NaptáriÉv,MONTH(OktVas1+16)=10),OktVas1+16,""),IF(AND(YEAR(OktVas1+23)=NaptáriÉv,MONTH(OktVas1+23)=10),OktVas1+23,""))</f>
        <v>44124</v>
      </c>
      <c r="M44" s="25">
        <f>IF(DAY(OktVas1)=1,IF(AND(YEAR(OktVas1+17)=NaptáriÉv,MONTH(OktVas1+17)=10),OktVas1+17,""),IF(AND(YEAR(OktVas1+24)=NaptáriÉv,MONTH(OktVas1+24)=10),OktVas1+24,""))</f>
        <v>44125</v>
      </c>
      <c r="N44" s="25">
        <f>IF(DAY(OktVas1)=1,IF(AND(YEAR(OktVas1+18)=NaptáriÉv,MONTH(OktVas1+18)=10),OktVas1+18,""),IF(AND(YEAR(OktVas1+25)=NaptáriÉv,MONTH(OktVas1+25)=10),OktVas1+25,""))</f>
        <v>44126</v>
      </c>
      <c r="O44" s="25">
        <f>IF(DAY(OktVas1)=1,IF(AND(YEAR(OktVas1+19)=NaptáriÉv,MONTH(OktVas1+19)=10),OktVas1+19,""),IF(AND(YEAR(OktVas1+26)=NaptáriÉv,MONTH(OktVas1+26)=10),OktVas1+26,""))</f>
        <v>44127</v>
      </c>
      <c r="P44" s="25">
        <f>IF(DAY(OktVas1)=1,IF(AND(YEAR(OktVas1+20)=NaptáriÉv,MONTH(OktVas1+20)=10),OktVas1+20,""),IF(AND(YEAR(OktVas1+27)=NaptáriÉv,MONTH(OktVas1+27)=10),OktVas1+27,""))</f>
        <v>44128</v>
      </c>
      <c r="Q44" s="25">
        <f>IF(DAY(OktVas1)=1,IF(AND(YEAR(OktVas1+21)=NaptáriÉv,MONTH(OktVas1+21)=10),OktVas1+21,""),IF(AND(YEAR(OktVas1+28)=NaptáriÉv,MONTH(OktVas1+28)=10),OktVas1+28,""))</f>
        <v>44129</v>
      </c>
      <c r="S44" s="24"/>
      <c r="U44" s="8" t="s">
        <v>52</v>
      </c>
      <c r="V44" s="26"/>
      <c r="W44" s="26"/>
    </row>
    <row r="45" spans="1:23" ht="15" customHeight="1" x14ac:dyDescent="0.2">
      <c r="A45" s="18" t="s">
        <v>20</v>
      </c>
      <c r="C45" s="25">
        <f>IF(DAY(SzeptVas1)=1,IF(AND(YEAR(SzeptVas1+22)=NaptáriÉv,MONTH(SzeptVas1+22)=9),SzeptVas1+22,""),IF(AND(YEAR(SzeptVas1+29)=NaptáriÉv,MONTH(SzeptVas1+29)=9),SzeptVas1+29,""))</f>
        <v>44102</v>
      </c>
      <c r="D45" s="25">
        <f>IF(DAY(SzeptVas1)=1,IF(AND(YEAR(SzeptVas1+23)=NaptáriÉv,MONTH(SzeptVas1+23)=9),SzeptVas1+23,""),IF(AND(YEAR(SzeptVas1+30)=NaptáriÉv,MONTH(SzeptVas1+30)=9),SzeptVas1+30,""))</f>
        <v>44103</v>
      </c>
      <c r="E45" s="25">
        <f>IF(DAY(SzeptVas1)=1,IF(AND(YEAR(SzeptVas1+24)=NaptáriÉv,MONTH(SzeptVas1+24)=9),SzeptVas1+24,""),IF(AND(YEAR(SzeptVas1+31)=NaptáriÉv,MONTH(SzeptVas1+31)=9),SzeptVas1+31,""))</f>
        <v>44104</v>
      </c>
      <c r="F45" s="25" t="str">
        <f>IF(DAY(SzeptVas1)=1,IF(AND(YEAR(SzeptVas1+25)=NaptáriÉv,MONTH(SzeptVas1+25)=9),SzeptVas1+25,""),IF(AND(YEAR(SzeptVas1+32)=NaptáriÉv,MONTH(SzeptVas1+32)=9),SzeptVas1+32,""))</f>
        <v/>
      </c>
      <c r="G45" s="25" t="str">
        <f>IF(DAY(SzeptVas1)=1,IF(AND(YEAR(SzeptVas1+26)=NaptáriÉv,MONTH(SzeptVas1+26)=9),SzeptVas1+26,""),IF(AND(YEAR(SzeptVas1+33)=NaptáriÉv,MONTH(SzeptVas1+33)=9),SzeptVas1+33,""))</f>
        <v/>
      </c>
      <c r="H45" s="25" t="str">
        <f>IF(DAY(SzeptVas1)=1,IF(AND(YEAR(SzeptVas1+27)=NaptáriÉv,MONTH(SzeptVas1+27)=9),SzeptVas1+27,""),IF(AND(YEAR(SzeptVas1+34)=NaptáriÉv,MONTH(SzeptVas1+34)=9),SzeptVas1+34,""))</f>
        <v/>
      </c>
      <c r="I45" s="25" t="str">
        <f>IF(DAY(SzeptVas1)=1,IF(AND(YEAR(SzeptVas1+28)=NaptáriÉv,MONTH(SzeptVas1+28)=9),SzeptVas1+28,""),IF(AND(YEAR(SzeptVas1+35)=NaptáriÉv,MONTH(SzeptVas1+35)=9),SzeptVas1+35,""))</f>
        <v/>
      </c>
      <c r="K45" s="25">
        <f>IF(DAY(OktVas1)=1,IF(AND(YEAR(OktVas1+22)=NaptáriÉv,MONTH(OktVas1+22)=10),OktVas1+22,""),IF(AND(YEAR(OktVas1+29)=NaptáriÉv,MONTH(OktVas1+29)=10),OktVas1+29,""))</f>
        <v>44130</v>
      </c>
      <c r="L45" s="25">
        <f>IF(DAY(OktVas1)=1,IF(AND(YEAR(OktVas1+23)=NaptáriÉv,MONTH(OktVas1+23)=10),OktVas1+23,""),IF(AND(YEAR(OktVas1+30)=NaptáriÉv,MONTH(OktVas1+30)=10),OktVas1+30,""))</f>
        <v>44131</v>
      </c>
      <c r="M45" s="25">
        <f>IF(DAY(OktVas1)=1,IF(AND(YEAR(OktVas1+24)=NaptáriÉv,MONTH(OktVas1+24)=10),OktVas1+24,""),IF(AND(YEAR(OktVas1+31)=NaptáriÉv,MONTH(OktVas1+31)=10),OktVas1+31,""))</f>
        <v>44132</v>
      </c>
      <c r="N45" s="25">
        <f>IF(DAY(OktVas1)=1,IF(AND(YEAR(OktVas1+25)=NaptáriÉv,MONTH(OktVas1+25)=10),OktVas1+25,""),IF(AND(YEAR(OktVas1+32)=NaptáriÉv,MONTH(OktVas1+32)=10),OktVas1+32,""))</f>
        <v>44133</v>
      </c>
      <c r="O45" s="25">
        <f>IF(DAY(OktVas1)=1,IF(AND(YEAR(OktVas1+26)=NaptáriÉv,MONTH(OktVas1+26)=10),OktVas1+26,""),IF(AND(YEAR(OktVas1+33)=NaptáriÉv,MONTH(OktVas1+33)=10),OktVas1+33,""))</f>
        <v>44134</v>
      </c>
      <c r="P45" s="25">
        <f>IF(DAY(OktVas1)=1,IF(AND(YEAR(OktVas1+27)=NaptáriÉv,MONTH(OktVas1+27)=10),OktVas1+27,""),IF(AND(YEAR(OktVas1+34)=NaptáriÉv,MONTH(OktVas1+34)=10),OktVas1+34,""))</f>
        <v>44135</v>
      </c>
      <c r="Q45" s="25" t="str">
        <f>IF(DAY(OktVas1)=1,IF(AND(YEAR(OktVas1+28)=NaptáriÉv,MONTH(OktVas1+28)=10),OktVas1+28,""),IF(AND(YEAR(OktVas1+35)=NaptáriÉv,MONTH(OktVas1+35)=10),OktVas1+35,""))</f>
        <v/>
      </c>
      <c r="S45" s="24"/>
      <c r="U45" s="9" t="s">
        <v>57</v>
      </c>
      <c r="V45" s="26"/>
      <c r="W45" s="26"/>
    </row>
    <row r="46" spans="1:23" ht="15" customHeight="1" x14ac:dyDescent="0.2">
      <c r="A46" s="18"/>
      <c r="C46" s="25" t="str">
        <f>IF(DAY(SzeptVas1)=1,IF(AND(YEAR(SzeptVas1+29)=NaptáriÉv,MONTH(SzeptVas1+29)=9),SzeptVas1+29,""),IF(AND(YEAR(SzeptVas1+36)=NaptáriÉv,MONTH(SzeptVas1+36)=9),SzeptVas1+36,""))</f>
        <v/>
      </c>
      <c r="D46" s="25" t="str">
        <f>IF(DAY(SzeptVas1)=1,IF(AND(YEAR(SzeptVas1+30)=NaptáriÉv,MONTH(SzeptVas1+30)=9),SzeptVas1+30,""),IF(AND(YEAR(SzeptVas1+37)=NaptáriÉv,MONTH(SzeptVas1+37)=9),SzeptVas1+37,""))</f>
        <v/>
      </c>
      <c r="E46" s="25" t="str">
        <f>IF(DAY(SzeptVas1)=1,IF(AND(YEAR(SzeptVas1+31)=NaptáriÉv,MONTH(SzeptVas1+31)=9),SzeptVas1+31,""),IF(AND(YEAR(SzeptVas1+38)=NaptáriÉv,MONTH(SzeptVas1+38)=9),SzeptVas1+38,""))</f>
        <v/>
      </c>
      <c r="F46" s="25" t="str">
        <f>IF(DAY(SzeptVas1)=1,IF(AND(YEAR(SzeptVas1+32)=NaptáriÉv,MONTH(SzeptVas1+32)=9),SzeptVas1+32,""),IF(AND(YEAR(SzeptVas1+39)=NaptáriÉv,MONTH(SzeptVas1+39)=9),SzeptVas1+39,""))</f>
        <v/>
      </c>
      <c r="G46" s="25" t="str">
        <f>IF(DAY(SzeptVas1)=1,IF(AND(YEAR(SzeptVas1+33)=NaptáriÉv,MONTH(SzeptVas1+33)=9),SzeptVas1+33,""),IF(AND(YEAR(SzeptVas1+40)=NaptáriÉv,MONTH(SzeptVas1+40)=9),SzeptVas1+40,""))</f>
        <v/>
      </c>
      <c r="H46" s="25" t="str">
        <f>IF(DAY(SzeptVas1)=1,IF(AND(YEAR(SzeptVas1+34)=NaptáriÉv,MONTH(SzeptVas1+34)=9),SzeptVas1+34,""),IF(AND(YEAR(SzeptVas1+41)=NaptáriÉv,MONTH(SzeptVas1+41)=9),SzeptVas1+41,""))</f>
        <v/>
      </c>
      <c r="I46" s="25" t="str">
        <f>IF(DAY(SzeptVas1)=1,IF(AND(YEAR(SzeptVas1+35)=NaptáriÉv,MONTH(SzeptVas1+35)=9),SzeptVas1+35,""),IF(AND(YEAR(SzeptVas1+42)=NaptáriÉv,MONTH(SzeptVas1+42)=9),SzeptVas1+42,""))</f>
        <v/>
      </c>
      <c r="K46" s="25" t="str">
        <f>IF(DAY(OktVas1)=1,IF(AND(YEAR(OktVas1+29)=NaptáriÉv,MONTH(OktVas1+29)=10),OktVas1+29,""),IF(AND(YEAR(OktVas1+36)=NaptáriÉv,MONTH(OktVas1+36)=10),OktVas1+36,""))</f>
        <v/>
      </c>
      <c r="L46" s="25" t="str">
        <f>IF(DAY(OktVas1)=1,IF(AND(YEAR(OktVas1+30)=NaptáriÉv,MONTH(OktVas1+30)=10),OktVas1+30,""),IF(AND(YEAR(OktVas1+37)=NaptáriÉv,MONTH(OktVas1+37)=10),OktVas1+37,""))</f>
        <v/>
      </c>
      <c r="M46" s="25" t="str">
        <f>IF(DAY(OktVas1)=1,IF(AND(YEAR(OktVas1+31)=NaptáriÉv,MONTH(OktVas1+31)=10),OktVas1+31,""),IF(AND(YEAR(OktVas1+38)=NaptáriÉv,MONTH(OktVas1+38)=10),OktVas1+38,""))</f>
        <v/>
      </c>
      <c r="N46" s="25" t="str">
        <f>IF(DAY(OktVas1)=1,IF(AND(YEAR(OktVas1+32)=NaptáriÉv,MONTH(OktVas1+32)=10),OktVas1+32,""),IF(AND(YEAR(OktVas1+39)=NaptáriÉv,MONTH(OktVas1+39)=10),OktVas1+39,""))</f>
        <v/>
      </c>
      <c r="O46" s="25" t="str">
        <f>IF(DAY(OktVas1)=1,IF(AND(YEAR(OktVas1+33)=NaptáriÉv,MONTH(OktVas1+33)=10),OktVas1+33,""),IF(AND(YEAR(OktVas1+40)=NaptáriÉv,MONTH(OktVas1+40)=10),OktVas1+40,""))</f>
        <v/>
      </c>
      <c r="P46" s="25" t="str">
        <f>IF(DAY(OktVas1)=1,IF(AND(YEAR(OktVas1+34)=NaptáriÉv,MONTH(OktVas1+34)=10),OktVas1+34,""),IF(AND(YEAR(OktVas1+41)=NaptáriÉv,MONTH(OktVas1+41)=10),OktVas1+41,""))</f>
        <v/>
      </c>
      <c r="Q46" s="25" t="str">
        <f>IF(DAY(OktVas1)=1,IF(AND(YEAR(OktVas1+35)=NaptáriÉv,MONTH(OktVas1+35)=10),OktVas1+35,""),IF(AND(YEAR(OktVas1+42)=NaptáriÉv,MONTH(OktVas1+42)=10),OktVas1+42,""))</f>
        <v/>
      </c>
      <c r="S46" s="24"/>
      <c r="U46" s="9"/>
      <c r="V46" s="26"/>
      <c r="W46" s="26"/>
    </row>
    <row r="47" spans="1:23" ht="15" customHeight="1" x14ac:dyDescent="0.2">
      <c r="A47" s="18" t="s">
        <v>21</v>
      </c>
      <c r="S47" s="24"/>
      <c r="U47" s="9" t="s">
        <v>53</v>
      </c>
      <c r="V47" s="26"/>
      <c r="W47" s="26"/>
    </row>
    <row r="48" spans="1:23" ht="15" customHeight="1" x14ac:dyDescent="0.2">
      <c r="A48" s="18" t="s">
        <v>22</v>
      </c>
      <c r="C48" s="27" t="s">
        <v>32</v>
      </c>
      <c r="D48" s="27"/>
      <c r="E48" s="27"/>
      <c r="F48" s="27"/>
      <c r="G48" s="27"/>
      <c r="H48" s="27"/>
      <c r="I48" s="27"/>
      <c r="K48" s="27" t="s">
        <v>44</v>
      </c>
      <c r="L48" s="27"/>
      <c r="M48" s="27"/>
      <c r="N48" s="27"/>
      <c r="O48" s="27"/>
      <c r="P48" s="27"/>
      <c r="Q48" s="27"/>
      <c r="S48" s="24"/>
      <c r="U48" s="9" t="s">
        <v>54</v>
      </c>
      <c r="V48" s="26"/>
      <c r="W48" s="26"/>
    </row>
    <row r="49" spans="1:21" ht="15" customHeight="1" x14ac:dyDescent="0.2">
      <c r="A49" s="18" t="s">
        <v>23</v>
      </c>
      <c r="C49" s="11" t="s">
        <v>27</v>
      </c>
      <c r="D49" s="11" t="s">
        <v>33</v>
      </c>
      <c r="E49" s="11" t="s">
        <v>34</v>
      </c>
      <c r="F49" s="11" t="s">
        <v>35</v>
      </c>
      <c r="G49" s="11" t="s">
        <v>36</v>
      </c>
      <c r="H49" s="11" t="s">
        <v>37</v>
      </c>
      <c r="I49" s="11" t="s">
        <v>38</v>
      </c>
      <c r="J49" s="23"/>
      <c r="K49" s="11" t="s">
        <v>27</v>
      </c>
      <c r="L49" s="11" t="s">
        <v>33</v>
      </c>
      <c r="M49" s="11" t="s">
        <v>34</v>
      </c>
      <c r="N49" s="11" t="s">
        <v>35</v>
      </c>
      <c r="O49" s="11" t="s">
        <v>36</v>
      </c>
      <c r="P49" s="11" t="s">
        <v>37</v>
      </c>
      <c r="Q49" s="11" t="s">
        <v>38</v>
      </c>
      <c r="S49" s="24"/>
      <c r="U49" s="9" t="s">
        <v>55</v>
      </c>
    </row>
    <row r="50" spans="1:21" ht="15" customHeight="1" x14ac:dyDescent="0.2">
      <c r="A50" s="18"/>
      <c r="C50" s="25" t="str">
        <f>IF(DAY(NovVas1)=1,"",IF(AND(YEAR(NovVas1+1)=NaptáriÉv,MONTH(NovVas1+1)=11),NovVas1+1,""))</f>
        <v/>
      </c>
      <c r="D50" s="25" t="str">
        <f>IF(DAY(NovVas1)=1,"",IF(AND(YEAR(NovVas1+2)=NaptáriÉv,MONTH(NovVas1+2)=11),NovVas1+2,""))</f>
        <v/>
      </c>
      <c r="E50" s="25" t="str">
        <f>IF(DAY(NovVas1)=1,"",IF(AND(YEAR(NovVas1+3)=NaptáriÉv,MONTH(NovVas1+3)=11),NovVas1+3,""))</f>
        <v/>
      </c>
      <c r="F50" s="25" t="str">
        <f>IF(DAY(NovVas1)=1,"",IF(AND(YEAR(NovVas1+4)=NaptáriÉv,MONTH(NovVas1+4)=11),NovVas1+4,""))</f>
        <v/>
      </c>
      <c r="G50" s="25" t="str">
        <f>IF(DAY(NovVas1)=1,"",IF(AND(YEAR(NovVas1+5)=NaptáriÉv,MONTH(NovVas1+5)=11),NovVas1+5,""))</f>
        <v/>
      </c>
      <c r="H50" s="25" t="str">
        <f>IF(DAY(NovVas1)=1,"",IF(AND(YEAR(NovVas1+6)=NaptáriÉv,MONTH(NovVas1+6)=11),NovVas1+6,""))</f>
        <v/>
      </c>
      <c r="I50" s="25">
        <f>IF(DAY(NovVas1)=1,IF(AND(YEAR(NovVas1)=NaptáriÉv,MONTH(NovVas1)=11),NovVas1,""),IF(AND(YEAR(NovVas1+7)=NaptáriÉv,MONTH(NovVas1+7)=11),NovVas1+7,""))</f>
        <v>44136</v>
      </c>
      <c r="K50" s="25" t="str">
        <f>IF(DAY(DecVas1)=1,"",IF(AND(YEAR(DecVas1+1)=NaptáriÉv,MONTH(DecVas1+1)=12),DecVas1+1,""))</f>
        <v/>
      </c>
      <c r="L50" s="25">
        <f>IF(DAY(DecVas1)=1,"",IF(AND(YEAR(DecVas1+2)=NaptáriÉv,MONTH(DecVas1+2)=12),DecVas1+2,""))</f>
        <v>44166</v>
      </c>
      <c r="M50" s="25">
        <f>IF(DAY(DecVas1)=1,"",IF(AND(YEAR(DecVas1+3)=NaptáriÉv,MONTH(DecVas1+3)=12),DecVas1+3,""))</f>
        <v>44167</v>
      </c>
      <c r="N50" s="25">
        <f>IF(DAY(DecVas1)=1,"",IF(AND(YEAR(DecVas1+4)=NaptáriÉv,MONTH(DecVas1+4)=12),DecVas1+4,""))</f>
        <v>44168</v>
      </c>
      <c r="O50" s="25">
        <f>IF(DAY(DecVas1)=1,"",IF(AND(YEAR(DecVas1+5)=NaptáriÉv,MONTH(DecVas1+5)=12),DecVas1+5,""))</f>
        <v>44169</v>
      </c>
      <c r="P50" s="25">
        <f>IF(DAY(DecVas1)=1,"",IF(AND(YEAR(DecVas1+6)=NaptáriÉv,MONTH(DecVas1+6)=12),DecVas1+6,""))</f>
        <v>44170</v>
      </c>
      <c r="Q50" s="25">
        <f>IF(DAY(DecVas1)=1,IF(AND(YEAR(DecVas1)=NaptáriÉv,MONTH(DecVas1)=12),DecVas1,""),IF(AND(YEAR(DecVas1+7)=NaptáriÉv,MONTH(DecVas1+7)=12),DecVas1+7,""))</f>
        <v>44171</v>
      </c>
      <c r="S50" s="24"/>
      <c r="U50" s="1"/>
    </row>
    <row r="51" spans="1:21" ht="15" customHeight="1" x14ac:dyDescent="0.2">
      <c r="A51" s="18" t="s">
        <v>24</v>
      </c>
      <c r="C51" s="25">
        <f>IF(DAY(NovVas1)=1,IF(AND(YEAR(NovVas1+1)=NaptáriÉv,MONTH(NovVas1+1)=11),NovVas1+1,""),IF(AND(YEAR(NovVas1+8)=NaptáriÉv,MONTH(NovVas1+8)=11),NovVas1+8,""))</f>
        <v>44137</v>
      </c>
      <c r="D51" s="25">
        <f>IF(DAY(NovVas1)=1,IF(AND(YEAR(NovVas1+2)=NaptáriÉv,MONTH(NovVas1+2)=11),NovVas1+2,""),IF(AND(YEAR(NovVas1+9)=NaptáriÉv,MONTH(NovVas1+9)=11),NovVas1+9,""))</f>
        <v>44138</v>
      </c>
      <c r="E51" s="25">
        <f>IF(DAY(NovVas1)=1,IF(AND(YEAR(NovVas1+3)=NaptáriÉv,MONTH(NovVas1+3)=11),NovVas1+3,""),IF(AND(YEAR(NovVas1+10)=NaptáriÉv,MONTH(NovVas1+10)=11),NovVas1+10,""))</f>
        <v>44139</v>
      </c>
      <c r="F51" s="25">
        <f>IF(DAY(NovVas1)=1,IF(AND(YEAR(NovVas1+4)=NaptáriÉv,MONTH(NovVas1+4)=11),NovVas1+4,""),IF(AND(YEAR(NovVas1+11)=NaptáriÉv,MONTH(NovVas1+11)=11),NovVas1+11,""))</f>
        <v>44140</v>
      </c>
      <c r="G51" s="25">
        <f>IF(DAY(NovVas1)=1,IF(AND(YEAR(NovVas1+5)=NaptáriÉv,MONTH(NovVas1+5)=11),NovVas1+5,""),IF(AND(YEAR(NovVas1+12)=NaptáriÉv,MONTH(NovVas1+12)=11),NovVas1+12,""))</f>
        <v>44141</v>
      </c>
      <c r="H51" s="25">
        <f>IF(DAY(NovVas1)=1,IF(AND(YEAR(NovVas1+6)=NaptáriÉv,MONTH(NovVas1+6)=11),NovVas1+6,""),IF(AND(YEAR(NovVas1+13)=NaptáriÉv,MONTH(NovVas1+13)=11),NovVas1+13,""))</f>
        <v>44142</v>
      </c>
      <c r="I51" s="25">
        <f>IF(DAY(NovVas1)=1,IF(AND(YEAR(NovVas1+7)=NaptáriÉv,MONTH(NovVas1+7)=11),NovVas1+7,""),IF(AND(YEAR(NovVas1+14)=NaptáriÉv,MONTH(NovVas1+14)=11),NovVas1+14,""))</f>
        <v>44143</v>
      </c>
      <c r="K51" s="25">
        <f>IF(DAY(DecVas1)=1,IF(AND(YEAR(DecVas1+1)=NaptáriÉv,MONTH(DecVas1+1)=12),DecVas1+1,""),IF(AND(YEAR(DecVas1+8)=NaptáriÉv,MONTH(DecVas1+8)=12),DecVas1+8,""))</f>
        <v>44172</v>
      </c>
      <c r="L51" s="25">
        <f>IF(DAY(DecVas1)=1,IF(AND(YEAR(DecVas1+2)=NaptáriÉv,MONTH(DecVas1+2)=12),DecVas1+2,""),IF(AND(YEAR(DecVas1+9)=NaptáriÉv,MONTH(DecVas1+9)=12),DecVas1+9,""))</f>
        <v>44173</v>
      </c>
      <c r="M51" s="25">
        <f>IF(DAY(DecVas1)=1,IF(AND(YEAR(DecVas1+3)=NaptáriÉv,MONTH(DecVas1+3)=12),DecVas1+3,""),IF(AND(YEAR(DecVas1+10)=NaptáriÉv,MONTH(DecVas1+10)=12),DecVas1+10,""))</f>
        <v>44174</v>
      </c>
      <c r="N51" s="25">
        <f>IF(DAY(DecVas1)=1,IF(AND(YEAR(DecVas1+4)=NaptáriÉv,MONTH(DecVas1+4)=12),DecVas1+4,""),IF(AND(YEAR(DecVas1+11)=NaptáriÉv,MONTH(DecVas1+11)=12),DecVas1+11,""))</f>
        <v>44175</v>
      </c>
      <c r="O51" s="25">
        <f>IF(DAY(DecVas1)=1,IF(AND(YEAR(DecVas1+5)=NaptáriÉv,MONTH(DecVas1+5)=12),DecVas1+5,""),IF(AND(YEAR(DecVas1+12)=NaptáriÉv,MONTH(DecVas1+12)=12),DecVas1+12,""))</f>
        <v>44176</v>
      </c>
      <c r="P51" s="25">
        <f>IF(DAY(DecVas1)=1,IF(AND(YEAR(DecVas1+6)=NaptáriÉv,MONTH(DecVas1+6)=12),DecVas1+6,""),IF(AND(YEAR(DecVas1+13)=NaptáriÉv,MONTH(DecVas1+13)=12),DecVas1+13,""))</f>
        <v>44177</v>
      </c>
      <c r="Q51" s="25">
        <f>IF(DAY(DecVas1)=1,IF(AND(YEAR(DecVas1+7)=NaptáriÉv,MONTH(DecVas1+7)=12),DecVas1+7,""),IF(AND(YEAR(DecVas1+14)=NaptáriÉv,MONTH(DecVas1+14)=12),DecVas1+14,""))</f>
        <v>44178</v>
      </c>
      <c r="S51" s="24"/>
      <c r="U51" s="29" t="s">
        <v>56</v>
      </c>
    </row>
    <row r="52" spans="1:21" ht="15" customHeight="1" x14ac:dyDescent="0.2">
      <c r="C52" s="25">
        <f>IF(DAY(NovVas1)=1,IF(AND(YEAR(NovVas1+8)=NaptáriÉv,MONTH(NovVas1+8)=11),NovVas1+8,""),IF(AND(YEAR(NovVas1+15)=NaptáriÉv,MONTH(NovVas1+15)=11),NovVas1+15,""))</f>
        <v>44144</v>
      </c>
      <c r="D52" s="25">
        <f>IF(DAY(NovVas1)=1,IF(AND(YEAR(NovVas1+9)=NaptáriÉv,MONTH(NovVas1+9)=11),NovVas1+9,""),IF(AND(YEAR(NovVas1+16)=NaptáriÉv,MONTH(NovVas1+16)=11),NovVas1+16,""))</f>
        <v>44145</v>
      </c>
      <c r="E52" s="25">
        <f>IF(DAY(NovVas1)=1,IF(AND(YEAR(NovVas1+10)=NaptáriÉv,MONTH(NovVas1+10)=11),NovVas1+10,""),IF(AND(YEAR(NovVas1+17)=NaptáriÉv,MONTH(NovVas1+17)=11),NovVas1+17,""))</f>
        <v>44146</v>
      </c>
      <c r="F52" s="25">
        <f>IF(DAY(NovVas1)=1,IF(AND(YEAR(NovVas1+11)=NaptáriÉv,MONTH(NovVas1+11)=11),NovVas1+11,""),IF(AND(YEAR(NovVas1+18)=NaptáriÉv,MONTH(NovVas1+18)=11),NovVas1+18,""))</f>
        <v>44147</v>
      </c>
      <c r="G52" s="25">
        <f>IF(DAY(NovVas1)=1,IF(AND(YEAR(NovVas1+12)=NaptáriÉv,MONTH(NovVas1+12)=11),NovVas1+12,""),IF(AND(YEAR(NovVas1+19)=NaptáriÉv,MONTH(NovVas1+19)=11),NovVas1+19,""))</f>
        <v>44148</v>
      </c>
      <c r="H52" s="25">
        <f>IF(DAY(NovVas1)=1,IF(AND(YEAR(NovVas1+13)=NaptáriÉv,MONTH(NovVas1+13)=11),NovVas1+13,""),IF(AND(YEAR(NovVas1+20)=NaptáriÉv,MONTH(NovVas1+20)=11),NovVas1+20,""))</f>
        <v>44149</v>
      </c>
      <c r="I52" s="25">
        <f>IF(DAY(NovVas1)=1,IF(AND(YEAR(NovVas1+14)=NaptáriÉv,MONTH(NovVas1+14)=11),NovVas1+14,""),IF(AND(YEAR(NovVas1+21)=NaptáriÉv,MONTH(NovVas1+21)=11),NovVas1+21,""))</f>
        <v>44150</v>
      </c>
      <c r="K52" s="25">
        <f>IF(DAY(DecVas1)=1,IF(AND(YEAR(DecVas1+8)=NaptáriÉv,MONTH(DecVas1+8)=12),DecVas1+8,""),IF(AND(YEAR(DecVas1+15)=NaptáriÉv,MONTH(DecVas1+15)=12),DecVas1+15,""))</f>
        <v>44179</v>
      </c>
      <c r="L52" s="25">
        <f>IF(DAY(DecVas1)=1,IF(AND(YEAR(DecVas1+9)=NaptáriÉv,MONTH(DecVas1+9)=12),DecVas1+9,""),IF(AND(YEAR(DecVas1+16)=NaptáriÉv,MONTH(DecVas1+16)=12),DecVas1+16,""))</f>
        <v>44180</v>
      </c>
      <c r="M52" s="25">
        <f>IF(DAY(DecVas1)=1,IF(AND(YEAR(DecVas1+10)=NaptáriÉv,MONTH(DecVas1+10)=12),DecVas1+10,""),IF(AND(YEAR(DecVas1+17)=NaptáriÉv,MONTH(DecVas1+17)=12),DecVas1+17,""))</f>
        <v>44181</v>
      </c>
      <c r="N52" s="25">
        <f>IF(DAY(DecVas1)=1,IF(AND(YEAR(DecVas1+11)=NaptáriÉv,MONTH(DecVas1+11)=12),DecVas1+11,""),IF(AND(YEAR(DecVas1+18)=NaptáriÉv,MONTH(DecVas1+18)=12),DecVas1+18,""))</f>
        <v>44182</v>
      </c>
      <c r="O52" s="25">
        <f>IF(DAY(DecVas1)=1,IF(AND(YEAR(DecVas1+12)=NaptáriÉv,MONTH(DecVas1+12)=12),DecVas1+12,""),IF(AND(YEAR(DecVas1+19)=NaptáriÉv,MONTH(DecVas1+19)=12),DecVas1+19,""))</f>
        <v>44183</v>
      </c>
      <c r="P52" s="25">
        <f>IF(DAY(DecVas1)=1,IF(AND(YEAR(DecVas1+13)=NaptáriÉv,MONTH(DecVas1+13)=12),DecVas1+13,""),IF(AND(YEAR(DecVas1+20)=NaptáriÉv,MONTH(DecVas1+20)=12),DecVas1+20,""))</f>
        <v>44184</v>
      </c>
      <c r="Q52" s="25">
        <f>IF(DAY(DecVas1)=1,IF(AND(YEAR(DecVas1+14)=NaptáriÉv,MONTH(DecVas1+14)=12),DecVas1+14,""),IF(AND(YEAR(DecVas1+21)=NaptáriÉv,MONTH(DecVas1+21)=12),DecVas1+21,""))</f>
        <v>44185</v>
      </c>
      <c r="S52" s="24"/>
      <c r="U52" s="29"/>
    </row>
    <row r="53" spans="1:21" ht="15" customHeight="1" x14ac:dyDescent="0.2">
      <c r="C53" s="25">
        <f>IF(DAY(NovVas1)=1,IF(AND(YEAR(NovVas1+15)=NaptáriÉv,MONTH(NovVas1+15)=11),NovVas1+15,""),IF(AND(YEAR(NovVas1+22)=NaptáriÉv,MONTH(NovVas1+22)=11),NovVas1+22,""))</f>
        <v>44151</v>
      </c>
      <c r="D53" s="25">
        <f>IF(DAY(NovVas1)=1,IF(AND(YEAR(NovVas1+16)=NaptáriÉv,MONTH(NovVas1+16)=11),NovVas1+16,""),IF(AND(YEAR(NovVas1+23)=NaptáriÉv,MONTH(NovVas1+23)=11),NovVas1+23,""))</f>
        <v>44152</v>
      </c>
      <c r="E53" s="25">
        <f>IF(DAY(NovVas1)=1,IF(AND(YEAR(NovVas1+17)=NaptáriÉv,MONTH(NovVas1+17)=11),NovVas1+17,""),IF(AND(YEAR(NovVas1+24)=NaptáriÉv,MONTH(NovVas1+24)=11),NovVas1+24,""))</f>
        <v>44153</v>
      </c>
      <c r="F53" s="25">
        <f>IF(DAY(NovVas1)=1,IF(AND(YEAR(NovVas1+18)=NaptáriÉv,MONTH(NovVas1+18)=11),NovVas1+18,""),IF(AND(YEAR(NovVas1+25)=NaptáriÉv,MONTH(NovVas1+25)=11),NovVas1+25,""))</f>
        <v>44154</v>
      </c>
      <c r="G53" s="25">
        <f>IF(DAY(NovVas1)=1,IF(AND(YEAR(NovVas1+19)=NaptáriÉv,MONTH(NovVas1+19)=11),NovVas1+19,""),IF(AND(YEAR(NovVas1+26)=NaptáriÉv,MONTH(NovVas1+26)=11),NovVas1+26,""))</f>
        <v>44155</v>
      </c>
      <c r="H53" s="25">
        <f>IF(DAY(NovVas1)=1,IF(AND(YEAR(NovVas1+20)=NaptáriÉv,MONTH(NovVas1+20)=11),NovVas1+20,""),IF(AND(YEAR(NovVas1+27)=NaptáriÉv,MONTH(NovVas1+27)=11),NovVas1+27,""))</f>
        <v>44156</v>
      </c>
      <c r="I53" s="25">
        <f>IF(DAY(NovVas1)=1,IF(AND(YEAR(NovVas1+21)=NaptáriÉv,MONTH(NovVas1+21)=11),NovVas1+21,""),IF(AND(YEAR(NovVas1+28)=NaptáriÉv,MONTH(NovVas1+28)=11),NovVas1+28,""))</f>
        <v>44157</v>
      </c>
      <c r="K53" s="25">
        <f>IF(DAY(DecVas1)=1,IF(AND(YEAR(DecVas1+15)=NaptáriÉv,MONTH(DecVas1+15)=12),DecVas1+15,""),IF(AND(YEAR(DecVas1+22)=NaptáriÉv,MONTH(DecVas1+22)=12),DecVas1+22,""))</f>
        <v>44186</v>
      </c>
      <c r="L53" s="25">
        <f>IF(DAY(DecVas1)=1,IF(AND(YEAR(DecVas1+16)=NaptáriÉv,MONTH(DecVas1+16)=12),DecVas1+16,""),IF(AND(YEAR(DecVas1+23)=NaptáriÉv,MONTH(DecVas1+23)=12),DecVas1+23,""))</f>
        <v>44187</v>
      </c>
      <c r="M53" s="25">
        <f>IF(DAY(DecVas1)=1,IF(AND(YEAR(DecVas1+17)=NaptáriÉv,MONTH(DecVas1+17)=12),DecVas1+17,""),IF(AND(YEAR(DecVas1+24)=NaptáriÉv,MONTH(DecVas1+24)=12),DecVas1+24,""))</f>
        <v>44188</v>
      </c>
      <c r="N53" s="25">
        <f>IF(DAY(DecVas1)=1,IF(AND(YEAR(DecVas1+18)=NaptáriÉv,MONTH(DecVas1+18)=12),DecVas1+18,""),IF(AND(YEAR(DecVas1+25)=NaptáriÉv,MONTH(DecVas1+25)=12),DecVas1+25,""))</f>
        <v>44189</v>
      </c>
      <c r="O53" s="25">
        <f>IF(DAY(DecVas1)=1,IF(AND(YEAR(DecVas1+19)=NaptáriÉv,MONTH(DecVas1+19)=12),DecVas1+19,""),IF(AND(YEAR(DecVas1+26)=NaptáriÉv,MONTH(DecVas1+26)=12),DecVas1+26,""))</f>
        <v>44190</v>
      </c>
      <c r="P53" s="25">
        <f>IF(DAY(DecVas1)=1,IF(AND(YEAR(DecVas1+20)=NaptáriÉv,MONTH(DecVas1+20)=12),DecVas1+20,""),IF(AND(YEAR(DecVas1+27)=NaptáriÉv,MONTH(DecVas1+27)=12),DecVas1+27,""))</f>
        <v>44191</v>
      </c>
      <c r="Q53" s="25">
        <f>IF(DAY(DecVas1)=1,IF(AND(YEAR(DecVas1+21)=NaptáriÉv,MONTH(DecVas1+21)=12),DecVas1+21,""),IF(AND(YEAR(DecVas1+28)=NaptáriÉv,MONTH(DecVas1+28)=12),DecVas1+28,""))</f>
        <v>44192</v>
      </c>
      <c r="S53" s="24"/>
      <c r="U53" s="29"/>
    </row>
    <row r="54" spans="1:21" ht="15" customHeight="1" x14ac:dyDescent="0.2">
      <c r="C54" s="25">
        <f>IF(DAY(NovVas1)=1,IF(AND(YEAR(NovVas1+22)=NaptáriÉv,MONTH(NovVas1+22)=11),NovVas1+22,""),IF(AND(YEAR(NovVas1+29)=NaptáriÉv,MONTH(NovVas1+29)=11),NovVas1+29,""))</f>
        <v>44158</v>
      </c>
      <c r="D54" s="25">
        <f>IF(DAY(NovVas1)=1,IF(AND(YEAR(NovVas1+23)=NaptáriÉv,MONTH(NovVas1+23)=11),NovVas1+23,""),IF(AND(YEAR(NovVas1+30)=NaptáriÉv,MONTH(NovVas1+30)=11),NovVas1+30,""))</f>
        <v>44159</v>
      </c>
      <c r="E54" s="25">
        <f>IF(DAY(NovVas1)=1,IF(AND(YEAR(NovVas1+24)=NaptáriÉv,MONTH(NovVas1+24)=11),NovVas1+24,""),IF(AND(YEAR(NovVas1+31)=NaptáriÉv,MONTH(NovVas1+31)=11),NovVas1+31,""))</f>
        <v>44160</v>
      </c>
      <c r="F54" s="25">
        <f>IF(DAY(NovVas1)=1,IF(AND(YEAR(NovVas1+25)=NaptáriÉv,MONTH(NovVas1+25)=11),NovVas1+25,""),IF(AND(YEAR(NovVas1+32)=NaptáriÉv,MONTH(NovVas1+32)=11),NovVas1+32,""))</f>
        <v>44161</v>
      </c>
      <c r="G54" s="25">
        <f>IF(DAY(NovVas1)=1,IF(AND(YEAR(NovVas1+26)=NaptáriÉv,MONTH(NovVas1+26)=11),NovVas1+26,""),IF(AND(YEAR(NovVas1+33)=NaptáriÉv,MONTH(NovVas1+33)=11),NovVas1+33,""))</f>
        <v>44162</v>
      </c>
      <c r="H54" s="25">
        <f>IF(DAY(NovVas1)=1,IF(AND(YEAR(NovVas1+27)=NaptáriÉv,MONTH(NovVas1+27)=11),NovVas1+27,""),IF(AND(YEAR(NovVas1+34)=NaptáriÉv,MONTH(NovVas1+34)=11),NovVas1+34,""))</f>
        <v>44163</v>
      </c>
      <c r="I54" s="25">
        <f>IF(DAY(NovVas1)=1,IF(AND(YEAR(NovVas1+28)=NaptáriÉv,MONTH(NovVas1+28)=11),NovVas1+28,""),IF(AND(YEAR(NovVas1+35)=NaptáriÉv,MONTH(NovVas1+35)=11),NovVas1+35,""))</f>
        <v>44164</v>
      </c>
      <c r="K54" s="25">
        <f>IF(DAY(DecVas1)=1,IF(AND(YEAR(DecVas1+22)=NaptáriÉv,MONTH(DecVas1+22)=12),DecVas1+22,""),IF(AND(YEAR(DecVas1+29)=NaptáriÉv,MONTH(DecVas1+29)=12),DecVas1+29,""))</f>
        <v>44193</v>
      </c>
      <c r="L54" s="25">
        <f>IF(DAY(DecVas1)=1,IF(AND(YEAR(DecVas1+23)=NaptáriÉv,MONTH(DecVas1+23)=12),DecVas1+23,""),IF(AND(YEAR(DecVas1+30)=NaptáriÉv,MONTH(DecVas1+30)=12),DecVas1+30,""))</f>
        <v>44194</v>
      </c>
      <c r="M54" s="25">
        <f>IF(DAY(DecVas1)=1,IF(AND(YEAR(DecVas1+24)=NaptáriÉv,MONTH(DecVas1+24)=12),DecVas1+24,""),IF(AND(YEAR(DecVas1+31)=NaptáriÉv,MONTH(DecVas1+31)=12),DecVas1+31,""))</f>
        <v>44195</v>
      </c>
      <c r="N54" s="25">
        <f>IF(DAY(DecVas1)=1,IF(AND(YEAR(DecVas1+25)=NaptáriÉv,MONTH(DecVas1+25)=12),DecVas1+25,""),IF(AND(YEAR(DecVas1+32)=NaptáriÉv,MONTH(DecVas1+32)=12),DecVas1+32,""))</f>
        <v>44196</v>
      </c>
      <c r="O54" s="25" t="str">
        <f>IF(DAY(DecVas1)=1,IF(AND(YEAR(DecVas1+26)=NaptáriÉv,MONTH(DecVas1+26)=12),DecVas1+26,""),IF(AND(YEAR(DecVas1+33)=NaptáriÉv,MONTH(DecVas1+33)=12),DecVas1+33,""))</f>
        <v/>
      </c>
      <c r="P54" s="25" t="str">
        <f>IF(DAY(DecVas1)=1,IF(AND(YEAR(DecVas1+27)=NaptáriÉv,MONTH(DecVas1+27)=12),DecVas1+27,""),IF(AND(YEAR(DecVas1+34)=NaptáriÉv,MONTH(DecVas1+34)=12),DecVas1+34,""))</f>
        <v/>
      </c>
      <c r="Q54" s="25" t="str">
        <f>IF(DAY(DecVas1)=1,IF(AND(YEAR(DecVas1+28)=NaptáriÉv,MONTH(DecVas1+28)=12),DecVas1+28,""),IF(AND(YEAR(DecVas1+35)=NaptáriÉv,MONTH(DecVas1+35)=12),DecVas1+35,""))</f>
        <v/>
      </c>
      <c r="S54" s="24"/>
      <c r="U54" s="29"/>
    </row>
    <row r="55" spans="1:21" ht="15" customHeight="1" x14ac:dyDescent="0.2">
      <c r="C55" s="25">
        <f>IF(DAY(NovVas1)=1,IF(AND(YEAR(NovVas1+29)=NaptáriÉv,MONTH(NovVas1+29)=11),NovVas1+29,""),IF(AND(YEAR(NovVas1+36)=NaptáriÉv,MONTH(NovVas1+36)=11),NovVas1+36,""))</f>
        <v>44165</v>
      </c>
      <c r="D55" s="25" t="str">
        <f>IF(DAY(NovVas1)=1,IF(AND(YEAR(NovVas1+30)=NaptáriÉv,MONTH(NovVas1+30)=11),NovVas1+30,""),IF(AND(YEAR(NovVas1+37)=NaptáriÉv,MONTH(NovVas1+37)=11),NovVas1+37,""))</f>
        <v/>
      </c>
      <c r="E55" s="25" t="str">
        <f>IF(DAY(NovVas1)=1,IF(AND(YEAR(NovVas1+31)=NaptáriÉv,MONTH(NovVas1+31)=11),NovVas1+31,""),IF(AND(YEAR(NovVas1+38)=NaptáriÉv,MONTH(NovVas1+38)=11),NovVas1+38,""))</f>
        <v/>
      </c>
      <c r="F55" s="25" t="str">
        <f>IF(DAY(NovVas1)=1,IF(AND(YEAR(NovVas1+32)=NaptáriÉv,MONTH(NovVas1+32)=11),NovVas1+32,""),IF(AND(YEAR(NovVas1+39)=NaptáriÉv,MONTH(NovVas1+39)=11),NovVas1+39,""))</f>
        <v/>
      </c>
      <c r="G55" s="25" t="str">
        <f>IF(DAY(NovVas1)=1,IF(AND(YEAR(NovVas1+33)=NaptáriÉv,MONTH(NovVas1+33)=11),NovVas1+33,""),IF(AND(YEAR(NovVas1+40)=NaptáriÉv,MONTH(NovVas1+40)=11),NovVas1+40,""))</f>
        <v/>
      </c>
      <c r="H55" s="25" t="str">
        <f>IF(DAY(NovVas1)=1,IF(AND(YEAR(NovVas1+34)=NaptáriÉv,MONTH(NovVas1+34)=11),NovVas1+34,""),IF(AND(YEAR(NovVas1+41)=NaptáriÉv,MONTH(NovVas1+41)=11),NovVas1+41,""))</f>
        <v/>
      </c>
      <c r="I55" s="25" t="str">
        <f>IF(DAY(NovVas1)=1,IF(AND(YEAR(NovVas1+35)=NaptáriÉv,MONTH(NovVas1+35)=11),NovVas1+35,""),IF(AND(YEAR(NovVas1+42)=NaptáriÉv,MONTH(NovVas1+42)=11),NovVas1+42,""))</f>
        <v/>
      </c>
      <c r="K55" s="25" t="str">
        <f>IF(DAY(DecVas1)=1,IF(AND(YEAR(DecVas1+29)=NaptáriÉv,MONTH(DecVas1+29)=12),DecVas1+29,""),IF(AND(YEAR(DecVas1+36)=NaptáriÉv,MONTH(DecVas1+36)=12),DecVas1+36,""))</f>
        <v/>
      </c>
      <c r="L55" s="25" t="str">
        <f>IF(DAY(DecVas1)=1,IF(AND(YEAR(DecVas1+30)=NaptáriÉv,MONTH(DecVas1+30)=12),DecVas1+30,""),IF(AND(YEAR(DecVas1+37)=NaptáriÉv,MONTH(DecVas1+37)=12),DecVas1+37,""))</f>
        <v/>
      </c>
      <c r="M55" s="25" t="str">
        <f>IF(DAY(DecVas1)=1,IF(AND(YEAR(DecVas1+31)=NaptáriÉv,MONTH(DecVas1+31)=12),DecVas1+31,""),IF(AND(YEAR(DecVas1+38)=NaptáriÉv,MONTH(DecVas1+38)=12),DecVas1+38,""))</f>
        <v/>
      </c>
      <c r="N55" s="25" t="str">
        <f>IF(DAY(DecVas1)=1,IF(AND(YEAR(DecVas1+32)=NaptáriÉv,MONTH(DecVas1+32)=12),DecVas1+32,""),IF(AND(YEAR(DecVas1+39)=NaptáriÉv,MONTH(DecVas1+39)=12),DecVas1+39,""))</f>
        <v/>
      </c>
      <c r="O55" s="25" t="str">
        <f>IF(DAY(DecVas1)=1,IF(AND(YEAR(DecVas1+33)=NaptáriÉv,MONTH(DecVas1+33)=12),DecVas1+33,""),IF(AND(YEAR(DecVas1+40)=NaptáriÉv,MONTH(DecVas1+40)=12),DecVas1+40,""))</f>
        <v/>
      </c>
      <c r="P55" s="25" t="str">
        <f>IF(DAY(DecVas1)=1,IF(AND(YEAR(DecVas1+34)=NaptáriÉv,MONTH(DecVas1+34)=12),DecVas1+34,""),IF(AND(YEAR(DecVas1+41)=NaptáriÉv,MONTH(DecVas1+41)=12),DecVas1+41,""))</f>
        <v/>
      </c>
      <c r="Q55" s="25" t="str">
        <f>IF(DAY(DecVas1)=1,IF(AND(YEAR(DecVas1+35)=NaptáriÉv,MONTH(DecVas1+35)=12),DecVas1+35,""),IF(AND(YEAR(DecVas1+42)=NaptáriÉv,MONTH(DecVas1+42)=12),DecVas1+42,""))</f>
        <v/>
      </c>
      <c r="S55" s="24"/>
      <c r="U55" s="29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C1:F1"/>
    <mergeCell ref="C3:I3"/>
    <mergeCell ref="K3:Q3"/>
    <mergeCell ref="U51:U55"/>
    <mergeCell ref="C39:I39"/>
    <mergeCell ref="K39:Q39"/>
    <mergeCell ref="C48:I48"/>
    <mergeCell ref="K48:Q48"/>
    <mergeCell ref="B2:K2"/>
    <mergeCell ref="V3:W48"/>
    <mergeCell ref="C12:I12"/>
    <mergeCell ref="K12:Q12"/>
    <mergeCell ref="C21:I21"/>
    <mergeCell ref="K21:Q21"/>
    <mergeCell ref="C30:I30"/>
    <mergeCell ref="K30:Q30"/>
  </mergeCells>
  <phoneticPr fontId="6" type="noConversion"/>
  <dataValidations count="1">
    <dataValidation allowBlank="1" showInputMessage="1" showErrorMessage="1" errorTitle="Érvénytelen év" error="Adjon meg egy 1900 és 9999 közötti évet, vagy keresse meg a kívánt évet a görgetősávval." sqref="C1:F1" xr:uid="{00000000-0002-0000-0100-000000000000}"/>
  </dataValidations>
  <printOptions horizontalCentered="1" verticalCentered="1"/>
  <pageMargins left="0.5" right="0.5" top="0.5" bottom="0.5" header="0.3" footer="0.3"/>
  <pageSetup paperSize="9" scale="83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Léptető">
              <controlPr defaultSize="0" print="0" autoPict="0" altText="A léptetőgombot használva válassza ki a naptári évet, vagy adja meg az évet a C1 cellában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Kezdés</vt:lpstr>
      <vt:lpstr>Éves naptár</vt:lpstr>
      <vt:lpstr>NaptáriÉv</vt:lpstr>
      <vt:lpstr>'Éves naptár'!Print_Area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2020-04-10T09:47:58Z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