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7_FinalPostProcessing\Batch5\HUN\"/>
    </mc:Choice>
  </mc:AlternateContent>
  <bookViews>
    <workbookView xWindow="0" yWindow="1800" windowWidth="20490" windowHeight="7515" tabRatio="741"/>
  </bookViews>
  <sheets>
    <sheet name="Jan." sheetId="1" r:id="rId1"/>
    <sheet name="Febr." sheetId="6" r:id="rId2"/>
    <sheet name="Márc." sheetId="7" r:id="rId3"/>
    <sheet name="Ápr." sheetId="8" r:id="rId4"/>
    <sheet name="Máj." sheetId="9" r:id="rId5"/>
    <sheet name="Jún." sheetId="10" r:id="rId6"/>
    <sheet name="Júl." sheetId="11" r:id="rId7"/>
    <sheet name="Aug." sheetId="12" r:id="rId8"/>
    <sheet name="Szept." sheetId="13" r:id="rId9"/>
    <sheet name="Okt." sheetId="14" r:id="rId10"/>
    <sheet name="Nov." sheetId="15" r:id="rId11"/>
    <sheet name="Dec." sheetId="16" r:id="rId12"/>
  </sheets>
  <definedNames>
    <definedName name="ÁprVas1">DATE(NaptáriÉv,4,1)-WEEKDAY(DATE(NaptáriÉv,4,1))+1</definedName>
    <definedName name="AugVas1">DATE(NaptáriÉv,8,1)-WEEKDAY(DATE(NaptáriÉv,8,1))+1</definedName>
    <definedName name="DecVas1">DATE(NaptáriÉv,12,1)-WEEKDAY(DATE(NaptáriÉv,12,1))+1</definedName>
    <definedName name="FebVas1">DATE(NaptáriÉv,2,1)-WEEKDAY(DATE(NaptáriÉv,2,1))+1</definedName>
    <definedName name="FeladatNapok" localSheetId="3">Ápr.!$L$4:$L$33</definedName>
    <definedName name="FeladatNapok" localSheetId="7">Aug.!$L$4:$L$33</definedName>
    <definedName name="FeladatNapok" localSheetId="11">Dec.!$L$4:$L$33</definedName>
    <definedName name="FeladatNapok" localSheetId="1">Febr.!$L$4:$L$33</definedName>
    <definedName name="FeladatNapok" localSheetId="6">Júl.!$L$4:$L$33</definedName>
    <definedName name="FeladatNapok" localSheetId="5">Jún.!$L$4:$L$33</definedName>
    <definedName name="FeladatNapok" localSheetId="4">Máj.!$L$4:$L$33</definedName>
    <definedName name="FeladatNapok" localSheetId="2">Márc.!$L$4:$L$33</definedName>
    <definedName name="FeladatNapok" localSheetId="10">Nov.!$L$4:$L$33</definedName>
    <definedName name="FeladatNapok" localSheetId="9">Okt.!$L$4:$L$33</definedName>
    <definedName name="FeladatNapok" localSheetId="8">Szept.!$L$4:$L$33</definedName>
    <definedName name="FeladatNapok">Jan.!$L$4:$L$33</definedName>
    <definedName name="FontosDátumokTáblázata" localSheetId="3">Ápr.!$L$4:$M$8</definedName>
    <definedName name="FontosDátumokTáblázata" localSheetId="7">Aug.!$L$4:$M$8</definedName>
    <definedName name="FontosDátumokTáblázata" localSheetId="11">Dec.!$L$4:$M$8</definedName>
    <definedName name="FontosDátumokTáblázata" localSheetId="1">Febr.!$L$4:$M$8</definedName>
    <definedName name="FontosDátumokTáblázata" localSheetId="6">Júl.!$L$4:$M$8</definedName>
    <definedName name="FontosDátumokTáblázata" localSheetId="5">Jún.!$L$4:$M$8</definedName>
    <definedName name="FontosDátumokTáblázata" localSheetId="4">Máj.!$L$4:$M$8</definedName>
    <definedName name="FontosDátumokTáblázata" localSheetId="2">Márc.!$L$4:$M$8</definedName>
    <definedName name="FontosDátumokTáblázata" localSheetId="10">Nov.!$L$4:$M$8</definedName>
    <definedName name="FontosDátumokTáblázata" localSheetId="9">Okt.!$L$4:$M$8</definedName>
    <definedName name="FontosDátumokTáblázata" localSheetId="8">Szept.!$L$4:$M$8</definedName>
    <definedName name="FontosDátumokTáblázata">Jan.!$L$4:$M$8</definedName>
    <definedName name="JanVas1">DATE(NaptáriÉv,1,1)-WEEKDAY(DATE(NaptáriÉv,1,1))+1</definedName>
    <definedName name="JúlVas1">DATE(NaptáriÉv,7,1)-WEEKDAY(DATE(NaptáriÉv,7,1))+1</definedName>
    <definedName name="JúnVas1">DATE(NaptáriÉv,6,1)-WEEKDAY(DATE(NaptáriÉv,6,1))+1</definedName>
    <definedName name="MájVas1">DATE(NaptáriÉv,5,1)-WEEKDAY(DATE(NaptáriÉv,5,1))+1</definedName>
    <definedName name="MárcVas1">DATE(NaptáriÉv,3,1)-WEEKDAY(DATE(NaptáriÉv,3,1))+1</definedName>
    <definedName name="NaptáriÉv">Jan.!$N$2</definedName>
    <definedName name="NovVas1">DATE(NaptáriÉv,11,1)-WEEKDAY(DATE(NaptáriÉv,11,1))+1</definedName>
    <definedName name="OktVas1">DATE(NaptáriÉv,10,1)-WEEKDAY(DATE(NaptáriÉv,10,1))+1</definedName>
    <definedName name="_xlnm.Print_Area" localSheetId="3">Ápr.!$A$1:$N$33</definedName>
    <definedName name="_xlnm.Print_Area" localSheetId="7">Aug.!$A$1:$N$33</definedName>
    <definedName name="_xlnm.Print_Area" localSheetId="11">Dec.!$A$1:$N$33</definedName>
    <definedName name="_xlnm.Print_Area" localSheetId="1">Febr.!$A$1:$N$33</definedName>
    <definedName name="_xlnm.Print_Area" localSheetId="0">Jan.!$A$1:$N$33</definedName>
    <definedName name="_xlnm.Print_Area" localSheetId="6">Júl.!$A$1:$N$33</definedName>
    <definedName name="_xlnm.Print_Area" localSheetId="5">Jún.!$A$1:$N$33</definedName>
    <definedName name="_xlnm.Print_Area" localSheetId="4">Máj.!$A$1:$N$33</definedName>
    <definedName name="_xlnm.Print_Area" localSheetId="2">Márc.!$A$1:$N$33</definedName>
    <definedName name="_xlnm.Print_Area" localSheetId="10">Nov.!$A$1:$N$33</definedName>
    <definedName name="_xlnm.Print_Area" localSheetId="9">Okt.!$A$1:$N$33</definedName>
    <definedName name="_xlnm.Print_Area" localSheetId="8">Szept.!$A$1:$N$33</definedName>
    <definedName name="SzeptVas1">DATE(NaptáriÉv,9,1)-WEEKDAY(DATE(NaptáriÉv,9,1))+1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<sst xmlns="http://schemas.openxmlformats.org/spreadsheetml/2006/main" count="555" uniqueCount="39">
  <si>
    <t>JAN.</t>
  </si>
  <si>
    <t>HETI ÓRAREND</t>
  </si>
  <si>
    <t>8:00</t>
  </si>
  <si>
    <t>Francia</t>
  </si>
  <si>
    <t>10:00</t>
  </si>
  <si>
    <t>Matematika</t>
  </si>
  <si>
    <t>14:00</t>
  </si>
  <si>
    <t>Angol</t>
  </si>
  <si>
    <t>H</t>
  </si>
  <si>
    <t>9:00</t>
  </si>
  <si>
    <t>Történelem</t>
  </si>
  <si>
    <t>16:00</t>
  </si>
  <si>
    <t>Programozás</t>
  </si>
  <si>
    <t>K</t>
  </si>
  <si>
    <t>SZE.</t>
  </si>
  <si>
    <t>Cs</t>
  </si>
  <si>
    <t>P</t>
  </si>
  <si>
    <t>V</t>
  </si>
  <si>
    <t>FELADATOK</t>
  </si>
  <si>
    <t>CS.</t>
  </si>
  <si>
    <t>Francia: Első tanulmány vázlatának határideje</t>
  </si>
  <si>
    <t>Történelem: Dolgozat</t>
  </si>
  <si>
    <t>&lt; Írja be a naptári évet az N2 cellába.</t>
  </si>
  <si>
    <t>OKT.</t>
  </si>
  <si>
    <t>NOV.</t>
  </si>
  <si>
    <t>DEC.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</si>
  <si>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</si>
  <si>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</si>
  <si>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</si>
  <si>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</si>
  <si>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</si>
  <si>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</si>
  <si>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</si>
  <si>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</si>
  <si>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H.</t>
  </si>
  <si>
    <t>K.</t>
  </si>
  <si>
    <t>P.</t>
  </si>
  <si>
    <t>Sze</t>
  </si>
  <si>
    <t>Szo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</si>
</sst>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áblázatStílusVilágos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áblázatStílusVilágos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6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7">
        <v>2016</v>
      </c>
      <c r="P2" s="32" t="s">
        <v>22</v>
      </c>
    </row>
    <row r="3" spans="1:16" ht="21" customHeight="1" x14ac:dyDescent="0.2">
      <c r="A3" s="4"/>
      <c r="B3" s="31" t="s">
        <v>0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IF(DAY(JanVas1)=1,JanVas1-6,JanVas1+1)</f>
        <v>42366</v>
      </c>
      <c r="D4" s="10">
        <f>IF(DAY(JanVas1)=1,JanVas1-5,JanVas1+2)</f>
        <v>42367</v>
      </c>
      <c r="E4" s="10">
        <f>IF(DAY(JanVas1)=1,JanVas1-4,JanVas1+3)</f>
        <v>42368</v>
      </c>
      <c r="F4" s="10">
        <f>IF(DAY(JanVas1)=1,JanVas1-3,JanVas1+4)</f>
        <v>42369</v>
      </c>
      <c r="G4" s="10">
        <f>IF(DAY(JanVas1)=1,JanVas1-2,JanVas1+5)</f>
        <v>42370</v>
      </c>
      <c r="H4" s="10">
        <f>IF(DAY(JanVas1)=1,JanVas1-1,JanVas1+6)</f>
        <v>42371</v>
      </c>
      <c r="I4" s="10">
        <f>IF(DAY(JanVas1)=1,JanVas1,JanVas1+7)</f>
        <v>42372</v>
      </c>
      <c r="J4" s="5"/>
      <c r="K4" s="74" t="s">
        <v>34</v>
      </c>
      <c r="L4" s="16">
        <v>5</v>
      </c>
      <c r="M4" s="75" t="s">
        <v>20</v>
      </c>
      <c r="N4" s="76"/>
      <c r="P4" s="25"/>
    </row>
    <row r="5" spans="1:16" ht="18" customHeight="1" x14ac:dyDescent="0.2">
      <c r="A5" s="4"/>
      <c r="B5" s="26"/>
      <c r="C5" s="10">
        <f>IF(DAY(JanVas1)=1,JanVas1+1,JanVas1+8)</f>
        <v>42373</v>
      </c>
      <c r="D5" s="10">
        <f>IF(DAY(JanVas1)=1,JanVas1+2,JanVas1+9)</f>
        <v>42374</v>
      </c>
      <c r="E5" s="10">
        <f>IF(DAY(JanVas1)=1,JanVas1+3,JanVas1+10)</f>
        <v>42375</v>
      </c>
      <c r="F5" s="10">
        <f>IF(DAY(JanVas1)=1,JanVas1+4,JanVas1+11)</f>
        <v>42376</v>
      </c>
      <c r="G5" s="10">
        <f>IF(DAY(JanVas1)=1,JanVas1+5,JanVas1+12)</f>
        <v>42377</v>
      </c>
      <c r="H5" s="10">
        <f>IF(DAY(JanVas1)=1,JanVas1+6,JanVas1+13)</f>
        <v>42378</v>
      </c>
      <c r="I5" s="10">
        <f>IF(DAY(JanVas1)=1,JanVas1+7,JanVas1+14)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IF(DAY(JanVas1)=1,JanVas1+8,JanVas1+15)</f>
        <v>42380</v>
      </c>
      <c r="D6" s="10">
        <f>IF(DAY(JanVas1)=1,JanVas1+9,JanVas1+16)</f>
        <v>42381</v>
      </c>
      <c r="E6" s="10">
        <f>IF(DAY(JanVas1)=1,JanVas1+10,JanVas1+17)</f>
        <v>42382</v>
      </c>
      <c r="F6" s="10">
        <f>IF(DAY(JanVas1)=1,JanVas1+11,JanVas1+18)</f>
        <v>42383</v>
      </c>
      <c r="G6" s="10">
        <f>IF(DAY(JanVas1)=1,JanVas1+12,JanVas1+19)</f>
        <v>42384</v>
      </c>
      <c r="H6" s="10">
        <f>IF(DAY(JanVas1)=1,JanVas1+13,JanVas1+20)</f>
        <v>42385</v>
      </c>
      <c r="I6" s="10">
        <f>IF(DAY(JanVas1)=1,JanVas1+14,JanVas1+21)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IF(DAY(JanVas1)=1,JanVas1+15,JanVas1+22)</f>
        <v>42387</v>
      </c>
      <c r="D7" s="10">
        <f>IF(DAY(JanVas1)=1,JanVas1+16,JanVas1+23)</f>
        <v>42388</v>
      </c>
      <c r="E7" s="10">
        <f>IF(DAY(JanVas1)=1,JanVas1+17,JanVas1+24)</f>
        <v>42389</v>
      </c>
      <c r="F7" s="10">
        <f>IF(DAY(JanVas1)=1,JanVas1+18,JanVas1+25)</f>
        <v>42390</v>
      </c>
      <c r="G7" s="10">
        <f>IF(DAY(JanVas1)=1,JanVas1+19,JanVas1+26)</f>
        <v>42391</v>
      </c>
      <c r="H7" s="10">
        <f>IF(DAY(JanVas1)=1,JanVas1+20,JanVas1+27)</f>
        <v>42392</v>
      </c>
      <c r="I7" s="10">
        <f>IF(DAY(JanVas1)=1,JanVas1+21,JanVas1+28)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IF(DAY(JanVas1)=1,JanVas1+22,JanVas1+29)</f>
        <v>42394</v>
      </c>
      <c r="D8" s="10">
        <f>IF(DAY(JanVas1)=1,JanVas1+23,JanVas1+30)</f>
        <v>42395</v>
      </c>
      <c r="E8" s="10">
        <f>IF(DAY(JanVas1)=1,JanVas1+24,JanVas1+31)</f>
        <v>42396</v>
      </c>
      <c r="F8" s="10">
        <f>IF(DAY(JanVas1)=1,JanVas1+25,JanVas1+32)</f>
        <v>42397</v>
      </c>
      <c r="G8" s="10">
        <f>IF(DAY(JanVas1)=1,JanVas1+26,JanVas1+33)</f>
        <v>42398</v>
      </c>
      <c r="H8" s="10">
        <f>IF(DAY(JanVas1)=1,JanVas1+27,JanVas1+34)</f>
        <v>42399</v>
      </c>
      <c r="I8" s="10">
        <f>IF(DAY(JanVas1)=1,JanVas1+28,JanVas1+35)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IF(DAY(JanVas1)=1,JanVas1+29,JanVas1+36)</f>
        <v>42401</v>
      </c>
      <c r="D9" s="10">
        <f>IF(DAY(JanVas1)=1,JanVas1+30,JanVas1+37)</f>
        <v>42402</v>
      </c>
      <c r="E9" s="10">
        <f>IF(DAY(JanVas1)=1,JanVas1+31,JanVas1+38)</f>
        <v>42403</v>
      </c>
      <c r="F9" s="10">
        <f>IF(DAY(JanVas1)=1,JanVas1+32,JanVas1+39)</f>
        <v>42404</v>
      </c>
      <c r="G9" s="10">
        <f>IF(DAY(JanVas1)=1,JanVas1+33,JanVas1+40)</f>
        <v>42405</v>
      </c>
      <c r="H9" s="10">
        <f>IF(DAY(JanVas1)=1,JanVas1+34,JanVas1+41)</f>
        <v>42406</v>
      </c>
      <c r="I9" s="10">
        <f>IF(DAY(JanVas1)=1,JanVas1+35,JanVas1+42)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>
        <v>20</v>
      </c>
      <c r="M10" s="42" t="s">
        <v>21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6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6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VLOOKUP(DAY(C4),FeladatNapok,1,FALSE)=DAY(C4)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23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IF(DAY(OktVas1)=1,OktVas1-6,OktVas1+1)</f>
        <v>42639</v>
      </c>
      <c r="D4" s="10">
        <f>IF(DAY(OktVas1)=1,OktVas1-5,OktVas1+2)</f>
        <v>42640</v>
      </c>
      <c r="E4" s="10">
        <f>IF(DAY(OktVas1)=1,OktVas1-4,OktVas1+3)</f>
        <v>42641</v>
      </c>
      <c r="F4" s="10">
        <f>IF(DAY(OktVas1)=1,OktVas1-3,OktVas1+4)</f>
        <v>42642</v>
      </c>
      <c r="G4" s="10">
        <f>IF(DAY(OktVas1)=1,OktVas1-2,OktVas1+5)</f>
        <v>42643</v>
      </c>
      <c r="H4" s="10">
        <f>IF(DAY(OktVas1)=1,OktVas1-1,OktVas1+6)</f>
        <v>42644</v>
      </c>
      <c r="I4" s="10">
        <f>IF(DAY(OktVas1)=1,OktVas1,OktVas1+7)</f>
        <v>42645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IF(DAY(OktVas1)=1,OktVas1+1,OktVas1+8)</f>
        <v>42646</v>
      </c>
      <c r="D5" s="10">
        <f>IF(DAY(OktVas1)=1,OktVas1+2,OktVas1+9)</f>
        <v>42647</v>
      </c>
      <c r="E5" s="10">
        <f>IF(DAY(OktVas1)=1,OktVas1+3,OktVas1+10)</f>
        <v>42648</v>
      </c>
      <c r="F5" s="10">
        <f>IF(DAY(OktVas1)=1,OktVas1+4,OktVas1+11)</f>
        <v>42649</v>
      </c>
      <c r="G5" s="10">
        <f>IF(DAY(OktVas1)=1,OktVas1+5,OktVas1+12)</f>
        <v>42650</v>
      </c>
      <c r="H5" s="10">
        <f>IF(DAY(OktVas1)=1,OktVas1+6,OktVas1+13)</f>
        <v>42651</v>
      </c>
      <c r="I5" s="10">
        <f>IF(DAY(OktVas1)=1,OktVas1+7,OktVas1+14)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IF(DAY(OktVas1)=1,OktVas1+8,OktVas1+15)</f>
        <v>42653</v>
      </c>
      <c r="D6" s="10">
        <f>IF(DAY(OktVas1)=1,OktVas1+9,OktVas1+16)</f>
        <v>42654</v>
      </c>
      <c r="E6" s="10">
        <f>IF(DAY(OktVas1)=1,OktVas1+10,OktVas1+17)</f>
        <v>42655</v>
      </c>
      <c r="F6" s="10">
        <f>IF(DAY(OktVas1)=1,OktVas1+11,OktVas1+18)</f>
        <v>42656</v>
      </c>
      <c r="G6" s="10">
        <f>IF(DAY(OktVas1)=1,OktVas1+12,OktVas1+19)</f>
        <v>42657</v>
      </c>
      <c r="H6" s="10">
        <f>IF(DAY(OktVas1)=1,OktVas1+13,OktVas1+20)</f>
        <v>42658</v>
      </c>
      <c r="I6" s="10">
        <f>IF(DAY(OktVas1)=1,OktVas1+14,OktVas1+21)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IF(DAY(OktVas1)=1,OktVas1+15,OktVas1+22)</f>
        <v>42660</v>
      </c>
      <c r="D7" s="10">
        <f>IF(DAY(OktVas1)=1,OktVas1+16,OktVas1+23)</f>
        <v>42661</v>
      </c>
      <c r="E7" s="10">
        <f>IF(DAY(OktVas1)=1,OktVas1+17,OktVas1+24)</f>
        <v>42662</v>
      </c>
      <c r="F7" s="10">
        <f>IF(DAY(OktVas1)=1,OktVas1+18,OktVas1+25)</f>
        <v>42663</v>
      </c>
      <c r="G7" s="10">
        <f>IF(DAY(OktVas1)=1,OktVas1+19,OktVas1+26)</f>
        <v>42664</v>
      </c>
      <c r="H7" s="10">
        <f>IF(DAY(OktVas1)=1,OktVas1+20,OktVas1+27)</f>
        <v>42665</v>
      </c>
      <c r="I7" s="10">
        <f>IF(DAY(OktVas1)=1,OktVas1+21,OktVas1+28)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IF(DAY(OktVas1)=1,OktVas1+22,OktVas1+29)</f>
        <v>42667</v>
      </c>
      <c r="D8" s="10">
        <f>IF(DAY(OktVas1)=1,OktVas1+23,OktVas1+30)</f>
        <v>42668</v>
      </c>
      <c r="E8" s="10">
        <f>IF(DAY(OktVas1)=1,OktVas1+24,OktVas1+31)</f>
        <v>42669</v>
      </c>
      <c r="F8" s="10">
        <f>IF(DAY(OktVas1)=1,OktVas1+25,OktVas1+32)</f>
        <v>42670</v>
      </c>
      <c r="G8" s="10">
        <f>IF(DAY(OktVas1)=1,OktVas1+26,OktVas1+33)</f>
        <v>42671</v>
      </c>
      <c r="H8" s="10">
        <f>IF(DAY(OktVas1)=1,OktVas1+27,OktVas1+34)</f>
        <v>42672</v>
      </c>
      <c r="I8" s="10">
        <f>IF(DAY(OktVas1)=1,OktVas1+28,OktVas1+35)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IF(DAY(OktVas1)=1,OktVas1+29,OktVas1+36)</f>
        <v>42674</v>
      </c>
      <c r="D9" s="10">
        <f>IF(DAY(OktVas1)=1,OktVas1+30,OktVas1+37)</f>
        <v>42675</v>
      </c>
      <c r="E9" s="10">
        <f>IF(DAY(OktVas1)=1,OktVas1+31,OktVas1+38)</f>
        <v>42676</v>
      </c>
      <c r="F9" s="10">
        <f>IF(DAY(OktVas1)=1,OktVas1+32,OktVas1+39)</f>
        <v>42677</v>
      </c>
      <c r="G9" s="10">
        <f>IF(DAY(OktVas1)=1,OktVas1+33,OktVas1+40)</f>
        <v>42678</v>
      </c>
      <c r="H9" s="10">
        <f>IF(DAY(OktVas1)=1,OktVas1+34,OktVas1+41)</f>
        <v>42679</v>
      </c>
      <c r="I9" s="10">
        <f>IF(DAY(OktVas1)=1,OktVas1+35,OktVas1+42)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VLOOKUP(DAY(C4),FeladatNapok,1,FALSE)=DAY(C4)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24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IF(DAY(NovVas1)=1,NovVas1-6,NovVas1+1)</f>
        <v>42674</v>
      </c>
      <c r="D4" s="10">
        <f>IF(DAY(NovVas1)=1,NovVas1-5,NovVas1+2)</f>
        <v>42675</v>
      </c>
      <c r="E4" s="10">
        <f>IF(DAY(NovVas1)=1,NovVas1-4,NovVas1+3)</f>
        <v>42676</v>
      </c>
      <c r="F4" s="10">
        <f>IF(DAY(NovVas1)=1,NovVas1-3,NovVas1+4)</f>
        <v>42677</v>
      </c>
      <c r="G4" s="10">
        <f>IF(DAY(NovVas1)=1,NovVas1-2,NovVas1+5)</f>
        <v>42678</v>
      </c>
      <c r="H4" s="10">
        <f>IF(DAY(NovVas1)=1,NovVas1-1,NovVas1+6)</f>
        <v>42679</v>
      </c>
      <c r="I4" s="10">
        <f>IF(DAY(NovVas1)=1,NovVas1,NovVas1+7)</f>
        <v>42680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IF(DAY(NovVas1)=1,NovVas1+1,NovVas1+8)</f>
        <v>42681</v>
      </c>
      <c r="D5" s="10">
        <f>IF(DAY(NovVas1)=1,NovVas1+2,NovVas1+9)</f>
        <v>42682</v>
      </c>
      <c r="E5" s="10">
        <f>IF(DAY(NovVas1)=1,NovVas1+3,NovVas1+10)</f>
        <v>42683</v>
      </c>
      <c r="F5" s="10">
        <f>IF(DAY(NovVas1)=1,NovVas1+4,NovVas1+11)</f>
        <v>42684</v>
      </c>
      <c r="G5" s="10">
        <f>IF(DAY(NovVas1)=1,NovVas1+5,NovVas1+12)</f>
        <v>42685</v>
      </c>
      <c r="H5" s="10">
        <f>IF(DAY(NovVas1)=1,NovVas1+6,NovVas1+13)</f>
        <v>42686</v>
      </c>
      <c r="I5" s="10">
        <f>IF(DAY(NovVas1)=1,NovVas1+7,NovVas1+14)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IF(DAY(NovVas1)=1,NovVas1+8,NovVas1+15)</f>
        <v>42688</v>
      </c>
      <c r="D6" s="10">
        <f>IF(DAY(NovVas1)=1,NovVas1+9,NovVas1+16)</f>
        <v>42689</v>
      </c>
      <c r="E6" s="10">
        <f>IF(DAY(NovVas1)=1,NovVas1+10,NovVas1+17)</f>
        <v>42690</v>
      </c>
      <c r="F6" s="10">
        <f>IF(DAY(NovVas1)=1,NovVas1+11,NovVas1+18)</f>
        <v>42691</v>
      </c>
      <c r="G6" s="10">
        <f>IF(DAY(NovVas1)=1,NovVas1+12,NovVas1+19)</f>
        <v>42692</v>
      </c>
      <c r="H6" s="10">
        <f>IF(DAY(NovVas1)=1,NovVas1+13,NovVas1+20)</f>
        <v>42693</v>
      </c>
      <c r="I6" s="10">
        <f>IF(DAY(NovVas1)=1,NovVas1+14,NovVas1+21)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IF(DAY(NovVas1)=1,NovVas1+15,NovVas1+22)</f>
        <v>42695</v>
      </c>
      <c r="D7" s="10">
        <f>IF(DAY(NovVas1)=1,NovVas1+16,NovVas1+23)</f>
        <v>42696</v>
      </c>
      <c r="E7" s="10">
        <f>IF(DAY(NovVas1)=1,NovVas1+17,NovVas1+24)</f>
        <v>42697</v>
      </c>
      <c r="F7" s="10">
        <f>IF(DAY(NovVas1)=1,NovVas1+18,NovVas1+25)</f>
        <v>42698</v>
      </c>
      <c r="G7" s="10">
        <f>IF(DAY(NovVas1)=1,NovVas1+19,NovVas1+26)</f>
        <v>42699</v>
      </c>
      <c r="H7" s="10">
        <f>IF(DAY(NovVas1)=1,NovVas1+20,NovVas1+27)</f>
        <v>42700</v>
      </c>
      <c r="I7" s="10">
        <f>IF(DAY(NovVas1)=1,NovVas1+21,NovVas1+28)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IF(DAY(NovVas1)=1,NovVas1+22,NovVas1+29)</f>
        <v>42702</v>
      </c>
      <c r="D8" s="10">
        <f>IF(DAY(NovVas1)=1,NovVas1+23,NovVas1+30)</f>
        <v>42703</v>
      </c>
      <c r="E8" s="10">
        <f>IF(DAY(NovVas1)=1,NovVas1+24,NovVas1+31)</f>
        <v>42704</v>
      </c>
      <c r="F8" s="10">
        <f>IF(DAY(NovVas1)=1,NovVas1+25,NovVas1+32)</f>
        <v>42705</v>
      </c>
      <c r="G8" s="10">
        <f>IF(DAY(NovVas1)=1,NovVas1+26,NovVas1+33)</f>
        <v>42706</v>
      </c>
      <c r="H8" s="10">
        <f>IF(DAY(NovVas1)=1,NovVas1+27,NovVas1+34)</f>
        <v>42707</v>
      </c>
      <c r="I8" s="10">
        <f>IF(DAY(NovVas1)=1,NovVas1+28,NovVas1+35)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IF(DAY(NovVas1)=1,NovVas1+29,NovVas1+36)</f>
        <v>42709</v>
      </c>
      <c r="D9" s="10">
        <f>IF(DAY(NovVas1)=1,NovVas1+30,NovVas1+37)</f>
        <v>42710</v>
      </c>
      <c r="E9" s="10">
        <f>IF(DAY(NovVas1)=1,NovVas1+31,NovVas1+38)</f>
        <v>42711</v>
      </c>
      <c r="F9" s="10">
        <f>IF(DAY(NovVas1)=1,NovVas1+32,NovVas1+39)</f>
        <v>42712</v>
      </c>
      <c r="G9" s="10">
        <f>IF(DAY(NovVas1)=1,NovVas1+33,NovVas1+40)</f>
        <v>42713</v>
      </c>
      <c r="H9" s="10">
        <f>IF(DAY(NovVas1)=1,NovVas1+34,NovVas1+41)</f>
        <v>42714</v>
      </c>
      <c r="I9" s="10">
        <f>IF(DAY(NovVas1)=1,NovVas1+35,NovVas1+42)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VLOOKUP(DAY(C4),FeladatNapok,1,FALSE)=DAY(C4)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25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IF(DAY(DecVas1)=1,DecVas1-6,DecVas1+1)</f>
        <v>42702</v>
      </c>
      <c r="D4" s="10">
        <f>IF(DAY(DecVas1)=1,DecVas1-5,DecVas1+2)</f>
        <v>42703</v>
      </c>
      <c r="E4" s="10">
        <f>IF(DAY(DecVas1)=1,DecVas1-4,DecVas1+3)</f>
        <v>42704</v>
      </c>
      <c r="F4" s="10">
        <f>IF(DAY(DecVas1)=1,DecVas1-3,DecVas1+4)</f>
        <v>42705</v>
      </c>
      <c r="G4" s="10">
        <f>IF(DAY(DecVas1)=1,DecVas1-2,DecVas1+5)</f>
        <v>42706</v>
      </c>
      <c r="H4" s="10">
        <f>IF(DAY(DecVas1)=1,DecVas1-1,DecVas1+6)</f>
        <v>42707</v>
      </c>
      <c r="I4" s="10">
        <f>IF(DAY(DecVas1)=1,DecVas1,DecVas1+7)</f>
        <v>42708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IF(DAY(DecVas1)=1,DecVas1+1,DecVas1+8)</f>
        <v>42709</v>
      </c>
      <c r="D5" s="10">
        <f>IF(DAY(DecVas1)=1,DecVas1+2,DecVas1+9)</f>
        <v>42710</v>
      </c>
      <c r="E5" s="10">
        <f>IF(DAY(DecVas1)=1,DecVas1+3,DecVas1+10)</f>
        <v>42711</v>
      </c>
      <c r="F5" s="10">
        <f>IF(DAY(DecVas1)=1,DecVas1+4,DecVas1+11)</f>
        <v>42712</v>
      </c>
      <c r="G5" s="10">
        <f>IF(DAY(DecVas1)=1,DecVas1+5,DecVas1+12)</f>
        <v>42713</v>
      </c>
      <c r="H5" s="10">
        <f>IF(DAY(DecVas1)=1,DecVas1+6,DecVas1+13)</f>
        <v>42714</v>
      </c>
      <c r="I5" s="10">
        <f>IF(DAY(DecVas1)=1,DecVas1+7,DecVas1+14)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IF(DAY(DecVas1)=1,DecVas1+8,DecVas1+15)</f>
        <v>42716</v>
      </c>
      <c r="D6" s="10">
        <f>IF(DAY(DecVas1)=1,DecVas1+9,DecVas1+16)</f>
        <v>42717</v>
      </c>
      <c r="E6" s="10">
        <f>IF(DAY(DecVas1)=1,DecVas1+10,DecVas1+17)</f>
        <v>42718</v>
      </c>
      <c r="F6" s="10">
        <f>IF(DAY(DecVas1)=1,DecVas1+11,DecVas1+18)</f>
        <v>42719</v>
      </c>
      <c r="G6" s="10">
        <f>IF(DAY(DecVas1)=1,DecVas1+12,DecVas1+19)</f>
        <v>42720</v>
      </c>
      <c r="H6" s="10">
        <f>IF(DAY(DecVas1)=1,DecVas1+13,DecVas1+20)</f>
        <v>42721</v>
      </c>
      <c r="I6" s="10">
        <f>IF(DAY(DecVas1)=1,DecVas1+14,DecVas1+21)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IF(DAY(DecVas1)=1,DecVas1+15,DecVas1+22)</f>
        <v>42723</v>
      </c>
      <c r="D7" s="10">
        <f>IF(DAY(DecVas1)=1,DecVas1+16,DecVas1+23)</f>
        <v>42724</v>
      </c>
      <c r="E7" s="10">
        <f>IF(DAY(DecVas1)=1,DecVas1+17,DecVas1+24)</f>
        <v>42725</v>
      </c>
      <c r="F7" s="10">
        <f>IF(DAY(DecVas1)=1,DecVas1+18,DecVas1+25)</f>
        <v>42726</v>
      </c>
      <c r="G7" s="10">
        <f>IF(DAY(DecVas1)=1,DecVas1+19,DecVas1+26)</f>
        <v>42727</v>
      </c>
      <c r="H7" s="10">
        <f>IF(DAY(DecVas1)=1,DecVas1+20,DecVas1+27)</f>
        <v>42728</v>
      </c>
      <c r="I7" s="10">
        <f>IF(DAY(DecVas1)=1,DecVas1+21,DecVas1+28)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IF(DAY(DecVas1)=1,DecVas1+22,DecVas1+29)</f>
        <v>42730</v>
      </c>
      <c r="D8" s="10">
        <f>IF(DAY(DecVas1)=1,DecVas1+23,DecVas1+30)</f>
        <v>42731</v>
      </c>
      <c r="E8" s="10">
        <f>IF(DAY(DecVas1)=1,DecVas1+24,DecVas1+31)</f>
        <v>42732</v>
      </c>
      <c r="F8" s="10">
        <f>IF(DAY(DecVas1)=1,DecVas1+25,DecVas1+32)</f>
        <v>42733</v>
      </c>
      <c r="G8" s="10">
        <f>IF(DAY(DecVas1)=1,DecVas1+26,DecVas1+33)</f>
        <v>42734</v>
      </c>
      <c r="H8" s="10">
        <f>IF(DAY(DecVas1)=1,DecVas1+27,DecVas1+34)</f>
        <v>42735</v>
      </c>
      <c r="I8" s="10">
        <f>IF(DAY(DecVas1)=1,DecVas1+28,DecVas1+35)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IF(DAY(DecVas1)=1,DecVas1+29,DecVas1+36)</f>
        <v>42737</v>
      </c>
      <c r="D9" s="10">
        <f>IF(DAY(DecVas1)=1,DecVas1+30,DecVas1+37)</f>
        <v>42738</v>
      </c>
      <c r="E9" s="10">
        <f>IF(DAY(DecVas1)=1,DecVas1+31,DecVas1+38)</f>
        <v>42739</v>
      </c>
      <c r="F9" s="10">
        <f>IF(DAY(DecVas1)=1,DecVas1+32,DecVas1+39)</f>
        <v>42740</v>
      </c>
      <c r="G9" s="10">
        <f>IF(DAY(DecVas1)=1,DecVas1+33,DecVas1+40)</f>
        <v>42741</v>
      </c>
      <c r="H9" s="10">
        <f>IF(DAY(DecVas1)=1,DecVas1+34,DecVas1+41)</f>
        <v>42742</v>
      </c>
      <c r="I9" s="10">
        <f>IF(DAY(DecVas1)=1,DecVas1+35,DecVas1+42)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VLOOKUP(DAY(C4),FeladatNapok,1,FALSE)=DAY(C4)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26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IF(DAY(FebVas1)=1,FebVas1-6,FebVas1+1)</f>
        <v>42401</v>
      </c>
      <c r="D4" s="10">
        <f>IF(DAY(FebVas1)=1,FebVas1-5,FebVas1+2)</f>
        <v>42402</v>
      </c>
      <c r="E4" s="10">
        <f>IF(DAY(FebVas1)=1,FebVas1-4,FebVas1+3)</f>
        <v>42403</v>
      </c>
      <c r="F4" s="10">
        <f>IF(DAY(FebVas1)=1,FebVas1-3,FebVas1+4)</f>
        <v>42404</v>
      </c>
      <c r="G4" s="10">
        <f>IF(DAY(FebVas1)=1,FebVas1-2,FebVas1+5)</f>
        <v>42405</v>
      </c>
      <c r="H4" s="10">
        <f>IF(DAY(FebVas1)=1,FebVas1-1,FebVas1+6)</f>
        <v>42406</v>
      </c>
      <c r="I4" s="10">
        <f>IF(DAY(FebVas1)=1,FebVas1,FebVas1+7)</f>
        <v>42407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IF(DAY(FebVas1)=1,FebVas1+1,FebVas1+8)</f>
        <v>42408</v>
      </c>
      <c r="D5" s="10">
        <f>IF(DAY(FebVas1)=1,FebVas1+2,FebVas1+9)</f>
        <v>42409</v>
      </c>
      <c r="E5" s="10">
        <f>IF(DAY(FebVas1)=1,FebVas1+3,FebVas1+10)</f>
        <v>42410</v>
      </c>
      <c r="F5" s="10">
        <f>IF(DAY(FebVas1)=1,FebVas1+4,FebVas1+11)</f>
        <v>42411</v>
      </c>
      <c r="G5" s="10">
        <f>IF(DAY(FebVas1)=1,FebVas1+5,FebVas1+12)</f>
        <v>42412</v>
      </c>
      <c r="H5" s="10">
        <f>IF(DAY(FebVas1)=1,FebVas1+6,FebVas1+13)</f>
        <v>42413</v>
      </c>
      <c r="I5" s="10">
        <f>IF(DAY(FebVas1)=1,FebVas1+7,FebVas1+14)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IF(DAY(FebVas1)=1,FebVas1+8,FebVas1+15)</f>
        <v>42415</v>
      </c>
      <c r="D6" s="10">
        <f>IF(DAY(FebVas1)=1,FebVas1+9,FebVas1+16)</f>
        <v>42416</v>
      </c>
      <c r="E6" s="10">
        <f>IF(DAY(FebVas1)=1,FebVas1+10,FebVas1+17)</f>
        <v>42417</v>
      </c>
      <c r="F6" s="10">
        <f>IF(DAY(FebVas1)=1,FebVas1+11,FebVas1+18)</f>
        <v>42418</v>
      </c>
      <c r="G6" s="10">
        <f>IF(DAY(FebVas1)=1,FebVas1+12,FebVas1+19)</f>
        <v>42419</v>
      </c>
      <c r="H6" s="10">
        <f>IF(DAY(FebVas1)=1,FebVas1+13,FebVas1+20)</f>
        <v>42420</v>
      </c>
      <c r="I6" s="10">
        <f>IF(DAY(FebVas1)=1,FebVas1+14,FebVas1+21)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IF(DAY(FebVas1)=1,FebVas1+15,FebVas1+22)</f>
        <v>42422</v>
      </c>
      <c r="D7" s="10">
        <f>IF(DAY(FebVas1)=1,FebVas1+16,FebVas1+23)</f>
        <v>42423</v>
      </c>
      <c r="E7" s="10">
        <f>IF(DAY(FebVas1)=1,FebVas1+17,FebVas1+24)</f>
        <v>42424</v>
      </c>
      <c r="F7" s="10">
        <f>IF(DAY(FebVas1)=1,FebVas1+18,FebVas1+25)</f>
        <v>42425</v>
      </c>
      <c r="G7" s="10">
        <f>IF(DAY(FebVas1)=1,FebVas1+19,FebVas1+26)</f>
        <v>42426</v>
      </c>
      <c r="H7" s="10">
        <f>IF(DAY(FebVas1)=1,FebVas1+20,FebVas1+27)</f>
        <v>42427</v>
      </c>
      <c r="I7" s="10">
        <f>IF(DAY(FebVas1)=1,FebVas1+21,FebVas1+28)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IF(DAY(FebVas1)=1,FebVas1+22,FebVas1+29)</f>
        <v>42429</v>
      </c>
      <c r="D8" s="10">
        <f>IF(DAY(FebVas1)=1,FebVas1+23,FebVas1+30)</f>
        <v>42430</v>
      </c>
      <c r="E8" s="10">
        <f>IF(DAY(FebVas1)=1,FebVas1+24,FebVas1+31)</f>
        <v>42431</v>
      </c>
      <c r="F8" s="10">
        <f>IF(DAY(FebVas1)=1,FebVas1+25,FebVas1+32)</f>
        <v>42432</v>
      </c>
      <c r="G8" s="10">
        <f>IF(DAY(FebVas1)=1,FebVas1+26,FebVas1+33)</f>
        <v>42433</v>
      </c>
      <c r="H8" s="10">
        <f>IF(DAY(FebVas1)=1,FebVas1+27,FebVas1+34)</f>
        <v>42434</v>
      </c>
      <c r="I8" s="10">
        <f>IF(DAY(FebVas1)=1,FebVas1+28,FebVas1+35)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IF(DAY(FebVas1)=1,FebVas1+29,FebVas1+36)</f>
        <v>42436</v>
      </c>
      <c r="D9" s="10">
        <f>IF(DAY(FebVas1)=1,FebVas1+30,FebVas1+37)</f>
        <v>42437</v>
      </c>
      <c r="E9" s="10">
        <f>IF(DAY(FebVas1)=1,FebVas1+31,FebVas1+38)</f>
        <v>42438</v>
      </c>
      <c r="F9" s="10">
        <f>IF(DAY(FebVas1)=1,FebVas1+32,FebVas1+39)</f>
        <v>42439</v>
      </c>
      <c r="G9" s="10">
        <f>IF(DAY(FebVas1)=1,FebVas1+33,FebVas1+40)</f>
        <v>42440</v>
      </c>
      <c r="H9" s="10">
        <f>IF(DAY(FebVas1)=1,FebVas1+34,FebVas1+41)</f>
        <v>42441</v>
      </c>
      <c r="I9" s="10">
        <f>IF(DAY(FebVas1)=1,FebVas1+35,FebVas1+42)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VLOOKUP(DAY(C4),FeladatNapok,1,FALSE)=DAY(C4)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27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IF(DAY(MárcVas1)=1,MárcVas1-6,MárcVas1+1)</f>
        <v>42429</v>
      </c>
      <c r="D4" s="10">
        <f>IF(DAY(MárcVas1)=1,MárcVas1-5,MárcVas1+2)</f>
        <v>42430</v>
      </c>
      <c r="E4" s="10">
        <f>IF(DAY(MárcVas1)=1,MárcVas1-4,MárcVas1+3)</f>
        <v>42431</v>
      </c>
      <c r="F4" s="10">
        <f>IF(DAY(MárcVas1)=1,MárcVas1-3,MárcVas1+4)</f>
        <v>42432</v>
      </c>
      <c r="G4" s="10">
        <f>IF(DAY(MárcVas1)=1,MárcVas1-2,MárcVas1+5)</f>
        <v>42433</v>
      </c>
      <c r="H4" s="10">
        <f>IF(DAY(MárcVas1)=1,MárcVas1-1,MárcVas1+6)</f>
        <v>42434</v>
      </c>
      <c r="I4" s="10">
        <f>IF(DAY(MárcVas1)=1,MárcVas1,MárcVas1+7)</f>
        <v>42435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IF(DAY(MárcVas1)=1,MárcVas1+1,MárcVas1+8)</f>
        <v>42436</v>
      </c>
      <c r="D5" s="10">
        <f>IF(DAY(MárcVas1)=1,MárcVas1+2,MárcVas1+9)</f>
        <v>42437</v>
      </c>
      <c r="E5" s="10">
        <f>IF(DAY(MárcVas1)=1,MárcVas1+3,MárcVas1+10)</f>
        <v>42438</v>
      </c>
      <c r="F5" s="10">
        <f>IF(DAY(MárcVas1)=1,MárcVas1+4,MárcVas1+11)</f>
        <v>42439</v>
      </c>
      <c r="G5" s="10">
        <f>IF(DAY(MárcVas1)=1,MárcVas1+5,MárcVas1+12)</f>
        <v>42440</v>
      </c>
      <c r="H5" s="10">
        <f>IF(DAY(MárcVas1)=1,MárcVas1+6,MárcVas1+13)</f>
        <v>42441</v>
      </c>
      <c r="I5" s="10">
        <f>IF(DAY(MárcVas1)=1,MárcVas1+7,MárcVas1+14)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IF(DAY(MárcVas1)=1,MárcVas1+8,MárcVas1+15)</f>
        <v>42443</v>
      </c>
      <c r="D6" s="10">
        <f>IF(DAY(MárcVas1)=1,MárcVas1+9,MárcVas1+16)</f>
        <v>42444</v>
      </c>
      <c r="E6" s="10">
        <f>IF(DAY(MárcVas1)=1,MárcVas1+10,MárcVas1+17)</f>
        <v>42445</v>
      </c>
      <c r="F6" s="10">
        <f>IF(DAY(MárcVas1)=1,MárcVas1+11,MárcVas1+18)</f>
        <v>42446</v>
      </c>
      <c r="G6" s="10">
        <f>IF(DAY(MárcVas1)=1,MárcVas1+12,MárcVas1+19)</f>
        <v>42447</v>
      </c>
      <c r="H6" s="10">
        <f>IF(DAY(MárcVas1)=1,MárcVas1+13,MárcVas1+20)</f>
        <v>42448</v>
      </c>
      <c r="I6" s="10">
        <f>IF(DAY(MárcVas1)=1,MárcVas1+14,MárcVas1+21)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IF(DAY(MárcVas1)=1,MárcVas1+15,MárcVas1+22)</f>
        <v>42450</v>
      </c>
      <c r="D7" s="10">
        <f>IF(DAY(MárcVas1)=1,MárcVas1+16,MárcVas1+23)</f>
        <v>42451</v>
      </c>
      <c r="E7" s="10">
        <f>IF(DAY(MárcVas1)=1,MárcVas1+17,MárcVas1+24)</f>
        <v>42452</v>
      </c>
      <c r="F7" s="10">
        <f>IF(DAY(MárcVas1)=1,MárcVas1+18,MárcVas1+25)</f>
        <v>42453</v>
      </c>
      <c r="G7" s="10">
        <f>IF(DAY(MárcVas1)=1,MárcVas1+19,MárcVas1+26)</f>
        <v>42454</v>
      </c>
      <c r="H7" s="10">
        <f>IF(DAY(MárcVas1)=1,MárcVas1+20,MárcVas1+27)</f>
        <v>42455</v>
      </c>
      <c r="I7" s="10">
        <f>IF(DAY(MárcVas1)=1,MárcVas1+21,MárcVas1+28)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IF(DAY(MárcVas1)=1,MárcVas1+22,MárcVas1+29)</f>
        <v>42457</v>
      </c>
      <c r="D8" s="10">
        <f>IF(DAY(MárcVas1)=1,MárcVas1+23,MárcVas1+30)</f>
        <v>42458</v>
      </c>
      <c r="E8" s="10">
        <f>IF(DAY(MárcVas1)=1,MárcVas1+24,MárcVas1+31)</f>
        <v>42459</v>
      </c>
      <c r="F8" s="10">
        <f>IF(DAY(MárcVas1)=1,MárcVas1+25,MárcVas1+32)</f>
        <v>42460</v>
      </c>
      <c r="G8" s="10">
        <f>IF(DAY(MárcVas1)=1,MárcVas1+26,MárcVas1+33)</f>
        <v>42461</v>
      </c>
      <c r="H8" s="10">
        <f>IF(DAY(MárcVas1)=1,MárcVas1+27,MárcVas1+34)</f>
        <v>42462</v>
      </c>
      <c r="I8" s="10">
        <f>IF(DAY(MárcVas1)=1,MárcVas1+28,MárcVas1+35)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IF(DAY(MárcVas1)=1,MárcVas1+29,MárcVas1+36)</f>
        <v>42464</v>
      </c>
      <c r="D9" s="10">
        <f>IF(DAY(MárcVas1)=1,MárcVas1+30,MárcVas1+37)</f>
        <v>42465</v>
      </c>
      <c r="E9" s="10">
        <f>IF(DAY(MárcVas1)=1,MárcVas1+31,MárcVas1+38)</f>
        <v>42466</v>
      </c>
      <c r="F9" s="10">
        <f>IF(DAY(MárcVas1)=1,MárcVas1+32,MárcVas1+39)</f>
        <v>42467</v>
      </c>
      <c r="G9" s="10">
        <f>IF(DAY(MárcVas1)=1,MárcVas1+33,MárcVas1+40)</f>
        <v>42468</v>
      </c>
      <c r="H9" s="10">
        <f>IF(DAY(MárcVas1)=1,MárcVas1+34,MárcVas1+41)</f>
        <v>42469</v>
      </c>
      <c r="I9" s="10">
        <f>IF(DAY(MárcVas1)=1,MárcVas1+35,MárcVas1+42)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VLOOKUP(DAY(C4),FeladatNapok,1,FALSE)=DAY(C4)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28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IF(DAY(ÁprVas1)=1,ÁprVas1-6,ÁprVas1+1)</f>
        <v>42457</v>
      </c>
      <c r="D4" s="10">
        <f>IF(DAY(ÁprVas1)=1,ÁprVas1-5,ÁprVas1+2)</f>
        <v>42458</v>
      </c>
      <c r="E4" s="10">
        <f>IF(DAY(ÁprVas1)=1,ÁprVas1-4,ÁprVas1+3)</f>
        <v>42459</v>
      </c>
      <c r="F4" s="10">
        <f>IF(DAY(ÁprVas1)=1,ÁprVas1-3,ÁprVas1+4)</f>
        <v>42460</v>
      </c>
      <c r="G4" s="10">
        <f>IF(DAY(ÁprVas1)=1,ÁprVas1-2,ÁprVas1+5)</f>
        <v>42461</v>
      </c>
      <c r="H4" s="10">
        <f>IF(DAY(ÁprVas1)=1,ÁprVas1-1,ÁprVas1+6)</f>
        <v>42462</v>
      </c>
      <c r="I4" s="10">
        <f>IF(DAY(ÁprVas1)=1,ÁprVas1,ÁprVas1+7)</f>
        <v>42463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IF(DAY(ÁprVas1)=1,ÁprVas1+1,ÁprVas1+8)</f>
        <v>42464</v>
      </c>
      <c r="D5" s="10">
        <f>IF(DAY(ÁprVas1)=1,ÁprVas1+2,ÁprVas1+9)</f>
        <v>42465</v>
      </c>
      <c r="E5" s="10">
        <f>IF(DAY(ÁprVas1)=1,ÁprVas1+3,ÁprVas1+10)</f>
        <v>42466</v>
      </c>
      <c r="F5" s="10">
        <f>IF(DAY(ÁprVas1)=1,ÁprVas1+4,ÁprVas1+11)</f>
        <v>42467</v>
      </c>
      <c r="G5" s="10">
        <f>IF(DAY(ÁprVas1)=1,ÁprVas1+5,ÁprVas1+12)</f>
        <v>42468</v>
      </c>
      <c r="H5" s="10">
        <f>IF(DAY(ÁprVas1)=1,ÁprVas1+6,ÁprVas1+13)</f>
        <v>42469</v>
      </c>
      <c r="I5" s="10">
        <f>IF(DAY(ÁprVas1)=1,ÁprVas1+7,ÁprVas1+14)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IF(DAY(ÁprVas1)=1,ÁprVas1+8,ÁprVas1+15)</f>
        <v>42471</v>
      </c>
      <c r="D6" s="10">
        <f>IF(DAY(ÁprVas1)=1,ÁprVas1+9,ÁprVas1+16)</f>
        <v>42472</v>
      </c>
      <c r="E6" s="10">
        <f>IF(DAY(ÁprVas1)=1,ÁprVas1+10,ÁprVas1+17)</f>
        <v>42473</v>
      </c>
      <c r="F6" s="10">
        <f>IF(DAY(ÁprVas1)=1,ÁprVas1+11,ÁprVas1+18)</f>
        <v>42474</v>
      </c>
      <c r="G6" s="10">
        <f>IF(DAY(ÁprVas1)=1,ÁprVas1+12,ÁprVas1+19)</f>
        <v>42475</v>
      </c>
      <c r="H6" s="10">
        <f>IF(DAY(ÁprVas1)=1,ÁprVas1+13,ÁprVas1+20)</f>
        <v>42476</v>
      </c>
      <c r="I6" s="10">
        <f>IF(DAY(ÁprVas1)=1,ÁprVas1+14,ÁprVas1+21)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IF(DAY(ÁprVas1)=1,ÁprVas1+15,ÁprVas1+22)</f>
        <v>42478</v>
      </c>
      <c r="D7" s="10">
        <f>IF(DAY(ÁprVas1)=1,ÁprVas1+16,ÁprVas1+23)</f>
        <v>42479</v>
      </c>
      <c r="E7" s="10">
        <f>IF(DAY(ÁprVas1)=1,ÁprVas1+17,ÁprVas1+24)</f>
        <v>42480</v>
      </c>
      <c r="F7" s="10">
        <f>IF(DAY(ÁprVas1)=1,ÁprVas1+18,ÁprVas1+25)</f>
        <v>42481</v>
      </c>
      <c r="G7" s="10">
        <f>IF(DAY(ÁprVas1)=1,ÁprVas1+19,ÁprVas1+26)</f>
        <v>42482</v>
      </c>
      <c r="H7" s="10">
        <f>IF(DAY(ÁprVas1)=1,ÁprVas1+20,ÁprVas1+27)</f>
        <v>42483</v>
      </c>
      <c r="I7" s="10">
        <f>IF(DAY(ÁprVas1)=1,ÁprVas1+21,ÁprVas1+28)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IF(DAY(ÁprVas1)=1,ÁprVas1+22,ÁprVas1+29)</f>
        <v>42485</v>
      </c>
      <c r="D8" s="10">
        <f>IF(DAY(ÁprVas1)=1,ÁprVas1+23,ÁprVas1+30)</f>
        <v>42486</v>
      </c>
      <c r="E8" s="10">
        <f>IF(DAY(ÁprVas1)=1,ÁprVas1+24,ÁprVas1+31)</f>
        <v>42487</v>
      </c>
      <c r="F8" s="10">
        <f>IF(DAY(ÁprVas1)=1,ÁprVas1+25,ÁprVas1+32)</f>
        <v>42488</v>
      </c>
      <c r="G8" s="10">
        <f>IF(DAY(ÁprVas1)=1,ÁprVas1+26,ÁprVas1+33)</f>
        <v>42489</v>
      </c>
      <c r="H8" s="10">
        <f>IF(DAY(ÁprVas1)=1,ÁprVas1+27,ÁprVas1+34)</f>
        <v>42490</v>
      </c>
      <c r="I8" s="10">
        <f>IF(DAY(ÁprVas1)=1,ÁprVas1+28,ÁprVas1+35)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IF(DAY(ÁprVas1)=1,ÁprVas1+29,ÁprVas1+36)</f>
        <v>42492</v>
      </c>
      <c r="D9" s="10">
        <f>IF(DAY(ÁprVas1)=1,ÁprVas1+30,ÁprVas1+37)</f>
        <v>42493</v>
      </c>
      <c r="E9" s="10">
        <f>IF(DAY(ÁprVas1)=1,ÁprVas1+31,ÁprVas1+38)</f>
        <v>42494</v>
      </c>
      <c r="F9" s="10">
        <f>IF(DAY(ÁprVas1)=1,ÁprVas1+32,ÁprVas1+39)</f>
        <v>42495</v>
      </c>
      <c r="G9" s="10">
        <f>IF(DAY(ÁprVas1)=1,ÁprVas1+33,ÁprVas1+40)</f>
        <v>42496</v>
      </c>
      <c r="H9" s="10">
        <f>IF(DAY(ÁprVas1)=1,ÁprVas1+34,ÁprVas1+41)</f>
        <v>42497</v>
      </c>
      <c r="I9" s="10">
        <f>IF(DAY(ÁprVas1)=1,ÁprVas1+35,ÁprVas1+42)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VLOOKUP(DAY(C4),FeladatNapok,1,FALSE)=DAY(C4)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29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IF(DAY(MájVas1)=1,MájVas1-6,MájVas1+1)</f>
        <v>42485</v>
      </c>
      <c r="D4" s="10">
        <f>IF(DAY(MájVas1)=1,MájVas1-5,MájVas1+2)</f>
        <v>42486</v>
      </c>
      <c r="E4" s="10">
        <f>IF(DAY(MájVas1)=1,MájVas1-4,MájVas1+3)</f>
        <v>42487</v>
      </c>
      <c r="F4" s="10">
        <f>IF(DAY(MájVas1)=1,MájVas1-3,MájVas1+4)</f>
        <v>42488</v>
      </c>
      <c r="G4" s="10">
        <f>IF(DAY(MájVas1)=1,MájVas1-2,MájVas1+5)</f>
        <v>42489</v>
      </c>
      <c r="H4" s="10">
        <f>IF(DAY(MájVas1)=1,MájVas1-1,MájVas1+6)</f>
        <v>42490</v>
      </c>
      <c r="I4" s="10">
        <f>IF(DAY(MájVas1)=1,MájVas1,MájVas1+7)</f>
        <v>42491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IF(DAY(MájVas1)=1,MájVas1+1,MájVas1+8)</f>
        <v>42492</v>
      </c>
      <c r="D5" s="10">
        <f>IF(DAY(MájVas1)=1,MájVas1+2,MájVas1+9)</f>
        <v>42493</v>
      </c>
      <c r="E5" s="10">
        <f>IF(DAY(MájVas1)=1,MájVas1+3,MájVas1+10)</f>
        <v>42494</v>
      </c>
      <c r="F5" s="10">
        <f>IF(DAY(MájVas1)=1,MájVas1+4,MájVas1+11)</f>
        <v>42495</v>
      </c>
      <c r="G5" s="10">
        <f>IF(DAY(MájVas1)=1,MájVas1+5,MájVas1+12)</f>
        <v>42496</v>
      </c>
      <c r="H5" s="10">
        <f>IF(DAY(MájVas1)=1,MájVas1+6,MájVas1+13)</f>
        <v>42497</v>
      </c>
      <c r="I5" s="10">
        <f>IF(DAY(MájVas1)=1,MájVas1+7,MájVas1+14)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IF(DAY(MájVas1)=1,MájVas1+8,MájVas1+15)</f>
        <v>42499</v>
      </c>
      <c r="D6" s="10">
        <f>IF(DAY(MájVas1)=1,MájVas1+9,MájVas1+16)</f>
        <v>42500</v>
      </c>
      <c r="E6" s="10">
        <f>IF(DAY(MájVas1)=1,MájVas1+10,MájVas1+17)</f>
        <v>42501</v>
      </c>
      <c r="F6" s="10">
        <f>IF(DAY(MájVas1)=1,MájVas1+11,MájVas1+18)</f>
        <v>42502</v>
      </c>
      <c r="G6" s="10">
        <f>IF(DAY(MájVas1)=1,MájVas1+12,MájVas1+19)</f>
        <v>42503</v>
      </c>
      <c r="H6" s="10">
        <f>IF(DAY(MájVas1)=1,MájVas1+13,MájVas1+20)</f>
        <v>42504</v>
      </c>
      <c r="I6" s="10">
        <f>IF(DAY(MájVas1)=1,MájVas1+14,MájVas1+21)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IF(DAY(MájVas1)=1,MájVas1+15,MájVas1+22)</f>
        <v>42506</v>
      </c>
      <c r="D7" s="10">
        <f>IF(DAY(MájVas1)=1,MájVas1+16,MájVas1+23)</f>
        <v>42507</v>
      </c>
      <c r="E7" s="10">
        <f>IF(DAY(MájVas1)=1,MájVas1+17,MájVas1+24)</f>
        <v>42508</v>
      </c>
      <c r="F7" s="10">
        <f>IF(DAY(MájVas1)=1,MájVas1+18,MájVas1+25)</f>
        <v>42509</v>
      </c>
      <c r="G7" s="10">
        <f>IF(DAY(MájVas1)=1,MájVas1+19,MájVas1+26)</f>
        <v>42510</v>
      </c>
      <c r="H7" s="10">
        <f>IF(DAY(MájVas1)=1,MájVas1+20,MájVas1+27)</f>
        <v>42511</v>
      </c>
      <c r="I7" s="10">
        <f>IF(DAY(MájVas1)=1,MájVas1+21,MájVas1+28)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IF(DAY(MájVas1)=1,MájVas1+22,MájVas1+29)</f>
        <v>42513</v>
      </c>
      <c r="D8" s="10">
        <f>IF(DAY(MájVas1)=1,MájVas1+23,MájVas1+30)</f>
        <v>42514</v>
      </c>
      <c r="E8" s="10">
        <f>IF(DAY(MájVas1)=1,MájVas1+24,MájVas1+31)</f>
        <v>42515</v>
      </c>
      <c r="F8" s="10">
        <f>IF(DAY(MájVas1)=1,MájVas1+25,MájVas1+32)</f>
        <v>42516</v>
      </c>
      <c r="G8" s="10">
        <f>IF(DAY(MájVas1)=1,MájVas1+26,MájVas1+33)</f>
        <v>42517</v>
      </c>
      <c r="H8" s="10">
        <f>IF(DAY(MájVas1)=1,MájVas1+27,MájVas1+34)</f>
        <v>42518</v>
      </c>
      <c r="I8" s="10">
        <f>IF(DAY(MájVas1)=1,MájVas1+28,MájVas1+35)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IF(DAY(MájVas1)=1,MájVas1+29,MájVas1+36)</f>
        <v>42520</v>
      </c>
      <c r="D9" s="10">
        <f>IF(DAY(MájVas1)=1,MájVas1+30,MájVas1+37)</f>
        <v>42521</v>
      </c>
      <c r="E9" s="10">
        <f>IF(DAY(MájVas1)=1,MájVas1+31,MájVas1+38)</f>
        <v>42522</v>
      </c>
      <c r="F9" s="10">
        <f>IF(DAY(MájVas1)=1,MájVas1+32,MájVas1+39)</f>
        <v>42523</v>
      </c>
      <c r="G9" s="10">
        <f>IF(DAY(MájVas1)=1,MájVas1+33,MájVas1+40)</f>
        <v>42524</v>
      </c>
      <c r="H9" s="10">
        <f>IF(DAY(MájVas1)=1,MájVas1+34,MájVas1+41)</f>
        <v>42525</v>
      </c>
      <c r="I9" s="10">
        <f>IF(DAY(MájVas1)=1,MájVas1+35,MájVas1+42)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VLOOKUP(DAY(C4),FeladatNapok,1,FALSE)=DAY(C4)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30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IF(DAY(JúnVas1)=1,JúnVas1-6,JúnVas1+1)</f>
        <v>42520</v>
      </c>
      <c r="D4" s="10">
        <f>IF(DAY(JúnVas1)=1,JúnVas1-5,JúnVas1+2)</f>
        <v>42521</v>
      </c>
      <c r="E4" s="10">
        <f>IF(DAY(JúnVas1)=1,JúnVas1-4,JúnVas1+3)</f>
        <v>42522</v>
      </c>
      <c r="F4" s="10">
        <f>IF(DAY(JúnVas1)=1,JúnVas1-3,JúnVas1+4)</f>
        <v>42523</v>
      </c>
      <c r="G4" s="10">
        <f>IF(DAY(JúnVas1)=1,JúnVas1-2,JúnVas1+5)</f>
        <v>42524</v>
      </c>
      <c r="H4" s="10">
        <f>IF(DAY(JúnVas1)=1,JúnVas1-1,JúnVas1+6)</f>
        <v>42525</v>
      </c>
      <c r="I4" s="10">
        <f>IF(DAY(JúnVas1)=1,JúnVas1,JúnVas1+7)</f>
        <v>42526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IF(DAY(JúnVas1)=1,JúnVas1+1,JúnVas1+8)</f>
        <v>42527</v>
      </c>
      <c r="D5" s="10">
        <f>IF(DAY(JúnVas1)=1,JúnVas1+2,JúnVas1+9)</f>
        <v>42528</v>
      </c>
      <c r="E5" s="10">
        <f>IF(DAY(JúnVas1)=1,JúnVas1+3,JúnVas1+10)</f>
        <v>42529</v>
      </c>
      <c r="F5" s="10">
        <f>IF(DAY(JúnVas1)=1,JúnVas1+4,JúnVas1+11)</f>
        <v>42530</v>
      </c>
      <c r="G5" s="10">
        <f>IF(DAY(JúnVas1)=1,JúnVas1+5,JúnVas1+12)</f>
        <v>42531</v>
      </c>
      <c r="H5" s="10">
        <f>IF(DAY(JúnVas1)=1,JúnVas1+6,JúnVas1+13)</f>
        <v>42532</v>
      </c>
      <c r="I5" s="10">
        <f>IF(DAY(JúnVas1)=1,JúnVas1+7,JúnVas1+14)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IF(DAY(JúnVas1)=1,JúnVas1+8,JúnVas1+15)</f>
        <v>42534</v>
      </c>
      <c r="D6" s="10">
        <f>IF(DAY(JúnVas1)=1,JúnVas1+9,JúnVas1+16)</f>
        <v>42535</v>
      </c>
      <c r="E6" s="10">
        <f>IF(DAY(JúnVas1)=1,JúnVas1+10,JúnVas1+17)</f>
        <v>42536</v>
      </c>
      <c r="F6" s="10">
        <f>IF(DAY(JúnVas1)=1,JúnVas1+11,JúnVas1+18)</f>
        <v>42537</v>
      </c>
      <c r="G6" s="10">
        <f>IF(DAY(JúnVas1)=1,JúnVas1+12,JúnVas1+19)</f>
        <v>42538</v>
      </c>
      <c r="H6" s="10">
        <f>IF(DAY(JúnVas1)=1,JúnVas1+13,JúnVas1+20)</f>
        <v>42539</v>
      </c>
      <c r="I6" s="10">
        <f>IF(DAY(JúnVas1)=1,JúnVas1+14,JúnVas1+21)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IF(DAY(JúnVas1)=1,JúnVas1+15,JúnVas1+22)</f>
        <v>42541</v>
      </c>
      <c r="D7" s="10">
        <f>IF(DAY(JúnVas1)=1,JúnVas1+16,JúnVas1+23)</f>
        <v>42542</v>
      </c>
      <c r="E7" s="10">
        <f>IF(DAY(JúnVas1)=1,JúnVas1+17,JúnVas1+24)</f>
        <v>42543</v>
      </c>
      <c r="F7" s="10">
        <f>IF(DAY(JúnVas1)=1,JúnVas1+18,JúnVas1+25)</f>
        <v>42544</v>
      </c>
      <c r="G7" s="10">
        <f>IF(DAY(JúnVas1)=1,JúnVas1+19,JúnVas1+26)</f>
        <v>42545</v>
      </c>
      <c r="H7" s="10">
        <f>IF(DAY(JúnVas1)=1,JúnVas1+20,JúnVas1+27)</f>
        <v>42546</v>
      </c>
      <c r="I7" s="10">
        <f>IF(DAY(JúnVas1)=1,JúnVas1+21,JúnVas1+28)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IF(DAY(JúnVas1)=1,JúnVas1+22,JúnVas1+29)</f>
        <v>42548</v>
      </c>
      <c r="D8" s="10">
        <f>IF(DAY(JúnVas1)=1,JúnVas1+23,JúnVas1+30)</f>
        <v>42549</v>
      </c>
      <c r="E8" s="10">
        <f>IF(DAY(JúnVas1)=1,JúnVas1+24,JúnVas1+31)</f>
        <v>42550</v>
      </c>
      <c r="F8" s="10">
        <f>IF(DAY(JúnVas1)=1,JúnVas1+25,JúnVas1+32)</f>
        <v>42551</v>
      </c>
      <c r="G8" s="10">
        <f>IF(DAY(JúnVas1)=1,JúnVas1+26,JúnVas1+33)</f>
        <v>42552</v>
      </c>
      <c r="H8" s="10">
        <f>IF(DAY(JúnVas1)=1,JúnVas1+27,JúnVas1+34)</f>
        <v>42553</v>
      </c>
      <c r="I8" s="10">
        <f>IF(DAY(JúnVas1)=1,JúnVas1+28,JúnVas1+35)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IF(DAY(JúnVas1)=1,JúnVas1+29,JúnVas1+36)</f>
        <v>42555</v>
      </c>
      <c r="D9" s="10">
        <f>IF(DAY(JúnVas1)=1,JúnVas1+30,JúnVas1+37)</f>
        <v>42556</v>
      </c>
      <c r="E9" s="10">
        <f>IF(DAY(JúnVas1)=1,JúnVas1+31,JúnVas1+38)</f>
        <v>42557</v>
      </c>
      <c r="F9" s="10">
        <f>IF(DAY(JúnVas1)=1,JúnVas1+32,JúnVas1+39)</f>
        <v>42558</v>
      </c>
      <c r="G9" s="10">
        <f>IF(DAY(JúnVas1)=1,JúnVas1+33,JúnVas1+40)</f>
        <v>42559</v>
      </c>
      <c r="H9" s="10">
        <f>IF(DAY(JúnVas1)=1,JúnVas1+34,JúnVas1+41)</f>
        <v>42560</v>
      </c>
      <c r="I9" s="10">
        <f>IF(DAY(JúnVas1)=1,JúnVas1+35,JúnVas1+42)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VLOOKUP(DAY(C4),FeladatNapok,1,FALSE)=DAY(C4)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31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IF(DAY(JúlVas1)=1,JúlVas1-6,JúlVas1+1)</f>
        <v>42548</v>
      </c>
      <c r="D4" s="10">
        <f>IF(DAY(JúlVas1)=1,JúlVas1-5,JúlVas1+2)</f>
        <v>42549</v>
      </c>
      <c r="E4" s="10">
        <f>IF(DAY(JúlVas1)=1,JúlVas1-4,JúlVas1+3)</f>
        <v>42550</v>
      </c>
      <c r="F4" s="10">
        <f>IF(DAY(JúlVas1)=1,JúlVas1-3,JúlVas1+4)</f>
        <v>42551</v>
      </c>
      <c r="G4" s="10">
        <f>IF(DAY(JúlVas1)=1,JúlVas1-2,JúlVas1+5)</f>
        <v>42552</v>
      </c>
      <c r="H4" s="10">
        <f>IF(DAY(JúlVas1)=1,JúlVas1-1,JúlVas1+6)</f>
        <v>42553</v>
      </c>
      <c r="I4" s="10">
        <f>IF(DAY(JúlVas1)=1,JúlVas1,JúlVas1+7)</f>
        <v>42554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IF(DAY(JúlVas1)=1,JúlVas1+1,JúlVas1+8)</f>
        <v>42555</v>
      </c>
      <c r="D5" s="10">
        <f>IF(DAY(JúlVas1)=1,JúlVas1+2,JúlVas1+9)</f>
        <v>42556</v>
      </c>
      <c r="E5" s="10">
        <f>IF(DAY(JúlVas1)=1,JúlVas1+3,JúlVas1+10)</f>
        <v>42557</v>
      </c>
      <c r="F5" s="10">
        <f>IF(DAY(JúlVas1)=1,JúlVas1+4,JúlVas1+11)</f>
        <v>42558</v>
      </c>
      <c r="G5" s="10">
        <f>IF(DAY(JúlVas1)=1,JúlVas1+5,JúlVas1+12)</f>
        <v>42559</v>
      </c>
      <c r="H5" s="10">
        <f>IF(DAY(JúlVas1)=1,JúlVas1+6,JúlVas1+13)</f>
        <v>42560</v>
      </c>
      <c r="I5" s="10">
        <f>IF(DAY(JúlVas1)=1,JúlVas1+7,JúlVas1+14)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IF(DAY(JúlVas1)=1,JúlVas1+8,JúlVas1+15)</f>
        <v>42562</v>
      </c>
      <c r="D6" s="10">
        <f>IF(DAY(JúlVas1)=1,JúlVas1+9,JúlVas1+16)</f>
        <v>42563</v>
      </c>
      <c r="E6" s="10">
        <f>IF(DAY(JúlVas1)=1,JúlVas1+10,JúlVas1+17)</f>
        <v>42564</v>
      </c>
      <c r="F6" s="10">
        <f>IF(DAY(JúlVas1)=1,JúlVas1+11,JúlVas1+18)</f>
        <v>42565</v>
      </c>
      <c r="G6" s="10">
        <f>IF(DAY(JúlVas1)=1,JúlVas1+12,JúlVas1+19)</f>
        <v>42566</v>
      </c>
      <c r="H6" s="10">
        <f>IF(DAY(JúlVas1)=1,JúlVas1+13,JúlVas1+20)</f>
        <v>42567</v>
      </c>
      <c r="I6" s="10">
        <f>IF(DAY(JúlVas1)=1,JúlVas1+14,JúlVas1+21)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IF(DAY(JúlVas1)=1,JúlVas1+15,JúlVas1+22)</f>
        <v>42569</v>
      </c>
      <c r="D7" s="10">
        <f>IF(DAY(JúlVas1)=1,JúlVas1+16,JúlVas1+23)</f>
        <v>42570</v>
      </c>
      <c r="E7" s="10">
        <f>IF(DAY(JúlVas1)=1,JúlVas1+17,JúlVas1+24)</f>
        <v>42571</v>
      </c>
      <c r="F7" s="10">
        <f>IF(DAY(JúlVas1)=1,JúlVas1+18,JúlVas1+25)</f>
        <v>42572</v>
      </c>
      <c r="G7" s="10">
        <f>IF(DAY(JúlVas1)=1,JúlVas1+19,JúlVas1+26)</f>
        <v>42573</v>
      </c>
      <c r="H7" s="10">
        <f>IF(DAY(JúlVas1)=1,JúlVas1+20,JúlVas1+27)</f>
        <v>42574</v>
      </c>
      <c r="I7" s="10">
        <f>IF(DAY(JúlVas1)=1,JúlVas1+21,JúlVas1+28)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IF(DAY(JúlVas1)=1,JúlVas1+22,JúlVas1+29)</f>
        <v>42576</v>
      </c>
      <c r="D8" s="10">
        <f>IF(DAY(JúlVas1)=1,JúlVas1+23,JúlVas1+30)</f>
        <v>42577</v>
      </c>
      <c r="E8" s="10">
        <f>IF(DAY(JúlVas1)=1,JúlVas1+24,JúlVas1+31)</f>
        <v>42578</v>
      </c>
      <c r="F8" s="10">
        <f>IF(DAY(JúlVas1)=1,JúlVas1+25,JúlVas1+32)</f>
        <v>42579</v>
      </c>
      <c r="G8" s="10">
        <f>IF(DAY(JúlVas1)=1,JúlVas1+26,JúlVas1+33)</f>
        <v>42580</v>
      </c>
      <c r="H8" s="10">
        <f>IF(DAY(JúlVas1)=1,JúlVas1+27,JúlVas1+34)</f>
        <v>42581</v>
      </c>
      <c r="I8" s="10">
        <f>IF(DAY(JúlVas1)=1,JúlVas1+28,JúlVas1+35)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IF(DAY(JúlVas1)=1,JúlVas1+29,JúlVas1+36)</f>
        <v>42583</v>
      </c>
      <c r="D9" s="10">
        <f>IF(DAY(JúlVas1)=1,JúlVas1+30,JúlVas1+37)</f>
        <v>42584</v>
      </c>
      <c r="E9" s="10">
        <f>IF(DAY(JúlVas1)=1,JúlVas1+31,JúlVas1+38)</f>
        <v>42585</v>
      </c>
      <c r="F9" s="10">
        <f>IF(DAY(JúlVas1)=1,JúlVas1+32,JúlVas1+39)</f>
        <v>42586</v>
      </c>
      <c r="G9" s="10">
        <f>IF(DAY(JúlVas1)=1,JúlVas1+33,JúlVas1+40)</f>
        <v>42587</v>
      </c>
      <c r="H9" s="10">
        <f>IF(DAY(JúlVas1)=1,JúlVas1+34,JúlVas1+41)</f>
        <v>42588</v>
      </c>
      <c r="I9" s="10">
        <f>IF(DAY(JúlVas1)=1,JúlVas1+35,JúlVas1+42)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VLOOKUP(DAY(C4),FeladatNapok,1,FALSE)=DAY(C4)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32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IF(DAY(AugVas1)=1,AugVas1-6,AugVas1+1)</f>
        <v>42583</v>
      </c>
      <c r="D4" s="10">
        <f>IF(DAY(AugVas1)=1,AugVas1-5,AugVas1+2)</f>
        <v>42584</v>
      </c>
      <c r="E4" s="10">
        <f>IF(DAY(AugVas1)=1,AugVas1-4,AugVas1+3)</f>
        <v>42585</v>
      </c>
      <c r="F4" s="10">
        <f>IF(DAY(AugVas1)=1,AugVas1-3,AugVas1+4)</f>
        <v>42586</v>
      </c>
      <c r="G4" s="10">
        <f>IF(DAY(AugVas1)=1,AugVas1-2,AugVas1+5)</f>
        <v>42587</v>
      </c>
      <c r="H4" s="10">
        <f>IF(DAY(AugVas1)=1,AugVas1-1,AugVas1+6)</f>
        <v>42588</v>
      </c>
      <c r="I4" s="10">
        <f>IF(DAY(AugVas1)=1,AugVas1,AugVas1+7)</f>
        <v>42589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IF(DAY(AugVas1)=1,AugVas1+1,AugVas1+8)</f>
        <v>42590</v>
      </c>
      <c r="D5" s="10">
        <f>IF(DAY(AugVas1)=1,AugVas1+2,AugVas1+9)</f>
        <v>42591</v>
      </c>
      <c r="E5" s="10">
        <f>IF(DAY(AugVas1)=1,AugVas1+3,AugVas1+10)</f>
        <v>42592</v>
      </c>
      <c r="F5" s="10">
        <f>IF(DAY(AugVas1)=1,AugVas1+4,AugVas1+11)</f>
        <v>42593</v>
      </c>
      <c r="G5" s="10">
        <f>IF(DAY(AugVas1)=1,AugVas1+5,AugVas1+12)</f>
        <v>42594</v>
      </c>
      <c r="H5" s="10">
        <f>IF(DAY(AugVas1)=1,AugVas1+6,AugVas1+13)</f>
        <v>42595</v>
      </c>
      <c r="I5" s="10">
        <f>IF(DAY(AugVas1)=1,AugVas1+7,AugVas1+14)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IF(DAY(AugVas1)=1,AugVas1+8,AugVas1+15)</f>
        <v>42597</v>
      </c>
      <c r="D6" s="10">
        <f>IF(DAY(AugVas1)=1,AugVas1+9,AugVas1+16)</f>
        <v>42598</v>
      </c>
      <c r="E6" s="10">
        <f>IF(DAY(AugVas1)=1,AugVas1+10,AugVas1+17)</f>
        <v>42599</v>
      </c>
      <c r="F6" s="10">
        <f>IF(DAY(AugVas1)=1,AugVas1+11,AugVas1+18)</f>
        <v>42600</v>
      </c>
      <c r="G6" s="10">
        <f>IF(DAY(AugVas1)=1,AugVas1+12,AugVas1+19)</f>
        <v>42601</v>
      </c>
      <c r="H6" s="10">
        <f>IF(DAY(AugVas1)=1,AugVas1+13,AugVas1+20)</f>
        <v>42602</v>
      </c>
      <c r="I6" s="10">
        <f>IF(DAY(AugVas1)=1,AugVas1+14,AugVas1+21)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IF(DAY(AugVas1)=1,AugVas1+15,AugVas1+22)</f>
        <v>42604</v>
      </c>
      <c r="D7" s="10">
        <f>IF(DAY(AugVas1)=1,AugVas1+16,AugVas1+23)</f>
        <v>42605</v>
      </c>
      <c r="E7" s="10">
        <f>IF(DAY(AugVas1)=1,AugVas1+17,AugVas1+24)</f>
        <v>42606</v>
      </c>
      <c r="F7" s="10">
        <f>IF(DAY(AugVas1)=1,AugVas1+18,AugVas1+25)</f>
        <v>42607</v>
      </c>
      <c r="G7" s="10">
        <f>IF(DAY(AugVas1)=1,AugVas1+19,AugVas1+26)</f>
        <v>42608</v>
      </c>
      <c r="H7" s="10">
        <f>IF(DAY(AugVas1)=1,AugVas1+20,AugVas1+27)</f>
        <v>42609</v>
      </c>
      <c r="I7" s="10">
        <f>IF(DAY(AugVas1)=1,AugVas1+21,AugVas1+28)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IF(DAY(AugVas1)=1,AugVas1+22,AugVas1+29)</f>
        <v>42611</v>
      </c>
      <c r="D8" s="10">
        <f>IF(DAY(AugVas1)=1,AugVas1+23,AugVas1+30)</f>
        <v>42612</v>
      </c>
      <c r="E8" s="10">
        <f>IF(DAY(AugVas1)=1,AugVas1+24,AugVas1+31)</f>
        <v>42613</v>
      </c>
      <c r="F8" s="10">
        <f>IF(DAY(AugVas1)=1,AugVas1+25,AugVas1+32)</f>
        <v>42614</v>
      </c>
      <c r="G8" s="10">
        <f>IF(DAY(AugVas1)=1,AugVas1+26,AugVas1+33)</f>
        <v>42615</v>
      </c>
      <c r="H8" s="10">
        <f>IF(DAY(AugVas1)=1,AugVas1+27,AugVas1+34)</f>
        <v>42616</v>
      </c>
      <c r="I8" s="10">
        <f>IF(DAY(AugVas1)=1,AugVas1+28,AugVas1+35)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IF(DAY(AugVas1)=1,AugVas1+29,AugVas1+36)</f>
        <v>42618</v>
      </c>
      <c r="D9" s="10">
        <f>IF(DAY(AugVas1)=1,AugVas1+30,AugVas1+37)</f>
        <v>42619</v>
      </c>
      <c r="E9" s="10">
        <f>IF(DAY(AugVas1)=1,AugVas1+31,AugVas1+38)</f>
        <v>42620</v>
      </c>
      <c r="F9" s="10">
        <f>IF(DAY(AugVas1)=1,AugVas1+32,AugVas1+39)</f>
        <v>42621</v>
      </c>
      <c r="G9" s="10">
        <f>IF(DAY(AugVas1)=1,AugVas1+33,AugVas1+40)</f>
        <v>42622</v>
      </c>
      <c r="H9" s="10">
        <f>IF(DAY(AugVas1)=1,AugVas1+34,AugVas1+41)</f>
        <v>42623</v>
      </c>
      <c r="I9" s="10">
        <f>IF(DAY(AugVas1)=1,AugVas1+35,AugVas1+42)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VLOOKUP(DAY(C4),FeladatNapok,1,FALSE)=DAY(C4)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7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18</v>
      </c>
      <c r="L2" s="71">
        <v>2013</v>
      </c>
      <c r="M2" s="71"/>
      <c r="N2" s="79">
        <f>NaptáriÉv</f>
        <v>2016</v>
      </c>
    </row>
    <row r="3" spans="1:14" ht="21" customHeight="1" x14ac:dyDescent="0.2">
      <c r="A3" s="4"/>
      <c r="B3" s="31" t="s">
        <v>33</v>
      </c>
      <c r="C3" s="2" t="s">
        <v>8</v>
      </c>
      <c r="D3" s="2" t="s">
        <v>13</v>
      </c>
      <c r="E3" s="2" t="s">
        <v>37</v>
      </c>
      <c r="F3" s="2" t="s">
        <v>15</v>
      </c>
      <c r="G3" s="2" t="s">
        <v>16</v>
      </c>
      <c r="H3" s="2" t="s">
        <v>38</v>
      </c>
      <c r="I3" s="2" t="s">
        <v>17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IF(DAY(SzeptVas1)=1,SzeptVas1-6,SzeptVas1+1)</f>
        <v>42611</v>
      </c>
      <c r="D4" s="10">
        <f>IF(DAY(SzeptVas1)=1,SzeptVas1-5,SzeptVas1+2)</f>
        <v>42612</v>
      </c>
      <c r="E4" s="10">
        <f>IF(DAY(SzeptVas1)=1,SzeptVas1-4,SzeptVas1+3)</f>
        <v>42613</v>
      </c>
      <c r="F4" s="10">
        <f>IF(DAY(SzeptVas1)=1,SzeptVas1-3,SzeptVas1+4)</f>
        <v>42614</v>
      </c>
      <c r="G4" s="10">
        <f>IF(DAY(SzeptVas1)=1,SzeptVas1-2,SzeptVas1+5)</f>
        <v>42615</v>
      </c>
      <c r="H4" s="10">
        <f>IF(DAY(SzeptVas1)=1,SzeptVas1-1,SzeptVas1+6)</f>
        <v>42616</v>
      </c>
      <c r="I4" s="10">
        <f>IF(DAY(SzeptVas1)=1,SzeptVas1,SzeptVas1+7)</f>
        <v>42617</v>
      </c>
      <c r="J4" s="5"/>
      <c r="K4" s="74" t="s">
        <v>34</v>
      </c>
      <c r="L4" s="16"/>
      <c r="M4" s="75"/>
      <c r="N4" s="76"/>
    </row>
    <row r="5" spans="1:14" ht="18" customHeight="1" x14ac:dyDescent="0.2">
      <c r="A5" s="4"/>
      <c r="B5" s="28"/>
      <c r="C5" s="10">
        <f>IF(DAY(SzeptVas1)=1,SzeptVas1+1,SzeptVas1+8)</f>
        <v>42618</v>
      </c>
      <c r="D5" s="10">
        <f>IF(DAY(SzeptVas1)=1,SzeptVas1+2,SzeptVas1+9)</f>
        <v>42619</v>
      </c>
      <c r="E5" s="10">
        <f>IF(DAY(SzeptVas1)=1,SzeptVas1+3,SzeptVas1+10)</f>
        <v>42620</v>
      </c>
      <c r="F5" s="10">
        <f>IF(DAY(SzeptVas1)=1,SzeptVas1+4,SzeptVas1+11)</f>
        <v>42621</v>
      </c>
      <c r="G5" s="10">
        <f>IF(DAY(SzeptVas1)=1,SzeptVas1+5,SzeptVas1+12)</f>
        <v>42622</v>
      </c>
      <c r="H5" s="10">
        <f>IF(DAY(SzeptVas1)=1,SzeptVas1+6,SzeptVas1+13)</f>
        <v>42623</v>
      </c>
      <c r="I5" s="10">
        <f>IF(DAY(SzeptVas1)=1,SzeptVas1+7,SzeptVas1+14)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IF(DAY(SzeptVas1)=1,SzeptVas1+8,SzeptVas1+15)</f>
        <v>42625</v>
      </c>
      <c r="D6" s="10">
        <f>IF(DAY(SzeptVas1)=1,SzeptVas1+9,SzeptVas1+16)</f>
        <v>42626</v>
      </c>
      <c r="E6" s="10">
        <f>IF(DAY(SzeptVas1)=1,SzeptVas1+10,SzeptVas1+17)</f>
        <v>42627</v>
      </c>
      <c r="F6" s="10">
        <f>IF(DAY(SzeptVas1)=1,SzeptVas1+11,SzeptVas1+18)</f>
        <v>42628</v>
      </c>
      <c r="G6" s="10">
        <f>IF(DAY(SzeptVas1)=1,SzeptVas1+12,SzeptVas1+19)</f>
        <v>42629</v>
      </c>
      <c r="H6" s="10">
        <f>IF(DAY(SzeptVas1)=1,SzeptVas1+13,SzeptVas1+20)</f>
        <v>42630</v>
      </c>
      <c r="I6" s="10">
        <f>IF(DAY(SzeptVas1)=1,SzeptVas1+14,SzeptVas1+21)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IF(DAY(SzeptVas1)=1,SzeptVas1+15,SzeptVas1+22)</f>
        <v>42632</v>
      </c>
      <c r="D7" s="10">
        <f>IF(DAY(SzeptVas1)=1,SzeptVas1+16,SzeptVas1+23)</f>
        <v>42633</v>
      </c>
      <c r="E7" s="10">
        <f>IF(DAY(SzeptVas1)=1,SzeptVas1+17,SzeptVas1+24)</f>
        <v>42634</v>
      </c>
      <c r="F7" s="10">
        <f>IF(DAY(SzeptVas1)=1,SzeptVas1+18,SzeptVas1+25)</f>
        <v>42635</v>
      </c>
      <c r="G7" s="10">
        <f>IF(DAY(SzeptVas1)=1,SzeptVas1+19,SzeptVas1+26)</f>
        <v>42636</v>
      </c>
      <c r="H7" s="10">
        <f>IF(DAY(SzeptVas1)=1,SzeptVas1+20,SzeptVas1+27)</f>
        <v>42637</v>
      </c>
      <c r="I7" s="10">
        <f>IF(DAY(SzeptVas1)=1,SzeptVas1+21,SzeptVas1+28)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IF(DAY(SzeptVas1)=1,SzeptVas1+22,SzeptVas1+29)</f>
        <v>42639</v>
      </c>
      <c r="D8" s="10">
        <f>IF(DAY(SzeptVas1)=1,SzeptVas1+23,SzeptVas1+30)</f>
        <v>42640</v>
      </c>
      <c r="E8" s="10">
        <f>IF(DAY(SzeptVas1)=1,SzeptVas1+24,SzeptVas1+31)</f>
        <v>42641</v>
      </c>
      <c r="F8" s="10">
        <f>IF(DAY(SzeptVas1)=1,SzeptVas1+25,SzeptVas1+32)</f>
        <v>42642</v>
      </c>
      <c r="G8" s="10">
        <f>IF(DAY(SzeptVas1)=1,SzeptVas1+26,SzeptVas1+33)</f>
        <v>42643</v>
      </c>
      <c r="H8" s="10">
        <f>IF(DAY(SzeptVas1)=1,SzeptVas1+27,SzeptVas1+34)</f>
        <v>42644</v>
      </c>
      <c r="I8" s="10">
        <f>IF(DAY(SzeptVas1)=1,SzeptVas1+28,SzeptVas1+35)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IF(DAY(SzeptVas1)=1,SzeptVas1+29,SzeptVas1+36)</f>
        <v>42646</v>
      </c>
      <c r="D9" s="10">
        <f>IF(DAY(SzeptVas1)=1,SzeptVas1+30,SzeptVas1+37)</f>
        <v>42647</v>
      </c>
      <c r="E9" s="10">
        <f>IF(DAY(SzeptVas1)=1,SzeptVas1+31,SzeptVas1+38)</f>
        <v>42648</v>
      </c>
      <c r="F9" s="10">
        <f>IF(DAY(SzeptVas1)=1,SzeptVas1+32,SzeptVas1+39)</f>
        <v>42649</v>
      </c>
      <c r="G9" s="10">
        <f>IF(DAY(SzeptVas1)=1,SzeptVas1+33,SzeptVas1+40)</f>
        <v>42650</v>
      </c>
      <c r="H9" s="10">
        <f>IF(DAY(SzeptVas1)=1,SzeptVas1+34,SzeptVas1+41)</f>
        <v>42651</v>
      </c>
      <c r="I9" s="10">
        <f>IF(DAY(SzeptVas1)=1,SzeptVas1+35,SzeptVas1+42)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35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34</v>
      </c>
      <c r="C13" s="67" t="s">
        <v>35</v>
      </c>
      <c r="D13" s="69"/>
      <c r="E13" s="67" t="s">
        <v>14</v>
      </c>
      <c r="F13" s="69"/>
      <c r="G13" s="67" t="s">
        <v>19</v>
      </c>
      <c r="H13" s="69"/>
      <c r="I13" s="67" t="s">
        <v>36</v>
      </c>
      <c r="J13" s="68"/>
      <c r="K13" s="11"/>
      <c r="L13" s="17"/>
      <c r="M13" s="36"/>
      <c r="N13" s="37"/>
    </row>
    <row r="14" spans="1:14" ht="18" customHeight="1" x14ac:dyDescent="0.2">
      <c r="B14" s="8" t="s">
        <v>2</v>
      </c>
      <c r="C14" s="44"/>
      <c r="D14" s="45"/>
      <c r="E14" s="44" t="s">
        <v>2</v>
      </c>
      <c r="F14" s="45"/>
      <c r="G14" s="44"/>
      <c r="H14" s="45"/>
      <c r="I14" s="44" t="s">
        <v>2</v>
      </c>
      <c r="J14" s="59"/>
      <c r="K14" s="11"/>
      <c r="L14" s="17"/>
      <c r="M14" s="36"/>
      <c r="N14" s="37"/>
    </row>
    <row r="15" spans="1:14" ht="18" customHeight="1" x14ac:dyDescent="0.2">
      <c r="B15" s="6" t="s">
        <v>3</v>
      </c>
      <c r="C15" s="46"/>
      <c r="D15" s="47"/>
      <c r="E15" s="46" t="s">
        <v>3</v>
      </c>
      <c r="F15" s="47"/>
      <c r="G15" s="46"/>
      <c r="H15" s="47"/>
      <c r="I15" s="57" t="s">
        <v>3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9</v>
      </c>
      <c r="D16" s="45"/>
      <c r="E16" s="44"/>
      <c r="F16" s="45"/>
      <c r="G16" s="44" t="s">
        <v>9</v>
      </c>
      <c r="H16" s="45"/>
      <c r="I16" s="53"/>
      <c r="J16" s="54"/>
      <c r="K16" s="65" t="s">
        <v>14</v>
      </c>
      <c r="L16" s="16"/>
      <c r="M16" s="42"/>
      <c r="N16" s="43"/>
    </row>
    <row r="17" spans="2:14" ht="18" customHeight="1" x14ac:dyDescent="0.2">
      <c r="B17" s="6"/>
      <c r="C17" s="46" t="s">
        <v>10</v>
      </c>
      <c r="D17" s="47"/>
      <c r="E17" s="46"/>
      <c r="F17" s="47"/>
      <c r="G17" s="46" t="s">
        <v>10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4</v>
      </c>
      <c r="C18" s="62"/>
      <c r="D18" s="63"/>
      <c r="E18" s="62" t="s">
        <v>4</v>
      </c>
      <c r="F18" s="63"/>
      <c r="G18" s="62"/>
      <c r="H18" s="63"/>
      <c r="I18" s="62" t="s">
        <v>4</v>
      </c>
      <c r="J18" s="64"/>
      <c r="K18" s="66"/>
      <c r="L18" s="17"/>
      <c r="M18" s="36"/>
      <c r="N18" s="37"/>
    </row>
    <row r="19" spans="2:14" ht="18" customHeight="1" x14ac:dyDescent="0.2">
      <c r="B19" s="6" t="s">
        <v>5</v>
      </c>
      <c r="C19" s="46"/>
      <c r="D19" s="47"/>
      <c r="E19" s="46" t="s">
        <v>5</v>
      </c>
      <c r="F19" s="47"/>
      <c r="G19" s="46"/>
      <c r="H19" s="47"/>
      <c r="I19" s="57" t="s">
        <v>5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19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6</v>
      </c>
      <c r="C26" s="44"/>
      <c r="D26" s="45"/>
      <c r="E26" s="44" t="s">
        <v>6</v>
      </c>
      <c r="F26" s="45"/>
      <c r="G26" s="44"/>
      <c r="H26" s="45"/>
      <c r="I26" s="44" t="s">
        <v>6</v>
      </c>
      <c r="J26" s="59"/>
      <c r="K26" s="11"/>
      <c r="L26" s="17"/>
      <c r="M26" s="36"/>
      <c r="N26" s="37"/>
    </row>
    <row r="27" spans="2:14" ht="18" customHeight="1" x14ac:dyDescent="0.2">
      <c r="B27" s="6" t="s">
        <v>7</v>
      </c>
      <c r="C27" s="46"/>
      <c r="D27" s="47"/>
      <c r="E27" s="46" t="s">
        <v>7</v>
      </c>
      <c r="F27" s="47"/>
      <c r="G27" s="46"/>
      <c r="H27" s="47"/>
      <c r="I27" s="57" t="s">
        <v>7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36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11</v>
      </c>
      <c r="D30" s="45"/>
      <c r="E30" s="44"/>
      <c r="F30" s="45"/>
      <c r="G30" s="44" t="s">
        <v>11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12</v>
      </c>
      <c r="D31" s="47"/>
      <c r="E31" s="46"/>
      <c r="F31" s="47"/>
      <c r="G31" s="46" t="s">
        <v>12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VLOOKUP(DAY(C4),FeladatNapok,1,FALSE)=DAY(C4)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Jan.</vt:lpstr>
      <vt:lpstr>Febr.</vt:lpstr>
      <vt:lpstr>Márc.</vt:lpstr>
      <vt:lpstr>Ápr.</vt:lpstr>
      <vt:lpstr>Máj.</vt:lpstr>
      <vt:lpstr>Jún.</vt:lpstr>
      <vt:lpstr>Júl.</vt:lpstr>
      <vt:lpstr>Aug.</vt:lpstr>
      <vt:lpstr>Szept.</vt:lpstr>
      <vt:lpstr>Okt.</vt:lpstr>
      <vt:lpstr>Nov.</vt:lpstr>
      <vt:lpstr>Dec.</vt:lpstr>
      <vt:lpstr>Ápr.!FeladatNapok</vt:lpstr>
      <vt:lpstr>Aug.!FeladatNapok</vt:lpstr>
      <vt:lpstr>Dec.!FeladatNapok</vt:lpstr>
      <vt:lpstr>Febr.!FeladatNapok</vt:lpstr>
      <vt:lpstr>Júl.!FeladatNapok</vt:lpstr>
      <vt:lpstr>Jún.!FeladatNapok</vt:lpstr>
      <vt:lpstr>Máj.!FeladatNapok</vt:lpstr>
      <vt:lpstr>Márc.!FeladatNapok</vt:lpstr>
      <vt:lpstr>Nov.!FeladatNapok</vt:lpstr>
      <vt:lpstr>Okt.!FeladatNapok</vt:lpstr>
      <vt:lpstr>Szept.!FeladatNapok</vt:lpstr>
      <vt:lpstr>FeladatNapok</vt:lpstr>
      <vt:lpstr>Ápr.!FontosDátumokTáblázata</vt:lpstr>
      <vt:lpstr>Aug.!FontosDátumokTáblázata</vt:lpstr>
      <vt:lpstr>Dec.!FontosDátumokTáblázata</vt:lpstr>
      <vt:lpstr>Febr.!FontosDátumokTáblázata</vt:lpstr>
      <vt:lpstr>Júl.!FontosDátumokTáblázata</vt:lpstr>
      <vt:lpstr>Jún.!FontosDátumokTáblázata</vt:lpstr>
      <vt:lpstr>Máj.!FontosDátumokTáblázata</vt:lpstr>
      <vt:lpstr>Márc.!FontosDátumokTáblázata</vt:lpstr>
      <vt:lpstr>Nov.!FontosDátumokTáblázata</vt:lpstr>
      <vt:lpstr>Okt.!FontosDátumokTáblázata</vt:lpstr>
      <vt:lpstr>Szept.!FontosDátumokTáblázata</vt:lpstr>
      <vt:lpstr>FontosDátumokTáblázata</vt:lpstr>
      <vt:lpstr>NaptáriÉv</vt:lpstr>
      <vt:lpstr>Ápr.!Print_Area</vt:lpstr>
      <vt:lpstr>Aug.!Print_Area</vt:lpstr>
      <vt:lpstr>Dec.!Print_Area</vt:lpstr>
      <vt:lpstr>Febr.!Print_Area</vt:lpstr>
      <vt:lpstr>Jan.!Print_Area</vt:lpstr>
      <vt:lpstr>Júl.!Print_Area</vt:lpstr>
      <vt:lpstr>Jún.!Print_Area</vt:lpstr>
      <vt:lpstr>Máj.!Print_Area</vt:lpstr>
      <vt:lpstr>Márc.!Print_Area</vt:lpstr>
      <vt:lpstr>Nov.!Print_Area</vt:lpstr>
      <vt:lpstr>Okt.!Print_Area</vt:lpstr>
      <vt:lpstr>Szept.!Print_Area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2015-10-26T18:15:56Z</dcterms:modified>
</cp:coreProperties>
</file>