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template.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drawings/drawing1.xml" ContentType="application/vnd.openxmlformats-officedocument.drawing+xml"/>
  <Override PartName="/xl/ctrlProps/ctrlProp1.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filterPrivacy="1" autoCompressPictures="0"/>
  <bookViews>
    <workbookView xWindow="0" yWindow="0" windowWidth="23040" windowHeight="9390"/>
  </bookViews>
  <sheets>
    <sheet name="Calendrier familial saisons" sheetId="6" r:id="rId1"/>
  </sheets>
  <definedNames>
    <definedName name="Année_Calendaire">'Calendrier familial saisons'!$N$15</definedName>
    <definedName name="Aoû_Dim1">DATE(Année_Calendaire,8,1)-WEEKDAY(DATE(Année_Calendaire,8,1))+1</definedName>
    <definedName name="Avr_Dim1">DATE(Année_Calendaire,4,1)-WEEKDAY(DATE(Année_Calendaire,4,1))+1</definedName>
    <definedName name="Déc_Dim1">DATE(Année_Calendaire,12,1)-WEEKDAY(DATE(Année_Calendaire,12,1))+1</definedName>
    <definedName name="Fév_Dim1">DATE(Année_Calendaire,2,1)-WEEKDAY(DATE(Année_Calendaire,2,1))+1</definedName>
    <definedName name="Jan_Dim1">DATE(Année_Calendaire,1,1)-WEEKDAY(DATE(Année_Calendaire,1,1))+1</definedName>
    <definedName name="Juil_Dim1">DATE(Année_Calendaire,7,1)-WEEKDAY(DATE(Année_Calendaire,7,1))+1</definedName>
    <definedName name="Juin_Dim1">DATE(Année_Calendaire,6,1)-WEEKDAY(DATE(Année_Calendaire,6,1))+1</definedName>
    <definedName name="Mai_Dim1">DATE(Année_Calendaire,5,1)-WEEKDAY(DATE(Année_Calendaire,5,1))+1</definedName>
    <definedName name="Mar_Dim1">DATE(Année_Calendaire,3,1)-WEEKDAY(DATE(Année_Calendaire,3,1))+1</definedName>
    <definedName name="Nov_Dim1">DATE(Année_Calendaire,11,1)-WEEKDAY(DATE(Année_Calendaire,11,1))+1</definedName>
    <definedName name="Oct_Dim1">DATE(Année_Calendaire,10,1)-WEEKDAY(DATE(Année_Calendaire,10,1))+1</definedName>
    <definedName name="Sep_Dim1">DATE(Année_Calendaire,9,1)-WEEKDAY(DATE(Année_Calendaire,9,1))+1</definedName>
    <definedName name="_xlnm.Print_Area" localSheetId="0">'Calendrier familial saisons'!$A$1:$P$423</definedName>
  </definedNames>
  <calcPr calcId="152511" calcMode="manual"/>
  <extLst>
    <ext xmlns:mx="http://schemas.microsoft.com/office/mac/excel/2008/main" uri="{7523E5D3-25F3-A5E0-1632-64F254C22452}">
      <mx:ArchID Flags="2"/>
    </ext>
  </extLst>
</workbook>
</file>

<file path=xl/calcChain.xml><?xml version="1.0" encoding="utf-8"?>
<calcChain xmlns="http://schemas.openxmlformats.org/spreadsheetml/2006/main">
  <c r="N403" i="6" l="1"/>
  <c r="N368" i="6"/>
  <c r="N333" i="6"/>
  <c r="N298" i="6"/>
  <c r="N263" i="6"/>
  <c r="N228" i="6"/>
  <c r="G20" i="6"/>
  <c r="O420" i="6"/>
  <c r="M420" i="6"/>
  <c r="K420" i="6"/>
  <c r="I420" i="6"/>
  <c r="G420" i="6"/>
  <c r="E420" i="6"/>
  <c r="C420" i="6"/>
  <c r="O417" i="6"/>
  <c r="M417" i="6"/>
  <c r="K417" i="6"/>
  <c r="I417" i="6"/>
  <c r="G417" i="6"/>
  <c r="E417" i="6"/>
  <c r="C417" i="6"/>
  <c r="O414" i="6"/>
  <c r="M414" i="6"/>
  <c r="K414" i="6"/>
  <c r="I414" i="6"/>
  <c r="G414" i="6"/>
  <c r="E414" i="6"/>
  <c r="C414" i="6"/>
  <c r="O411" i="6"/>
  <c r="M411" i="6"/>
  <c r="K411" i="6"/>
  <c r="I411" i="6"/>
  <c r="G411" i="6"/>
  <c r="E411" i="6"/>
  <c r="C411" i="6"/>
  <c r="O408" i="6"/>
  <c r="M408" i="6"/>
  <c r="K408" i="6"/>
  <c r="I408" i="6"/>
  <c r="G408" i="6"/>
  <c r="E408" i="6"/>
  <c r="C408" i="6"/>
  <c r="O405" i="6"/>
  <c r="M405" i="6"/>
  <c r="K405" i="6"/>
  <c r="I405" i="6"/>
  <c r="G405" i="6"/>
  <c r="E405" i="6"/>
  <c r="C405" i="6"/>
  <c r="O385" i="6"/>
  <c r="M385" i="6"/>
  <c r="K385" i="6"/>
  <c r="I385" i="6"/>
  <c r="G385" i="6"/>
  <c r="E385" i="6"/>
  <c r="C385" i="6"/>
  <c r="O382" i="6"/>
  <c r="M382" i="6"/>
  <c r="K382" i="6"/>
  <c r="I382" i="6"/>
  <c r="G382" i="6"/>
  <c r="E382" i="6"/>
  <c r="C382" i="6"/>
  <c r="O379" i="6"/>
  <c r="M379" i="6"/>
  <c r="K379" i="6"/>
  <c r="I379" i="6"/>
  <c r="G379" i="6"/>
  <c r="E379" i="6"/>
  <c r="C379" i="6"/>
  <c r="O376" i="6"/>
  <c r="M376" i="6"/>
  <c r="K376" i="6"/>
  <c r="I376" i="6"/>
  <c r="G376" i="6"/>
  <c r="E376" i="6"/>
  <c r="C376" i="6"/>
  <c r="O373" i="6"/>
  <c r="M373" i="6"/>
  <c r="K373" i="6"/>
  <c r="I373" i="6"/>
  <c r="G373" i="6"/>
  <c r="E373" i="6"/>
  <c r="C373" i="6"/>
  <c r="O370" i="6"/>
  <c r="M370" i="6"/>
  <c r="K370" i="6"/>
  <c r="I370" i="6"/>
  <c r="G370" i="6"/>
  <c r="E370" i="6"/>
  <c r="C370" i="6"/>
  <c r="O315" i="6"/>
  <c r="M315" i="6"/>
  <c r="K315" i="6"/>
  <c r="I315" i="6"/>
  <c r="G315" i="6"/>
  <c r="E315" i="6"/>
  <c r="C315" i="6"/>
  <c r="O312" i="6"/>
  <c r="M312" i="6"/>
  <c r="K312" i="6"/>
  <c r="I312" i="6"/>
  <c r="G312" i="6"/>
  <c r="E312" i="6"/>
  <c r="C312" i="6"/>
  <c r="O309" i="6"/>
  <c r="M309" i="6"/>
  <c r="K309" i="6"/>
  <c r="I309" i="6"/>
  <c r="G309" i="6"/>
  <c r="E309" i="6"/>
  <c r="C309" i="6"/>
  <c r="O306" i="6"/>
  <c r="M306" i="6"/>
  <c r="K306" i="6"/>
  <c r="I306" i="6"/>
  <c r="G306" i="6"/>
  <c r="E306" i="6"/>
  <c r="C306" i="6"/>
  <c r="O303" i="6"/>
  <c r="M303" i="6"/>
  <c r="K303" i="6"/>
  <c r="I303" i="6"/>
  <c r="G303" i="6"/>
  <c r="E303" i="6"/>
  <c r="C303" i="6"/>
  <c r="O300" i="6"/>
  <c r="M300" i="6"/>
  <c r="K300" i="6"/>
  <c r="I300" i="6"/>
  <c r="G300" i="6"/>
  <c r="E300" i="6"/>
  <c r="C300" i="6"/>
  <c r="O350" i="6"/>
  <c r="M350" i="6"/>
  <c r="K350" i="6"/>
  <c r="I350" i="6"/>
  <c r="G350" i="6"/>
  <c r="E350" i="6"/>
  <c r="C350" i="6"/>
  <c r="O347" i="6"/>
  <c r="M347" i="6"/>
  <c r="K347" i="6"/>
  <c r="I347" i="6"/>
  <c r="G347" i="6"/>
  <c r="E347" i="6"/>
  <c r="C347" i="6"/>
  <c r="O344" i="6"/>
  <c r="M344" i="6"/>
  <c r="K344" i="6"/>
  <c r="I344" i="6"/>
  <c r="G344" i="6"/>
  <c r="E344" i="6"/>
  <c r="C344" i="6"/>
  <c r="O341" i="6"/>
  <c r="M341" i="6"/>
  <c r="K341" i="6"/>
  <c r="I341" i="6"/>
  <c r="G341" i="6"/>
  <c r="E341" i="6"/>
  <c r="C341" i="6"/>
  <c r="O338" i="6"/>
  <c r="M338" i="6"/>
  <c r="K338" i="6"/>
  <c r="I338" i="6"/>
  <c r="G338" i="6"/>
  <c r="E338" i="6"/>
  <c r="C338" i="6"/>
  <c r="O335" i="6"/>
  <c r="M335" i="6"/>
  <c r="K335" i="6"/>
  <c r="I335" i="6"/>
  <c r="G335" i="6"/>
  <c r="E335" i="6"/>
  <c r="C335" i="6"/>
  <c r="O280" i="6"/>
  <c r="M280" i="6"/>
  <c r="K280" i="6"/>
  <c r="I280" i="6"/>
  <c r="G280" i="6"/>
  <c r="E280" i="6"/>
  <c r="C280" i="6"/>
  <c r="O277" i="6"/>
  <c r="M277" i="6"/>
  <c r="K277" i="6"/>
  <c r="I277" i="6"/>
  <c r="G277" i="6"/>
  <c r="E277" i="6"/>
  <c r="C277" i="6"/>
  <c r="O274" i="6"/>
  <c r="M274" i="6"/>
  <c r="K274" i="6"/>
  <c r="I274" i="6"/>
  <c r="G274" i="6"/>
  <c r="E274" i="6"/>
  <c r="C274" i="6"/>
  <c r="O271" i="6"/>
  <c r="M271" i="6"/>
  <c r="K271" i="6"/>
  <c r="I271" i="6"/>
  <c r="G271" i="6"/>
  <c r="E271" i="6"/>
  <c r="C271" i="6"/>
  <c r="O268" i="6"/>
  <c r="M268" i="6"/>
  <c r="K268" i="6"/>
  <c r="I268" i="6"/>
  <c r="G268" i="6"/>
  <c r="E268" i="6"/>
  <c r="C268" i="6"/>
  <c r="O265" i="6"/>
  <c r="M265" i="6"/>
  <c r="K265" i="6"/>
  <c r="I265" i="6"/>
  <c r="G265" i="6"/>
  <c r="E265" i="6"/>
  <c r="C265" i="6"/>
  <c r="O245" i="6"/>
  <c r="M245" i="6"/>
  <c r="K245" i="6"/>
  <c r="I245" i="6"/>
  <c r="G245" i="6"/>
  <c r="E245" i="6"/>
  <c r="C245" i="6"/>
  <c r="O242" i="6"/>
  <c r="M242" i="6"/>
  <c r="K242" i="6"/>
  <c r="I242" i="6"/>
  <c r="G242" i="6"/>
  <c r="E242" i="6"/>
  <c r="C242" i="6"/>
  <c r="O239" i="6"/>
  <c r="M239" i="6"/>
  <c r="K239" i="6"/>
  <c r="I239" i="6"/>
  <c r="G239" i="6"/>
  <c r="E239" i="6"/>
  <c r="C239" i="6"/>
  <c r="O236" i="6"/>
  <c r="M236" i="6"/>
  <c r="K236" i="6"/>
  <c r="I236" i="6"/>
  <c r="G236" i="6"/>
  <c r="E236" i="6"/>
  <c r="C236" i="6"/>
  <c r="O233" i="6"/>
  <c r="M233" i="6"/>
  <c r="K233" i="6"/>
  <c r="I233" i="6"/>
  <c r="G233" i="6"/>
  <c r="E233" i="6"/>
  <c r="C233" i="6"/>
  <c r="O230" i="6"/>
  <c r="M230" i="6"/>
  <c r="K230" i="6"/>
  <c r="I230" i="6"/>
  <c r="G230" i="6"/>
  <c r="E230" i="6"/>
  <c r="C230" i="6"/>
  <c r="O210" i="6"/>
  <c r="M210" i="6"/>
  <c r="K210" i="6"/>
  <c r="I210" i="6"/>
  <c r="G210" i="6"/>
  <c r="E210" i="6"/>
  <c r="C210" i="6"/>
  <c r="O207" i="6"/>
  <c r="M207" i="6"/>
  <c r="K207" i="6"/>
  <c r="I207" i="6"/>
  <c r="G207" i="6"/>
  <c r="E207" i="6"/>
  <c r="C207" i="6"/>
  <c r="O204" i="6"/>
  <c r="M204" i="6"/>
  <c r="K204" i="6"/>
  <c r="I204" i="6"/>
  <c r="G204" i="6"/>
  <c r="E204" i="6"/>
  <c r="C204" i="6"/>
  <c r="O201" i="6"/>
  <c r="M201" i="6"/>
  <c r="K201" i="6"/>
  <c r="I201" i="6"/>
  <c r="G201" i="6"/>
  <c r="E201" i="6"/>
  <c r="C201" i="6"/>
  <c r="O198" i="6"/>
  <c r="M198" i="6"/>
  <c r="K198" i="6"/>
  <c r="I198" i="6"/>
  <c r="G198" i="6"/>
  <c r="E198" i="6"/>
  <c r="C198" i="6"/>
  <c r="O195" i="6"/>
  <c r="M195" i="6"/>
  <c r="K195" i="6"/>
  <c r="I195" i="6"/>
  <c r="G195" i="6"/>
  <c r="E195" i="6"/>
  <c r="C195" i="6"/>
  <c r="N193" i="6"/>
  <c r="O175" i="6"/>
  <c r="M175" i="6"/>
  <c r="K175" i="6"/>
  <c r="I175" i="6"/>
  <c r="G175" i="6"/>
  <c r="E175" i="6"/>
  <c r="C175" i="6"/>
  <c r="O172" i="6"/>
  <c r="M172" i="6"/>
  <c r="K172" i="6"/>
  <c r="I172" i="6"/>
  <c r="G172" i="6"/>
  <c r="E172" i="6"/>
  <c r="C172" i="6"/>
  <c r="O169" i="6"/>
  <c r="M169" i="6"/>
  <c r="K169" i="6"/>
  <c r="I169" i="6"/>
  <c r="G169" i="6"/>
  <c r="E169" i="6"/>
  <c r="C169" i="6"/>
  <c r="O166" i="6"/>
  <c r="M166" i="6"/>
  <c r="K166" i="6"/>
  <c r="I166" i="6"/>
  <c r="G166" i="6"/>
  <c r="E166" i="6"/>
  <c r="C166" i="6"/>
  <c r="O163" i="6"/>
  <c r="M163" i="6"/>
  <c r="K163" i="6"/>
  <c r="I163" i="6"/>
  <c r="G163" i="6"/>
  <c r="E163" i="6"/>
  <c r="C163" i="6"/>
  <c r="O160" i="6"/>
  <c r="M160" i="6"/>
  <c r="K160" i="6"/>
  <c r="I160" i="6"/>
  <c r="G160" i="6"/>
  <c r="E160" i="6"/>
  <c r="C160" i="6"/>
  <c r="N158" i="6"/>
  <c r="O139" i="6"/>
  <c r="M139" i="6"/>
  <c r="K139" i="6"/>
  <c r="I139" i="6"/>
  <c r="G139" i="6"/>
  <c r="E139" i="6"/>
  <c r="C139" i="6"/>
  <c r="O136" i="6"/>
  <c r="M136" i="6"/>
  <c r="K136" i="6"/>
  <c r="I136" i="6"/>
  <c r="G136" i="6"/>
  <c r="E136" i="6"/>
  <c r="C136" i="6"/>
  <c r="O133" i="6"/>
  <c r="M133" i="6"/>
  <c r="K133" i="6"/>
  <c r="I133" i="6"/>
  <c r="G133" i="6"/>
  <c r="E133" i="6"/>
  <c r="C133" i="6"/>
  <c r="O130" i="6"/>
  <c r="M130" i="6"/>
  <c r="K130" i="6"/>
  <c r="I130" i="6"/>
  <c r="G130" i="6"/>
  <c r="E130" i="6"/>
  <c r="C130" i="6"/>
  <c r="O127" i="6"/>
  <c r="M127" i="6"/>
  <c r="K127" i="6"/>
  <c r="I127" i="6"/>
  <c r="G127" i="6"/>
  <c r="E127" i="6"/>
  <c r="C127" i="6"/>
  <c r="O124" i="6"/>
  <c r="M124" i="6"/>
  <c r="K124" i="6"/>
  <c r="I124" i="6"/>
  <c r="G124" i="6"/>
  <c r="E124" i="6"/>
  <c r="C124" i="6"/>
  <c r="N122" i="6"/>
  <c r="O103" i="6"/>
  <c r="M103" i="6"/>
  <c r="K103" i="6"/>
  <c r="I103" i="6"/>
  <c r="G103" i="6"/>
  <c r="E103" i="6"/>
  <c r="C103" i="6"/>
  <c r="O100" i="6"/>
  <c r="M100" i="6"/>
  <c r="K100" i="6"/>
  <c r="I100" i="6"/>
  <c r="G100" i="6"/>
  <c r="E100" i="6"/>
  <c r="C100" i="6"/>
  <c r="O97" i="6"/>
  <c r="M97" i="6"/>
  <c r="K97" i="6"/>
  <c r="I97" i="6"/>
  <c r="G97" i="6"/>
  <c r="E97" i="6"/>
  <c r="C97" i="6"/>
  <c r="O94" i="6"/>
  <c r="M94" i="6"/>
  <c r="K94" i="6"/>
  <c r="I94" i="6"/>
  <c r="G94" i="6"/>
  <c r="E94" i="6"/>
  <c r="C94" i="6"/>
  <c r="O91" i="6"/>
  <c r="M91" i="6"/>
  <c r="K91" i="6"/>
  <c r="I91" i="6"/>
  <c r="G91" i="6"/>
  <c r="E91" i="6"/>
  <c r="C91" i="6"/>
  <c r="O88" i="6"/>
  <c r="M88" i="6"/>
  <c r="K88" i="6"/>
  <c r="I88" i="6"/>
  <c r="G88" i="6"/>
  <c r="E88" i="6"/>
  <c r="C88" i="6"/>
  <c r="N86" i="6"/>
  <c r="O67" i="6"/>
  <c r="M67" i="6"/>
  <c r="K67" i="6"/>
  <c r="I67" i="6"/>
  <c r="G67" i="6"/>
  <c r="E67" i="6"/>
  <c r="C67" i="6"/>
  <c r="O64" i="6"/>
  <c r="M64" i="6"/>
  <c r="K64" i="6"/>
  <c r="I64" i="6"/>
  <c r="G64" i="6"/>
  <c r="E64" i="6"/>
  <c r="C64" i="6"/>
  <c r="O61" i="6"/>
  <c r="M61" i="6"/>
  <c r="K61" i="6"/>
  <c r="I61" i="6"/>
  <c r="G61" i="6"/>
  <c r="E61" i="6"/>
  <c r="C61" i="6"/>
  <c r="O58" i="6"/>
  <c r="M58" i="6"/>
  <c r="K58" i="6"/>
  <c r="I58" i="6"/>
  <c r="G58" i="6"/>
  <c r="E58" i="6"/>
  <c r="C58" i="6"/>
  <c r="O55" i="6"/>
  <c r="M55" i="6"/>
  <c r="K55" i="6"/>
  <c r="I55" i="6"/>
  <c r="G55" i="6"/>
  <c r="E55" i="6"/>
  <c r="C55" i="6"/>
  <c r="O52" i="6"/>
  <c r="M52" i="6"/>
  <c r="K52" i="6"/>
  <c r="I52" i="6"/>
  <c r="G52" i="6"/>
  <c r="E52" i="6"/>
  <c r="C52" i="6"/>
  <c r="N50" i="6"/>
  <c r="O32" i="6"/>
  <c r="M32" i="6"/>
  <c r="K32" i="6"/>
  <c r="I32" i="6"/>
  <c r="G32" i="6"/>
  <c r="E32" i="6"/>
  <c r="C32" i="6"/>
  <c r="O29" i="6"/>
  <c r="M29" i="6"/>
  <c r="K29" i="6"/>
  <c r="I29" i="6"/>
  <c r="G29" i="6"/>
  <c r="E29" i="6"/>
  <c r="C29" i="6"/>
  <c r="O26" i="6"/>
  <c r="M26" i="6"/>
  <c r="K26" i="6"/>
  <c r="I26" i="6"/>
  <c r="G26" i="6"/>
  <c r="E26" i="6"/>
  <c r="C26" i="6"/>
  <c r="O23" i="6"/>
  <c r="M23" i="6"/>
  <c r="K23" i="6"/>
  <c r="I23" i="6"/>
  <c r="G23" i="6"/>
  <c r="E23" i="6"/>
  <c r="C23" i="6"/>
  <c r="O20" i="6"/>
  <c r="M20" i="6"/>
  <c r="K20" i="6"/>
  <c r="I20" i="6"/>
  <c r="E20" i="6"/>
  <c r="C20" i="6"/>
  <c r="O17" i="6"/>
  <c r="M17" i="6"/>
  <c r="K17" i="6"/>
  <c r="I17" i="6"/>
  <c r="G17" i="6"/>
  <c r="E17" i="6"/>
  <c r="C17" i="6"/>
</calcChain>
</file>

<file path=xl/sharedStrings.xml><?xml version="1.0" encoding="utf-8"?>
<sst xmlns="http://schemas.openxmlformats.org/spreadsheetml/2006/main" count="108" uniqueCount="9">
  <si>
    <t>LUNDI</t>
  </si>
  <si>
    <t>MARDI</t>
  </si>
  <si>
    <t>MERCREDI</t>
  </si>
  <si>
    <t>JEUDI</t>
  </si>
  <si>
    <t>VENDREDI</t>
  </si>
  <si>
    <t>SAMEDI</t>
  </si>
  <si>
    <t>DIMANCHE</t>
  </si>
  <si>
    <t>Exemple de rendez-vous</t>
  </si>
  <si>
    <t>NOTES :</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</si>
</sst>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d"/>
    <numFmt numFmtId="165" formatCode="mmmm\ yyyy"/>
    <numFmt numFmtId="166" formatCode="mmmm"/>
  </numFmts>
  <fonts count="71" x14ac:knownFonts="1">
    <font>
      <sz val="12"/>
      <color theme="1"/>
      <name val="Cambria"/>
      <family val="2"/>
      <scheme val="minor"/>
    </font>
    <font>
      <b/>
      <sz val="11"/>
      <color theme="0"/>
      <name val="Cambria"/>
      <family val="2"/>
      <scheme val="minor"/>
    </font>
    <font>
      <sz val="11"/>
      <name val="Cambria"/>
      <family val="2"/>
      <scheme val="minor"/>
    </font>
    <font>
      <sz val="10"/>
      <color indexed="63"/>
      <name val="Cambria"/>
      <family val="4"/>
      <scheme val="minor"/>
    </font>
    <font>
      <b/>
      <sz val="28"/>
      <color theme="1" tint="0.34998626667073579"/>
      <name val="Cambria"/>
      <family val="2"/>
      <scheme val="minor"/>
    </font>
    <font>
      <sz val="40"/>
      <color theme="4"/>
      <name val="Cambria"/>
      <family val="1"/>
      <scheme val="major"/>
    </font>
    <font>
      <sz val="40"/>
      <color theme="4" tint="-0.249977111117893"/>
      <name val="Cambria"/>
      <family val="1"/>
      <scheme val="major"/>
    </font>
    <font>
      <sz val="11"/>
      <name val="Cambria"/>
      <family val="1"/>
      <scheme val="major"/>
    </font>
    <font>
      <sz val="10"/>
      <color theme="4" tint="-0.249977111117893"/>
      <name val="Cambria"/>
      <family val="1"/>
      <scheme val="major"/>
    </font>
    <font>
      <sz val="22"/>
      <color theme="4"/>
      <name val="Cambria"/>
      <family val="1"/>
      <scheme val="major"/>
    </font>
    <font>
      <sz val="40"/>
      <color theme="8"/>
      <name val="Cambria"/>
      <family val="1"/>
      <scheme val="major"/>
    </font>
    <font>
      <sz val="12"/>
      <color theme="1"/>
      <name val="Cambria"/>
      <family val="1"/>
      <scheme val="major"/>
    </font>
    <font>
      <sz val="10"/>
      <name val="Cambria"/>
      <family val="1"/>
      <scheme val="major"/>
    </font>
    <font>
      <sz val="40"/>
      <color theme="5"/>
      <name val="Cambria"/>
      <family val="1"/>
      <scheme val="major"/>
    </font>
    <font>
      <sz val="40"/>
      <color theme="6"/>
      <name val="Cambria"/>
      <family val="1"/>
      <scheme val="major"/>
    </font>
    <font>
      <sz val="10"/>
      <color theme="4" tint="-0.249977111117893"/>
      <name val="Cambria"/>
      <family val="1"/>
      <scheme val="minor"/>
    </font>
    <font>
      <u/>
      <sz val="12"/>
      <color theme="10"/>
      <name val="Cambria"/>
      <family val="2"/>
      <scheme val="minor"/>
    </font>
    <font>
      <u/>
      <sz val="12"/>
      <color theme="11"/>
      <name val="Cambria"/>
      <family val="2"/>
      <scheme val="minor"/>
    </font>
    <font>
      <sz val="28"/>
      <color rgb="FF46B0F3"/>
      <name val="Century Gothic"/>
      <family val="2"/>
    </font>
    <font>
      <sz val="8"/>
      <name val="Cambria"/>
      <family val="2"/>
      <scheme val="minor"/>
    </font>
    <font>
      <sz val="16"/>
      <color theme="0"/>
      <name val="Century Gothic"/>
      <family val="2"/>
    </font>
    <font>
      <sz val="16"/>
      <color theme="1"/>
      <name val="Cambria"/>
      <family val="2"/>
      <scheme val="minor"/>
    </font>
    <font>
      <b/>
      <sz val="11"/>
      <color theme="0"/>
      <name val="Century Gothic"/>
      <family val="2"/>
    </font>
    <font>
      <b/>
      <sz val="11"/>
      <color theme="4" tint="-0.249977111117893"/>
      <name val="Century Gothic"/>
      <family val="2"/>
    </font>
    <font>
      <b/>
      <sz val="11"/>
      <color rgb="FF004498"/>
      <name val="Century Gothic"/>
      <family val="2"/>
    </font>
    <font>
      <sz val="30"/>
      <color rgb="FF46B0F3"/>
      <name val="Century Gothic"/>
      <family val="2"/>
    </font>
    <font>
      <b/>
      <sz val="9"/>
      <color rgb="FF004498"/>
      <name val="Century Gothic"/>
      <family val="2"/>
    </font>
    <font>
      <b/>
      <sz val="12"/>
      <color theme="1"/>
      <name val="Century Gothic"/>
      <family val="2"/>
    </font>
    <font>
      <b/>
      <sz val="11"/>
      <color rgb="FF336BA4"/>
      <name val="Century Gothic"/>
      <family val="2"/>
    </font>
    <font>
      <b/>
      <sz val="11"/>
      <name val="Century Gothic"/>
      <family val="2"/>
    </font>
    <font>
      <b/>
      <sz val="11"/>
      <color theme="1"/>
      <name val="Century Gothic"/>
      <family val="2"/>
    </font>
    <font>
      <b/>
      <sz val="11"/>
      <color rgb="FF0C8E20"/>
      <name val="Century Gothic"/>
      <family val="2"/>
    </font>
    <font>
      <sz val="28"/>
      <color rgb="FF0C8E20"/>
      <name val="Century Gothic"/>
      <family val="2"/>
    </font>
    <font>
      <sz val="28"/>
      <color rgb="FF336BA4"/>
      <name val="Century Gothic"/>
      <family val="2"/>
    </font>
    <font>
      <sz val="11"/>
      <color theme="4" tint="-0.249977111117893"/>
      <name val="Cambria"/>
      <family val="1"/>
      <scheme val="minor"/>
    </font>
    <font>
      <b/>
      <sz val="9"/>
      <color rgb="FFAB1954"/>
      <name val="Century Gothic"/>
      <family val="2"/>
    </font>
    <font>
      <sz val="9"/>
      <color theme="4" tint="-0.249977111117893"/>
      <name val="Century Gothic"/>
      <family val="2"/>
    </font>
    <font>
      <b/>
      <sz val="11"/>
      <color theme="5" tint="-0.249977111117893"/>
      <name val="Century Gothic"/>
      <family val="2"/>
    </font>
    <font>
      <sz val="28"/>
      <color rgb="FFA6107E"/>
      <name val="Century Gothic"/>
      <family val="2"/>
    </font>
    <font>
      <b/>
      <sz val="11"/>
      <color rgb="FFA6107E"/>
      <name val="Century Gothic"/>
      <family val="2"/>
    </font>
    <font>
      <b/>
      <sz val="9"/>
      <color rgb="FF75BA29"/>
      <name val="Century Gothic"/>
      <family val="2"/>
    </font>
    <font>
      <sz val="28"/>
      <color rgb="FF438428"/>
      <name val="Century Gothic"/>
      <family val="2"/>
    </font>
    <font>
      <b/>
      <sz val="11"/>
      <color rgb="FF438428"/>
      <name val="Century Gothic"/>
      <family val="2"/>
    </font>
    <font>
      <b/>
      <sz val="9"/>
      <color rgb="FF0070C0"/>
      <name val="Century Gothic"/>
      <family val="2"/>
    </font>
    <font>
      <b/>
      <sz val="11"/>
      <color theme="0"/>
      <name val="Cambria"/>
      <family val="1"/>
      <scheme val="minor"/>
    </font>
    <font>
      <sz val="28"/>
      <color rgb="FFA2145C"/>
      <name val="Century Gothic"/>
      <family val="2"/>
    </font>
    <font>
      <b/>
      <sz val="11"/>
      <color rgb="FFA2145C"/>
      <name val="Century Gothic"/>
      <family val="2"/>
    </font>
    <font>
      <sz val="11"/>
      <color theme="0"/>
      <name val="Century Gothic"/>
      <family val="2"/>
    </font>
    <font>
      <b/>
      <sz val="11"/>
      <color theme="6" tint="-0.249977111117893"/>
      <name val="Century Gothic"/>
      <family val="2"/>
    </font>
    <font>
      <b/>
      <sz val="9"/>
      <color rgb="FFB7A609"/>
      <name val="Century Gothic"/>
      <family val="2"/>
    </font>
    <font>
      <sz val="28"/>
      <color rgb="FFFFCC00"/>
      <name val="Century Gothic"/>
      <family val="2"/>
    </font>
    <font>
      <b/>
      <sz val="11"/>
      <color rgb="FFFFCC00"/>
      <name val="Century Gothic"/>
      <family val="2"/>
    </font>
    <font>
      <sz val="11"/>
      <color theme="6" tint="-0.249977111117893"/>
      <name val="Century Gothic"/>
      <family val="2"/>
    </font>
    <font>
      <b/>
      <sz val="9"/>
      <color theme="8" tint="-0.249977111117893"/>
      <name val="Century Gothic"/>
      <family val="2"/>
    </font>
    <font>
      <sz val="28"/>
      <color rgb="FF73CBEF"/>
      <name val="Century Gothic"/>
      <family val="2"/>
    </font>
    <font>
      <b/>
      <sz val="11"/>
      <color rgb="FF73CBEF"/>
      <name val="Century Gothic"/>
      <family val="2"/>
    </font>
    <font>
      <b/>
      <sz val="9"/>
      <color rgb="FFF6A708"/>
      <name val="Century Gothic"/>
      <family val="2"/>
    </font>
    <font>
      <sz val="28"/>
      <color rgb="FF7CB824"/>
      <name val="Century Gothic"/>
      <family val="2"/>
    </font>
    <font>
      <b/>
      <sz val="11"/>
      <color rgb="FF7CB824"/>
      <name val="Century Gothic"/>
      <family val="2"/>
    </font>
    <font>
      <sz val="11"/>
      <color theme="7" tint="-0.249977111117893"/>
      <name val="Century Gothic"/>
      <family val="2"/>
    </font>
    <font>
      <b/>
      <sz val="9"/>
      <color rgb="FF336275"/>
      <name val="Century Gothic"/>
      <family val="2"/>
    </font>
    <font>
      <b/>
      <sz val="11"/>
      <color theme="7" tint="-0.249977111117893"/>
      <name val="Century Gothic"/>
      <family val="2"/>
    </font>
    <font>
      <sz val="28"/>
      <color rgb="FF662100"/>
      <name val="Century Gothic"/>
      <family val="2"/>
    </font>
    <font>
      <b/>
      <sz val="11"/>
      <color rgb="FF662100"/>
      <name val="Century Gothic"/>
      <family val="2"/>
    </font>
    <font>
      <b/>
      <sz val="9"/>
      <color theme="8"/>
      <name val="Century Gothic"/>
      <family val="2"/>
    </font>
    <font>
      <sz val="28"/>
      <color rgb="FFB07E49"/>
      <name val="Century Gothic"/>
      <family val="2"/>
    </font>
    <font>
      <b/>
      <sz val="11"/>
      <color rgb="FFB07E49"/>
      <name val="Century Gothic"/>
      <family val="2"/>
    </font>
    <font>
      <b/>
      <sz val="9"/>
      <color rgb="FFA31C01"/>
      <name val="Century Gothic"/>
      <family val="2"/>
    </font>
    <font>
      <sz val="28"/>
      <color rgb="FF003E6F"/>
      <name val="Century Gothic"/>
      <family val="2"/>
    </font>
    <font>
      <b/>
      <sz val="11"/>
      <color rgb="FF003E6F"/>
      <name val="Century Gothic"/>
      <family val="2"/>
    </font>
    <font>
      <b/>
      <sz val="9"/>
      <color rgb="FF83B32C"/>
      <name val="Century Gothic"/>
      <family val="2"/>
    </font>
  </fonts>
  <fills count="20">
    <fill>
      <patternFill patternType="none"/>
    </fill>
    <fill>
      <patternFill patternType="gray125"/>
    </fill>
    <fill>
      <patternFill patternType="solid">
        <fgColor theme="4"/>
      </patternFill>
    </fill>
    <fill>
      <patternFill patternType="solid">
        <fgColor theme="4" tint="0.59999389629810485"/>
        <bgColor indexed="65"/>
      </patternFill>
    </fill>
    <fill>
      <patternFill patternType="solid">
        <fgColor theme="4" tint="0.39997558519241921"/>
        <bgColor indexed="64"/>
      </patternFill>
    </fill>
    <fill>
      <patternFill patternType="solid">
        <fgColor rgb="FF46B0F3"/>
        <bgColor indexed="64"/>
      </patternFill>
    </fill>
    <fill>
      <patternFill patternType="solid">
        <fgColor theme="0"/>
        <bgColor indexed="64"/>
      </patternFill>
    </fill>
    <fill>
      <patternFill patternType="solid">
        <fgColor theme="0"/>
        <bgColor rgb="FF004498"/>
      </patternFill>
    </fill>
    <fill>
      <patternFill patternType="solid">
        <fgColor theme="2" tint="-0.249977111117893"/>
        <bgColor indexed="64"/>
      </patternFill>
    </fill>
    <fill>
      <patternFill patternType="solid">
        <fgColor rgb="FF336BA4"/>
        <bgColor indexed="64"/>
      </patternFill>
    </fill>
    <fill>
      <patternFill patternType="solid">
        <fgColor rgb="FF0C8E20"/>
        <bgColor indexed="64"/>
      </patternFill>
    </fill>
    <fill>
      <patternFill patternType="solid">
        <fgColor rgb="FFA6107E"/>
        <bgColor indexed="64"/>
      </patternFill>
    </fill>
    <fill>
      <patternFill patternType="solid">
        <fgColor rgb="FF438428"/>
        <bgColor indexed="64"/>
      </patternFill>
    </fill>
    <fill>
      <patternFill patternType="solid">
        <fgColor rgb="FFA2145C"/>
        <bgColor indexed="64"/>
      </patternFill>
    </fill>
    <fill>
      <patternFill patternType="solid">
        <fgColor rgb="FFFFCC00"/>
        <bgColor indexed="64"/>
      </patternFill>
    </fill>
    <fill>
      <patternFill patternType="solid">
        <fgColor rgb="FF73CBEF"/>
        <bgColor indexed="64"/>
      </patternFill>
    </fill>
    <fill>
      <patternFill patternType="solid">
        <fgColor rgb="FF7CB824"/>
        <bgColor indexed="64"/>
      </patternFill>
    </fill>
    <fill>
      <patternFill patternType="solid">
        <fgColor rgb="FF662100"/>
        <bgColor indexed="64"/>
      </patternFill>
    </fill>
    <fill>
      <patternFill patternType="solid">
        <fgColor rgb="FFB07E49"/>
        <bgColor indexed="64"/>
      </patternFill>
    </fill>
    <fill>
      <patternFill patternType="solid">
        <fgColor rgb="FF003E6F"/>
        <bgColor indexed="64"/>
      </patternFill>
    </fill>
  </fills>
  <borders count="66">
    <border>
      <left/>
      <right/>
      <top/>
      <bottom/>
      <diagonal/>
    </border>
    <border>
      <left style="thin">
        <color theme="4" tint="0.39994506668294322"/>
      </left>
      <right style="thin">
        <color theme="4" tint="0.39994506668294322"/>
      </right>
      <top style="thin">
        <color theme="4" tint="0.39994506668294322"/>
      </top>
      <bottom style="thin">
        <color theme="4" tint="0.39994506668294322"/>
      </bottom>
      <diagonal/>
    </border>
    <border>
      <left/>
      <right/>
      <top style="thin">
        <color theme="4" tint="-0.24994659260841701"/>
      </top>
      <bottom/>
      <diagonal/>
    </border>
    <border>
      <left/>
      <right style="thin">
        <color theme="4" tint="-0.24994659260841701"/>
      </right>
      <top/>
      <bottom/>
      <diagonal/>
    </border>
    <border>
      <left style="thin">
        <color theme="4" tint="-0.24994659260841701"/>
      </left>
      <right style="thin">
        <color theme="4" tint="-0.24994659260841701"/>
      </right>
      <top/>
      <bottom/>
      <diagonal/>
    </border>
    <border>
      <left/>
      <right/>
      <top/>
      <bottom style="thin">
        <color theme="4" tint="-0.24994659260841701"/>
      </bottom>
      <diagonal/>
    </border>
    <border>
      <left/>
      <right/>
      <top/>
      <bottom style="thin">
        <color rgb="FF004498"/>
      </bottom>
      <diagonal/>
    </border>
    <border>
      <left style="thin">
        <color rgb="FF004498"/>
      </left>
      <right style="thin">
        <color theme="4" tint="-0.24994659260841701"/>
      </right>
      <top/>
      <bottom/>
      <diagonal/>
    </border>
    <border>
      <left style="thin">
        <color theme="4" tint="-0.24994659260841701"/>
      </left>
      <right style="thin">
        <color rgb="FF004498"/>
      </right>
      <top/>
      <bottom/>
      <diagonal/>
    </border>
    <border>
      <left style="thin">
        <color rgb="FF004498"/>
      </left>
      <right/>
      <top style="thin">
        <color rgb="FF004498"/>
      </top>
      <bottom/>
      <diagonal/>
    </border>
    <border>
      <left style="thin">
        <color theme="4" tint="-0.24994659260841701"/>
      </left>
      <right style="thin">
        <color rgb="FF336BA4"/>
      </right>
      <top/>
      <bottom/>
      <diagonal/>
    </border>
    <border>
      <left/>
      <right/>
      <top/>
      <bottom style="thin">
        <color rgb="FF336BA4"/>
      </bottom>
      <diagonal/>
    </border>
    <border>
      <left style="thin">
        <color rgb="FF336BA4"/>
      </left>
      <right/>
      <top style="thin">
        <color rgb="FF336BA4"/>
      </top>
      <bottom/>
      <diagonal/>
    </border>
    <border>
      <left style="thin">
        <color rgb="FF336BA4"/>
      </left>
      <right/>
      <top/>
      <bottom/>
      <diagonal/>
    </border>
    <border>
      <left/>
      <right style="thin">
        <color rgb="FF0C8E20"/>
      </right>
      <top style="thin">
        <color rgb="FF0C8E20"/>
      </top>
      <bottom/>
      <diagonal/>
    </border>
    <border>
      <left/>
      <right style="thin">
        <color rgb="FF0C8E20"/>
      </right>
      <top/>
      <bottom/>
      <diagonal/>
    </border>
    <border>
      <left style="thin">
        <color rgb="FF0C8E20"/>
      </left>
      <right style="thin">
        <color rgb="FF0C8E20"/>
      </right>
      <top/>
      <bottom/>
      <diagonal/>
    </border>
    <border>
      <left/>
      <right style="thin">
        <color rgb="FFA6107E"/>
      </right>
      <top style="thin">
        <color rgb="FFA6107E"/>
      </top>
      <bottom/>
      <diagonal/>
    </border>
    <border>
      <left/>
      <right style="thin">
        <color rgb="FFA6107E"/>
      </right>
      <top/>
      <bottom/>
      <diagonal/>
    </border>
    <border>
      <left style="thin">
        <color rgb="FFA6107E"/>
      </left>
      <right style="thin">
        <color rgb="FFA6107E"/>
      </right>
      <top/>
      <bottom/>
      <diagonal/>
    </border>
    <border>
      <left/>
      <right style="thin">
        <color rgb="FF438428"/>
      </right>
      <top style="thin">
        <color rgb="FF438428"/>
      </top>
      <bottom/>
      <diagonal/>
    </border>
    <border>
      <left/>
      <right style="thin">
        <color rgb="FF438428"/>
      </right>
      <top/>
      <bottom/>
      <diagonal/>
    </border>
    <border>
      <left style="thin">
        <color rgb="FF438428"/>
      </left>
      <right style="thin">
        <color rgb="FF438428"/>
      </right>
      <top/>
      <bottom/>
      <diagonal/>
    </border>
    <border>
      <left/>
      <right style="thin">
        <color rgb="FFA2145C"/>
      </right>
      <top style="thin">
        <color rgb="FFA2145C"/>
      </top>
      <bottom/>
      <diagonal/>
    </border>
    <border>
      <left/>
      <right style="thin">
        <color rgb="FFA2145C"/>
      </right>
      <top/>
      <bottom/>
      <diagonal/>
    </border>
    <border>
      <left style="thin">
        <color rgb="FFA2145C"/>
      </left>
      <right style="thin">
        <color rgb="FFA2145C"/>
      </right>
      <top/>
      <bottom/>
      <diagonal/>
    </border>
    <border>
      <left/>
      <right style="thin">
        <color rgb="FFFFCC00"/>
      </right>
      <top style="thin">
        <color rgb="FFFFCC00"/>
      </top>
      <bottom/>
      <diagonal/>
    </border>
    <border>
      <left/>
      <right style="thin">
        <color rgb="FFFFCC00"/>
      </right>
      <top/>
      <bottom/>
      <diagonal/>
    </border>
    <border>
      <left style="thin">
        <color rgb="FFFFCC00"/>
      </left>
      <right style="thin">
        <color rgb="FFFFCC00"/>
      </right>
      <top/>
      <bottom/>
      <diagonal/>
    </border>
    <border>
      <left/>
      <right style="thin">
        <color rgb="FF73CBEF"/>
      </right>
      <top style="thin">
        <color rgb="FF73CBEF"/>
      </top>
      <bottom/>
      <diagonal/>
    </border>
    <border>
      <left/>
      <right style="thin">
        <color rgb="FF73CBEF"/>
      </right>
      <top/>
      <bottom/>
      <diagonal/>
    </border>
    <border>
      <left style="thin">
        <color rgb="FF73CBEF"/>
      </left>
      <right style="thin">
        <color rgb="FF73CBEF"/>
      </right>
      <top/>
      <bottom/>
      <diagonal/>
    </border>
    <border>
      <left/>
      <right style="thin">
        <color rgb="FF7CB824"/>
      </right>
      <top style="thin">
        <color rgb="FF7CB824"/>
      </top>
      <bottom/>
      <diagonal/>
    </border>
    <border>
      <left/>
      <right style="thin">
        <color rgb="FF7CB824"/>
      </right>
      <top/>
      <bottom/>
      <diagonal/>
    </border>
    <border>
      <left style="thin">
        <color rgb="FF7CB824"/>
      </left>
      <right style="thin">
        <color rgb="FF7CB824"/>
      </right>
      <top/>
      <bottom/>
      <diagonal/>
    </border>
    <border>
      <left/>
      <right style="thin">
        <color rgb="FF662100"/>
      </right>
      <top style="thin">
        <color rgb="FF662100"/>
      </top>
      <bottom/>
      <diagonal/>
    </border>
    <border>
      <left/>
      <right style="thin">
        <color rgb="FF662100"/>
      </right>
      <top/>
      <bottom/>
      <diagonal/>
    </border>
    <border>
      <left style="thin">
        <color rgb="FF662100"/>
      </left>
      <right style="thin">
        <color rgb="FF662100"/>
      </right>
      <top/>
      <bottom/>
      <diagonal/>
    </border>
    <border>
      <left/>
      <right style="thin">
        <color rgb="FFB07E49"/>
      </right>
      <top style="thin">
        <color rgb="FFB07E49"/>
      </top>
      <bottom/>
      <diagonal/>
    </border>
    <border>
      <left/>
      <right style="thin">
        <color rgb="FFB07E49"/>
      </right>
      <top/>
      <bottom/>
      <diagonal/>
    </border>
    <border>
      <left style="thin">
        <color rgb="FFB07E49"/>
      </left>
      <right style="thin">
        <color rgb="FFB07E49"/>
      </right>
      <top/>
      <bottom/>
      <diagonal/>
    </border>
    <border>
      <left/>
      <right style="thin">
        <color rgb="FF003E6F"/>
      </right>
      <top style="thin">
        <color rgb="FF003E6F"/>
      </top>
      <bottom/>
      <diagonal/>
    </border>
    <border>
      <left/>
      <right style="thin">
        <color rgb="FF003E6F"/>
      </right>
      <top/>
      <bottom/>
      <diagonal/>
    </border>
    <border>
      <left style="thin">
        <color rgb="FF003E6F"/>
      </left>
      <right style="thin">
        <color rgb="FF003E6F"/>
      </right>
      <top/>
      <bottom/>
      <diagonal/>
    </border>
    <border>
      <left/>
      <right style="thin">
        <color rgb="FF004498"/>
      </right>
      <top style="thin">
        <color rgb="FF004498"/>
      </top>
      <bottom/>
      <diagonal/>
    </border>
    <border>
      <left style="thin">
        <color rgb="FFB07E49"/>
      </left>
      <right/>
      <top style="thin">
        <color rgb="FFB07E49"/>
      </top>
      <bottom/>
      <diagonal/>
    </border>
    <border>
      <left/>
      <right/>
      <top style="thin">
        <color rgb="FFB07E49"/>
      </top>
      <bottom/>
      <diagonal/>
    </border>
    <border>
      <left/>
      <right/>
      <top style="thin">
        <color rgb="FF003E6F"/>
      </top>
      <bottom/>
      <diagonal/>
    </border>
    <border>
      <left style="thin">
        <color rgb="FF003E6F"/>
      </left>
      <right/>
      <top style="thin">
        <color rgb="FF003E6F"/>
      </top>
      <bottom/>
      <diagonal/>
    </border>
    <border>
      <left style="thin">
        <color rgb="FF662100"/>
      </left>
      <right/>
      <top style="thin">
        <color rgb="FF662100"/>
      </top>
      <bottom/>
      <diagonal/>
    </border>
    <border>
      <left/>
      <right/>
      <top style="thin">
        <color rgb="FF662100"/>
      </top>
      <bottom/>
      <diagonal/>
    </border>
    <border>
      <left style="thin">
        <color rgb="FF7CB824"/>
      </left>
      <right/>
      <top style="thin">
        <color rgb="FF7CB824"/>
      </top>
      <bottom/>
      <diagonal/>
    </border>
    <border>
      <left/>
      <right/>
      <top style="thin">
        <color rgb="FF7CB824"/>
      </top>
      <bottom/>
      <diagonal/>
    </border>
    <border>
      <left style="thin">
        <color rgb="FF73CBEF"/>
      </left>
      <right/>
      <top style="thin">
        <color rgb="FF73CBEF"/>
      </top>
      <bottom/>
      <diagonal/>
    </border>
    <border>
      <left/>
      <right/>
      <top style="thin">
        <color rgb="FF73CBEF"/>
      </top>
      <bottom/>
      <diagonal/>
    </border>
    <border>
      <left style="thin">
        <color rgb="FFFFCC00"/>
      </left>
      <right/>
      <top style="thin">
        <color rgb="FFFFCC00"/>
      </top>
      <bottom/>
      <diagonal/>
    </border>
    <border>
      <left/>
      <right/>
      <top style="thin">
        <color rgb="FFFFCC00"/>
      </top>
      <bottom/>
      <diagonal/>
    </border>
    <border>
      <left style="thin">
        <color rgb="FFA2145C"/>
      </left>
      <right/>
      <top style="thin">
        <color rgb="FFA2145C"/>
      </top>
      <bottom/>
      <diagonal/>
    </border>
    <border>
      <left/>
      <right/>
      <top style="thin">
        <color rgb="FFA2145C"/>
      </top>
      <bottom/>
      <diagonal/>
    </border>
    <border>
      <left style="thin">
        <color rgb="FF438428"/>
      </left>
      <right/>
      <top style="thin">
        <color rgb="FF438428"/>
      </top>
      <bottom/>
      <diagonal/>
    </border>
    <border>
      <left/>
      <right/>
      <top style="thin">
        <color rgb="FF438428"/>
      </top>
      <bottom/>
      <diagonal/>
    </border>
    <border>
      <left style="thin">
        <color rgb="FFA6107E"/>
      </left>
      <right/>
      <top style="thin">
        <color rgb="FFA6107E"/>
      </top>
      <bottom/>
      <diagonal/>
    </border>
    <border>
      <left/>
      <right/>
      <top style="thin">
        <color rgb="FFA6107E"/>
      </top>
      <bottom/>
      <diagonal/>
    </border>
    <border>
      <left style="thin">
        <color rgb="FF0C8E20"/>
      </left>
      <right/>
      <top style="thin">
        <color rgb="FF0C8E20"/>
      </top>
      <bottom/>
      <diagonal/>
    </border>
    <border>
      <left/>
      <right/>
      <top style="thin">
        <color rgb="FF0C8E20"/>
      </top>
      <bottom/>
      <diagonal/>
    </border>
    <border>
      <left/>
      <right style="thin">
        <color rgb="FF336BA4"/>
      </right>
      <top style="thin">
        <color rgb="FF336BA4"/>
      </top>
      <bottom/>
      <diagonal/>
    </border>
  </borders>
  <cellStyleXfs count="17">
    <xf numFmtId="0" fontId="0" fillId="0" borderId="0"/>
    <xf numFmtId="0" fontId="2" fillId="0" borderId="0"/>
    <xf numFmtId="0" fontId="1" fillId="2" borderId="1" applyNumberFormat="0" applyAlignment="0" applyProtection="0"/>
    <xf numFmtId="0" fontId="3" fillId="3" borderId="0" applyNumberFormat="0" applyBorder="0" applyAlignment="0" applyProtection="0"/>
    <xf numFmtId="0" fontId="4" fillId="0" borderId="0" applyNumberFormat="0" applyFill="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cellStyleXfs>
  <cellXfs count="211">
    <xf numFmtId="0" fontId="0" fillId="0" borderId="0" xfId="0"/>
    <xf numFmtId="165" fontId="5" fillId="0" borderId="0" xfId="1" applyNumberFormat="1" applyFont="1" applyBorder="1" applyAlignment="1">
      <alignment vertical="center"/>
    </xf>
    <xf numFmtId="165" fontId="6" fillId="0" borderId="0" xfId="1" applyNumberFormat="1" applyFont="1" applyBorder="1" applyAlignment="1">
      <alignment vertical="center"/>
    </xf>
    <xf numFmtId="0" fontId="9" fillId="0" borderId="0" xfId="0" applyFont="1"/>
    <xf numFmtId="165" fontId="10" fillId="0" borderId="0" xfId="1" applyNumberFormat="1" applyFont="1" applyBorder="1" applyAlignment="1">
      <alignment vertical="center"/>
    </xf>
    <xf numFmtId="0" fontId="7" fillId="0" borderId="0" xfId="1" applyFont="1"/>
    <xf numFmtId="0" fontId="11" fillId="0" borderId="0" xfId="0" applyFont="1"/>
    <xf numFmtId="0" fontId="7" fillId="0" borderId="0" xfId="1" applyFont="1" applyAlignment="1"/>
    <xf numFmtId="166" fontId="11" fillId="0" borderId="0" xfId="0" applyNumberFormat="1" applyFont="1"/>
    <xf numFmtId="0" fontId="11" fillId="0" borderId="0" xfId="0" applyFont="1" applyAlignment="1">
      <alignment horizontal="center"/>
    </xf>
    <xf numFmtId="0" fontId="7" fillId="0" borderId="0" xfId="1" applyFont="1" applyAlignment="1">
      <alignment horizontal="center"/>
    </xf>
    <xf numFmtId="0" fontId="12" fillId="0" borderId="0" xfId="1" applyFont="1" applyAlignment="1">
      <alignment horizontal="center"/>
    </xf>
    <xf numFmtId="0" fontId="12" fillId="0" borderId="0" xfId="1" applyFont="1"/>
    <xf numFmtId="0" fontId="7" fillId="0" borderId="0" xfId="1" applyFont="1"/>
    <xf numFmtId="0" fontId="8" fillId="0" borderId="0" xfId="1" applyFont="1"/>
    <xf numFmtId="165" fontId="5" fillId="0" borderId="0" xfId="1" applyNumberFormat="1" applyFont="1" applyBorder="1" applyAlignment="1">
      <alignment horizontal="left" vertical="top" indent="2"/>
    </xf>
    <xf numFmtId="0" fontId="7" fillId="0" borderId="0" xfId="1" applyFont="1"/>
    <xf numFmtId="165" fontId="5" fillId="0" borderId="0" xfId="1" applyNumberFormat="1" applyFont="1" applyBorder="1" applyAlignment="1">
      <alignment horizontal="left" vertical="top" indent="2"/>
    </xf>
    <xf numFmtId="0" fontId="7" fillId="0" borderId="0" xfId="1" applyFont="1"/>
    <xf numFmtId="165" fontId="13" fillId="0" borderId="0" xfId="1" applyNumberFormat="1" applyFont="1" applyBorder="1" applyAlignment="1">
      <alignment horizontal="left" vertical="top" indent="2"/>
    </xf>
    <xf numFmtId="0" fontId="7" fillId="0" borderId="0" xfId="1" applyFont="1"/>
    <xf numFmtId="165" fontId="14" fillId="0" borderId="0" xfId="1" applyNumberFormat="1" applyFont="1" applyBorder="1" applyAlignment="1">
      <alignment horizontal="left" vertical="top" indent="2"/>
    </xf>
    <xf numFmtId="164" fontId="15" fillId="0" borderId="13" xfId="1" applyNumberFormat="1" applyFont="1" applyFill="1" applyBorder="1" applyAlignment="1">
      <alignment horizontal="center" vertical="top" wrapText="1"/>
    </xf>
    <xf numFmtId="164" fontId="22" fillId="8" borderId="0" xfId="1" applyNumberFormat="1" applyFont="1" applyFill="1" applyBorder="1" applyAlignment="1">
      <alignment horizontal="center" vertical="top" wrapText="1"/>
    </xf>
    <xf numFmtId="164" fontId="22" fillId="5" borderId="0" xfId="1" applyNumberFormat="1" applyFont="1" applyFill="1" applyBorder="1" applyAlignment="1">
      <alignment horizontal="center" vertical="top" wrapText="1"/>
    </xf>
    <xf numFmtId="164" fontId="22" fillId="5" borderId="44" xfId="1" applyNumberFormat="1" applyFont="1" applyFill="1" applyBorder="1" applyAlignment="1">
      <alignment horizontal="center" vertical="top" wrapText="1"/>
    </xf>
    <xf numFmtId="164" fontId="22" fillId="6" borderId="0" xfId="1" applyNumberFormat="1" applyFont="1" applyFill="1" applyBorder="1" applyAlignment="1" applyProtection="1">
      <alignment horizontal="center" vertical="top" wrapText="1"/>
    </xf>
    <xf numFmtId="164" fontId="22" fillId="8" borderId="44" xfId="1" applyNumberFormat="1" applyFont="1" applyFill="1" applyBorder="1" applyAlignment="1">
      <alignment horizontal="center" vertical="top" wrapText="1"/>
    </xf>
    <xf numFmtId="164" fontId="22" fillId="4" borderId="0" xfId="1" applyNumberFormat="1" applyFont="1" applyFill="1" applyBorder="1" applyAlignment="1">
      <alignment horizontal="center" vertical="top" wrapText="1"/>
    </xf>
    <xf numFmtId="164" fontId="22" fillId="4" borderId="44" xfId="1" applyNumberFormat="1" applyFont="1" applyFill="1" applyBorder="1" applyAlignment="1">
      <alignment horizontal="center" vertical="top" wrapText="1"/>
    </xf>
    <xf numFmtId="0" fontId="23" fillId="0" borderId="0" xfId="1" applyFont="1" applyBorder="1" applyAlignment="1">
      <alignment horizontal="center"/>
    </xf>
    <xf numFmtId="164" fontId="23" fillId="0" borderId="9" xfId="1" applyNumberFormat="1" applyFont="1" applyFill="1" applyBorder="1" applyAlignment="1">
      <alignment horizontal="center" vertical="top" wrapText="1"/>
    </xf>
    <xf numFmtId="164" fontId="23" fillId="0" borderId="0" xfId="1" applyNumberFormat="1" applyFont="1" applyFill="1" applyBorder="1" applyAlignment="1">
      <alignment horizontal="center" vertical="top" wrapText="1"/>
    </xf>
    <xf numFmtId="0" fontId="11" fillId="0" borderId="0" xfId="0" applyFont="1" applyBorder="1"/>
    <xf numFmtId="0" fontId="11" fillId="0" borderId="0" xfId="0" applyFont="1" applyBorder="1" applyAlignment="1">
      <alignment horizontal="center"/>
    </xf>
    <xf numFmtId="0" fontId="27" fillId="0" borderId="0" xfId="0" applyFont="1"/>
    <xf numFmtId="166" fontId="27" fillId="0" borderId="0" xfId="0" applyNumberFormat="1" applyFont="1"/>
    <xf numFmtId="0" fontId="29" fillId="0" borderId="0" xfId="1" applyFont="1"/>
    <xf numFmtId="0" fontId="30" fillId="0" borderId="0" xfId="0" applyFont="1"/>
    <xf numFmtId="166" fontId="30" fillId="0" borderId="0" xfId="0" applyNumberFormat="1" applyFont="1"/>
    <xf numFmtId="165" fontId="13" fillId="0" borderId="0" xfId="1" applyNumberFormat="1" applyFont="1" applyBorder="1" applyAlignment="1">
      <alignment horizontal="left" vertical="top"/>
    </xf>
    <xf numFmtId="164" fontId="23" fillId="0" borderId="12" xfId="1" applyNumberFormat="1" applyFont="1" applyFill="1" applyBorder="1" applyAlignment="1">
      <alignment horizontal="center" vertical="top" wrapText="1"/>
    </xf>
    <xf numFmtId="164" fontId="23" fillId="0" borderId="2" xfId="1" applyNumberFormat="1" applyFont="1" applyFill="1" applyBorder="1" applyAlignment="1">
      <alignment horizontal="center" vertical="top" wrapText="1"/>
    </xf>
    <xf numFmtId="164" fontId="34" fillId="0" borderId="2" xfId="1" applyNumberFormat="1" applyFont="1" applyFill="1" applyBorder="1" applyAlignment="1">
      <alignment horizontal="center" vertical="top" wrapText="1"/>
    </xf>
    <xf numFmtId="164" fontId="34" fillId="0" borderId="12" xfId="1" applyNumberFormat="1" applyFont="1" applyFill="1" applyBorder="1" applyAlignment="1">
      <alignment horizontal="center" vertical="top" wrapText="1"/>
    </xf>
    <xf numFmtId="164" fontId="61" fillId="0" borderId="45" xfId="1" applyNumberFormat="1" applyFont="1" applyFill="1" applyBorder="1" applyAlignment="1">
      <alignment horizontal="center" vertical="top" wrapText="1"/>
    </xf>
    <xf numFmtId="164" fontId="61" fillId="0" borderId="46" xfId="1" applyNumberFormat="1" applyFont="1" applyFill="1" applyBorder="1" applyAlignment="1">
      <alignment horizontal="center" vertical="top" wrapText="1"/>
    </xf>
    <xf numFmtId="164" fontId="61" fillId="6" borderId="45" xfId="1" applyNumberFormat="1" applyFont="1" applyFill="1" applyBorder="1" applyAlignment="1">
      <alignment horizontal="center" vertical="top" wrapText="1"/>
    </xf>
    <xf numFmtId="0" fontId="61" fillId="0" borderId="46" xfId="1" applyFont="1" applyBorder="1" applyAlignment="1">
      <alignment horizontal="center"/>
    </xf>
    <xf numFmtId="164" fontId="22" fillId="18" borderId="38" xfId="1" applyNumberFormat="1" applyFont="1" applyFill="1" applyBorder="1" applyAlignment="1">
      <alignment horizontal="center" vertical="top" wrapText="1"/>
    </xf>
    <xf numFmtId="0" fontId="23" fillId="0" borderId="47" xfId="1" applyFont="1" applyBorder="1" applyAlignment="1">
      <alignment horizontal="center"/>
    </xf>
    <xf numFmtId="164" fontId="23" fillId="0" borderId="48" xfId="1" applyNumberFormat="1" applyFont="1" applyFill="1" applyBorder="1" applyAlignment="1">
      <alignment horizontal="center" vertical="top" wrapText="1"/>
    </xf>
    <xf numFmtId="164" fontId="23" fillId="0" borderId="47" xfId="1" applyNumberFormat="1" applyFont="1" applyFill="1" applyBorder="1" applyAlignment="1">
      <alignment horizontal="center" vertical="top" wrapText="1"/>
    </xf>
    <xf numFmtId="164" fontId="22" fillId="19" borderId="41" xfId="1" applyNumberFormat="1" applyFont="1" applyFill="1" applyBorder="1" applyAlignment="1">
      <alignment horizontal="center" vertical="top" wrapText="1"/>
    </xf>
    <xf numFmtId="164" fontId="61" fillId="0" borderId="49" xfId="1" applyNumberFormat="1" applyFont="1" applyFill="1" applyBorder="1" applyAlignment="1">
      <alignment horizontal="center" vertical="top" wrapText="1"/>
    </xf>
    <xf numFmtId="164" fontId="61" fillId="0" borderId="50" xfId="1" applyNumberFormat="1" applyFont="1" applyFill="1" applyBorder="1" applyAlignment="1">
      <alignment horizontal="center" vertical="top" wrapText="1"/>
    </xf>
    <xf numFmtId="0" fontId="61" fillId="0" borderId="50" xfId="1" applyFont="1" applyBorder="1" applyAlignment="1">
      <alignment horizontal="center"/>
    </xf>
    <xf numFmtId="164" fontId="22" fillId="17" borderId="35" xfId="1" applyNumberFormat="1" applyFont="1" applyFill="1" applyBorder="1" applyAlignment="1">
      <alignment horizontal="center" vertical="top" wrapText="1"/>
    </xf>
    <xf numFmtId="164" fontId="61" fillId="0" borderId="51" xfId="1" applyNumberFormat="1" applyFont="1" applyFill="1" applyBorder="1" applyAlignment="1">
      <alignment horizontal="center" vertical="top" wrapText="1"/>
    </xf>
    <xf numFmtId="0" fontId="61" fillId="0" borderId="52" xfId="1" applyFont="1" applyBorder="1" applyAlignment="1">
      <alignment horizontal="center"/>
    </xf>
    <xf numFmtId="164" fontId="61" fillId="0" borderId="52" xfId="1" applyNumberFormat="1" applyFont="1" applyFill="1" applyBorder="1" applyAlignment="1">
      <alignment horizontal="center" vertical="top" wrapText="1"/>
    </xf>
    <xf numFmtId="164" fontId="22" fillId="16" borderId="32" xfId="1" applyNumberFormat="1" applyFont="1" applyFill="1" applyBorder="1" applyAlignment="1">
      <alignment horizontal="center" vertical="top" wrapText="1"/>
    </xf>
    <xf numFmtId="164" fontId="52" fillId="0" borderId="53" xfId="1" applyNumberFormat="1" applyFont="1" applyFill="1" applyBorder="1" applyAlignment="1">
      <alignment horizontal="center" vertical="top" wrapText="1"/>
    </xf>
    <xf numFmtId="164" fontId="52" fillId="0" borderId="54" xfId="1" applyNumberFormat="1" applyFont="1" applyFill="1" applyBorder="1" applyAlignment="1">
      <alignment horizontal="center" vertical="top" wrapText="1"/>
    </xf>
    <xf numFmtId="0" fontId="52" fillId="0" borderId="54" xfId="1" applyFont="1" applyBorder="1" applyAlignment="1">
      <alignment horizontal="center"/>
    </xf>
    <xf numFmtId="164" fontId="47" fillId="15" borderId="29" xfId="1" applyNumberFormat="1" applyFont="1" applyFill="1" applyBorder="1" applyAlignment="1">
      <alignment horizontal="center" vertical="top" wrapText="1"/>
    </xf>
    <xf numFmtId="164" fontId="48" fillId="0" borderId="55" xfId="1" applyNumberFormat="1" applyFont="1" applyFill="1" applyBorder="1" applyAlignment="1">
      <alignment horizontal="center" vertical="top" wrapText="1"/>
    </xf>
    <xf numFmtId="164" fontId="48" fillId="0" borderId="56" xfId="1" applyNumberFormat="1" applyFont="1" applyFill="1" applyBorder="1" applyAlignment="1">
      <alignment horizontal="center" vertical="top" wrapText="1"/>
    </xf>
    <xf numFmtId="0" fontId="48" fillId="0" borderId="56" xfId="1" applyFont="1" applyBorder="1" applyAlignment="1">
      <alignment horizontal="center"/>
    </xf>
    <xf numFmtId="164" fontId="22" fillId="14" borderId="26" xfId="1" applyNumberFormat="1" applyFont="1" applyFill="1" applyBorder="1" applyAlignment="1">
      <alignment horizontal="center" vertical="top" wrapText="1"/>
    </xf>
    <xf numFmtId="164" fontId="48" fillId="0" borderId="57" xfId="1" applyNumberFormat="1" applyFont="1" applyFill="1" applyBorder="1" applyAlignment="1">
      <alignment horizontal="center" vertical="top" wrapText="1"/>
    </xf>
    <xf numFmtId="0" fontId="48" fillId="0" borderId="58" xfId="1" applyFont="1" applyBorder="1" applyAlignment="1">
      <alignment horizontal="center"/>
    </xf>
    <xf numFmtId="164" fontId="48" fillId="0" borderId="58" xfId="1" applyNumberFormat="1" applyFont="1" applyFill="1" applyBorder="1" applyAlignment="1">
      <alignment horizontal="center" vertical="top" wrapText="1"/>
    </xf>
    <xf numFmtId="164" fontId="22" fillId="13" borderId="23" xfId="1" applyNumberFormat="1" applyFont="1" applyFill="1" applyBorder="1" applyAlignment="1">
      <alignment horizontal="center" vertical="top" wrapText="1"/>
    </xf>
    <xf numFmtId="164" fontId="37" fillId="0" borderId="59" xfId="1" applyNumberFormat="1" applyFont="1" applyFill="1" applyBorder="1" applyAlignment="1">
      <alignment horizontal="center" vertical="top" wrapText="1"/>
    </xf>
    <xf numFmtId="164" fontId="37" fillId="0" borderId="60" xfId="1" applyNumberFormat="1" applyFont="1" applyFill="1" applyBorder="1" applyAlignment="1">
      <alignment horizontal="center" vertical="top" wrapText="1"/>
    </xf>
    <xf numFmtId="0" fontId="37" fillId="0" borderId="60" xfId="1" applyFont="1" applyBorder="1" applyAlignment="1">
      <alignment horizontal="center"/>
    </xf>
    <xf numFmtId="164" fontId="22" fillId="12" borderId="20" xfId="1" applyNumberFormat="1" applyFont="1" applyFill="1" applyBorder="1" applyAlignment="1">
      <alignment horizontal="center" vertical="top" wrapText="1"/>
    </xf>
    <xf numFmtId="164" fontId="37" fillId="0" borderId="61" xfId="1" applyNumberFormat="1" applyFont="1" applyFill="1" applyBorder="1" applyAlignment="1">
      <alignment horizontal="center" vertical="top" wrapText="1"/>
    </xf>
    <xf numFmtId="164" fontId="37" fillId="0" borderId="62" xfId="1" applyNumberFormat="1" applyFont="1" applyFill="1" applyBorder="1" applyAlignment="1">
      <alignment horizontal="center" vertical="top" wrapText="1"/>
    </xf>
    <xf numFmtId="164" fontId="37" fillId="6" borderId="61" xfId="1" applyNumberFormat="1" applyFont="1" applyFill="1" applyBorder="1" applyAlignment="1">
      <alignment horizontal="center" vertical="top" wrapText="1"/>
    </xf>
    <xf numFmtId="0" fontId="37" fillId="0" borderId="62" xfId="1" applyFont="1" applyBorder="1" applyAlignment="1">
      <alignment horizontal="center"/>
    </xf>
    <xf numFmtId="164" fontId="22" fillId="11" borderId="17" xfId="1" applyNumberFormat="1" applyFont="1" applyFill="1" applyBorder="1" applyAlignment="1">
      <alignment horizontal="center" vertical="top" wrapText="1"/>
    </xf>
    <xf numFmtId="164" fontId="37" fillId="0" borderId="63" xfId="1" applyNumberFormat="1" applyFont="1" applyFill="1" applyBorder="1" applyAlignment="1">
      <alignment horizontal="center" vertical="top" wrapText="1"/>
    </xf>
    <xf numFmtId="164" fontId="37" fillId="0" borderId="64" xfId="1" applyNumberFormat="1" applyFont="1" applyFill="1" applyBorder="1" applyAlignment="1">
      <alignment horizontal="center" vertical="top" wrapText="1"/>
    </xf>
    <xf numFmtId="0" fontId="37" fillId="0" borderId="64" xfId="1" applyFont="1" applyBorder="1" applyAlignment="1">
      <alignment horizontal="center"/>
    </xf>
    <xf numFmtId="164" fontId="22" fillId="10" borderId="14" xfId="1" applyNumberFormat="1" applyFont="1" applyFill="1" applyBorder="1" applyAlignment="1">
      <alignment horizontal="center" vertical="top" wrapText="1"/>
    </xf>
    <xf numFmtId="164" fontId="22" fillId="9" borderId="65" xfId="1" applyNumberFormat="1" applyFont="1" applyFill="1" applyBorder="1" applyAlignment="1">
      <alignment horizontal="center" vertical="top" wrapText="1"/>
    </xf>
    <xf numFmtId="164" fontId="44" fillId="9" borderId="65" xfId="1" applyNumberFormat="1" applyFont="1" applyFill="1" applyBorder="1" applyAlignment="1">
      <alignment horizontal="center" vertical="top" wrapText="1"/>
    </xf>
    <xf numFmtId="0" fontId="7" fillId="0" borderId="0" xfId="1" applyFont="1"/>
    <xf numFmtId="165" fontId="20" fillId="19" borderId="0" xfId="1" applyNumberFormat="1" applyFont="1" applyFill="1" applyBorder="1" applyAlignment="1">
      <alignment horizontal="left" vertical="center" indent="3"/>
    </xf>
    <xf numFmtId="0" fontId="21" fillId="19" borderId="0" xfId="0" applyFont="1" applyFill="1" applyAlignment="1">
      <alignment horizontal="left" vertical="center" indent="3"/>
    </xf>
    <xf numFmtId="0" fontId="68" fillId="0" borderId="0" xfId="1" applyNumberFormat="1" applyFont="1" applyBorder="1" applyAlignment="1">
      <alignment horizontal="center" vertical="center"/>
    </xf>
    <xf numFmtId="165" fontId="20" fillId="13" borderId="0" xfId="1" applyNumberFormat="1" applyFont="1" applyFill="1" applyBorder="1" applyAlignment="1">
      <alignment horizontal="left" vertical="center" indent="3"/>
    </xf>
    <xf numFmtId="0" fontId="21" fillId="13" borderId="0" xfId="0" applyFont="1" applyFill="1" applyAlignment="1">
      <alignment horizontal="left" vertical="center" indent="3"/>
    </xf>
    <xf numFmtId="165" fontId="20" fillId="14" borderId="0" xfId="1" applyNumberFormat="1" applyFont="1" applyFill="1" applyBorder="1" applyAlignment="1">
      <alignment horizontal="left" vertical="center" indent="3"/>
    </xf>
    <xf numFmtId="0" fontId="21" fillId="14" borderId="0" xfId="0" applyFont="1" applyFill="1" applyAlignment="1">
      <alignment horizontal="left" vertical="center" indent="3"/>
    </xf>
    <xf numFmtId="0" fontId="50" fillId="0" borderId="0" xfId="1" applyNumberFormat="1" applyFont="1" applyBorder="1" applyAlignment="1">
      <alignment horizontal="center" vertical="center"/>
    </xf>
    <xf numFmtId="165" fontId="20" fillId="15" borderId="0" xfId="1" applyNumberFormat="1" applyFont="1" applyFill="1" applyBorder="1" applyAlignment="1">
      <alignment horizontal="left" vertical="center" indent="3"/>
    </xf>
    <xf numFmtId="0" fontId="21" fillId="15" borderId="0" xfId="0" applyFont="1" applyFill="1" applyAlignment="1">
      <alignment horizontal="left" vertical="center" indent="3"/>
    </xf>
    <xf numFmtId="0" fontId="54" fillId="0" borderId="0" xfId="1" applyNumberFormat="1" applyFont="1" applyBorder="1" applyAlignment="1">
      <alignment horizontal="center" vertical="center"/>
    </xf>
    <xf numFmtId="165" fontId="20" fillId="16" borderId="0" xfId="1" applyNumberFormat="1" applyFont="1" applyFill="1" applyBorder="1" applyAlignment="1">
      <alignment horizontal="left" vertical="center" indent="3"/>
    </xf>
    <xf numFmtId="0" fontId="21" fillId="16" borderId="0" xfId="0" applyFont="1" applyFill="1" applyAlignment="1">
      <alignment horizontal="left" vertical="center" indent="3"/>
    </xf>
    <xf numFmtId="0" fontId="57" fillId="0" borderId="0" xfId="1" applyNumberFormat="1" applyFont="1" applyBorder="1" applyAlignment="1">
      <alignment horizontal="center" vertical="center"/>
    </xf>
    <xf numFmtId="165" fontId="20" fillId="17" borderId="0" xfId="1" applyNumberFormat="1" applyFont="1" applyFill="1" applyBorder="1" applyAlignment="1">
      <alignment horizontal="left" vertical="center" indent="3"/>
    </xf>
    <xf numFmtId="0" fontId="21" fillId="17" borderId="0" xfId="0" applyFont="1" applyFill="1" applyAlignment="1">
      <alignment horizontal="left" vertical="center" indent="3"/>
    </xf>
    <xf numFmtId="0" fontId="62" fillId="0" borderId="0" xfId="1" applyNumberFormat="1" applyFont="1" applyBorder="1" applyAlignment="1">
      <alignment horizontal="center" vertical="center"/>
    </xf>
    <xf numFmtId="165" fontId="20" fillId="18" borderId="0" xfId="1" applyNumberFormat="1" applyFont="1" applyFill="1" applyBorder="1" applyAlignment="1">
      <alignment horizontal="left" vertical="center" indent="3"/>
    </xf>
    <xf numFmtId="0" fontId="21" fillId="18" borderId="0" xfId="0" applyFont="1" applyFill="1" applyAlignment="1">
      <alignment horizontal="left" vertical="center" indent="3"/>
    </xf>
    <xf numFmtId="0" fontId="65" fillId="0" borderId="0" xfId="1" applyNumberFormat="1" applyFont="1" applyBorder="1" applyAlignment="1">
      <alignment horizontal="center" vertical="center"/>
    </xf>
    <xf numFmtId="0" fontId="67" fillId="0" borderId="40" xfId="2" applyFont="1" applyFill="1" applyBorder="1" applyAlignment="1">
      <alignment horizontal="left" vertical="top" wrapText="1"/>
    </xf>
    <xf numFmtId="0" fontId="67" fillId="0" borderId="39" xfId="1" applyFont="1" applyFill="1" applyBorder="1" applyAlignment="1">
      <alignment horizontal="left" vertical="top" wrapText="1"/>
    </xf>
    <xf numFmtId="0" fontId="67" fillId="0" borderId="40" xfId="1" applyFont="1" applyFill="1" applyBorder="1" applyAlignment="1">
      <alignment horizontal="left" vertical="top" wrapText="1"/>
    </xf>
    <xf numFmtId="0" fontId="67" fillId="0" borderId="40" xfId="3" applyFont="1" applyFill="1" applyBorder="1" applyAlignment="1">
      <alignment horizontal="left" vertical="top" wrapText="1"/>
    </xf>
    <xf numFmtId="0" fontId="61" fillId="0" borderId="0" xfId="1" applyFont="1" applyFill="1" applyBorder="1" applyAlignment="1">
      <alignment horizontal="center" vertical="top" wrapText="1"/>
    </xf>
    <xf numFmtId="0" fontId="23" fillId="0" borderId="0" xfId="3" applyFont="1" applyFill="1" applyBorder="1" applyAlignment="1">
      <alignment horizontal="center" vertical="top" wrapText="1"/>
    </xf>
    <xf numFmtId="0" fontId="70" fillId="0" borderId="42" xfId="1" applyFont="1" applyFill="1" applyBorder="1" applyAlignment="1">
      <alignment horizontal="left" vertical="top" wrapText="1"/>
    </xf>
    <xf numFmtId="0" fontId="70" fillId="0" borderId="43" xfId="1" applyFont="1" applyFill="1" applyBorder="1" applyAlignment="1">
      <alignment horizontal="left" vertical="top" wrapText="1"/>
    </xf>
    <xf numFmtId="0" fontId="70" fillId="0" borderId="43" xfId="2" applyFont="1" applyFill="1" applyBorder="1" applyAlignment="1">
      <alignment horizontal="left" vertical="top" wrapText="1"/>
    </xf>
    <xf numFmtId="0" fontId="23" fillId="0" borderId="0" xfId="1" applyFont="1" applyFill="1" applyBorder="1" applyAlignment="1">
      <alignment horizontal="center" vertical="top" wrapText="1"/>
    </xf>
    <xf numFmtId="0" fontId="70" fillId="0" borderId="43" xfId="3" applyFont="1" applyFill="1" applyBorder="1" applyAlignment="1">
      <alignment horizontal="left" vertical="top" wrapText="1"/>
    </xf>
    <xf numFmtId="0" fontId="69" fillId="0" borderId="0" xfId="2" applyFont="1" applyFill="1" applyBorder="1" applyAlignment="1">
      <alignment horizontal="center"/>
    </xf>
    <xf numFmtId="0" fontId="69" fillId="0" borderId="5" xfId="2" applyFont="1" applyFill="1" applyBorder="1" applyAlignment="1">
      <alignment horizontal="center"/>
    </xf>
    <xf numFmtId="0" fontId="61" fillId="0" borderId="0" xfId="3" applyFont="1" applyFill="1" applyBorder="1" applyAlignment="1">
      <alignment horizontal="center" vertical="top" wrapText="1"/>
    </xf>
    <xf numFmtId="0" fontId="64" fillId="0" borderId="37" xfId="2" applyFont="1" applyFill="1" applyBorder="1" applyAlignment="1">
      <alignment horizontal="left" vertical="top" wrapText="1"/>
    </xf>
    <xf numFmtId="0" fontId="66" fillId="0" borderId="0" xfId="2" applyFont="1" applyFill="1" applyBorder="1" applyAlignment="1">
      <alignment horizontal="center"/>
    </xf>
    <xf numFmtId="0" fontId="64" fillId="0" borderId="36" xfId="1" applyFont="1" applyFill="1" applyBorder="1" applyAlignment="1">
      <alignment horizontal="left" vertical="top" wrapText="1"/>
    </xf>
    <xf numFmtId="0" fontId="64" fillId="0" borderId="37" xfId="1" applyFont="1" applyFill="1" applyBorder="1" applyAlignment="1">
      <alignment horizontal="left" vertical="top" wrapText="1"/>
    </xf>
    <xf numFmtId="0" fontId="64" fillId="0" borderId="37" xfId="3" applyFont="1" applyFill="1" applyBorder="1" applyAlignment="1">
      <alignment horizontal="left" vertical="top" wrapText="1"/>
    </xf>
    <xf numFmtId="0" fontId="64" fillId="0" borderId="0" xfId="1" applyFont="1" applyFill="1" applyBorder="1" applyAlignment="1">
      <alignment horizontal="center" vertical="top" wrapText="1"/>
    </xf>
    <xf numFmtId="0" fontId="64" fillId="0" borderId="0" xfId="3" applyFont="1" applyFill="1" applyBorder="1" applyAlignment="1">
      <alignment horizontal="center" vertical="top" wrapText="1"/>
    </xf>
    <xf numFmtId="0" fontId="60" fillId="0" borderId="34" xfId="2" applyFont="1" applyFill="1" applyBorder="1" applyAlignment="1">
      <alignment horizontal="left" vertical="top" wrapText="1"/>
    </xf>
    <xf numFmtId="0" fontId="63" fillId="0" borderId="0" xfId="2" applyFont="1" applyFill="1" applyBorder="1" applyAlignment="1">
      <alignment horizontal="center"/>
    </xf>
    <xf numFmtId="0" fontId="60" fillId="0" borderId="33" xfId="1" applyFont="1" applyFill="1" applyBorder="1" applyAlignment="1">
      <alignment horizontal="left" vertical="top" wrapText="1"/>
    </xf>
    <xf numFmtId="0" fontId="60" fillId="0" borderId="34" xfId="1" applyFont="1" applyFill="1" applyBorder="1" applyAlignment="1">
      <alignment horizontal="left" vertical="top" wrapText="1"/>
    </xf>
    <xf numFmtId="0" fontId="60" fillId="0" borderId="34" xfId="3" applyFont="1" applyFill="1" applyBorder="1" applyAlignment="1">
      <alignment horizontal="left" vertical="top" wrapText="1"/>
    </xf>
    <xf numFmtId="0" fontId="59" fillId="0" borderId="0" xfId="1" applyFont="1" applyFill="1" applyBorder="1" applyAlignment="1">
      <alignment horizontal="center" vertical="top" wrapText="1"/>
    </xf>
    <xf numFmtId="0" fontId="59" fillId="0" borderId="0" xfId="3" applyFont="1" applyFill="1" applyBorder="1" applyAlignment="1">
      <alignment horizontal="center" vertical="top" wrapText="1"/>
    </xf>
    <xf numFmtId="0" fontId="56" fillId="0" borderId="31" xfId="2" applyFont="1" applyFill="1" applyBorder="1" applyAlignment="1">
      <alignment horizontal="left" vertical="top" wrapText="1"/>
    </xf>
    <xf numFmtId="0" fontId="58" fillId="0" borderId="0" xfId="2" applyFont="1" applyFill="1" applyBorder="1" applyAlignment="1">
      <alignment horizontal="center"/>
    </xf>
    <xf numFmtId="0" fontId="56" fillId="0" borderId="30" xfId="1" applyFont="1" applyFill="1" applyBorder="1" applyAlignment="1">
      <alignment horizontal="left" vertical="top" wrapText="1"/>
    </xf>
    <xf numFmtId="0" fontId="56" fillId="0" borderId="31" xfId="1" applyFont="1" applyFill="1" applyBorder="1" applyAlignment="1">
      <alignment horizontal="left" vertical="top" wrapText="1"/>
    </xf>
    <xf numFmtId="0" fontId="56" fillId="0" borderId="31" xfId="3" applyFont="1" applyFill="1" applyBorder="1" applyAlignment="1">
      <alignment horizontal="left" vertical="top" wrapText="1"/>
    </xf>
    <xf numFmtId="0" fontId="52" fillId="0" borderId="0" xfId="1" applyFont="1" applyFill="1" applyBorder="1" applyAlignment="1">
      <alignment horizontal="center" vertical="top" wrapText="1"/>
    </xf>
    <xf numFmtId="0" fontId="52" fillId="0" borderId="0" xfId="3" applyFont="1" applyFill="1" applyBorder="1" applyAlignment="1">
      <alignment horizontal="center" vertical="top" wrapText="1"/>
    </xf>
    <xf numFmtId="0" fontId="53" fillId="0" borderId="28" xfId="2" applyFont="1" applyFill="1" applyBorder="1" applyAlignment="1">
      <alignment horizontal="left" vertical="top" wrapText="1"/>
    </xf>
    <xf numFmtId="0" fontId="55" fillId="0" borderId="0" xfId="2" applyFont="1" applyFill="1" applyBorder="1" applyAlignment="1">
      <alignment horizontal="center"/>
    </xf>
    <xf numFmtId="0" fontId="53" fillId="0" borderId="27" xfId="1" applyFont="1" applyFill="1" applyBorder="1" applyAlignment="1">
      <alignment horizontal="left" vertical="top" wrapText="1"/>
    </xf>
    <xf numFmtId="0" fontId="53" fillId="0" borderId="28" xfId="1" applyFont="1" applyFill="1" applyBorder="1" applyAlignment="1">
      <alignment horizontal="left" vertical="top" wrapText="1"/>
    </xf>
    <xf numFmtId="0" fontId="53" fillId="0" borderId="28" xfId="3" applyFont="1" applyFill="1" applyBorder="1" applyAlignment="1">
      <alignment horizontal="left" vertical="top" wrapText="1"/>
    </xf>
    <xf numFmtId="0" fontId="48" fillId="0" borderId="0" xfId="1" applyFont="1" applyFill="1" applyBorder="1" applyAlignment="1">
      <alignment horizontal="center" vertical="top" wrapText="1"/>
    </xf>
    <xf numFmtId="0" fontId="48" fillId="0" borderId="0" xfId="3" applyFont="1" applyFill="1" applyBorder="1" applyAlignment="1">
      <alignment horizontal="center" vertical="top" wrapText="1"/>
    </xf>
    <xf numFmtId="0" fontId="49" fillId="0" borderId="25" xfId="2" applyFont="1" applyFill="1" applyBorder="1" applyAlignment="1">
      <alignment horizontal="left" vertical="top" wrapText="1"/>
    </xf>
    <xf numFmtId="0" fontId="51" fillId="0" borderId="0" xfId="2" applyFont="1" applyFill="1" applyBorder="1" applyAlignment="1">
      <alignment horizontal="center"/>
    </xf>
    <xf numFmtId="0" fontId="49" fillId="0" borderId="24" xfId="1" applyFont="1" applyFill="1" applyBorder="1" applyAlignment="1">
      <alignment horizontal="left" vertical="top" wrapText="1"/>
    </xf>
    <xf numFmtId="0" fontId="49" fillId="0" borderId="25" xfId="1" applyFont="1" applyFill="1" applyBorder="1" applyAlignment="1">
      <alignment horizontal="left" vertical="top" wrapText="1"/>
    </xf>
    <xf numFmtId="0" fontId="49" fillId="0" borderId="25" xfId="3" applyFont="1" applyFill="1" applyBorder="1" applyAlignment="1">
      <alignment horizontal="left" vertical="top" wrapText="1"/>
    </xf>
    <xf numFmtId="0" fontId="43" fillId="0" borderId="22" xfId="2" applyFont="1" applyFill="1" applyBorder="1" applyAlignment="1">
      <alignment horizontal="left" vertical="top" wrapText="1"/>
    </xf>
    <xf numFmtId="0" fontId="46" fillId="0" borderId="0" xfId="2" applyFont="1" applyFill="1" applyBorder="1" applyAlignment="1">
      <alignment horizontal="center"/>
    </xf>
    <xf numFmtId="0" fontId="43" fillId="0" borderId="21" xfId="1" applyFont="1" applyFill="1" applyBorder="1" applyAlignment="1">
      <alignment horizontal="left" vertical="top" wrapText="1"/>
    </xf>
    <xf numFmtId="0" fontId="43" fillId="0" borderId="22" xfId="1" applyFont="1" applyFill="1" applyBorder="1" applyAlignment="1">
      <alignment horizontal="left" vertical="top" wrapText="1"/>
    </xf>
    <xf numFmtId="0" fontId="43" fillId="0" borderId="22" xfId="3" applyFont="1" applyFill="1" applyBorder="1" applyAlignment="1">
      <alignment horizontal="left" vertical="top" wrapText="1"/>
    </xf>
    <xf numFmtId="0" fontId="37" fillId="0" borderId="0" xfId="1" applyFont="1" applyFill="1" applyBorder="1" applyAlignment="1">
      <alignment horizontal="center" vertical="top" wrapText="1"/>
    </xf>
    <xf numFmtId="0" fontId="37" fillId="0" borderId="0" xfId="3" applyFont="1" applyFill="1" applyBorder="1" applyAlignment="1">
      <alignment horizontal="center" vertical="top" wrapText="1"/>
    </xf>
    <xf numFmtId="0" fontId="45" fillId="0" borderId="0" xfId="1" applyNumberFormat="1" applyFont="1" applyBorder="1" applyAlignment="1">
      <alignment horizontal="center" vertical="center"/>
    </xf>
    <xf numFmtId="0" fontId="40" fillId="0" borderId="19" xfId="2" applyFont="1" applyFill="1" applyBorder="1" applyAlignment="1">
      <alignment horizontal="left" vertical="top" wrapText="1"/>
    </xf>
    <xf numFmtId="0" fontId="42" fillId="0" borderId="0" xfId="2" applyFont="1" applyFill="1" applyBorder="1" applyAlignment="1">
      <alignment horizontal="center"/>
    </xf>
    <xf numFmtId="0" fontId="40" fillId="0" borderId="18" xfId="1" applyFont="1" applyFill="1" applyBorder="1" applyAlignment="1">
      <alignment horizontal="left" vertical="top" wrapText="1"/>
    </xf>
    <xf numFmtId="0" fontId="40" fillId="0" borderId="19" xfId="1" applyFont="1" applyFill="1" applyBorder="1" applyAlignment="1">
      <alignment horizontal="left" vertical="top" wrapText="1"/>
    </xf>
    <xf numFmtId="0" fontId="41" fillId="0" borderId="0" xfId="1" applyNumberFormat="1" applyFont="1" applyBorder="1" applyAlignment="1">
      <alignment horizontal="center" vertical="center"/>
    </xf>
    <xf numFmtId="165" fontId="20" fillId="12" borderId="0" xfId="1" applyNumberFormat="1" applyFont="1" applyFill="1" applyBorder="1" applyAlignment="1">
      <alignment horizontal="left" vertical="center" indent="3"/>
    </xf>
    <xf numFmtId="0" fontId="21" fillId="12" borderId="0" xfId="0" applyFont="1" applyFill="1" applyAlignment="1">
      <alignment horizontal="left" vertical="center" indent="3"/>
    </xf>
    <xf numFmtId="0" fontId="40" fillId="0" borderId="19" xfId="3" applyFont="1" applyFill="1" applyBorder="1" applyAlignment="1">
      <alignment horizontal="left" vertical="top" wrapText="1"/>
    </xf>
    <xf numFmtId="0" fontId="56" fillId="0" borderId="16" xfId="2" applyFont="1" applyFill="1" applyBorder="1" applyAlignment="1">
      <alignment horizontal="left" vertical="top" wrapText="1"/>
    </xf>
    <xf numFmtId="0" fontId="39" fillId="0" borderId="0" xfId="2" applyFont="1" applyFill="1" applyBorder="1" applyAlignment="1">
      <alignment horizontal="center"/>
    </xf>
    <xf numFmtId="0" fontId="56" fillId="0" borderId="15" xfId="1" applyFont="1" applyFill="1" applyBorder="1" applyAlignment="1">
      <alignment horizontal="left" vertical="top" wrapText="1"/>
    </xf>
    <xf numFmtId="0" fontId="56" fillId="0" borderId="16" xfId="1" applyFont="1" applyFill="1" applyBorder="1" applyAlignment="1">
      <alignment horizontal="left" vertical="top" wrapText="1"/>
    </xf>
    <xf numFmtId="0" fontId="38" fillId="0" borderId="0" xfId="1" applyNumberFormat="1" applyFont="1" applyBorder="1" applyAlignment="1">
      <alignment horizontal="center" vertical="center"/>
    </xf>
    <xf numFmtId="165" fontId="20" fillId="11" borderId="0" xfId="1" applyNumberFormat="1" applyFont="1" applyFill="1" applyBorder="1" applyAlignment="1">
      <alignment horizontal="left" vertical="center" indent="3"/>
    </xf>
    <xf numFmtId="0" fontId="21" fillId="11" borderId="0" xfId="0" applyFont="1" applyFill="1" applyAlignment="1">
      <alignment horizontal="left" vertical="center" indent="3"/>
    </xf>
    <xf numFmtId="0" fontId="56" fillId="0" borderId="16" xfId="3" applyFont="1" applyFill="1" applyBorder="1" applyAlignment="1">
      <alignment horizontal="left" vertical="top" wrapText="1"/>
    </xf>
    <xf numFmtId="0" fontId="36" fillId="0" borderId="3" xfId="1" applyFont="1" applyFill="1" applyBorder="1" applyAlignment="1">
      <alignment horizontal="left" vertical="top" wrapText="1"/>
    </xf>
    <xf numFmtId="0" fontId="36" fillId="0" borderId="10" xfId="1" applyFont="1" applyFill="1" applyBorder="1" applyAlignment="1">
      <alignment horizontal="left" vertical="top" wrapText="1"/>
    </xf>
    <xf numFmtId="0" fontId="31" fillId="0" borderId="0" xfId="2" applyFont="1" applyFill="1" applyBorder="1" applyAlignment="1">
      <alignment horizontal="center"/>
    </xf>
    <xf numFmtId="0" fontId="35" fillId="0" borderId="3" xfId="1" applyFont="1" applyFill="1" applyBorder="1" applyAlignment="1">
      <alignment horizontal="left" vertical="top" wrapText="1"/>
    </xf>
    <xf numFmtId="0" fontId="35" fillId="0" borderId="10" xfId="1" applyFont="1" applyFill="1" applyBorder="1" applyAlignment="1">
      <alignment horizontal="left" vertical="top" wrapText="1"/>
    </xf>
    <xf numFmtId="0" fontId="34" fillId="0" borderId="11" xfId="1" applyFont="1" applyFill="1" applyBorder="1" applyAlignment="1">
      <alignment horizontal="center" vertical="top" wrapText="1"/>
    </xf>
    <xf numFmtId="0" fontId="34" fillId="0" borderId="0" xfId="1" applyFont="1" applyFill="1" applyBorder="1" applyAlignment="1">
      <alignment horizontal="center" vertical="top" wrapText="1"/>
    </xf>
    <xf numFmtId="0" fontId="34" fillId="0" borderId="11" xfId="3" applyFont="1" applyFill="1" applyBorder="1" applyAlignment="1">
      <alignment horizontal="center" vertical="top" wrapText="1"/>
    </xf>
    <xf numFmtId="0" fontId="34" fillId="0" borderId="0" xfId="3" applyFont="1" applyFill="1" applyBorder="1" applyAlignment="1">
      <alignment horizontal="center" vertical="top" wrapText="1"/>
    </xf>
    <xf numFmtId="0" fontId="23" fillId="0" borderId="11" xfId="1" applyFont="1" applyFill="1" applyBorder="1" applyAlignment="1">
      <alignment horizontal="center" vertical="top" wrapText="1"/>
    </xf>
    <xf numFmtId="0" fontId="23" fillId="0" borderId="11" xfId="3" applyFont="1" applyFill="1" applyBorder="1" applyAlignment="1">
      <alignment horizontal="center" vertical="top" wrapText="1"/>
    </xf>
    <xf numFmtId="0" fontId="35" fillId="0" borderId="4" xfId="1" applyFont="1" applyFill="1" applyBorder="1" applyAlignment="1">
      <alignment horizontal="left" vertical="top" wrapText="1"/>
    </xf>
    <xf numFmtId="0" fontId="23" fillId="0" borderId="6" xfId="1" applyFont="1" applyFill="1" applyBorder="1" applyAlignment="1">
      <alignment horizontal="center" vertical="top" wrapText="1"/>
    </xf>
    <xf numFmtId="0" fontId="26" fillId="7" borderId="7" xfId="1" applyFont="1" applyFill="1" applyBorder="1" applyAlignment="1" applyProtection="1">
      <alignment horizontal="left" vertical="top" wrapText="1"/>
      <protection locked="0"/>
    </xf>
    <xf numFmtId="0" fontId="26" fillId="7" borderId="8" xfId="1" applyFont="1" applyFill="1" applyBorder="1" applyAlignment="1" applyProtection="1">
      <alignment horizontal="left" vertical="top" wrapText="1"/>
      <protection locked="0"/>
    </xf>
    <xf numFmtId="0" fontId="25" fillId="0" borderId="0" xfId="1" applyNumberFormat="1" applyFont="1" applyBorder="1" applyAlignment="1">
      <alignment horizontal="center" vertical="center"/>
    </xf>
    <xf numFmtId="0" fontId="26" fillId="7" borderId="3" xfId="1" applyFont="1" applyFill="1" applyBorder="1" applyAlignment="1" applyProtection="1">
      <alignment horizontal="left" vertical="top" wrapText="1"/>
      <protection locked="0"/>
    </xf>
    <xf numFmtId="0" fontId="28" fillId="0" borderId="6" xfId="2" applyFont="1" applyFill="1" applyBorder="1" applyAlignment="1">
      <alignment horizontal="center"/>
    </xf>
    <xf numFmtId="0" fontId="28" fillId="0" borderId="0" xfId="2" applyFont="1" applyFill="1" applyBorder="1" applyAlignment="1">
      <alignment horizontal="center"/>
    </xf>
    <xf numFmtId="0" fontId="23" fillId="0" borderId="6" xfId="3" applyFont="1" applyFill="1" applyBorder="1" applyAlignment="1">
      <alignment horizontal="center" vertical="top" wrapText="1"/>
    </xf>
    <xf numFmtId="0" fontId="33" fillId="0" borderId="0" xfId="1" applyNumberFormat="1" applyFont="1" applyBorder="1" applyAlignment="1">
      <alignment horizontal="center" vertical="center"/>
    </xf>
    <xf numFmtId="0" fontId="32" fillId="0" borderId="0" xfId="1" applyNumberFormat="1" applyFont="1" applyBorder="1" applyAlignment="1">
      <alignment horizontal="center" vertical="center"/>
    </xf>
    <xf numFmtId="165" fontId="20" fillId="5" borderId="0" xfId="1" applyNumberFormat="1" applyFont="1" applyFill="1" applyBorder="1" applyAlignment="1">
      <alignment horizontal="left" vertical="center" indent="3"/>
    </xf>
    <xf numFmtId="0" fontId="21" fillId="0" borderId="0" xfId="0" applyFont="1" applyAlignment="1">
      <alignment horizontal="left" vertical="center" indent="3"/>
    </xf>
    <xf numFmtId="165" fontId="20" fillId="9" borderId="0" xfId="1" applyNumberFormat="1" applyFont="1" applyFill="1" applyBorder="1" applyAlignment="1">
      <alignment horizontal="left" vertical="center" indent="3"/>
    </xf>
    <xf numFmtId="0" fontId="21" fillId="9" borderId="0" xfId="0" applyFont="1" applyFill="1" applyAlignment="1">
      <alignment horizontal="left" vertical="center" indent="3"/>
    </xf>
    <xf numFmtId="165" fontId="20" fillId="10" borderId="0" xfId="1" applyNumberFormat="1" applyFont="1" applyFill="1" applyBorder="1" applyAlignment="1">
      <alignment horizontal="left" vertical="center" indent="3"/>
    </xf>
    <xf numFmtId="0" fontId="21" fillId="10" borderId="0" xfId="0" applyFont="1" applyFill="1" applyAlignment="1">
      <alignment horizontal="left" vertical="center" indent="3"/>
    </xf>
    <xf numFmtId="0" fontId="24" fillId="0" borderId="6" xfId="2" applyFont="1" applyFill="1" applyBorder="1" applyAlignment="1">
      <alignment horizontal="center"/>
    </xf>
    <xf numFmtId="0" fontId="18" fillId="0" borderId="0" xfId="1" applyNumberFormat="1" applyFont="1" applyBorder="1" applyAlignment="1">
      <alignment horizontal="center" vertical="center"/>
    </xf>
  </cellXfs>
  <cellStyles count="17">
    <cellStyle name="40% - Accent1 2" xfId="3"/>
    <cellStyle name="Accent1 2" xfId="2"/>
    <cellStyle name="Heading 1 2" xfId="4"/>
    <cellStyle name="Lien hypertexte" xfId="5" builtinId="8" hidden="1"/>
    <cellStyle name="Lien hypertexte" xfId="7" builtinId="8" hidden="1"/>
    <cellStyle name="Lien hypertexte" xfId="9" builtinId="8" hidden="1"/>
    <cellStyle name="Lien hypertexte" xfId="11" builtinId="8" hidden="1"/>
    <cellStyle name="Lien hypertexte" xfId="13" builtinId="8" hidden="1"/>
    <cellStyle name="Lien hypertexte" xfId="15" builtinId="8" hidden="1"/>
    <cellStyle name="Lien hypertexte visité" xfId="6" builtinId="9" hidden="1"/>
    <cellStyle name="Lien hypertexte visité" xfId="8" builtinId="9" hidden="1"/>
    <cellStyle name="Lien hypertexte visité" xfId="10" builtinId="9" hidden="1"/>
    <cellStyle name="Lien hypertexte visité" xfId="12" builtinId="9" hidden="1"/>
    <cellStyle name="Lien hypertexte visité" xfId="14" builtinId="9" hidden="1"/>
    <cellStyle name="Lien hypertexte visité" xfId="16" builtinId="9" hidden="1"/>
    <cellStyle name="Normal" xfId="0" builtinId="0" customBuiltin="1"/>
    <cellStyle name="Normal 2" xfId="1"/>
  </cellStyles>
  <dxfs count="47">
    <dxf>
      <font>
        <color theme="0"/>
      </font>
      <fill>
        <patternFill>
          <bgColor rgb="FF3D7CB1"/>
        </patternFill>
      </fill>
    </dxf>
    <dxf>
      <font>
        <b/>
        <i val="0"/>
        <color theme="0"/>
      </font>
      <fill>
        <patternFill>
          <bgColor rgb="FF83B32C"/>
        </patternFill>
      </fill>
    </dxf>
    <dxf>
      <font>
        <color theme="0"/>
      </font>
      <fill>
        <patternFill>
          <bgColor rgb="FF3D7CB1"/>
        </patternFill>
      </fill>
    </dxf>
    <dxf>
      <font>
        <color theme="0"/>
      </font>
      <fill>
        <patternFill>
          <bgColor rgb="FFDBB085"/>
        </patternFill>
      </fill>
    </dxf>
    <dxf>
      <font>
        <b/>
        <i val="0"/>
        <color theme="0"/>
      </font>
      <fill>
        <patternFill>
          <bgColor rgb="FFB70B00"/>
        </patternFill>
      </fill>
    </dxf>
    <dxf>
      <font>
        <color theme="0"/>
      </font>
      <fill>
        <patternFill>
          <bgColor rgb="FFDBB085"/>
        </patternFill>
      </fill>
    </dxf>
    <dxf>
      <font>
        <color theme="0"/>
      </font>
      <fill>
        <patternFill>
          <bgColor rgb="FFBB3F01"/>
        </patternFill>
      </fill>
    </dxf>
    <dxf>
      <font>
        <b/>
        <i val="0"/>
        <color theme="0"/>
      </font>
      <fill>
        <patternFill>
          <bgColor rgb="FFF47900"/>
        </patternFill>
      </fill>
    </dxf>
    <dxf>
      <font>
        <color theme="0"/>
      </font>
      <fill>
        <patternFill>
          <bgColor rgb="FFBB3F01"/>
        </patternFill>
      </fill>
    </dxf>
    <dxf>
      <font>
        <color theme="0"/>
      </font>
      <fill>
        <patternFill>
          <bgColor rgb="FFC2E267"/>
        </patternFill>
      </fill>
    </dxf>
    <dxf>
      <font>
        <b/>
        <i val="0"/>
        <color theme="0"/>
      </font>
      <fill>
        <patternFill>
          <bgColor rgb="FF146B98"/>
        </patternFill>
      </fill>
    </dxf>
    <dxf>
      <font>
        <color theme="0"/>
      </font>
      <fill>
        <patternFill>
          <bgColor rgb="FFC2E267"/>
        </patternFill>
      </fill>
    </dxf>
    <dxf>
      <font>
        <color theme="0"/>
      </font>
      <fill>
        <patternFill>
          <bgColor rgb="FFB8E5F8"/>
        </patternFill>
      </fill>
    </dxf>
    <dxf>
      <font>
        <b/>
        <i val="0"/>
        <color theme="0"/>
      </font>
      <fill>
        <patternFill>
          <bgColor rgb="FFFBAC4F"/>
        </patternFill>
      </fill>
    </dxf>
    <dxf>
      <font>
        <color theme="0"/>
      </font>
      <fill>
        <patternFill>
          <bgColor rgb="FFB8E5F8"/>
        </patternFill>
      </fill>
    </dxf>
    <dxf>
      <font>
        <color theme="0"/>
      </font>
      <fill>
        <patternFill>
          <bgColor rgb="FFFFF363"/>
        </patternFill>
      </fill>
    </dxf>
    <dxf>
      <font>
        <b/>
        <i val="0"/>
        <color theme="0"/>
      </font>
      <fill>
        <patternFill>
          <bgColor rgb="FFB76001"/>
        </patternFill>
      </fill>
    </dxf>
    <dxf>
      <font>
        <color theme="0"/>
      </font>
      <fill>
        <patternFill>
          <bgColor rgb="FFFFF363"/>
        </patternFill>
      </fill>
    </dxf>
    <dxf>
      <font>
        <color theme="0"/>
      </font>
      <fill>
        <patternFill>
          <bgColor rgb="FFE656AD"/>
        </patternFill>
      </fill>
    </dxf>
    <dxf>
      <font>
        <b/>
        <i val="0"/>
        <color theme="0"/>
      </font>
      <fill>
        <patternFill>
          <bgColor rgb="FFAECA04"/>
        </patternFill>
      </fill>
    </dxf>
    <dxf>
      <font>
        <color theme="0"/>
      </font>
      <fill>
        <patternFill>
          <bgColor rgb="FFE656AD"/>
        </patternFill>
      </fill>
    </dxf>
    <dxf>
      <font>
        <color theme="0"/>
      </font>
      <fill>
        <patternFill>
          <bgColor rgb="FF84C14A"/>
        </patternFill>
      </fill>
    </dxf>
    <dxf>
      <font>
        <b/>
        <i val="0"/>
        <color theme="0"/>
      </font>
      <fill>
        <patternFill>
          <bgColor rgb="FF0070C0"/>
        </patternFill>
      </fill>
    </dxf>
    <dxf>
      <font>
        <color theme="0"/>
      </font>
      <fill>
        <patternFill>
          <bgColor rgb="FF84C14A"/>
        </patternFill>
      </fill>
    </dxf>
    <dxf>
      <font>
        <color theme="0"/>
      </font>
      <fill>
        <patternFill>
          <bgColor rgb="FFE94FC1"/>
        </patternFill>
      </fill>
    </dxf>
    <dxf>
      <font>
        <b/>
        <i val="0"/>
        <color theme="0"/>
      </font>
      <fill>
        <patternFill>
          <bgColor rgb="FF75BA29"/>
        </patternFill>
      </fill>
    </dxf>
    <dxf>
      <font>
        <color theme="0"/>
      </font>
      <fill>
        <patternFill>
          <bgColor rgb="FFE94FC1"/>
        </patternFill>
      </fill>
    </dxf>
    <dxf>
      <font>
        <color theme="0"/>
      </font>
      <fill>
        <patternFill>
          <bgColor rgb="FF99C21E"/>
        </patternFill>
      </fill>
    </dxf>
    <dxf>
      <font>
        <b/>
        <i val="0"/>
        <color theme="0"/>
      </font>
      <fill>
        <patternFill>
          <bgColor rgb="FFF1B203"/>
        </patternFill>
      </fill>
    </dxf>
    <dxf>
      <font>
        <color theme="0"/>
      </font>
      <fill>
        <patternFill>
          <bgColor rgb="FF99C21E"/>
        </patternFill>
      </fill>
    </dxf>
    <dxf>
      <font>
        <color theme="0"/>
      </font>
      <fill>
        <patternFill>
          <bgColor rgb="FF65A7D9"/>
        </patternFill>
      </fill>
    </dxf>
    <dxf>
      <font>
        <b/>
        <i val="0"/>
        <color theme="0"/>
      </font>
      <fill>
        <patternFill>
          <fgColor auto="1"/>
          <bgColor rgb="FFB71664"/>
        </patternFill>
      </fill>
    </dxf>
    <dxf>
      <font>
        <color theme="0"/>
      </font>
      <fill>
        <patternFill>
          <bgColor rgb="FF65A7D9"/>
        </patternFill>
      </fill>
    </dxf>
    <dxf>
      <font>
        <color theme="0"/>
      </font>
      <fill>
        <patternFill>
          <bgColor rgb="FF6ECFFA"/>
        </patternFill>
      </fill>
    </dxf>
    <dxf>
      <font>
        <b/>
        <i val="0"/>
        <color theme="0"/>
      </font>
      <fill>
        <patternFill>
          <bgColor rgb="FF004498"/>
        </patternFill>
      </fill>
    </dxf>
    <dxf>
      <font>
        <color theme="0"/>
      </font>
      <fill>
        <patternFill>
          <bgColor rgb="FF6ECFFA"/>
        </patternFill>
      </fill>
    </dxf>
    <dxf>
      <font>
        <b/>
        <color theme="1"/>
      </font>
      <border diagonalUp="0" diagonalDown="0">
        <left/>
        <right/>
        <top/>
        <bottom/>
        <vertical/>
        <horizontal/>
      </border>
    </dxf>
    <dxf>
      <font>
        <b/>
        <color theme="1"/>
      </font>
      <border>
        <top style="double">
          <color theme="6" tint="-0.24994659260841701"/>
        </top>
      </border>
    </dxf>
    <dxf>
      <font>
        <color theme="0"/>
      </font>
      <fill>
        <patternFill patternType="solid">
          <fgColor theme="4"/>
          <bgColor theme="7"/>
        </patternFill>
      </fill>
      <border diagonalUp="0" diagonalDown="0">
        <left/>
        <right/>
        <top/>
        <bottom/>
        <vertical/>
        <horizontal/>
      </border>
    </dxf>
    <dxf>
      <font>
        <color theme="1"/>
      </font>
      <fill>
        <patternFill>
          <bgColor theme="0"/>
        </patternFill>
      </fill>
      <border>
        <left style="thin">
          <color theme="9" tint="0.59996337778862885"/>
        </left>
        <right style="thin">
          <color theme="9" tint="0.59996337778862885"/>
        </right>
        <top style="thin">
          <color theme="9" tint="0.59996337778862885"/>
        </top>
        <bottom style="thin">
          <color theme="9" tint="0.59996337778862885"/>
        </bottom>
        <vertical/>
        <horizontal style="dashDotDot">
          <color theme="9" tint="0.59996337778862885"/>
        </horizontal>
      </border>
    </dxf>
    <dxf>
      <fill>
        <patternFill patternType="solid">
          <fgColor theme="9" tint="0.79998168889431442"/>
          <bgColor theme="9" tint="0.79998168889431442"/>
        </patternFill>
      </fill>
    </dxf>
    <dxf>
      <fill>
        <patternFill patternType="solid">
          <fgColor theme="9" tint="0.79998168889431442"/>
          <bgColor theme="9" tint="0.79998168889431442"/>
        </patternFill>
      </fill>
    </dxf>
    <dxf>
      <font>
        <b/>
        <color theme="9" tint="-0.249977111117893"/>
      </font>
    </dxf>
    <dxf>
      <font>
        <b/>
        <color theme="9" tint="-0.249977111117893"/>
      </font>
    </dxf>
    <dxf>
      <font>
        <b/>
        <color theme="9" tint="-0.249977111117893"/>
      </font>
      <border>
        <top style="thin">
          <color theme="9"/>
        </top>
      </border>
    </dxf>
    <dxf>
      <font>
        <b/>
        <color theme="9" tint="-0.249977111117893"/>
      </font>
      <border>
        <bottom style="thin">
          <color theme="9"/>
        </bottom>
      </border>
    </dxf>
    <dxf>
      <font>
        <color theme="9" tint="-0.249977111117893"/>
      </font>
      <fill>
        <patternFill>
          <bgColor theme="0"/>
        </patternFill>
      </fill>
      <border>
        <top style="thin">
          <color theme="9"/>
        </top>
        <bottom style="thin">
          <color theme="9"/>
        </bottom>
      </border>
    </dxf>
  </dxfs>
  <tableStyles count="2" defaultTableStyle="TableStyleMedium2" defaultPivotStyle="PivotStyleLight16">
    <tableStyle name="TableStyleLight7 2" pivot="0" count="7">
      <tableStyleElement type="wholeTable" dxfId="46"/>
      <tableStyleElement type="headerRow" dxfId="45"/>
      <tableStyleElement type="totalRow" dxfId="44"/>
      <tableStyleElement type="firstColumn" dxfId="43"/>
      <tableStyleElement type="lastColumn" dxfId="42"/>
      <tableStyleElement type="firstRowStripe" dxfId="41"/>
      <tableStyleElement type="firstColumnStripe" dxfId="40"/>
    </tableStyle>
    <tableStyle name="TableStyleLight9 2" pivot="0" count="4">
      <tableStyleElement type="wholeTable" dxfId="39"/>
      <tableStyleElement type="headerRow" dxfId="38"/>
      <tableStyleElement type="totalRow" dxfId="37"/>
      <tableStyleElement type="firstColumn" dxfId="36"/>
    </tableStyle>
  </tableStyles>
  <colors>
    <mruColors>
      <color rgb="FF83B32C"/>
      <color rgb="FF003E6F"/>
      <color rgb="FFA31C01"/>
      <color rgb="FFB07E49"/>
      <color rgb="FF662100"/>
      <color rgb="FF336275"/>
      <color rgb="FFF6A708"/>
      <color rgb="FF73CBEF"/>
      <color rgb="FF7CB824"/>
      <color rgb="FFFFCC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1.xml"/><Relationship Id="rId5" Type="http://schemas.openxmlformats.org/officeDocument/2006/relationships/calcChain" Target="calcChain.xml"/><Relationship Id="rId4" Type="http://schemas.openxmlformats.org/officeDocument/2006/relationships/sharedStrings" Target="sharedStrings.xml"/></Relationships>
</file>

<file path=xl/ctrlProps/ctrlProp1.xml><?xml version="1.0" encoding="utf-8"?>
<formControlPr xmlns="http://schemas.microsoft.com/office/spreadsheetml/2009/9/main" objectType="Spin" dx="16" fmlaLink="$N$15" max="2999" min="1900" page="10" val="2016"/>
</file>

<file path=xl/drawings/_rels/drawing1.xml.rels><?xml version="1.0" encoding="UTF-8" standalone="yes"?>
<Relationships xmlns="http://schemas.openxmlformats.org/package/2006/relationships"><Relationship Id="rId8" Type="http://schemas.openxmlformats.org/officeDocument/2006/relationships/image" Target="../media/image8.jpg"/><Relationship Id="rId13" Type="http://schemas.openxmlformats.org/officeDocument/2006/relationships/image" Target="../media/image13.png"/><Relationship Id="rId18" Type="http://schemas.openxmlformats.org/officeDocument/2006/relationships/image" Target="../media/image18.jpg"/><Relationship Id="rId3" Type="http://schemas.openxmlformats.org/officeDocument/2006/relationships/image" Target="../media/image3.png"/><Relationship Id="rId21" Type="http://schemas.openxmlformats.org/officeDocument/2006/relationships/image" Target="../media/image21.png"/><Relationship Id="rId7" Type="http://schemas.openxmlformats.org/officeDocument/2006/relationships/image" Target="../media/image7.png"/><Relationship Id="rId12" Type="http://schemas.openxmlformats.org/officeDocument/2006/relationships/image" Target="../media/image12.jpg"/><Relationship Id="rId17" Type="http://schemas.openxmlformats.org/officeDocument/2006/relationships/image" Target="../media/image17.png"/><Relationship Id="rId2" Type="http://schemas.openxmlformats.org/officeDocument/2006/relationships/image" Target="../media/image2.jpg"/><Relationship Id="rId16" Type="http://schemas.openxmlformats.org/officeDocument/2006/relationships/image" Target="../media/image16.jpg"/><Relationship Id="rId20" Type="http://schemas.openxmlformats.org/officeDocument/2006/relationships/image" Target="../media/image20.jpg"/><Relationship Id="rId1" Type="http://schemas.openxmlformats.org/officeDocument/2006/relationships/image" Target="../media/image1.png"/><Relationship Id="rId6" Type="http://schemas.openxmlformats.org/officeDocument/2006/relationships/image" Target="../media/image6.jpg"/><Relationship Id="rId11" Type="http://schemas.openxmlformats.org/officeDocument/2006/relationships/image" Target="../media/image11.png"/><Relationship Id="rId24" Type="http://schemas.openxmlformats.org/officeDocument/2006/relationships/image" Target="../media/image24.jpg"/><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image" Target="../media/image23.png"/><Relationship Id="rId10" Type="http://schemas.openxmlformats.org/officeDocument/2006/relationships/image" Target="../media/image10.jpg"/><Relationship Id="rId19" Type="http://schemas.openxmlformats.org/officeDocument/2006/relationships/image" Target="../media/image19.png"/><Relationship Id="rId4" Type="http://schemas.openxmlformats.org/officeDocument/2006/relationships/image" Target="../media/image4.jpg"/><Relationship Id="rId9" Type="http://schemas.openxmlformats.org/officeDocument/2006/relationships/image" Target="../media/image9.png"/><Relationship Id="rId14" Type="http://schemas.openxmlformats.org/officeDocument/2006/relationships/image" Target="../media/image14.jpg"/><Relationship Id="rId22" Type="http://schemas.openxmlformats.org/officeDocument/2006/relationships/image" Target="../media/image22.jpg"/></Relationships>
</file>

<file path=xl/drawings/drawing1.xml><?xml version="1.0" encoding="utf-8"?>
<xdr:wsDr xmlns:xdr="http://schemas.openxmlformats.org/drawingml/2006/spreadsheetDrawing" xmlns:a="http://schemas.openxmlformats.org/drawingml/2006/main">
  <xdr:twoCellAnchor editAs="oneCell">
    <xdr:from>
      <xdr:col>1</xdr:col>
      <xdr:colOff>2</xdr:colOff>
      <xdr:row>0</xdr:row>
      <xdr:rowOff>187378</xdr:rowOff>
    </xdr:from>
    <xdr:to>
      <xdr:col>15</xdr:col>
      <xdr:colOff>2088</xdr:colOff>
      <xdr:row>14</xdr:row>
      <xdr:rowOff>7807</xdr:rowOff>
    </xdr:to>
    <xdr:pic>
      <xdr:nvPicPr>
        <xdr:cNvPr id="2" name="Imag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22625" y="433184"/>
          <a:ext cx="7207286" cy="4122042"/>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15</xdr:col>
          <xdr:colOff>0</xdr:colOff>
          <xdr:row>14</xdr:row>
          <xdr:rowOff>190500</xdr:rowOff>
        </xdr:from>
        <xdr:to>
          <xdr:col>15</xdr:col>
          <xdr:colOff>190500</xdr:colOff>
          <xdr:row>15</xdr:row>
          <xdr:rowOff>0</xdr:rowOff>
        </xdr:to>
        <xdr:sp macro="" textlink="">
          <xdr:nvSpPr>
            <xdr:cNvPr id="1025" name="Spinner 1" descr="Spinner control. Use spinner to change calendar year or type desired year in cell L2 " hidden="1">
              <a:extLst>
                <a:ext uri="{63B3BB69-23CF-44E3-9099-C40C66FF867C}">
                  <a14:compatExt spid="_x0000_s1025"/>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xdr:twoCellAnchor>
    <xdr:from>
      <xdr:col>15</xdr:col>
      <xdr:colOff>114300</xdr:colOff>
      <xdr:row>34</xdr:row>
      <xdr:rowOff>142874</xdr:rowOff>
    </xdr:from>
    <xdr:to>
      <xdr:col>19</xdr:col>
      <xdr:colOff>38100</xdr:colOff>
      <xdr:row>34</xdr:row>
      <xdr:rowOff>114299</xdr:rowOff>
    </xdr:to>
    <xdr:sp macro="" textlink="">
      <xdr:nvSpPr>
        <xdr:cNvPr id="53" name="TextBox 62"/>
        <xdr:cNvSpPr txBox="1"/>
      </xdr:nvSpPr>
      <xdr:spPr>
        <a:xfrm>
          <a:off x="7971367" y="142874"/>
          <a:ext cx="20066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000" b="1">
              <a:solidFill>
                <a:schemeClr val="accent1"/>
              </a:solidFill>
            </a:rPr>
            <a:t>Pour</a:t>
          </a:r>
          <a:r>
            <a:rPr lang="en-US" sz="1000" b="1" baseline="0">
              <a:solidFill>
                <a:schemeClr val="accent1"/>
              </a:solidFill>
            </a:rPr>
            <a:t> changer l'année du calendrier,  cliquez sur le compteur.</a:t>
          </a:r>
          <a:endParaRPr lang="en-US" sz="1000" b="1">
            <a:solidFill>
              <a:schemeClr val="accent1"/>
            </a:solidFill>
          </a:endParaRPr>
        </a:p>
      </xdr:txBody>
    </xdr:sp>
    <xdr:clientData fPrintsWithSheet="0"/>
  </xdr:twoCellAnchor>
  <xdr:twoCellAnchor>
    <xdr:from>
      <xdr:col>5</xdr:col>
      <xdr:colOff>194736</xdr:colOff>
      <xdr:row>13</xdr:row>
      <xdr:rowOff>372533</xdr:rowOff>
    </xdr:from>
    <xdr:to>
      <xdr:col>10</xdr:col>
      <xdr:colOff>59267</xdr:colOff>
      <xdr:row>14</xdr:row>
      <xdr:rowOff>16932</xdr:rowOff>
    </xdr:to>
    <xdr:sp macro="" textlink="">
      <xdr:nvSpPr>
        <xdr:cNvPr id="55" name="TextBox 4"/>
        <xdr:cNvSpPr txBox="1"/>
      </xdr:nvSpPr>
      <xdr:spPr>
        <a:xfrm>
          <a:off x="2575988" y="3813823"/>
          <a:ext cx="2722031" cy="7505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3000" b="0" i="0">
              <a:solidFill>
                <a:schemeClr val="bg1"/>
              </a:solidFill>
              <a:latin typeface="Century Gothic"/>
              <a:cs typeface="Century Gothic"/>
            </a:rPr>
            <a:t>JANVIER</a:t>
          </a:r>
        </a:p>
      </xdr:txBody>
    </xdr:sp>
    <xdr:clientData/>
  </xdr:twoCellAnchor>
  <xdr:twoCellAnchor editAs="oneCell">
    <xdr:from>
      <xdr:col>1</xdr:col>
      <xdr:colOff>741702</xdr:colOff>
      <xdr:row>4</xdr:row>
      <xdr:rowOff>39037</xdr:rowOff>
    </xdr:from>
    <xdr:to>
      <xdr:col>9</xdr:col>
      <xdr:colOff>555744</xdr:colOff>
      <xdr:row>13</xdr:row>
      <xdr:rowOff>163955</xdr:rowOff>
    </xdr:to>
    <xdr:pic>
      <xdr:nvPicPr>
        <xdr:cNvPr id="3" name="Image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064325" y="1268069"/>
          <a:ext cx="3931300" cy="2337176"/>
        </a:xfrm>
        <a:prstGeom prst="rect">
          <a:avLst/>
        </a:prstGeom>
      </xdr:spPr>
    </xdr:pic>
    <xdr:clientData/>
  </xdr:twoCellAnchor>
  <xdr:twoCellAnchor editAs="oneCell">
    <xdr:from>
      <xdr:col>0</xdr:col>
      <xdr:colOff>315065</xdr:colOff>
      <xdr:row>34</xdr:row>
      <xdr:rowOff>20630</xdr:rowOff>
    </xdr:from>
    <xdr:to>
      <xdr:col>15</xdr:col>
      <xdr:colOff>3311</xdr:colOff>
      <xdr:row>48</xdr:row>
      <xdr:rowOff>681284</xdr:rowOff>
    </xdr:to>
    <xdr:pic>
      <xdr:nvPicPr>
        <xdr:cNvPr id="56" name="Image 55"/>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315065" y="12032714"/>
          <a:ext cx="7198753" cy="4047321"/>
        </a:xfrm>
        <a:prstGeom prst="rect">
          <a:avLst/>
        </a:prstGeom>
      </xdr:spPr>
    </xdr:pic>
    <xdr:clientData/>
  </xdr:twoCellAnchor>
  <xdr:twoCellAnchor>
    <xdr:from>
      <xdr:col>5</xdr:col>
      <xdr:colOff>192299</xdr:colOff>
      <xdr:row>47</xdr:row>
      <xdr:rowOff>195005</xdr:rowOff>
    </xdr:from>
    <xdr:to>
      <xdr:col>10</xdr:col>
      <xdr:colOff>56830</xdr:colOff>
      <xdr:row>48</xdr:row>
      <xdr:rowOff>701189</xdr:rowOff>
    </xdr:to>
    <xdr:sp macro="" textlink="">
      <xdr:nvSpPr>
        <xdr:cNvPr id="57" name="TextBox 4"/>
        <xdr:cNvSpPr txBox="1"/>
      </xdr:nvSpPr>
      <xdr:spPr>
        <a:xfrm>
          <a:off x="2565989" y="15351851"/>
          <a:ext cx="2714473" cy="74808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3000" b="0" i="0" cap="all" baseline="0">
              <a:solidFill>
                <a:srgbClr val="336BA4"/>
              </a:solidFill>
              <a:latin typeface="Century Gothic"/>
              <a:cs typeface="Century Gothic"/>
            </a:rPr>
            <a:t>FéVRIER</a:t>
          </a:r>
        </a:p>
      </xdr:txBody>
    </xdr:sp>
    <xdr:clientData/>
  </xdr:twoCellAnchor>
  <xdr:twoCellAnchor editAs="oneCell">
    <xdr:from>
      <xdr:col>1</xdr:col>
      <xdr:colOff>739265</xdr:colOff>
      <xdr:row>37</xdr:row>
      <xdr:rowOff>105757</xdr:rowOff>
    </xdr:from>
    <xdr:to>
      <xdr:col>9</xdr:col>
      <xdr:colOff>553307</xdr:colOff>
      <xdr:row>46</xdr:row>
      <xdr:rowOff>225989</xdr:rowOff>
    </xdr:to>
    <xdr:pic>
      <xdr:nvPicPr>
        <xdr:cNvPr id="62" name="Image 61"/>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056765" y="12843555"/>
          <a:ext cx="3926423" cy="2297375"/>
        </a:xfrm>
        <a:prstGeom prst="rect">
          <a:avLst/>
        </a:prstGeom>
      </xdr:spPr>
    </xdr:pic>
    <xdr:clientData/>
  </xdr:twoCellAnchor>
  <xdr:twoCellAnchor>
    <xdr:from>
      <xdr:col>15</xdr:col>
      <xdr:colOff>114300</xdr:colOff>
      <xdr:row>70</xdr:row>
      <xdr:rowOff>142874</xdr:rowOff>
    </xdr:from>
    <xdr:to>
      <xdr:col>19</xdr:col>
      <xdr:colOff>38100</xdr:colOff>
      <xdr:row>70</xdr:row>
      <xdr:rowOff>114299</xdr:rowOff>
    </xdr:to>
    <xdr:sp macro="" textlink="">
      <xdr:nvSpPr>
        <xdr:cNvPr id="64" name="TextBox 62"/>
        <xdr:cNvSpPr txBox="1"/>
      </xdr:nvSpPr>
      <xdr:spPr>
        <a:xfrm>
          <a:off x="7628467" y="12170077"/>
          <a:ext cx="1927074"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000" b="1">
              <a:solidFill>
                <a:schemeClr val="accent1"/>
              </a:solidFill>
            </a:rPr>
            <a:t>Pour</a:t>
          </a:r>
          <a:r>
            <a:rPr lang="en-US" sz="1000" b="1" baseline="0">
              <a:solidFill>
                <a:schemeClr val="accent1"/>
              </a:solidFill>
            </a:rPr>
            <a:t> changer l'année du calendrier,  cliquez sur le compteur.</a:t>
          </a:r>
          <a:endParaRPr lang="en-US" sz="1000" b="1">
            <a:solidFill>
              <a:schemeClr val="accent1"/>
            </a:solidFill>
          </a:endParaRPr>
        </a:p>
      </xdr:txBody>
    </xdr:sp>
    <xdr:clientData fPrintsWithSheet="0"/>
  </xdr:twoCellAnchor>
  <xdr:oneCellAnchor>
    <xdr:from>
      <xdr:col>0</xdr:col>
      <xdr:colOff>315066</xdr:colOff>
      <xdr:row>70</xdr:row>
      <xdr:rowOff>20630</xdr:rowOff>
    </xdr:from>
    <xdr:ext cx="7198751" cy="4047321"/>
    <xdr:pic>
      <xdr:nvPicPr>
        <xdr:cNvPr id="65" name="Image 64"/>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315066" y="23757535"/>
          <a:ext cx="7198751" cy="4047321"/>
        </a:xfrm>
        <a:prstGeom prst="rect">
          <a:avLst/>
        </a:prstGeom>
      </xdr:spPr>
    </xdr:pic>
    <xdr:clientData/>
  </xdr:oneCellAnchor>
  <xdr:twoCellAnchor>
    <xdr:from>
      <xdr:col>5</xdr:col>
      <xdr:colOff>192299</xdr:colOff>
      <xdr:row>83</xdr:row>
      <xdr:rowOff>195005</xdr:rowOff>
    </xdr:from>
    <xdr:to>
      <xdr:col>10</xdr:col>
      <xdr:colOff>56830</xdr:colOff>
      <xdr:row>84</xdr:row>
      <xdr:rowOff>701189</xdr:rowOff>
    </xdr:to>
    <xdr:sp macro="" textlink="">
      <xdr:nvSpPr>
        <xdr:cNvPr id="66" name="TextBox 4"/>
        <xdr:cNvSpPr txBox="1"/>
      </xdr:nvSpPr>
      <xdr:spPr>
        <a:xfrm>
          <a:off x="2565989" y="15366970"/>
          <a:ext cx="2714473" cy="7385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3000" b="0" i="0">
              <a:solidFill>
                <a:schemeClr val="bg1"/>
              </a:solidFill>
              <a:latin typeface="Century Gothic"/>
              <a:cs typeface="Century Gothic"/>
            </a:rPr>
            <a:t>MARS</a:t>
          </a:r>
        </a:p>
      </xdr:txBody>
    </xdr:sp>
    <xdr:clientData/>
  </xdr:twoCellAnchor>
  <xdr:oneCellAnchor>
    <xdr:from>
      <xdr:col>1</xdr:col>
      <xdr:colOff>746825</xdr:colOff>
      <xdr:row>73</xdr:row>
      <xdr:rowOff>105757</xdr:rowOff>
    </xdr:from>
    <xdr:ext cx="3926422" cy="2297375"/>
    <xdr:pic>
      <xdr:nvPicPr>
        <xdr:cNvPr id="67" name="Image 66"/>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064325" y="24568376"/>
          <a:ext cx="3926422" cy="2297375"/>
        </a:xfrm>
        <a:prstGeom prst="rect">
          <a:avLst/>
        </a:prstGeom>
      </xdr:spPr>
    </xdr:pic>
    <xdr:clientData/>
  </xdr:oneCellAnchor>
  <xdr:twoCellAnchor>
    <xdr:from>
      <xdr:col>15</xdr:col>
      <xdr:colOff>114300</xdr:colOff>
      <xdr:row>106</xdr:row>
      <xdr:rowOff>142874</xdr:rowOff>
    </xdr:from>
    <xdr:to>
      <xdr:col>19</xdr:col>
      <xdr:colOff>38100</xdr:colOff>
      <xdr:row>106</xdr:row>
      <xdr:rowOff>114299</xdr:rowOff>
    </xdr:to>
    <xdr:sp macro="" textlink="">
      <xdr:nvSpPr>
        <xdr:cNvPr id="71" name="TextBox 62"/>
        <xdr:cNvSpPr txBox="1"/>
      </xdr:nvSpPr>
      <xdr:spPr>
        <a:xfrm>
          <a:off x="7654925" y="23786703"/>
          <a:ext cx="1928019"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000" b="1">
              <a:solidFill>
                <a:schemeClr val="accent1"/>
              </a:solidFill>
            </a:rPr>
            <a:t>Pour</a:t>
          </a:r>
          <a:r>
            <a:rPr lang="en-US" sz="1000" b="1" baseline="0">
              <a:solidFill>
                <a:schemeClr val="accent1"/>
              </a:solidFill>
            </a:rPr>
            <a:t> changer l'année du calendrier,  cliquez sur le compteur.</a:t>
          </a:r>
          <a:endParaRPr lang="en-US" sz="1000" b="1">
            <a:solidFill>
              <a:schemeClr val="accent1"/>
            </a:solidFill>
          </a:endParaRPr>
        </a:p>
      </xdr:txBody>
    </xdr:sp>
    <xdr:clientData fPrintsWithSheet="0"/>
  </xdr:twoCellAnchor>
  <xdr:oneCellAnchor>
    <xdr:from>
      <xdr:col>0</xdr:col>
      <xdr:colOff>315066</xdr:colOff>
      <xdr:row>106</xdr:row>
      <xdr:rowOff>20630</xdr:rowOff>
    </xdr:from>
    <xdr:ext cx="7198751" cy="4047320"/>
    <xdr:pic>
      <xdr:nvPicPr>
        <xdr:cNvPr id="72" name="Image 71"/>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315066" y="35213522"/>
          <a:ext cx="7198751" cy="4047320"/>
        </a:xfrm>
        <a:prstGeom prst="rect">
          <a:avLst/>
        </a:prstGeom>
      </xdr:spPr>
    </xdr:pic>
    <xdr:clientData/>
  </xdr:oneCellAnchor>
  <xdr:twoCellAnchor>
    <xdr:from>
      <xdr:col>5</xdr:col>
      <xdr:colOff>192299</xdr:colOff>
      <xdr:row>119</xdr:row>
      <xdr:rowOff>195005</xdr:rowOff>
    </xdr:from>
    <xdr:to>
      <xdr:col>10</xdr:col>
      <xdr:colOff>56830</xdr:colOff>
      <xdr:row>120</xdr:row>
      <xdr:rowOff>691664</xdr:rowOff>
    </xdr:to>
    <xdr:sp macro="" textlink="">
      <xdr:nvSpPr>
        <xdr:cNvPr id="73" name="TextBox 4"/>
        <xdr:cNvSpPr txBox="1"/>
      </xdr:nvSpPr>
      <xdr:spPr>
        <a:xfrm>
          <a:off x="2573549" y="38483522"/>
          <a:ext cx="2722031" cy="73478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3000" b="0" i="0">
              <a:solidFill>
                <a:schemeClr val="bg1"/>
              </a:solidFill>
              <a:latin typeface="Century Gothic"/>
              <a:cs typeface="Century Gothic"/>
            </a:rPr>
            <a:t>AVRIL</a:t>
          </a:r>
        </a:p>
      </xdr:txBody>
    </xdr:sp>
    <xdr:clientData/>
  </xdr:twoCellAnchor>
  <xdr:oneCellAnchor>
    <xdr:from>
      <xdr:col>1</xdr:col>
      <xdr:colOff>736903</xdr:colOff>
      <xdr:row>109</xdr:row>
      <xdr:rowOff>125601</xdr:rowOff>
    </xdr:from>
    <xdr:ext cx="3926422" cy="2297374"/>
    <xdr:pic>
      <xdr:nvPicPr>
        <xdr:cNvPr id="74" name="Image 73"/>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1054403" y="36032868"/>
          <a:ext cx="3926422" cy="2297374"/>
        </a:xfrm>
        <a:prstGeom prst="rect">
          <a:avLst/>
        </a:prstGeom>
      </xdr:spPr>
    </xdr:pic>
    <xdr:clientData/>
  </xdr:oneCellAnchor>
  <xdr:twoCellAnchor>
    <xdr:from>
      <xdr:col>15</xdr:col>
      <xdr:colOff>114300</xdr:colOff>
      <xdr:row>142</xdr:row>
      <xdr:rowOff>142874</xdr:rowOff>
    </xdr:from>
    <xdr:to>
      <xdr:col>19</xdr:col>
      <xdr:colOff>38100</xdr:colOff>
      <xdr:row>142</xdr:row>
      <xdr:rowOff>114299</xdr:rowOff>
    </xdr:to>
    <xdr:sp macro="" textlink="">
      <xdr:nvSpPr>
        <xdr:cNvPr id="75" name="TextBox 62"/>
        <xdr:cNvSpPr txBox="1"/>
      </xdr:nvSpPr>
      <xdr:spPr>
        <a:xfrm>
          <a:off x="7654925" y="35335766"/>
          <a:ext cx="1928019"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000" b="1">
              <a:solidFill>
                <a:schemeClr val="accent1"/>
              </a:solidFill>
            </a:rPr>
            <a:t>Pour</a:t>
          </a:r>
          <a:r>
            <a:rPr lang="en-US" sz="1000" b="1" baseline="0">
              <a:solidFill>
                <a:schemeClr val="accent1"/>
              </a:solidFill>
            </a:rPr>
            <a:t> changer l'année du calendrier,  cliquez sur le compteur.</a:t>
          </a:r>
          <a:endParaRPr lang="en-US" sz="1000" b="1">
            <a:solidFill>
              <a:schemeClr val="accent1"/>
            </a:solidFill>
          </a:endParaRPr>
        </a:p>
      </xdr:txBody>
    </xdr:sp>
    <xdr:clientData fPrintsWithSheet="0"/>
  </xdr:twoCellAnchor>
  <xdr:oneCellAnchor>
    <xdr:from>
      <xdr:col>0</xdr:col>
      <xdr:colOff>315067</xdr:colOff>
      <xdr:row>142</xdr:row>
      <xdr:rowOff>20630</xdr:rowOff>
    </xdr:from>
    <xdr:ext cx="7198749" cy="4047320"/>
    <xdr:pic>
      <xdr:nvPicPr>
        <xdr:cNvPr id="76" name="Image 75"/>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315067" y="46762584"/>
          <a:ext cx="7198749" cy="4047320"/>
        </a:xfrm>
        <a:prstGeom prst="rect">
          <a:avLst/>
        </a:prstGeom>
      </xdr:spPr>
    </xdr:pic>
    <xdr:clientData/>
  </xdr:oneCellAnchor>
  <xdr:twoCellAnchor>
    <xdr:from>
      <xdr:col>5</xdr:col>
      <xdr:colOff>192299</xdr:colOff>
      <xdr:row>155</xdr:row>
      <xdr:rowOff>195005</xdr:rowOff>
    </xdr:from>
    <xdr:to>
      <xdr:col>10</xdr:col>
      <xdr:colOff>56830</xdr:colOff>
      <xdr:row>156</xdr:row>
      <xdr:rowOff>691664</xdr:rowOff>
    </xdr:to>
    <xdr:sp macro="" textlink="">
      <xdr:nvSpPr>
        <xdr:cNvPr id="77" name="TextBox 4"/>
        <xdr:cNvSpPr txBox="1"/>
      </xdr:nvSpPr>
      <xdr:spPr>
        <a:xfrm>
          <a:off x="2573549" y="38483522"/>
          <a:ext cx="2722031" cy="73478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3000" b="0" i="0">
              <a:solidFill>
                <a:schemeClr val="bg1"/>
              </a:solidFill>
              <a:latin typeface="Century Gothic"/>
              <a:cs typeface="Century Gothic"/>
            </a:rPr>
            <a:t>MAI</a:t>
          </a:r>
        </a:p>
      </xdr:txBody>
    </xdr:sp>
    <xdr:clientData/>
  </xdr:twoCellAnchor>
  <xdr:oneCellAnchor>
    <xdr:from>
      <xdr:col>1</xdr:col>
      <xdr:colOff>736903</xdr:colOff>
      <xdr:row>145</xdr:row>
      <xdr:rowOff>125601</xdr:rowOff>
    </xdr:from>
    <xdr:ext cx="3926421" cy="2297374"/>
    <xdr:pic>
      <xdr:nvPicPr>
        <xdr:cNvPr id="78" name="Image 77"/>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1054403" y="47581930"/>
          <a:ext cx="3926421" cy="2297374"/>
        </a:xfrm>
        <a:prstGeom prst="rect">
          <a:avLst/>
        </a:prstGeom>
      </xdr:spPr>
    </xdr:pic>
    <xdr:clientData/>
  </xdr:oneCellAnchor>
  <xdr:twoCellAnchor>
    <xdr:from>
      <xdr:col>15</xdr:col>
      <xdr:colOff>114300</xdr:colOff>
      <xdr:row>177</xdr:row>
      <xdr:rowOff>142874</xdr:rowOff>
    </xdr:from>
    <xdr:to>
      <xdr:col>19</xdr:col>
      <xdr:colOff>38100</xdr:colOff>
      <xdr:row>177</xdr:row>
      <xdr:rowOff>114299</xdr:rowOff>
    </xdr:to>
    <xdr:sp macro="" textlink="">
      <xdr:nvSpPr>
        <xdr:cNvPr id="29" name="TextBox 62"/>
        <xdr:cNvSpPr txBox="1"/>
      </xdr:nvSpPr>
      <xdr:spPr>
        <a:xfrm>
          <a:off x="7654925" y="46884828"/>
          <a:ext cx="1928019"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000" b="1">
              <a:solidFill>
                <a:schemeClr val="accent1"/>
              </a:solidFill>
            </a:rPr>
            <a:t>Pour</a:t>
          </a:r>
          <a:r>
            <a:rPr lang="en-US" sz="1000" b="1" baseline="0">
              <a:solidFill>
                <a:schemeClr val="accent1"/>
              </a:solidFill>
            </a:rPr>
            <a:t> changer l'année du calendrier,  cliquez sur le compteur.</a:t>
          </a:r>
          <a:endParaRPr lang="en-US" sz="1000" b="1">
            <a:solidFill>
              <a:schemeClr val="accent1"/>
            </a:solidFill>
          </a:endParaRPr>
        </a:p>
      </xdr:txBody>
    </xdr:sp>
    <xdr:clientData fPrintsWithSheet="0"/>
  </xdr:twoCellAnchor>
  <xdr:oneCellAnchor>
    <xdr:from>
      <xdr:col>0</xdr:col>
      <xdr:colOff>315067</xdr:colOff>
      <xdr:row>177</xdr:row>
      <xdr:rowOff>20630</xdr:rowOff>
    </xdr:from>
    <xdr:ext cx="7198749" cy="4047319"/>
    <xdr:pic>
      <xdr:nvPicPr>
        <xdr:cNvPr id="30" name="Image 29"/>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315067" y="58232272"/>
          <a:ext cx="7198749" cy="4047319"/>
        </a:xfrm>
        <a:prstGeom prst="rect">
          <a:avLst/>
        </a:prstGeom>
      </xdr:spPr>
    </xdr:pic>
    <xdr:clientData/>
  </xdr:oneCellAnchor>
  <xdr:twoCellAnchor>
    <xdr:from>
      <xdr:col>5</xdr:col>
      <xdr:colOff>192299</xdr:colOff>
      <xdr:row>190</xdr:row>
      <xdr:rowOff>195005</xdr:rowOff>
    </xdr:from>
    <xdr:to>
      <xdr:col>10</xdr:col>
      <xdr:colOff>56830</xdr:colOff>
      <xdr:row>191</xdr:row>
      <xdr:rowOff>691664</xdr:rowOff>
    </xdr:to>
    <xdr:sp macro="" textlink="">
      <xdr:nvSpPr>
        <xdr:cNvPr id="32" name="TextBox 4"/>
        <xdr:cNvSpPr txBox="1"/>
      </xdr:nvSpPr>
      <xdr:spPr>
        <a:xfrm>
          <a:off x="2573549" y="50032584"/>
          <a:ext cx="2722031" cy="73478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3000" b="0" i="0">
              <a:solidFill>
                <a:schemeClr val="bg1"/>
              </a:solidFill>
              <a:latin typeface="Century Gothic"/>
              <a:cs typeface="Century Gothic"/>
            </a:rPr>
            <a:t>JUIN</a:t>
          </a:r>
        </a:p>
      </xdr:txBody>
    </xdr:sp>
    <xdr:clientData/>
  </xdr:twoCellAnchor>
  <xdr:oneCellAnchor>
    <xdr:from>
      <xdr:col>1</xdr:col>
      <xdr:colOff>736903</xdr:colOff>
      <xdr:row>180</xdr:row>
      <xdr:rowOff>125601</xdr:rowOff>
    </xdr:from>
    <xdr:ext cx="3926421" cy="2297373"/>
    <xdr:pic>
      <xdr:nvPicPr>
        <xdr:cNvPr id="33" name="Image 32"/>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1054403" y="59051618"/>
          <a:ext cx="3926421" cy="2297373"/>
        </a:xfrm>
        <a:prstGeom prst="rect">
          <a:avLst/>
        </a:prstGeom>
      </xdr:spPr>
    </xdr:pic>
    <xdr:clientData/>
  </xdr:oneCellAnchor>
  <xdr:twoCellAnchor>
    <xdr:from>
      <xdr:col>15</xdr:col>
      <xdr:colOff>114300</xdr:colOff>
      <xdr:row>212</xdr:row>
      <xdr:rowOff>142874</xdr:rowOff>
    </xdr:from>
    <xdr:to>
      <xdr:col>19</xdr:col>
      <xdr:colOff>38100</xdr:colOff>
      <xdr:row>212</xdr:row>
      <xdr:rowOff>114299</xdr:rowOff>
    </xdr:to>
    <xdr:sp macro="" textlink="">
      <xdr:nvSpPr>
        <xdr:cNvPr id="34" name="TextBox 62"/>
        <xdr:cNvSpPr txBox="1"/>
      </xdr:nvSpPr>
      <xdr:spPr>
        <a:xfrm>
          <a:off x="7654925" y="58354516"/>
          <a:ext cx="1928019"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000" b="1">
              <a:solidFill>
                <a:schemeClr val="accent1"/>
              </a:solidFill>
            </a:rPr>
            <a:t>Pour</a:t>
          </a:r>
          <a:r>
            <a:rPr lang="en-US" sz="1000" b="1" baseline="0">
              <a:solidFill>
                <a:schemeClr val="accent1"/>
              </a:solidFill>
            </a:rPr>
            <a:t> changer l'année du calendrier,  cliquez sur le compteur.</a:t>
          </a:r>
          <a:endParaRPr lang="en-US" sz="1000" b="1">
            <a:solidFill>
              <a:schemeClr val="accent1"/>
            </a:solidFill>
          </a:endParaRPr>
        </a:p>
      </xdr:txBody>
    </xdr:sp>
    <xdr:clientData fPrintsWithSheet="0"/>
  </xdr:twoCellAnchor>
  <xdr:oneCellAnchor>
    <xdr:from>
      <xdr:col>0</xdr:col>
      <xdr:colOff>315068</xdr:colOff>
      <xdr:row>212</xdr:row>
      <xdr:rowOff>20630</xdr:rowOff>
    </xdr:from>
    <xdr:ext cx="7198747" cy="4047319"/>
    <xdr:pic>
      <xdr:nvPicPr>
        <xdr:cNvPr id="36" name="Image 35"/>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315068" y="69701959"/>
          <a:ext cx="7198747" cy="4047319"/>
        </a:xfrm>
        <a:prstGeom prst="rect">
          <a:avLst/>
        </a:prstGeom>
      </xdr:spPr>
    </xdr:pic>
    <xdr:clientData/>
  </xdr:oneCellAnchor>
  <xdr:twoCellAnchor>
    <xdr:from>
      <xdr:col>5</xdr:col>
      <xdr:colOff>192299</xdr:colOff>
      <xdr:row>225</xdr:row>
      <xdr:rowOff>195005</xdr:rowOff>
    </xdr:from>
    <xdr:to>
      <xdr:col>10</xdr:col>
      <xdr:colOff>56830</xdr:colOff>
      <xdr:row>226</xdr:row>
      <xdr:rowOff>691664</xdr:rowOff>
    </xdr:to>
    <xdr:sp macro="" textlink="">
      <xdr:nvSpPr>
        <xdr:cNvPr id="37" name="TextBox 4"/>
        <xdr:cNvSpPr txBox="1"/>
      </xdr:nvSpPr>
      <xdr:spPr>
        <a:xfrm>
          <a:off x="2573549" y="61502272"/>
          <a:ext cx="2722031" cy="73478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3000" b="0" i="0">
              <a:solidFill>
                <a:schemeClr val="accent5">
                  <a:lumMod val="75000"/>
                </a:schemeClr>
              </a:solidFill>
              <a:latin typeface="Century Gothic"/>
              <a:cs typeface="Century Gothic"/>
            </a:rPr>
            <a:t>JUILLET</a:t>
          </a:r>
        </a:p>
      </xdr:txBody>
    </xdr:sp>
    <xdr:clientData/>
  </xdr:twoCellAnchor>
  <xdr:oneCellAnchor>
    <xdr:from>
      <xdr:col>1</xdr:col>
      <xdr:colOff>736904</xdr:colOff>
      <xdr:row>215</xdr:row>
      <xdr:rowOff>125601</xdr:rowOff>
    </xdr:from>
    <xdr:ext cx="3926419" cy="2297373"/>
    <xdr:pic>
      <xdr:nvPicPr>
        <xdr:cNvPr id="38" name="Image 37"/>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1054404" y="70521305"/>
          <a:ext cx="3926419" cy="2297373"/>
        </a:xfrm>
        <a:prstGeom prst="rect">
          <a:avLst/>
        </a:prstGeom>
      </xdr:spPr>
    </xdr:pic>
    <xdr:clientData/>
  </xdr:oneCellAnchor>
  <xdr:twoCellAnchor>
    <xdr:from>
      <xdr:col>15</xdr:col>
      <xdr:colOff>114300</xdr:colOff>
      <xdr:row>247</xdr:row>
      <xdr:rowOff>142874</xdr:rowOff>
    </xdr:from>
    <xdr:to>
      <xdr:col>19</xdr:col>
      <xdr:colOff>38100</xdr:colOff>
      <xdr:row>247</xdr:row>
      <xdr:rowOff>114299</xdr:rowOff>
    </xdr:to>
    <xdr:sp macro="" textlink="">
      <xdr:nvSpPr>
        <xdr:cNvPr id="40" name="TextBox 62"/>
        <xdr:cNvSpPr txBox="1"/>
      </xdr:nvSpPr>
      <xdr:spPr>
        <a:xfrm>
          <a:off x="7654925" y="69824203"/>
          <a:ext cx="1928019"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000" b="1">
              <a:solidFill>
                <a:schemeClr val="accent1"/>
              </a:solidFill>
            </a:rPr>
            <a:t>Pour</a:t>
          </a:r>
          <a:r>
            <a:rPr lang="en-US" sz="1000" b="1" baseline="0">
              <a:solidFill>
                <a:schemeClr val="accent1"/>
              </a:solidFill>
            </a:rPr>
            <a:t> changer l'année du calendrier,  cliquez sur le compteur.</a:t>
          </a:r>
          <a:endParaRPr lang="en-US" sz="1000" b="1">
            <a:solidFill>
              <a:schemeClr val="accent1"/>
            </a:solidFill>
          </a:endParaRPr>
        </a:p>
      </xdr:txBody>
    </xdr:sp>
    <xdr:clientData fPrintsWithSheet="0"/>
  </xdr:twoCellAnchor>
  <xdr:oneCellAnchor>
    <xdr:from>
      <xdr:col>0</xdr:col>
      <xdr:colOff>315068</xdr:colOff>
      <xdr:row>247</xdr:row>
      <xdr:rowOff>20630</xdr:rowOff>
    </xdr:from>
    <xdr:ext cx="7198747" cy="4047318"/>
    <xdr:pic>
      <xdr:nvPicPr>
        <xdr:cNvPr id="41" name="Image 40"/>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315068" y="81393690"/>
          <a:ext cx="7198747" cy="4047318"/>
        </a:xfrm>
        <a:prstGeom prst="rect">
          <a:avLst/>
        </a:prstGeom>
      </xdr:spPr>
    </xdr:pic>
    <xdr:clientData/>
  </xdr:oneCellAnchor>
  <xdr:twoCellAnchor>
    <xdr:from>
      <xdr:col>5</xdr:col>
      <xdr:colOff>192299</xdr:colOff>
      <xdr:row>260</xdr:row>
      <xdr:rowOff>195005</xdr:rowOff>
    </xdr:from>
    <xdr:to>
      <xdr:col>10</xdr:col>
      <xdr:colOff>56830</xdr:colOff>
      <xdr:row>261</xdr:row>
      <xdr:rowOff>691664</xdr:rowOff>
    </xdr:to>
    <xdr:sp macro="" textlink="">
      <xdr:nvSpPr>
        <xdr:cNvPr id="42" name="TextBox 4"/>
        <xdr:cNvSpPr txBox="1"/>
      </xdr:nvSpPr>
      <xdr:spPr>
        <a:xfrm>
          <a:off x="2573549" y="72971959"/>
          <a:ext cx="2722031" cy="73478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3000" b="0" i="0" cap="all" baseline="0">
              <a:solidFill>
                <a:schemeClr val="accent5">
                  <a:lumMod val="75000"/>
                </a:schemeClr>
              </a:solidFill>
              <a:latin typeface="Century Gothic"/>
              <a:cs typeface="Century Gothic"/>
            </a:rPr>
            <a:t>août</a:t>
          </a:r>
        </a:p>
      </xdr:txBody>
    </xdr:sp>
    <xdr:clientData/>
  </xdr:twoCellAnchor>
  <xdr:oneCellAnchor>
    <xdr:from>
      <xdr:col>1</xdr:col>
      <xdr:colOff>736904</xdr:colOff>
      <xdr:row>250</xdr:row>
      <xdr:rowOff>125601</xdr:rowOff>
    </xdr:from>
    <xdr:ext cx="3926419" cy="2297372"/>
    <xdr:pic>
      <xdr:nvPicPr>
        <xdr:cNvPr id="44" name="Image 43"/>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1057142" y="82213037"/>
          <a:ext cx="3926419" cy="2297372"/>
        </a:xfrm>
        <a:prstGeom prst="rect">
          <a:avLst/>
        </a:prstGeom>
      </xdr:spPr>
    </xdr:pic>
    <xdr:clientData/>
  </xdr:oneCellAnchor>
  <xdr:twoCellAnchor>
    <xdr:from>
      <xdr:col>15</xdr:col>
      <xdr:colOff>114300</xdr:colOff>
      <xdr:row>282</xdr:row>
      <xdr:rowOff>142874</xdr:rowOff>
    </xdr:from>
    <xdr:to>
      <xdr:col>19</xdr:col>
      <xdr:colOff>38100</xdr:colOff>
      <xdr:row>282</xdr:row>
      <xdr:rowOff>114299</xdr:rowOff>
    </xdr:to>
    <xdr:sp macro="" textlink="">
      <xdr:nvSpPr>
        <xdr:cNvPr id="45" name="TextBox 62"/>
        <xdr:cNvSpPr txBox="1"/>
      </xdr:nvSpPr>
      <xdr:spPr>
        <a:xfrm>
          <a:off x="7654925" y="81293891"/>
          <a:ext cx="1928019"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000" b="1">
              <a:solidFill>
                <a:schemeClr val="accent1"/>
              </a:solidFill>
            </a:rPr>
            <a:t>Pour</a:t>
          </a:r>
          <a:r>
            <a:rPr lang="en-US" sz="1000" b="1" baseline="0">
              <a:solidFill>
                <a:schemeClr val="accent1"/>
              </a:solidFill>
            </a:rPr>
            <a:t> changer l'année du calendrier,  cliquez sur le compteur.</a:t>
          </a:r>
          <a:endParaRPr lang="en-US" sz="1000" b="1">
            <a:solidFill>
              <a:schemeClr val="accent1"/>
            </a:solidFill>
          </a:endParaRPr>
        </a:p>
      </xdr:txBody>
    </xdr:sp>
    <xdr:clientData fPrintsWithSheet="0"/>
  </xdr:twoCellAnchor>
  <xdr:oneCellAnchor>
    <xdr:from>
      <xdr:col>1</xdr:col>
      <xdr:colOff>3041</xdr:colOff>
      <xdr:row>282</xdr:row>
      <xdr:rowOff>20630</xdr:rowOff>
    </xdr:from>
    <xdr:ext cx="7198747" cy="4047318"/>
    <xdr:pic>
      <xdr:nvPicPr>
        <xdr:cNvPr id="46" name="Image 45"/>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323279" y="92905802"/>
          <a:ext cx="7198747" cy="4047318"/>
        </a:xfrm>
        <a:prstGeom prst="rect">
          <a:avLst/>
        </a:prstGeom>
      </xdr:spPr>
    </xdr:pic>
    <xdr:clientData/>
  </xdr:oneCellAnchor>
  <xdr:twoCellAnchor>
    <xdr:from>
      <xdr:col>5</xdr:col>
      <xdr:colOff>192299</xdr:colOff>
      <xdr:row>295</xdr:row>
      <xdr:rowOff>195005</xdr:rowOff>
    </xdr:from>
    <xdr:to>
      <xdr:col>10</xdr:col>
      <xdr:colOff>56830</xdr:colOff>
      <xdr:row>296</xdr:row>
      <xdr:rowOff>691664</xdr:rowOff>
    </xdr:to>
    <xdr:sp macro="" textlink="">
      <xdr:nvSpPr>
        <xdr:cNvPr id="47" name="TextBox 4"/>
        <xdr:cNvSpPr txBox="1"/>
      </xdr:nvSpPr>
      <xdr:spPr>
        <a:xfrm>
          <a:off x="2573549" y="84441647"/>
          <a:ext cx="2722031" cy="73478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3000" b="0" i="0" cap="all" baseline="0">
              <a:solidFill>
                <a:schemeClr val="bg1"/>
              </a:solidFill>
              <a:latin typeface="Century Gothic"/>
              <a:cs typeface="Century Gothic"/>
            </a:rPr>
            <a:t>SEPTEMBRE</a:t>
          </a:r>
        </a:p>
      </xdr:txBody>
    </xdr:sp>
    <xdr:clientData/>
  </xdr:twoCellAnchor>
  <xdr:oneCellAnchor>
    <xdr:from>
      <xdr:col>1</xdr:col>
      <xdr:colOff>736904</xdr:colOff>
      <xdr:row>285</xdr:row>
      <xdr:rowOff>125601</xdr:rowOff>
    </xdr:from>
    <xdr:ext cx="3926419" cy="2297372"/>
    <xdr:pic>
      <xdr:nvPicPr>
        <xdr:cNvPr id="48" name="Image 47"/>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tretch>
          <a:fillRect/>
        </a:stretch>
      </xdr:blipFill>
      <xdr:spPr>
        <a:xfrm>
          <a:off x="1054404" y="93460680"/>
          <a:ext cx="3926419" cy="2297372"/>
        </a:xfrm>
        <a:prstGeom prst="rect">
          <a:avLst/>
        </a:prstGeom>
      </xdr:spPr>
    </xdr:pic>
    <xdr:clientData/>
  </xdr:oneCellAnchor>
  <xdr:twoCellAnchor>
    <xdr:from>
      <xdr:col>15</xdr:col>
      <xdr:colOff>114300</xdr:colOff>
      <xdr:row>317</xdr:row>
      <xdr:rowOff>142874</xdr:rowOff>
    </xdr:from>
    <xdr:to>
      <xdr:col>19</xdr:col>
      <xdr:colOff>38100</xdr:colOff>
      <xdr:row>317</xdr:row>
      <xdr:rowOff>114299</xdr:rowOff>
    </xdr:to>
    <xdr:sp macro="" textlink="">
      <xdr:nvSpPr>
        <xdr:cNvPr id="49" name="TextBox 62"/>
        <xdr:cNvSpPr txBox="1"/>
      </xdr:nvSpPr>
      <xdr:spPr>
        <a:xfrm>
          <a:off x="7654925" y="92763578"/>
          <a:ext cx="1928019"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000" b="1">
              <a:solidFill>
                <a:schemeClr val="accent1"/>
              </a:solidFill>
            </a:rPr>
            <a:t>Pour</a:t>
          </a:r>
          <a:r>
            <a:rPr lang="en-US" sz="1000" b="1" baseline="0">
              <a:solidFill>
                <a:schemeClr val="accent1"/>
              </a:solidFill>
            </a:rPr>
            <a:t> changer l'année du calendrier,  cliquez sur le compteur.</a:t>
          </a:r>
          <a:endParaRPr lang="en-US" sz="1000" b="1">
            <a:solidFill>
              <a:schemeClr val="accent1"/>
            </a:solidFill>
          </a:endParaRPr>
        </a:p>
      </xdr:txBody>
    </xdr:sp>
    <xdr:clientData fPrintsWithSheet="0"/>
  </xdr:twoCellAnchor>
  <xdr:oneCellAnchor>
    <xdr:from>
      <xdr:col>1</xdr:col>
      <xdr:colOff>3041</xdr:colOff>
      <xdr:row>317</xdr:row>
      <xdr:rowOff>25900</xdr:rowOff>
    </xdr:from>
    <xdr:ext cx="7198747" cy="4036778"/>
    <xdr:pic>
      <xdr:nvPicPr>
        <xdr:cNvPr id="50" name="Image 49"/>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tretch>
          <a:fillRect/>
        </a:stretch>
      </xdr:blipFill>
      <xdr:spPr>
        <a:xfrm>
          <a:off x="323279" y="104423184"/>
          <a:ext cx="7198747" cy="4036778"/>
        </a:xfrm>
        <a:prstGeom prst="rect">
          <a:avLst/>
        </a:prstGeom>
      </xdr:spPr>
    </xdr:pic>
    <xdr:clientData/>
  </xdr:oneCellAnchor>
  <xdr:twoCellAnchor>
    <xdr:from>
      <xdr:col>5</xdr:col>
      <xdr:colOff>192299</xdr:colOff>
      <xdr:row>330</xdr:row>
      <xdr:rowOff>195005</xdr:rowOff>
    </xdr:from>
    <xdr:to>
      <xdr:col>10</xdr:col>
      <xdr:colOff>56830</xdr:colOff>
      <xdr:row>331</xdr:row>
      <xdr:rowOff>691664</xdr:rowOff>
    </xdr:to>
    <xdr:sp macro="" textlink="">
      <xdr:nvSpPr>
        <xdr:cNvPr id="51" name="TextBox 4"/>
        <xdr:cNvSpPr txBox="1"/>
      </xdr:nvSpPr>
      <xdr:spPr>
        <a:xfrm>
          <a:off x="2573549" y="95911334"/>
          <a:ext cx="2722031" cy="73478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3000" b="0" i="0" cap="all" baseline="0">
              <a:solidFill>
                <a:schemeClr val="bg1"/>
              </a:solidFill>
              <a:latin typeface="Century Gothic"/>
              <a:cs typeface="Century Gothic"/>
            </a:rPr>
            <a:t>OCTOBRE</a:t>
          </a:r>
        </a:p>
      </xdr:txBody>
    </xdr:sp>
    <xdr:clientData/>
  </xdr:twoCellAnchor>
  <xdr:oneCellAnchor>
    <xdr:from>
      <xdr:col>1</xdr:col>
      <xdr:colOff>761538</xdr:colOff>
      <xdr:row>320</xdr:row>
      <xdr:rowOff>125601</xdr:rowOff>
    </xdr:from>
    <xdr:ext cx="3926417" cy="2297372"/>
    <xdr:pic>
      <xdr:nvPicPr>
        <xdr:cNvPr id="52" name="Image 51"/>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tretch>
          <a:fillRect/>
        </a:stretch>
      </xdr:blipFill>
      <xdr:spPr>
        <a:xfrm>
          <a:off x="1081776" y="105237261"/>
          <a:ext cx="3926417" cy="2297372"/>
        </a:xfrm>
        <a:prstGeom prst="rect">
          <a:avLst/>
        </a:prstGeom>
      </xdr:spPr>
    </xdr:pic>
    <xdr:clientData/>
  </xdr:oneCellAnchor>
  <xdr:twoCellAnchor>
    <xdr:from>
      <xdr:col>15</xdr:col>
      <xdr:colOff>114300</xdr:colOff>
      <xdr:row>352</xdr:row>
      <xdr:rowOff>142874</xdr:rowOff>
    </xdr:from>
    <xdr:to>
      <xdr:col>19</xdr:col>
      <xdr:colOff>38100</xdr:colOff>
      <xdr:row>352</xdr:row>
      <xdr:rowOff>114299</xdr:rowOff>
    </xdr:to>
    <xdr:sp macro="" textlink="">
      <xdr:nvSpPr>
        <xdr:cNvPr id="54" name="TextBox 62"/>
        <xdr:cNvSpPr txBox="1"/>
      </xdr:nvSpPr>
      <xdr:spPr>
        <a:xfrm>
          <a:off x="7619343" y="104540158"/>
          <a:ext cx="1927335"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000" b="1">
              <a:solidFill>
                <a:schemeClr val="accent1"/>
              </a:solidFill>
            </a:rPr>
            <a:t>Pour</a:t>
          </a:r>
          <a:r>
            <a:rPr lang="en-US" sz="1000" b="1" baseline="0">
              <a:solidFill>
                <a:schemeClr val="accent1"/>
              </a:solidFill>
            </a:rPr>
            <a:t> changer l'année du calendrier,  cliquez sur le compteur.</a:t>
          </a:r>
          <a:endParaRPr lang="en-US" sz="1000" b="1">
            <a:solidFill>
              <a:schemeClr val="accent1"/>
            </a:solidFill>
          </a:endParaRPr>
        </a:p>
      </xdr:txBody>
    </xdr:sp>
    <xdr:clientData fPrintsWithSheet="0"/>
  </xdr:twoCellAnchor>
  <xdr:oneCellAnchor>
    <xdr:from>
      <xdr:col>0</xdr:col>
      <xdr:colOff>316231</xdr:colOff>
      <xdr:row>352</xdr:row>
      <xdr:rowOff>25900</xdr:rowOff>
    </xdr:from>
    <xdr:ext cx="7179999" cy="4036778"/>
    <xdr:pic>
      <xdr:nvPicPr>
        <xdr:cNvPr id="58" name="Image 57"/>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tretch>
          <a:fillRect/>
        </a:stretch>
      </xdr:blipFill>
      <xdr:spPr>
        <a:xfrm>
          <a:off x="316231" y="115935297"/>
          <a:ext cx="7179999" cy="4036778"/>
        </a:xfrm>
        <a:prstGeom prst="rect">
          <a:avLst/>
        </a:prstGeom>
      </xdr:spPr>
    </xdr:pic>
    <xdr:clientData/>
  </xdr:oneCellAnchor>
  <xdr:twoCellAnchor>
    <xdr:from>
      <xdr:col>5</xdr:col>
      <xdr:colOff>192299</xdr:colOff>
      <xdr:row>365</xdr:row>
      <xdr:rowOff>195005</xdr:rowOff>
    </xdr:from>
    <xdr:to>
      <xdr:col>10</xdr:col>
      <xdr:colOff>56830</xdr:colOff>
      <xdr:row>366</xdr:row>
      <xdr:rowOff>691664</xdr:rowOff>
    </xdr:to>
    <xdr:sp macro="" textlink="">
      <xdr:nvSpPr>
        <xdr:cNvPr id="60" name="TextBox 4"/>
        <xdr:cNvSpPr txBox="1"/>
      </xdr:nvSpPr>
      <xdr:spPr>
        <a:xfrm>
          <a:off x="2565339" y="107687915"/>
          <a:ext cx="2713819" cy="7347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3000" b="0" i="0" cap="all" baseline="0">
              <a:solidFill>
                <a:schemeClr val="bg1"/>
              </a:solidFill>
              <a:latin typeface="Century Gothic"/>
              <a:cs typeface="Century Gothic"/>
            </a:rPr>
            <a:t>NOVEMBRE</a:t>
          </a:r>
        </a:p>
      </xdr:txBody>
    </xdr:sp>
    <xdr:clientData/>
  </xdr:twoCellAnchor>
  <xdr:oneCellAnchor>
    <xdr:from>
      <xdr:col>1</xdr:col>
      <xdr:colOff>712272</xdr:colOff>
      <xdr:row>355</xdr:row>
      <xdr:rowOff>125601</xdr:rowOff>
    </xdr:from>
    <xdr:ext cx="3926417" cy="2297371"/>
    <xdr:pic>
      <xdr:nvPicPr>
        <xdr:cNvPr id="61" name="Image 60"/>
        <xdr:cNvPicPr>
          <a:picLocks noChangeAspect="1"/>
        </xdr:cNvPicPr>
      </xdr:nvPicPr>
      <xdr:blipFill>
        <a:blip xmlns:r="http://schemas.openxmlformats.org/officeDocument/2006/relationships" r:embed="rId22">
          <a:extLst>
            <a:ext uri="{28A0092B-C50C-407E-A947-70E740481C1C}">
              <a14:useLocalDpi xmlns:a14="http://schemas.microsoft.com/office/drawing/2010/main" val="0"/>
            </a:ext>
          </a:extLst>
        </a:blip>
        <a:stretch>
          <a:fillRect/>
        </a:stretch>
      </xdr:blipFill>
      <xdr:spPr>
        <a:xfrm>
          <a:off x="1032510" y="116749373"/>
          <a:ext cx="3926417" cy="2297371"/>
        </a:xfrm>
        <a:prstGeom prst="rect">
          <a:avLst/>
        </a:prstGeom>
      </xdr:spPr>
    </xdr:pic>
    <xdr:clientData/>
  </xdr:oneCellAnchor>
  <xdr:twoCellAnchor>
    <xdr:from>
      <xdr:col>15</xdr:col>
      <xdr:colOff>114300</xdr:colOff>
      <xdr:row>387</xdr:row>
      <xdr:rowOff>142874</xdr:rowOff>
    </xdr:from>
    <xdr:to>
      <xdr:col>19</xdr:col>
      <xdr:colOff>38100</xdr:colOff>
      <xdr:row>387</xdr:row>
      <xdr:rowOff>114299</xdr:rowOff>
    </xdr:to>
    <xdr:sp macro="" textlink="">
      <xdr:nvSpPr>
        <xdr:cNvPr id="68" name="TextBox 62"/>
        <xdr:cNvSpPr txBox="1"/>
      </xdr:nvSpPr>
      <xdr:spPr>
        <a:xfrm>
          <a:off x="7619343" y="116052271"/>
          <a:ext cx="1927335"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000" b="1">
              <a:solidFill>
                <a:schemeClr val="accent1"/>
              </a:solidFill>
            </a:rPr>
            <a:t>Pour</a:t>
          </a:r>
          <a:r>
            <a:rPr lang="en-US" sz="1000" b="1" baseline="0">
              <a:solidFill>
                <a:schemeClr val="accent1"/>
              </a:solidFill>
            </a:rPr>
            <a:t> changer l'année du calendrier,  cliquez sur le compteur.</a:t>
          </a:r>
          <a:endParaRPr lang="en-US" sz="1000" b="1">
            <a:solidFill>
              <a:schemeClr val="accent1"/>
            </a:solidFill>
          </a:endParaRPr>
        </a:p>
      </xdr:txBody>
    </xdr:sp>
    <xdr:clientData fPrintsWithSheet="0"/>
  </xdr:twoCellAnchor>
  <xdr:oneCellAnchor>
    <xdr:from>
      <xdr:col>0</xdr:col>
      <xdr:colOff>316231</xdr:colOff>
      <xdr:row>387</xdr:row>
      <xdr:rowOff>31156</xdr:rowOff>
    </xdr:from>
    <xdr:ext cx="7179999" cy="4026265"/>
    <xdr:pic>
      <xdr:nvPicPr>
        <xdr:cNvPr id="69" name="Image 68"/>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Lst>
        </a:blip>
        <a:stretch>
          <a:fillRect/>
        </a:stretch>
      </xdr:blipFill>
      <xdr:spPr>
        <a:xfrm>
          <a:off x="316231" y="127452665"/>
          <a:ext cx="7179999" cy="4026265"/>
        </a:xfrm>
        <a:prstGeom prst="rect">
          <a:avLst/>
        </a:prstGeom>
      </xdr:spPr>
    </xdr:pic>
    <xdr:clientData/>
  </xdr:oneCellAnchor>
  <xdr:twoCellAnchor>
    <xdr:from>
      <xdr:col>5</xdr:col>
      <xdr:colOff>192299</xdr:colOff>
      <xdr:row>400</xdr:row>
      <xdr:rowOff>195005</xdr:rowOff>
    </xdr:from>
    <xdr:to>
      <xdr:col>10</xdr:col>
      <xdr:colOff>56830</xdr:colOff>
      <xdr:row>401</xdr:row>
      <xdr:rowOff>691664</xdr:rowOff>
    </xdr:to>
    <xdr:sp macro="" textlink="">
      <xdr:nvSpPr>
        <xdr:cNvPr id="70" name="TextBox 4"/>
        <xdr:cNvSpPr txBox="1"/>
      </xdr:nvSpPr>
      <xdr:spPr>
        <a:xfrm>
          <a:off x="2565339" y="119200027"/>
          <a:ext cx="2713819" cy="73478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3000" b="0" i="0" cap="all" baseline="0">
              <a:solidFill>
                <a:srgbClr val="003E6F"/>
              </a:solidFill>
              <a:latin typeface="Century Gothic"/>
              <a:cs typeface="Century Gothic"/>
            </a:rPr>
            <a:t>décembre</a:t>
          </a:r>
        </a:p>
      </xdr:txBody>
    </xdr:sp>
    <xdr:clientData/>
  </xdr:twoCellAnchor>
  <xdr:oneCellAnchor>
    <xdr:from>
      <xdr:col>1</xdr:col>
      <xdr:colOff>761539</xdr:colOff>
      <xdr:row>390</xdr:row>
      <xdr:rowOff>125601</xdr:rowOff>
    </xdr:from>
    <xdr:ext cx="3926415" cy="2297371"/>
    <xdr:pic>
      <xdr:nvPicPr>
        <xdr:cNvPr id="79" name="Image 78"/>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tretch>
          <a:fillRect/>
        </a:stretch>
      </xdr:blipFill>
      <xdr:spPr>
        <a:xfrm>
          <a:off x="1081777" y="128261485"/>
          <a:ext cx="3926415" cy="2297371"/>
        </a:xfrm>
        <a:prstGeom prst="rect">
          <a:avLst/>
        </a:prstGeom>
      </xdr:spPr>
    </xdr:pic>
    <xdr:clientData/>
  </xdr:oneCellAnchor>
</xdr:wsDr>
</file>

<file path=xl/theme/theme1.xml><?xml version="1.0" encoding="utf-8"?>
<a:theme xmlns:a="http://schemas.openxmlformats.org/drawingml/2006/main" name="Thatch">
  <a:themeElements>
    <a:clrScheme name="Family Calendar 1">
      <a:dk1>
        <a:sysClr val="windowText" lastClr="000000"/>
      </a:dk1>
      <a:lt1>
        <a:sysClr val="window" lastClr="FFFFFF"/>
      </a:lt1>
      <a:dk2>
        <a:srgbClr val="4E5B6F"/>
      </a:dk2>
      <a:lt2>
        <a:srgbClr val="D6ECFF"/>
      </a:lt2>
      <a:accent1>
        <a:srgbClr val="56B0AD"/>
      </a:accent1>
      <a:accent2>
        <a:srgbClr val="74AA15"/>
      </a:accent2>
      <a:accent3>
        <a:srgbClr val="F4DB0B"/>
      </a:accent3>
      <a:accent4>
        <a:srgbClr val="F45500"/>
      </a:accent4>
      <a:accent5>
        <a:srgbClr val="EB8803"/>
      </a:accent5>
      <a:accent6>
        <a:srgbClr val="7030A0"/>
      </a:accent6>
      <a:hlink>
        <a:srgbClr val="425EA9"/>
      </a:hlink>
      <a:folHlink>
        <a:srgbClr val="AAB8DE"/>
      </a:folHlink>
    </a:clrScheme>
    <a:fontScheme name="Family Calendar 1">
      <a:majorFont>
        <a:latin typeface="Cambria"/>
        <a:ea typeface=""/>
        <a:cs typeface=""/>
      </a:majorFont>
      <a:minorFont>
        <a:latin typeface="Cambria"/>
        <a:ea typeface=""/>
        <a:cs typeface=""/>
      </a:minorFont>
    </a:fontScheme>
    <a:fmtScheme name="Thatch">
      <a:fillStyleLst>
        <a:solidFill>
          <a:schemeClr val="phClr"/>
        </a:solidFill>
        <a:gradFill rotWithShape="1">
          <a:gsLst>
            <a:gs pos="0">
              <a:schemeClr val="phClr">
                <a:tint val="79000"/>
                <a:satMod val="180000"/>
              </a:schemeClr>
            </a:gs>
            <a:gs pos="65000">
              <a:schemeClr val="phClr">
                <a:tint val="52000"/>
                <a:satMod val="250000"/>
              </a:schemeClr>
            </a:gs>
            <a:gs pos="100000">
              <a:schemeClr val="phClr">
                <a:tint val="29000"/>
                <a:satMod val="300000"/>
              </a:schemeClr>
            </a:gs>
          </a:gsLst>
          <a:lin ang="16200000" scaled="0"/>
        </a:gradFill>
        <a:gradFill rotWithShape="1">
          <a:gsLst>
            <a:gs pos="0">
              <a:schemeClr val="phClr">
                <a:shade val="15000"/>
                <a:satMod val="180000"/>
              </a:schemeClr>
            </a:gs>
            <a:gs pos="50000">
              <a:schemeClr val="phClr">
                <a:shade val="45000"/>
                <a:satMod val="170000"/>
              </a:schemeClr>
            </a:gs>
            <a:gs pos="70000">
              <a:schemeClr val="phClr">
                <a:tint val="99000"/>
                <a:shade val="65000"/>
                <a:satMod val="155000"/>
              </a:schemeClr>
            </a:gs>
            <a:gs pos="100000">
              <a:schemeClr val="phClr">
                <a:tint val="95500"/>
                <a:shade val="100000"/>
                <a:satMod val="155000"/>
              </a:schemeClr>
            </a:gs>
          </a:gsLst>
          <a:lin ang="16200000" scaled="0"/>
        </a:gradFill>
      </a:fillStyleLst>
      <a:lnStyleLst>
        <a:ln w="9525" cap="flat" cmpd="sng" algn="ctr">
          <a:solidFill>
            <a:schemeClr val="phClr"/>
          </a:solidFill>
          <a:prstDash val="solid"/>
        </a:ln>
        <a:ln w="15875" cap="flat" cmpd="sng" algn="ctr">
          <a:solidFill>
            <a:schemeClr val="phClr"/>
          </a:solidFill>
          <a:prstDash val="solid"/>
        </a:ln>
        <a:ln w="38100" cap="flat" cmpd="sng" algn="ctr">
          <a:solidFill>
            <a:schemeClr val="phClr"/>
          </a:solidFill>
          <a:prstDash val="solid"/>
        </a:ln>
      </a:lnStyleLst>
      <a:effectStyleLst>
        <a:effectStyle>
          <a:effectLst>
            <a:outerShdw blurRad="63500" dist="25400" dir="5400000" rotWithShape="0">
              <a:srgbClr val="000000">
                <a:alpha val="43000"/>
              </a:srgbClr>
            </a:outerShdw>
          </a:effectLst>
        </a:effectStyle>
        <a:effectStyle>
          <a:effectLst>
            <a:outerShdw blurRad="63500" dist="25400" dir="5400000" rotWithShape="0">
              <a:srgbClr val="000000">
                <a:alpha val="43000"/>
              </a:srgbClr>
            </a:outerShdw>
          </a:effectLst>
          <a:scene3d>
            <a:camera prst="orthographicFront">
              <a:rot lat="0" lon="0" rev="0"/>
            </a:camera>
            <a:lightRig rig="brightRoom" dir="t">
              <a:rot lat="0" lon="0" rev="8700000"/>
            </a:lightRig>
          </a:scene3d>
          <a:sp3d contourW="12700" prstMaterial="dkEdge">
            <a:bevelT w="0" h="0" prst="relaxedInset"/>
            <a:contourClr>
              <a:schemeClr val="phClr">
                <a:shade val="65000"/>
                <a:satMod val="150000"/>
              </a:schemeClr>
            </a:contourClr>
          </a:sp3d>
        </a:effectStyle>
        <a:effectStyle>
          <a:effectLst>
            <a:outerShdw blurRad="63500" dist="25400" dir="5400000" rotWithShape="0">
              <a:srgbClr val="000000">
                <a:alpha val="43000"/>
              </a:srgbClr>
            </a:outerShdw>
          </a:effectLst>
          <a:scene3d>
            <a:camera prst="orthographicFront">
              <a:rot lat="0" lon="0" rev="0"/>
            </a:camera>
            <a:lightRig rig="glow" dir="t">
              <a:rot lat="0" lon="0" rev="13200000"/>
            </a:lightRig>
          </a:scene3d>
          <a:sp3d prstMaterial="dkEdge">
            <a:bevelT w="63500" h="50800" prst="relaxedInset"/>
          </a:sp3d>
        </a:effectStyle>
      </a:effectStyleLst>
      <a:bgFillStyleLst>
        <a:solidFill>
          <a:schemeClr val="phClr"/>
        </a:solidFill>
        <a:gradFill rotWithShape="1">
          <a:gsLst>
            <a:gs pos="0">
              <a:schemeClr val="phClr">
                <a:tint val="85000"/>
                <a:shade val="95000"/>
                <a:satMod val="200000"/>
              </a:schemeClr>
            </a:gs>
            <a:gs pos="53000">
              <a:schemeClr val="phClr">
                <a:shade val="60000"/>
                <a:satMod val="220000"/>
              </a:schemeClr>
            </a:gs>
            <a:gs pos="100000">
              <a:schemeClr val="phClr">
                <a:shade val="45000"/>
                <a:satMod val="220000"/>
              </a:schemeClr>
            </a:gs>
          </a:gsLst>
          <a:lin ang="16200000" scaled="0"/>
        </a:gradFill>
        <a:gradFill rotWithShape="1">
          <a:gsLst>
            <a:gs pos="0">
              <a:schemeClr val="phClr">
                <a:tint val="83000"/>
                <a:shade val="97000"/>
                <a:satMod val="230000"/>
              </a:schemeClr>
            </a:gs>
            <a:gs pos="100000">
              <a:schemeClr val="phClr">
                <a:shade val="35000"/>
                <a:satMod val="250000"/>
              </a:schemeClr>
            </a:gs>
          </a:gsLst>
          <a:path path="circle">
            <a:fillToRect l="15000" t="50000" r="85000" b="6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1.bin"/><Relationship Id="rId1" Type="http://schemas.openxmlformats.org/officeDocument/2006/relationships/printerSettings" Target="../printerSettings/printerSettings1.bin"/><Relationship Id="rId5" Type="http://schemas.openxmlformats.org/officeDocument/2006/relationships/ctrlProp" Target="../ctrlProps/ctrlProp1.xml"/><Relationship Id="rId4"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autoPageBreaks="0"/>
  </sheetPr>
  <dimension ref="A1:V422"/>
  <sheetViews>
    <sheetView showGridLines="0" tabSelected="1" zoomScale="90" zoomScaleNormal="90" zoomScalePageLayoutView="15" workbookViewId="0">
      <selection activeCell="N50" sqref="N50:O50"/>
    </sheetView>
  </sheetViews>
  <sheetFormatPr baseColWidth="10" defaultColWidth="6.77734375" defaultRowHeight="14.25" x14ac:dyDescent="0.2"/>
  <cols>
    <col min="1" max="1" width="3.77734375" style="5" customWidth="1"/>
    <col min="2" max="2" width="9.21875" style="5" customWidth="1"/>
    <col min="3" max="3" width="2.77734375" style="5" customWidth="1"/>
    <col min="4" max="4" width="9.21875" style="5" customWidth="1"/>
    <col min="5" max="5" width="2.77734375" style="5" customWidth="1"/>
    <col min="6" max="6" width="9.21875" style="5" customWidth="1"/>
    <col min="7" max="7" width="2.77734375" style="5" customWidth="1"/>
    <col min="8" max="8" width="9.21875" style="5" customWidth="1"/>
    <col min="9" max="9" width="2.77734375" style="5" customWidth="1"/>
    <col min="10" max="10" width="9.21875" style="5" customWidth="1"/>
    <col min="11" max="11" width="2.77734375" style="5" customWidth="1"/>
    <col min="12" max="12" width="9.21875" style="5" customWidth="1"/>
    <col min="13" max="13" width="2.77734375" style="5" customWidth="1"/>
    <col min="14" max="14" width="9.21875" style="5" customWidth="1"/>
    <col min="15" max="15" width="2.77734375" style="5" customWidth="1"/>
    <col min="16" max="16" width="3.21875" style="5" customWidth="1"/>
    <col min="17" max="16384" width="6.77734375" style="5"/>
  </cols>
  <sheetData>
    <row r="1" spans="1:21" ht="18.75" customHeight="1" x14ac:dyDescent="0.35">
      <c r="A1" s="3"/>
      <c r="B1" s="1"/>
      <c r="C1" s="1"/>
      <c r="D1" s="1"/>
      <c r="E1" s="2"/>
      <c r="F1" s="2"/>
      <c r="G1" s="2"/>
      <c r="H1" s="4"/>
      <c r="I1" s="4"/>
      <c r="J1" s="4"/>
    </row>
    <row r="2" spans="1:21" ht="18.75" customHeight="1" x14ac:dyDescent="0.35">
      <c r="A2" s="3"/>
      <c r="B2" s="1"/>
      <c r="C2" s="1"/>
      <c r="D2" s="1"/>
      <c r="E2" s="2"/>
      <c r="F2" s="2"/>
      <c r="G2" s="2"/>
      <c r="H2" s="4"/>
      <c r="I2" s="4"/>
      <c r="J2" s="4"/>
    </row>
    <row r="3" spans="1:21" ht="18.75" customHeight="1" x14ac:dyDescent="0.35">
      <c r="A3" s="3"/>
      <c r="B3" s="1"/>
      <c r="C3" s="1"/>
      <c r="D3" s="1"/>
      <c r="E3" s="2"/>
      <c r="F3" s="2"/>
      <c r="G3" s="2"/>
      <c r="H3" s="4"/>
      <c r="I3" s="4"/>
      <c r="J3" s="4"/>
    </row>
    <row r="4" spans="1:21" ht="18.75" customHeight="1" x14ac:dyDescent="0.35">
      <c r="A4" s="3"/>
      <c r="B4" s="1"/>
      <c r="C4" s="1"/>
      <c r="D4" s="1"/>
      <c r="E4" s="2"/>
      <c r="F4" s="2"/>
      <c r="G4" s="2"/>
      <c r="H4" s="4"/>
      <c r="I4" s="4"/>
      <c r="J4" s="4"/>
    </row>
    <row r="5" spans="1:21" ht="18.75" customHeight="1" x14ac:dyDescent="0.35">
      <c r="A5" s="3"/>
      <c r="B5" s="1"/>
      <c r="C5" s="1"/>
      <c r="D5" s="1"/>
      <c r="E5" s="2"/>
      <c r="F5" s="2"/>
      <c r="G5" s="2"/>
      <c r="H5" s="4"/>
      <c r="I5" s="4"/>
      <c r="J5" s="4"/>
    </row>
    <row r="6" spans="1:21" ht="18.75" customHeight="1" x14ac:dyDescent="0.35">
      <c r="A6" s="3"/>
      <c r="B6" s="1"/>
      <c r="C6" s="1"/>
      <c r="D6" s="1"/>
      <c r="E6" s="2"/>
      <c r="F6" s="2"/>
      <c r="G6" s="2"/>
      <c r="H6" s="4"/>
      <c r="I6" s="4"/>
      <c r="J6" s="4"/>
    </row>
    <row r="7" spans="1:21" ht="18.75" customHeight="1" x14ac:dyDescent="0.35">
      <c r="A7" s="3"/>
      <c r="B7" s="1"/>
      <c r="C7" s="1"/>
      <c r="D7" s="1"/>
      <c r="E7" s="2"/>
      <c r="F7" s="2"/>
      <c r="G7" s="2"/>
      <c r="H7" s="4"/>
      <c r="I7" s="4"/>
      <c r="J7" s="4"/>
    </row>
    <row r="8" spans="1:21" ht="18.75" customHeight="1" x14ac:dyDescent="0.35">
      <c r="A8" s="3"/>
      <c r="B8" s="1"/>
      <c r="C8" s="1"/>
      <c r="D8" s="1"/>
      <c r="E8" s="2"/>
      <c r="F8" s="2"/>
      <c r="G8" s="2"/>
      <c r="H8" s="4"/>
      <c r="I8" s="4"/>
      <c r="J8" s="4"/>
    </row>
    <row r="9" spans="1:21" ht="18.75" customHeight="1" x14ac:dyDescent="0.35">
      <c r="A9" s="3"/>
      <c r="B9" s="1"/>
      <c r="C9" s="1"/>
      <c r="D9" s="1"/>
      <c r="E9" s="2"/>
      <c r="F9" s="2"/>
      <c r="G9" s="2"/>
      <c r="H9" s="4"/>
      <c r="I9" s="4"/>
      <c r="J9" s="4"/>
    </row>
    <row r="10" spans="1:21" ht="18.75" customHeight="1" x14ac:dyDescent="0.35">
      <c r="A10" s="3"/>
      <c r="B10" s="1"/>
      <c r="C10" s="1"/>
      <c r="D10" s="1"/>
      <c r="E10" s="2"/>
      <c r="F10" s="2"/>
      <c r="G10" s="2"/>
      <c r="H10" s="4"/>
      <c r="I10" s="4"/>
      <c r="J10" s="4"/>
    </row>
    <row r="11" spans="1:21" ht="18.75" customHeight="1" x14ac:dyDescent="0.35">
      <c r="A11" s="3"/>
      <c r="B11" s="1"/>
      <c r="C11" s="1"/>
      <c r="D11" s="1"/>
      <c r="E11" s="2"/>
      <c r="F11" s="2"/>
      <c r="G11" s="2"/>
      <c r="H11" s="4"/>
      <c r="I11" s="4"/>
      <c r="J11" s="4"/>
    </row>
    <row r="12" spans="1:21" ht="18.75" customHeight="1" x14ac:dyDescent="0.35">
      <c r="A12" s="3"/>
      <c r="B12" s="1"/>
      <c r="C12" s="1"/>
      <c r="D12" s="1"/>
      <c r="E12" s="2"/>
      <c r="F12" s="2"/>
      <c r="G12" s="2"/>
      <c r="H12" s="4"/>
      <c r="I12" s="4"/>
      <c r="J12" s="4"/>
    </row>
    <row r="13" spans="1:21" ht="18.75" customHeight="1" x14ac:dyDescent="0.35">
      <c r="A13" s="3"/>
      <c r="B13" s="1"/>
      <c r="C13" s="1"/>
      <c r="D13" s="1"/>
      <c r="E13" s="2"/>
      <c r="F13" s="2"/>
      <c r="G13" s="2"/>
      <c r="H13" s="4"/>
      <c r="I13" s="4"/>
      <c r="J13" s="4"/>
    </row>
    <row r="14" spans="1:21" ht="86.65" customHeight="1" x14ac:dyDescent="0.25">
      <c r="A14" s="6"/>
      <c r="B14" s="7"/>
      <c r="C14" s="7"/>
      <c r="D14" s="7"/>
      <c r="E14" s="7"/>
      <c r="F14" s="7"/>
      <c r="G14" s="7"/>
      <c r="H14" s="7"/>
      <c r="I14" s="7"/>
      <c r="J14" s="7"/>
      <c r="K14" s="7"/>
      <c r="L14" s="7"/>
      <c r="M14" s="7"/>
      <c r="N14" s="7"/>
      <c r="O14" s="7"/>
    </row>
    <row r="15" spans="1:21" ht="54" customHeight="1" x14ac:dyDescent="0.2">
      <c r="A15" s="15"/>
      <c r="B15" s="203" t="s">
        <v>8</v>
      </c>
      <c r="C15" s="204"/>
      <c r="D15" s="204"/>
      <c r="E15" s="204"/>
      <c r="F15" s="204"/>
      <c r="G15" s="204"/>
      <c r="H15" s="204"/>
      <c r="I15" s="204"/>
      <c r="J15" s="204"/>
      <c r="K15" s="204"/>
      <c r="L15" s="204"/>
      <c r="M15" s="204"/>
      <c r="N15" s="196">
        <v>2016</v>
      </c>
      <c r="O15" s="196"/>
    </row>
    <row r="16" spans="1:21" s="6" customFormat="1" ht="33.950000000000003" customHeight="1" x14ac:dyDescent="0.25">
      <c r="B16" s="209" t="s">
        <v>0</v>
      </c>
      <c r="C16" s="209"/>
      <c r="D16" s="209" t="s">
        <v>1</v>
      </c>
      <c r="E16" s="209"/>
      <c r="F16" s="209" t="s">
        <v>2</v>
      </c>
      <c r="G16" s="209"/>
      <c r="H16" s="209" t="s">
        <v>3</v>
      </c>
      <c r="I16" s="209"/>
      <c r="J16" s="209" t="s">
        <v>4</v>
      </c>
      <c r="K16" s="209"/>
      <c r="L16" s="209" t="s">
        <v>5</v>
      </c>
      <c r="M16" s="209"/>
      <c r="N16" s="209" t="s">
        <v>6</v>
      </c>
      <c r="O16" s="209"/>
      <c r="P16" s="8"/>
      <c r="T16" s="5"/>
      <c r="U16" s="5"/>
    </row>
    <row r="17" spans="1:22" s="9" customFormat="1" ht="16.5" customHeight="1" x14ac:dyDescent="0.25">
      <c r="B17" s="30"/>
      <c r="C17" s="23">
        <f>IF(DAY(Jan_Dim1)=1,Jan_Dim1-6,Jan_Dim1+1)</f>
        <v>42366</v>
      </c>
      <c r="D17" s="31"/>
      <c r="E17" s="23">
        <f>IF(DAY(Jan_Dim1)=1,Jan_Dim1-5,Jan_Dim1+2)</f>
        <v>42367</v>
      </c>
      <c r="F17" s="31"/>
      <c r="G17" s="23">
        <f>IF(DAY(Jan_Dim1)=1,Jan_Dim1-4,Jan_Dim1+3)</f>
        <v>42368</v>
      </c>
      <c r="H17" s="31"/>
      <c r="I17" s="24">
        <f>IF(DAY(Jan_Dim1)=1,Jan_Dim1-3,Jan_Dim1+4)</f>
        <v>42369</v>
      </c>
      <c r="J17" s="31"/>
      <c r="K17" s="24">
        <f>IF(DAY(Jan_Dim1)=1,Jan_Dim1-2,Jan_Dim1+5)</f>
        <v>42370</v>
      </c>
      <c r="L17" s="31"/>
      <c r="M17" s="24">
        <f>IF(DAY(Jan_Dim1)=1,Jan_Dim1-1,Jan_Dim1+6)</f>
        <v>42371</v>
      </c>
      <c r="N17" s="31"/>
      <c r="O17" s="25">
        <f>IF(DAY(Jan_Dim1)=1,Jan_Dim1,Jan_Dim1+7)</f>
        <v>42372</v>
      </c>
      <c r="P17" s="10"/>
      <c r="T17" s="11"/>
      <c r="U17" s="10"/>
    </row>
    <row r="18" spans="1:22" s="12" customFormat="1" ht="55.5" customHeight="1" x14ac:dyDescent="0.25">
      <c r="A18" s="33"/>
      <c r="B18" s="197"/>
      <c r="C18" s="195"/>
      <c r="D18" s="194"/>
      <c r="E18" s="195"/>
      <c r="F18" s="194"/>
      <c r="G18" s="195"/>
      <c r="H18" s="194"/>
      <c r="I18" s="195"/>
      <c r="J18" s="194"/>
      <c r="K18" s="195"/>
      <c r="L18" s="194"/>
      <c r="M18" s="195"/>
      <c r="N18" s="194"/>
      <c r="O18" s="195"/>
    </row>
    <row r="19" spans="1:22" s="12" customFormat="1" ht="8.25" customHeight="1" x14ac:dyDescent="0.25">
      <c r="A19" s="33"/>
      <c r="B19" s="193"/>
      <c r="C19" s="193"/>
      <c r="D19" s="193"/>
      <c r="E19" s="193"/>
      <c r="F19" s="193"/>
      <c r="G19" s="193"/>
      <c r="H19" s="193"/>
      <c r="I19" s="193"/>
      <c r="J19" s="193"/>
      <c r="K19" s="193"/>
      <c r="L19" s="200"/>
      <c r="M19" s="200"/>
      <c r="N19" s="200"/>
      <c r="O19" s="200"/>
    </row>
    <row r="20" spans="1:22" s="10" customFormat="1" ht="16.5" customHeight="1" x14ac:dyDescent="0.25">
      <c r="A20" s="34"/>
      <c r="B20" s="32"/>
      <c r="C20" s="24">
        <f>IF(DAY(Jan_Dim1)=1,Jan_Dim1+1,Jan_Dim1+8)</f>
        <v>42373</v>
      </c>
      <c r="D20" s="31"/>
      <c r="E20" s="24">
        <f>IF(DAY(Jan_Dim1)=1,Jan_Dim1+2,Jan_Dim1+9)</f>
        <v>42374</v>
      </c>
      <c r="F20" s="31"/>
      <c r="G20" s="26">
        <f>IF(DAY(Jan_Dim1)=1,Jan_Dim1+3,Jan_Dim1+10)</f>
        <v>42375</v>
      </c>
      <c r="H20" s="31"/>
      <c r="I20" s="24">
        <f>IF(DAY(Jan_Dim1)=1,Jan_Dim1+4,Jan_Dim1+11)</f>
        <v>42376</v>
      </c>
      <c r="J20" s="31"/>
      <c r="K20" s="24">
        <f>IF(DAY(Jan_Dim1)=1,Jan_Dim1+5,Jan_Dim1+12)</f>
        <v>42377</v>
      </c>
      <c r="L20" s="31"/>
      <c r="M20" s="24">
        <f>IF(DAY(Jan_Dim1)=1,Jan_Dim1+6,Jan_Dim1+13)</f>
        <v>42378</v>
      </c>
      <c r="N20" s="31"/>
      <c r="O20" s="25">
        <f>IF(DAY(Jan_Dim1)=1,Jan_Dim1+7,Jan_Dim1+14)</f>
        <v>42379</v>
      </c>
    </row>
    <row r="21" spans="1:22" ht="55.5" customHeight="1" x14ac:dyDescent="0.25">
      <c r="A21" s="33"/>
      <c r="B21" s="197"/>
      <c r="C21" s="195"/>
      <c r="D21" s="194"/>
      <c r="E21" s="195"/>
      <c r="F21" s="194" t="s">
        <v>7</v>
      </c>
      <c r="G21" s="195"/>
      <c r="H21" s="194"/>
      <c r="I21" s="195"/>
      <c r="J21" s="194"/>
      <c r="K21" s="195"/>
      <c r="L21" s="194"/>
      <c r="M21" s="195"/>
      <c r="N21" s="194"/>
      <c r="O21" s="195"/>
    </row>
    <row r="22" spans="1:22" ht="8.25" customHeight="1" x14ac:dyDescent="0.25">
      <c r="A22" s="33"/>
      <c r="B22" s="193"/>
      <c r="C22" s="193"/>
      <c r="D22" s="193"/>
      <c r="E22" s="193"/>
      <c r="F22" s="193"/>
      <c r="G22" s="193"/>
      <c r="H22" s="193"/>
      <c r="I22" s="193"/>
      <c r="J22" s="193"/>
      <c r="K22" s="193"/>
      <c r="L22" s="200"/>
      <c r="M22" s="200"/>
      <c r="N22" s="200"/>
      <c r="O22" s="200"/>
    </row>
    <row r="23" spans="1:22" s="10" customFormat="1" ht="16.5" customHeight="1" x14ac:dyDescent="0.25">
      <c r="A23" s="34"/>
      <c r="B23" s="32"/>
      <c r="C23" s="24">
        <f>IF(DAY(Jan_Dim1)=1,Jan_Dim1+8,Jan_Dim1+15)</f>
        <v>42380</v>
      </c>
      <c r="D23" s="31"/>
      <c r="E23" s="24">
        <f>IF(DAY(Jan_Dim1)=1,Jan_Dim1+9,Jan_Dim1+16)</f>
        <v>42381</v>
      </c>
      <c r="F23" s="31"/>
      <c r="G23" s="24">
        <f>IF(DAY(Jan_Dim1)=1,Jan_Dim1+10,Jan_Dim1+17)</f>
        <v>42382</v>
      </c>
      <c r="H23" s="31"/>
      <c r="I23" s="24">
        <f>IF(DAY(Jan_Dim1)=1,Jan_Dim1+11,Jan_Dim1+18)</f>
        <v>42383</v>
      </c>
      <c r="J23" s="31"/>
      <c r="K23" s="24">
        <f>IF(DAY(Jan_Dim1)=1,Jan_Dim1+12,Jan_Dim1+19)</f>
        <v>42384</v>
      </c>
      <c r="L23" s="31"/>
      <c r="M23" s="24">
        <f>IF(DAY(Jan_Dim1)=1,Jan_Dim1+13,Jan_Dim1+20)</f>
        <v>42385</v>
      </c>
      <c r="N23" s="31"/>
      <c r="O23" s="25">
        <f>IF(DAY(Jan_Dim1)=1,Jan_Dim1+14,Jan_Dim1+21)</f>
        <v>42386</v>
      </c>
    </row>
    <row r="24" spans="1:22" ht="55.5" customHeight="1" x14ac:dyDescent="0.25">
      <c r="A24" s="33"/>
      <c r="B24" s="197"/>
      <c r="C24" s="195"/>
      <c r="D24" s="194"/>
      <c r="E24" s="195"/>
      <c r="F24" s="194"/>
      <c r="G24" s="195"/>
      <c r="H24" s="194"/>
      <c r="I24" s="195"/>
      <c r="J24" s="194"/>
      <c r="K24" s="195"/>
      <c r="L24" s="194"/>
      <c r="M24" s="195"/>
      <c r="N24" s="194"/>
      <c r="O24" s="195"/>
    </row>
    <row r="25" spans="1:22" ht="8.25" customHeight="1" x14ac:dyDescent="0.25">
      <c r="A25" s="33"/>
      <c r="B25" s="193"/>
      <c r="C25" s="193"/>
      <c r="D25" s="193"/>
      <c r="E25" s="193"/>
      <c r="F25" s="193"/>
      <c r="G25" s="193"/>
      <c r="H25" s="193"/>
      <c r="I25" s="193"/>
      <c r="J25" s="193"/>
      <c r="K25" s="193"/>
      <c r="L25" s="200"/>
      <c r="M25" s="200"/>
      <c r="N25" s="200"/>
      <c r="O25" s="200"/>
    </row>
    <row r="26" spans="1:22" s="10" customFormat="1" ht="16.5" customHeight="1" x14ac:dyDescent="0.25">
      <c r="A26" s="34"/>
      <c r="B26" s="32"/>
      <c r="C26" s="24">
        <f>IF(DAY(Jan_Dim1)=1,Jan_Dim1+15,Jan_Dim1+22)</f>
        <v>42387</v>
      </c>
      <c r="D26" s="31"/>
      <c r="E26" s="24">
        <f>IF(DAY(Jan_Dim1)=1,Jan_Dim1+16,Jan_Dim1+23)</f>
        <v>42388</v>
      </c>
      <c r="F26" s="31"/>
      <c r="G26" s="24">
        <f>IF(DAY(Jan_Dim1)=1,Jan_Dim1+17,Jan_Dim1+24)</f>
        <v>42389</v>
      </c>
      <c r="H26" s="31"/>
      <c r="I26" s="24">
        <f>IF(DAY(Jan_Dim1)=1,Jan_Dim1+18,Jan_Dim1+25)</f>
        <v>42390</v>
      </c>
      <c r="J26" s="31"/>
      <c r="K26" s="24">
        <f>IF(DAY(Jan_Dim1)=1,Jan_Dim1+19,Jan_Dim1+26)</f>
        <v>42391</v>
      </c>
      <c r="L26" s="31"/>
      <c r="M26" s="24">
        <f>IF(DAY(Jan_Dim1)=1,Jan_Dim1+20,Jan_Dim1+27)</f>
        <v>42392</v>
      </c>
      <c r="N26" s="31"/>
      <c r="O26" s="25">
        <f>IF(DAY(Jan_Dim1)=1,Jan_Dim1+21,Jan_Dim1+28)</f>
        <v>42393</v>
      </c>
    </row>
    <row r="27" spans="1:22" ht="55.5" customHeight="1" x14ac:dyDescent="0.25">
      <c r="A27" s="33"/>
      <c r="B27" s="197"/>
      <c r="C27" s="195"/>
      <c r="D27" s="194"/>
      <c r="E27" s="195"/>
      <c r="F27" s="194"/>
      <c r="G27" s="195"/>
      <c r="H27" s="194"/>
      <c r="I27" s="195"/>
      <c r="J27" s="194"/>
      <c r="K27" s="195"/>
      <c r="L27" s="194"/>
      <c r="M27" s="195"/>
      <c r="N27" s="194"/>
      <c r="O27" s="195"/>
      <c r="U27" s="210"/>
      <c r="V27" s="210"/>
    </row>
    <row r="28" spans="1:22" ht="8.25" customHeight="1" x14ac:dyDescent="0.25">
      <c r="A28" s="33"/>
      <c r="B28" s="193"/>
      <c r="C28" s="193"/>
      <c r="D28" s="193"/>
      <c r="E28" s="193"/>
      <c r="F28" s="193"/>
      <c r="G28" s="193"/>
      <c r="H28" s="193"/>
      <c r="I28" s="193"/>
      <c r="J28" s="193"/>
      <c r="K28" s="193"/>
      <c r="L28" s="200"/>
      <c r="M28" s="200"/>
      <c r="N28" s="200"/>
      <c r="O28" s="200"/>
    </row>
    <row r="29" spans="1:22" s="10" customFormat="1" ht="16.5" customHeight="1" x14ac:dyDescent="0.25">
      <c r="A29" s="34"/>
      <c r="B29" s="32"/>
      <c r="C29" s="24">
        <f>IF(DAY(Jan_Dim1)=1,Jan_Dim1+22,Jan_Dim1+29)</f>
        <v>42394</v>
      </c>
      <c r="D29" s="31"/>
      <c r="E29" s="24">
        <f>IF(DAY(Jan_Dim1)=1,Jan_Dim1+23,Jan_Dim1+30)</f>
        <v>42395</v>
      </c>
      <c r="F29" s="31"/>
      <c r="G29" s="24">
        <f>IF(DAY(Jan_Dim1)=1,Jan_Dim1+24,Jan_Dim1+31)</f>
        <v>42396</v>
      </c>
      <c r="H29" s="31"/>
      <c r="I29" s="24">
        <f>IF(DAY(Jan_Dim1)=1,Jan_Dim1+25,Jan_Dim1+32)</f>
        <v>42397</v>
      </c>
      <c r="J29" s="31"/>
      <c r="K29" s="24">
        <f>IF(DAY(Jan_Dim1)=1,Jan_Dim1+26,Jan_Dim1+33)</f>
        <v>42398</v>
      </c>
      <c r="L29" s="31"/>
      <c r="M29" s="24">
        <f>IF(DAY(Jan_Dim1)=1,Jan_Dim1+27,Jan_Dim1+34)</f>
        <v>42399</v>
      </c>
      <c r="N29" s="31"/>
      <c r="O29" s="27">
        <f>IF(DAY(Jan_Dim1)=1,Jan_Dim1+28,Jan_Dim1+35)</f>
        <v>42400</v>
      </c>
    </row>
    <row r="30" spans="1:22" ht="55.5" customHeight="1" x14ac:dyDescent="0.25">
      <c r="A30" s="33"/>
      <c r="B30" s="197"/>
      <c r="C30" s="195"/>
      <c r="D30" s="194"/>
      <c r="E30" s="195"/>
      <c r="F30" s="194"/>
      <c r="G30" s="195"/>
      <c r="H30" s="194"/>
      <c r="I30" s="195"/>
      <c r="J30" s="194"/>
      <c r="K30" s="195"/>
      <c r="L30" s="194"/>
      <c r="M30" s="195"/>
      <c r="N30" s="194"/>
      <c r="O30" s="195"/>
    </row>
    <row r="31" spans="1:22" ht="8.25" customHeight="1" x14ac:dyDescent="0.25">
      <c r="A31" s="33"/>
      <c r="B31" s="193"/>
      <c r="C31" s="193"/>
      <c r="D31" s="193"/>
      <c r="E31" s="193"/>
      <c r="F31" s="193"/>
      <c r="G31" s="193"/>
      <c r="H31" s="193"/>
      <c r="I31" s="193"/>
      <c r="J31" s="193"/>
      <c r="K31" s="193"/>
      <c r="L31" s="200"/>
      <c r="M31" s="200"/>
      <c r="N31" s="200"/>
      <c r="O31" s="200"/>
    </row>
    <row r="32" spans="1:22" s="10" customFormat="1" ht="16.5" customHeight="1" x14ac:dyDescent="0.25">
      <c r="A32" s="34"/>
      <c r="B32" s="32"/>
      <c r="C32" s="23">
        <f>IF(DAY(Jan_Dim1)=1,Jan_Dim1+29,Jan_Dim1+36)</f>
        <v>42401</v>
      </c>
      <c r="D32" s="31"/>
      <c r="E32" s="23">
        <f>IF(DAY(Jan_Dim1)=1,Jan_Dim1+30,Jan_Dim1+37)</f>
        <v>42402</v>
      </c>
      <c r="F32" s="31"/>
      <c r="G32" s="28">
        <f>IF(DAY(Jan_Dim1)=1,Jan_Dim1+31,Jan_Dim1+38)</f>
        <v>42403</v>
      </c>
      <c r="H32" s="31"/>
      <c r="I32" s="28">
        <f>IF(DAY(Jan_Dim1)=1,Jan_Dim1+32,Jan_Dim1+39)</f>
        <v>42404</v>
      </c>
      <c r="J32" s="31"/>
      <c r="K32" s="28">
        <f>IF(DAY(Jan_Dim1)=1,Jan_Dim1+33,Jan_Dim1+40)</f>
        <v>42405</v>
      </c>
      <c r="L32" s="31"/>
      <c r="M32" s="28">
        <f>IF(DAY(Jan_Dim1)=1,Jan_Dim1+34,Jan_Dim1+41)</f>
        <v>42406</v>
      </c>
      <c r="N32" s="31"/>
      <c r="O32" s="29">
        <f>IF(DAY(Jan_Dim1)=1,Jan_Dim1+35,Jan_Dim1+42)</f>
        <v>42407</v>
      </c>
    </row>
    <row r="33" spans="1:15" ht="55.5" customHeight="1" x14ac:dyDescent="0.25">
      <c r="A33" s="33"/>
      <c r="B33" s="197"/>
      <c r="C33" s="195"/>
      <c r="D33" s="194"/>
      <c r="E33" s="195"/>
      <c r="F33" s="194"/>
      <c r="G33" s="195"/>
      <c r="H33" s="194"/>
      <c r="I33" s="195"/>
      <c r="J33" s="194"/>
      <c r="K33" s="195"/>
      <c r="L33" s="194"/>
      <c r="M33" s="195"/>
      <c r="N33" s="194"/>
      <c r="O33" s="195"/>
    </row>
    <row r="34" spans="1:15" s="13" customFormat="1" ht="34.5" customHeight="1" x14ac:dyDescent="0.2"/>
    <row r="35" spans="1:15" s="16" customFormat="1" ht="18.75" customHeight="1" x14ac:dyDescent="0.35">
      <c r="A35" s="3"/>
      <c r="B35" s="1"/>
      <c r="C35" s="1"/>
      <c r="D35" s="1"/>
      <c r="E35" s="2"/>
      <c r="F35" s="2"/>
      <c r="G35" s="2"/>
      <c r="H35" s="4"/>
      <c r="I35" s="4"/>
      <c r="J35" s="4"/>
      <c r="L35" s="89"/>
      <c r="M35" s="89"/>
      <c r="N35" s="89"/>
      <c r="O35" s="89"/>
    </row>
    <row r="36" spans="1:15" s="16" customFormat="1" ht="18.75" customHeight="1" x14ac:dyDescent="0.35">
      <c r="A36" s="3"/>
      <c r="B36" s="1"/>
      <c r="C36" s="1"/>
      <c r="D36" s="1"/>
      <c r="E36" s="2"/>
      <c r="F36" s="2"/>
      <c r="G36" s="2"/>
      <c r="H36" s="4"/>
      <c r="I36" s="4"/>
      <c r="J36" s="4"/>
    </row>
    <row r="37" spans="1:15" s="16" customFormat="1" ht="18.75" customHeight="1" x14ac:dyDescent="0.35">
      <c r="A37" s="3"/>
      <c r="B37" s="1"/>
      <c r="C37" s="1"/>
      <c r="D37" s="1"/>
      <c r="E37" s="2"/>
      <c r="F37" s="2"/>
      <c r="G37" s="2"/>
      <c r="H37" s="4"/>
      <c r="I37" s="4"/>
      <c r="J37" s="4"/>
    </row>
    <row r="38" spans="1:15" s="16" customFormat="1" ht="18.75" customHeight="1" x14ac:dyDescent="0.35">
      <c r="A38" s="3"/>
      <c r="B38" s="1"/>
      <c r="C38" s="1"/>
      <c r="D38" s="1"/>
      <c r="E38" s="2"/>
      <c r="F38" s="2"/>
      <c r="G38" s="2"/>
      <c r="H38" s="4"/>
      <c r="I38" s="4"/>
      <c r="J38" s="4"/>
    </row>
    <row r="39" spans="1:15" s="16" customFormat="1" ht="18.75" customHeight="1" x14ac:dyDescent="0.35">
      <c r="A39" s="3"/>
      <c r="B39" s="1"/>
      <c r="C39" s="1"/>
      <c r="D39" s="1"/>
      <c r="E39" s="2"/>
      <c r="F39" s="2"/>
      <c r="G39" s="2"/>
      <c r="H39" s="4"/>
      <c r="I39" s="4"/>
      <c r="J39" s="4"/>
    </row>
    <row r="40" spans="1:15" s="16" customFormat="1" ht="18.75" customHeight="1" x14ac:dyDescent="0.35">
      <c r="A40" s="3"/>
      <c r="B40" s="1"/>
      <c r="C40" s="1"/>
      <c r="D40" s="1"/>
      <c r="E40" s="2"/>
      <c r="F40" s="2"/>
      <c r="G40" s="2"/>
      <c r="H40" s="4"/>
      <c r="I40" s="4"/>
      <c r="J40" s="4"/>
    </row>
    <row r="41" spans="1:15" s="16" customFormat="1" ht="18.75" customHeight="1" x14ac:dyDescent="0.35">
      <c r="A41" s="3"/>
      <c r="B41" s="1"/>
      <c r="C41" s="1"/>
      <c r="D41" s="1"/>
      <c r="E41" s="2"/>
      <c r="F41" s="2"/>
      <c r="G41" s="2"/>
      <c r="H41" s="4"/>
      <c r="I41" s="4"/>
      <c r="J41" s="4"/>
    </row>
    <row r="42" spans="1:15" s="16" customFormat="1" ht="18.75" customHeight="1" x14ac:dyDescent="0.35">
      <c r="A42" s="3"/>
      <c r="B42" s="1"/>
      <c r="C42" s="1"/>
      <c r="D42" s="1"/>
      <c r="E42" s="2"/>
      <c r="F42" s="2"/>
      <c r="G42" s="2"/>
      <c r="H42" s="4"/>
      <c r="I42" s="4"/>
      <c r="J42" s="4"/>
    </row>
    <row r="43" spans="1:15" s="16" customFormat="1" ht="18.75" customHeight="1" x14ac:dyDescent="0.35">
      <c r="A43" s="3"/>
      <c r="B43" s="1"/>
      <c r="C43" s="1"/>
      <c r="D43" s="1"/>
      <c r="E43" s="2"/>
      <c r="F43" s="2"/>
      <c r="G43" s="2"/>
      <c r="H43" s="4"/>
      <c r="I43" s="4"/>
      <c r="J43" s="4"/>
    </row>
    <row r="44" spans="1:15" s="16" customFormat="1" ht="18.75" customHeight="1" x14ac:dyDescent="0.35">
      <c r="A44" s="3"/>
      <c r="B44" s="1"/>
      <c r="C44" s="1"/>
      <c r="D44" s="1"/>
      <c r="E44" s="2"/>
      <c r="F44" s="2"/>
      <c r="G44" s="2"/>
      <c r="H44" s="4"/>
      <c r="I44" s="4"/>
      <c r="J44" s="4"/>
    </row>
    <row r="45" spans="1:15" s="16" customFormat="1" ht="18.75" customHeight="1" x14ac:dyDescent="0.35">
      <c r="A45" s="3"/>
      <c r="B45" s="1"/>
      <c r="C45" s="1"/>
      <c r="D45" s="1"/>
      <c r="E45" s="2"/>
      <c r="F45" s="2"/>
      <c r="G45" s="2"/>
      <c r="H45" s="4"/>
      <c r="I45" s="4"/>
      <c r="J45" s="4"/>
    </row>
    <row r="46" spans="1:15" s="16" customFormat="1" ht="18.75" customHeight="1" x14ac:dyDescent="0.35">
      <c r="A46" s="3"/>
      <c r="B46" s="1"/>
      <c r="C46" s="1"/>
      <c r="D46" s="1"/>
      <c r="E46" s="2"/>
      <c r="F46" s="2"/>
      <c r="G46" s="2"/>
      <c r="H46" s="4"/>
      <c r="I46" s="4"/>
      <c r="J46" s="4"/>
    </row>
    <row r="47" spans="1:15" s="16" customFormat="1" ht="18.75" customHeight="1" x14ac:dyDescent="0.35">
      <c r="A47" s="3"/>
      <c r="B47" s="1"/>
      <c r="C47" s="1"/>
      <c r="D47" s="1"/>
      <c r="E47" s="2"/>
      <c r="F47" s="2"/>
      <c r="G47" s="2"/>
      <c r="H47" s="4"/>
      <c r="I47" s="4"/>
      <c r="J47" s="4"/>
    </row>
    <row r="48" spans="1:15" s="16" customFormat="1" ht="18.75" customHeight="1" x14ac:dyDescent="0.35">
      <c r="A48" s="3"/>
      <c r="B48" s="1"/>
      <c r="C48" s="1"/>
      <c r="D48" s="1"/>
      <c r="E48" s="2"/>
      <c r="F48" s="2"/>
      <c r="G48" s="2"/>
      <c r="H48" s="4"/>
      <c r="I48" s="4"/>
      <c r="J48" s="4"/>
    </row>
    <row r="49" spans="1:21" s="16" customFormat="1" ht="54.4" customHeight="1" x14ac:dyDescent="0.25">
      <c r="A49" s="6"/>
      <c r="B49" s="7"/>
      <c r="C49" s="7"/>
      <c r="D49" s="7"/>
      <c r="E49" s="7"/>
      <c r="F49" s="7"/>
      <c r="G49" s="7"/>
      <c r="H49" s="7"/>
      <c r="I49" s="7"/>
      <c r="J49" s="7"/>
      <c r="K49" s="7"/>
      <c r="L49" s="7"/>
      <c r="M49" s="7"/>
      <c r="N49" s="7"/>
      <c r="O49" s="7"/>
    </row>
    <row r="50" spans="1:21" s="13" customFormat="1" ht="54" customHeight="1" x14ac:dyDescent="0.2">
      <c r="A50" s="17"/>
      <c r="B50" s="205" t="s">
        <v>8</v>
      </c>
      <c r="C50" s="206"/>
      <c r="D50" s="206"/>
      <c r="E50" s="206"/>
      <c r="F50" s="206"/>
      <c r="G50" s="206"/>
      <c r="H50" s="206"/>
      <c r="I50" s="206"/>
      <c r="J50" s="206"/>
      <c r="K50" s="206"/>
      <c r="L50" s="206"/>
      <c r="M50" s="206"/>
      <c r="N50" s="201">
        <f>Année_Calendaire</f>
        <v>2016</v>
      </c>
      <c r="O50" s="201"/>
    </row>
    <row r="51" spans="1:21" s="35" customFormat="1" ht="34.15" customHeight="1" x14ac:dyDescent="0.2">
      <c r="B51" s="198" t="s">
        <v>0</v>
      </c>
      <c r="C51" s="199"/>
      <c r="D51" s="198" t="s">
        <v>1</v>
      </c>
      <c r="E51" s="199"/>
      <c r="F51" s="198" t="s">
        <v>2</v>
      </c>
      <c r="G51" s="199"/>
      <c r="H51" s="198" t="s">
        <v>3</v>
      </c>
      <c r="I51" s="199"/>
      <c r="J51" s="198" t="s">
        <v>4</v>
      </c>
      <c r="K51" s="199"/>
      <c r="L51" s="198" t="s">
        <v>5</v>
      </c>
      <c r="M51" s="199"/>
      <c r="N51" s="198" t="s">
        <v>6</v>
      </c>
      <c r="O51" s="199"/>
      <c r="P51" s="36"/>
      <c r="T51" s="37"/>
      <c r="U51" s="37"/>
    </row>
    <row r="52" spans="1:21" s="9" customFormat="1" ht="16.5" customHeight="1" x14ac:dyDescent="0.25">
      <c r="B52" s="30"/>
      <c r="C52" s="87">
        <f>IF(DAY(Fév_Dim1)=1,Fév_Dim1-6,Fév_Dim1+1)</f>
        <v>42401</v>
      </c>
      <c r="D52" s="41"/>
      <c r="E52" s="87">
        <f>IF(DAY(Fév_Dim1)=1,Fév_Dim1-5,Fév_Dim1+2)</f>
        <v>42402</v>
      </c>
      <c r="F52" s="41"/>
      <c r="G52" s="87">
        <f>IF(DAY(Fév_Dim1)=1,Fév_Dim1-4,Fév_Dim1+3)</f>
        <v>42403</v>
      </c>
      <c r="H52" s="41"/>
      <c r="I52" s="87">
        <f>IF(DAY(Fév_Dim1)=1,Fév_Dim1-3,Fév_Dim1+4)</f>
        <v>42404</v>
      </c>
      <c r="J52" s="41"/>
      <c r="K52" s="87">
        <f>IF(DAY(Fév_Dim1)=1,Fév_Dim1-2,Fév_Dim1+5)</f>
        <v>42405</v>
      </c>
      <c r="L52" s="41"/>
      <c r="M52" s="87">
        <f>IF(DAY(Fév_Dim1)=1,Fév_Dim1-1,Fév_Dim1+6)</f>
        <v>42406</v>
      </c>
      <c r="N52" s="41"/>
      <c r="O52" s="87">
        <f>IF(DAY(Fév_Dim1)=1,Fév_Dim1,Fév_Dim1+7)</f>
        <v>42407</v>
      </c>
      <c r="P52" s="22"/>
      <c r="T52" s="11"/>
      <c r="U52" s="10"/>
    </row>
    <row r="53" spans="1:21" s="12" customFormat="1" ht="55.5" customHeight="1" x14ac:dyDescent="0.25">
      <c r="A53" s="6"/>
      <c r="B53" s="184"/>
      <c r="C53" s="185"/>
      <c r="D53" s="184"/>
      <c r="E53" s="185"/>
      <c r="F53" s="184"/>
      <c r="G53" s="185"/>
      <c r="H53" s="184"/>
      <c r="I53" s="185"/>
      <c r="J53" s="184"/>
      <c r="K53" s="185"/>
      <c r="L53" s="184"/>
      <c r="M53" s="185"/>
      <c r="N53" s="184"/>
      <c r="O53" s="185"/>
    </row>
    <row r="54" spans="1:21" s="12" customFormat="1" ht="8.25" customHeight="1" x14ac:dyDescent="0.25">
      <c r="A54" s="6"/>
      <c r="B54" s="190"/>
      <c r="C54" s="119"/>
      <c r="D54" s="190"/>
      <c r="E54" s="119"/>
      <c r="F54" s="190"/>
      <c r="G54" s="119"/>
      <c r="H54" s="190"/>
      <c r="I54" s="119"/>
      <c r="J54" s="190"/>
      <c r="K54" s="119"/>
      <c r="L54" s="191"/>
      <c r="M54" s="115"/>
      <c r="N54" s="191"/>
      <c r="O54" s="115"/>
    </row>
    <row r="55" spans="1:21" s="10" customFormat="1" ht="16.5" customHeight="1" x14ac:dyDescent="0.25">
      <c r="A55" s="9"/>
      <c r="B55" s="42"/>
      <c r="C55" s="87">
        <f>IF(DAY(Fév_Dim1)=1,Fév_Dim1+1,Fév_Dim1+8)</f>
        <v>42408</v>
      </c>
      <c r="D55" s="41"/>
      <c r="E55" s="87">
        <f>IF(DAY(Fév_Dim1)=1,Fév_Dim1+2,Fév_Dim1+9)</f>
        <v>42409</v>
      </c>
      <c r="F55" s="41"/>
      <c r="G55" s="87">
        <f>IF(DAY(Fév_Dim1)=1,Fév_Dim1+3,Fév_Dim1+10)</f>
        <v>42410</v>
      </c>
      <c r="H55" s="41"/>
      <c r="I55" s="87">
        <f>IF(DAY(Fév_Dim1)=1,Fév_Dim1+4,Fév_Dim1+11)</f>
        <v>42411</v>
      </c>
      <c r="J55" s="41"/>
      <c r="K55" s="87">
        <f>IF(DAY(Fév_Dim1)=1,Fév_Dim1+5,Fév_Dim1+12)</f>
        <v>42412</v>
      </c>
      <c r="L55" s="41"/>
      <c r="M55" s="87">
        <f>IF(DAY(Fév_Dim1)=1,Fév_Dim1+6,Fév_Dim1+13)</f>
        <v>42413</v>
      </c>
      <c r="N55" s="41"/>
      <c r="O55" s="87">
        <f>IF(DAY(Fév_Dim1)=1,Fév_Dim1+7,Fév_Dim1+14)</f>
        <v>42414</v>
      </c>
      <c r="P55" s="22"/>
    </row>
    <row r="56" spans="1:21" s="13" customFormat="1" ht="55.5" customHeight="1" x14ac:dyDescent="0.25">
      <c r="A56" s="6"/>
      <c r="B56" s="184"/>
      <c r="C56" s="185"/>
      <c r="D56" s="184"/>
      <c r="E56" s="185"/>
      <c r="F56" s="184" t="s">
        <v>7</v>
      </c>
      <c r="G56" s="185"/>
      <c r="H56" s="184"/>
      <c r="I56" s="185"/>
      <c r="J56" s="184"/>
      <c r="K56" s="185"/>
      <c r="L56" s="184"/>
      <c r="M56" s="185"/>
      <c r="N56" s="184"/>
      <c r="O56" s="185"/>
    </row>
    <row r="57" spans="1:21" s="13" customFormat="1" ht="8.25" customHeight="1" x14ac:dyDescent="0.25">
      <c r="A57" s="6"/>
      <c r="B57" s="190"/>
      <c r="C57" s="119"/>
      <c r="D57" s="190"/>
      <c r="E57" s="119"/>
      <c r="F57" s="190"/>
      <c r="G57" s="119"/>
      <c r="H57" s="190"/>
      <c r="I57" s="119"/>
      <c r="J57" s="190"/>
      <c r="K57" s="119"/>
      <c r="L57" s="191"/>
      <c r="M57" s="115"/>
      <c r="N57" s="191"/>
      <c r="O57" s="115"/>
    </row>
    <row r="58" spans="1:21" s="10" customFormat="1" ht="16.5" customHeight="1" x14ac:dyDescent="0.25">
      <c r="A58" s="9"/>
      <c r="B58" s="42"/>
      <c r="C58" s="87">
        <f>IF(DAY(Fév_Dim1)=1,Fév_Dim1+8,Fév_Dim1+15)</f>
        <v>42415</v>
      </c>
      <c r="D58" s="41"/>
      <c r="E58" s="87">
        <f>IF(DAY(Fév_Dim1)=1,Fév_Dim1+9,Fév_Dim1+16)</f>
        <v>42416</v>
      </c>
      <c r="F58" s="41"/>
      <c r="G58" s="87">
        <f>IF(DAY(Fév_Dim1)=1,Fév_Dim1+10,Fév_Dim1+17)</f>
        <v>42417</v>
      </c>
      <c r="H58" s="41"/>
      <c r="I58" s="87">
        <f>IF(DAY(Fév_Dim1)=1,Fév_Dim1+11,Fév_Dim1+18)</f>
        <v>42418</v>
      </c>
      <c r="J58" s="41"/>
      <c r="K58" s="87">
        <f>IF(DAY(Fév_Dim1)=1,Fév_Dim1+12,Fév_Dim1+19)</f>
        <v>42419</v>
      </c>
      <c r="L58" s="41"/>
      <c r="M58" s="87">
        <f>IF(DAY(Fév_Dim1)=1,Fév_Dim1+13,Fév_Dim1+20)</f>
        <v>42420</v>
      </c>
      <c r="N58" s="41"/>
      <c r="O58" s="87">
        <f>IF(DAY(Fév_Dim1)=1,Fév_Dim1+14,Fév_Dim1+21)</f>
        <v>42421</v>
      </c>
      <c r="P58" s="22"/>
    </row>
    <row r="59" spans="1:21" s="13" customFormat="1" ht="55.5" customHeight="1" x14ac:dyDescent="0.25">
      <c r="A59" s="6"/>
      <c r="B59" s="184"/>
      <c r="C59" s="192"/>
      <c r="D59" s="184"/>
      <c r="E59" s="192"/>
      <c r="F59" s="184"/>
      <c r="G59" s="192"/>
      <c r="H59" s="184"/>
      <c r="I59" s="192"/>
      <c r="J59" s="184"/>
      <c r="K59" s="192"/>
      <c r="L59" s="184"/>
      <c r="M59" s="192"/>
      <c r="N59" s="184"/>
      <c r="O59" s="192"/>
    </row>
    <row r="60" spans="1:21" s="13" customFormat="1" ht="8.25" customHeight="1" x14ac:dyDescent="0.25">
      <c r="A60" s="6"/>
      <c r="B60" s="190"/>
      <c r="C60" s="119"/>
      <c r="D60" s="190"/>
      <c r="E60" s="119"/>
      <c r="F60" s="190"/>
      <c r="G60" s="119"/>
      <c r="H60" s="190"/>
      <c r="I60" s="119"/>
      <c r="J60" s="190"/>
      <c r="K60" s="119"/>
      <c r="L60" s="191"/>
      <c r="M60" s="115"/>
      <c r="N60" s="191"/>
      <c r="O60" s="115"/>
    </row>
    <row r="61" spans="1:21" s="10" customFormat="1" ht="16.5" customHeight="1" x14ac:dyDescent="0.25">
      <c r="A61" s="9"/>
      <c r="B61" s="42"/>
      <c r="C61" s="87">
        <f>IF(DAY(Fév_Dim1)=1,Fév_Dim1+15,Fév_Dim1+22)</f>
        <v>42422</v>
      </c>
      <c r="D61" s="41"/>
      <c r="E61" s="87">
        <f>IF(DAY(Fév_Dim1)=1,Fév_Dim1+16,Fév_Dim1+23)</f>
        <v>42423</v>
      </c>
      <c r="F61" s="41"/>
      <c r="G61" s="87">
        <f>IF(DAY(Fév_Dim1)=1,Fév_Dim1+17,Fév_Dim1+24)</f>
        <v>42424</v>
      </c>
      <c r="H61" s="41"/>
      <c r="I61" s="87">
        <f>IF(DAY(Fév_Dim1)=1,Fév_Dim1+18,Fév_Dim1+25)</f>
        <v>42425</v>
      </c>
      <c r="J61" s="41"/>
      <c r="K61" s="87">
        <f>IF(DAY(Fév_Dim1)=1,Fév_Dim1+19,Fév_Dim1+26)</f>
        <v>42426</v>
      </c>
      <c r="L61" s="41"/>
      <c r="M61" s="87">
        <f>IF(DAY(Fév_Dim1)=1,Fév_Dim1+20,Fév_Dim1+27)</f>
        <v>42427</v>
      </c>
      <c r="N61" s="41"/>
      <c r="O61" s="87">
        <f>IF(DAY(Fév_Dim1)=1,Fév_Dim1+21,Fév_Dim1+28)</f>
        <v>42428</v>
      </c>
      <c r="P61" s="22"/>
    </row>
    <row r="62" spans="1:21" s="13" customFormat="1" ht="55.5" customHeight="1" x14ac:dyDescent="0.25">
      <c r="A62" s="6"/>
      <c r="B62" s="184"/>
      <c r="C62" s="185"/>
      <c r="D62" s="184"/>
      <c r="E62" s="185"/>
      <c r="F62" s="184"/>
      <c r="G62" s="185"/>
      <c r="H62" s="184"/>
      <c r="I62" s="185"/>
      <c r="J62" s="184"/>
      <c r="K62" s="185"/>
      <c r="L62" s="184"/>
      <c r="M62" s="185"/>
      <c r="N62" s="184"/>
      <c r="O62" s="185"/>
    </row>
    <row r="63" spans="1:21" s="13" customFormat="1" ht="8.25" customHeight="1" x14ac:dyDescent="0.25">
      <c r="A63" s="6"/>
      <c r="B63" s="190"/>
      <c r="C63" s="119"/>
      <c r="D63" s="190"/>
      <c r="E63" s="119"/>
      <c r="F63" s="190"/>
      <c r="G63" s="119"/>
      <c r="H63" s="190"/>
      <c r="I63" s="119"/>
      <c r="J63" s="190"/>
      <c r="K63" s="119"/>
      <c r="L63" s="191"/>
      <c r="M63" s="115"/>
      <c r="N63" s="191"/>
      <c r="O63" s="115"/>
    </row>
    <row r="64" spans="1:21" s="10" customFormat="1" ht="16.5" customHeight="1" x14ac:dyDescent="0.25">
      <c r="A64" s="9"/>
      <c r="B64" s="42"/>
      <c r="C64" s="87">
        <f>IF(DAY(Fév_Dim1)=1,Fév_Dim1+22,Fév_Dim1+29)</f>
        <v>42429</v>
      </c>
      <c r="D64" s="41"/>
      <c r="E64" s="87">
        <f>IF(DAY(Fév_Dim1)=1,Fév_Dim1+23,Fév_Dim1+30)</f>
        <v>42430</v>
      </c>
      <c r="F64" s="41"/>
      <c r="G64" s="87">
        <f>IF(DAY(Fév_Dim1)=1,Fév_Dim1+24,Fév_Dim1+31)</f>
        <v>42431</v>
      </c>
      <c r="H64" s="41"/>
      <c r="I64" s="87">
        <f>IF(DAY(Fév_Dim1)=1,Fév_Dim1+25,Fév_Dim1+32)</f>
        <v>42432</v>
      </c>
      <c r="J64" s="41"/>
      <c r="K64" s="87">
        <f>IF(DAY(Fév_Dim1)=1,Fév_Dim1+26,Fév_Dim1+33)</f>
        <v>42433</v>
      </c>
      <c r="L64" s="41"/>
      <c r="M64" s="87">
        <f>IF(DAY(Fév_Dim1)=1,Fév_Dim1+27,Fév_Dim1+34)</f>
        <v>42434</v>
      </c>
      <c r="N64" s="41"/>
      <c r="O64" s="87">
        <f>IF(DAY(Fév_Dim1)=1,Fév_Dim1+28,Fév_Dim1+35)</f>
        <v>42435</v>
      </c>
      <c r="P64" s="22"/>
    </row>
    <row r="65" spans="1:16" s="13" customFormat="1" ht="55.5" customHeight="1" x14ac:dyDescent="0.25">
      <c r="A65" s="6"/>
      <c r="B65" s="184"/>
      <c r="C65" s="185"/>
      <c r="D65" s="184"/>
      <c r="E65" s="185"/>
      <c r="F65" s="184"/>
      <c r="G65" s="185"/>
      <c r="H65" s="184"/>
      <c r="I65" s="185"/>
      <c r="J65" s="184"/>
      <c r="K65" s="185"/>
      <c r="L65" s="184"/>
      <c r="M65" s="185"/>
      <c r="N65" s="184"/>
      <c r="O65" s="185"/>
    </row>
    <row r="66" spans="1:16" s="13" customFormat="1" ht="8.25" customHeight="1" x14ac:dyDescent="0.25">
      <c r="A66" s="6"/>
      <c r="B66" s="186"/>
      <c r="C66" s="187"/>
      <c r="D66" s="186"/>
      <c r="E66" s="187"/>
      <c r="F66" s="186"/>
      <c r="G66" s="187"/>
      <c r="H66" s="186"/>
      <c r="I66" s="187"/>
      <c r="J66" s="186"/>
      <c r="K66" s="187"/>
      <c r="L66" s="188"/>
      <c r="M66" s="189"/>
      <c r="N66" s="188"/>
      <c r="O66" s="189"/>
    </row>
    <row r="67" spans="1:16" s="10" customFormat="1" ht="16.5" customHeight="1" x14ac:dyDescent="0.25">
      <c r="A67" s="9"/>
      <c r="B67" s="43"/>
      <c r="C67" s="88">
        <f>IF(DAY(Fév_Dim1)=1,Fév_Dim1+29,Fév_Dim1+36)</f>
        <v>42436</v>
      </c>
      <c r="D67" s="44"/>
      <c r="E67" s="88">
        <f>IF(DAY(Fév_Dim1)=1,Fév_Dim1+30,Fév_Dim1+37)</f>
        <v>42437</v>
      </c>
      <c r="F67" s="44"/>
      <c r="G67" s="88">
        <f>IF(DAY(Fév_Dim1)=1,Fév_Dim1+31,Fév_Dim1+38)</f>
        <v>42438</v>
      </c>
      <c r="H67" s="44"/>
      <c r="I67" s="88">
        <f>IF(DAY(Fév_Dim1)=1,Fév_Dim1+32,Fév_Dim1+39)</f>
        <v>42439</v>
      </c>
      <c r="J67" s="44"/>
      <c r="K67" s="88">
        <f>IF(DAY(Fév_Dim1)=1,Fév_Dim1+33,Fév_Dim1+40)</f>
        <v>42440</v>
      </c>
      <c r="L67" s="44"/>
      <c r="M67" s="88">
        <f>IF(DAY(Fév_Dim1)=1,Fév_Dim1+34,Fév_Dim1+41)</f>
        <v>42441</v>
      </c>
      <c r="N67" s="44"/>
      <c r="O67" s="88">
        <f>IF(DAY(Fév_Dim1)=1,Fév_Dim1+35,Fév_Dim1+42)</f>
        <v>42442</v>
      </c>
      <c r="P67" s="22"/>
    </row>
    <row r="68" spans="1:16" s="13" customFormat="1" ht="55.5" customHeight="1" x14ac:dyDescent="0.25">
      <c r="A68" s="6"/>
      <c r="B68" s="181"/>
      <c r="C68" s="182"/>
      <c r="D68" s="181"/>
      <c r="E68" s="182"/>
      <c r="F68" s="181"/>
      <c r="G68" s="182"/>
      <c r="H68" s="181"/>
      <c r="I68" s="182"/>
      <c r="J68" s="181"/>
      <c r="K68" s="182"/>
      <c r="L68" s="181"/>
      <c r="M68" s="182"/>
      <c r="N68" s="181"/>
      <c r="O68" s="182"/>
    </row>
    <row r="69" spans="1:16" s="13" customFormat="1" ht="7.5" customHeight="1" x14ac:dyDescent="0.2">
      <c r="B69" s="14"/>
      <c r="C69" s="14"/>
      <c r="D69" s="14"/>
      <c r="E69" s="14"/>
      <c r="F69" s="14"/>
      <c r="G69" s="14"/>
      <c r="H69" s="14"/>
      <c r="I69" s="14"/>
      <c r="J69" s="14"/>
      <c r="K69" s="14"/>
      <c r="L69" s="14"/>
      <c r="M69" s="14"/>
      <c r="N69" s="14"/>
      <c r="O69" s="14"/>
    </row>
    <row r="70" spans="1:16" s="18" customFormat="1" ht="34.5" customHeight="1" x14ac:dyDescent="0.2"/>
    <row r="71" spans="1:16" s="18" customFormat="1" ht="18.75" customHeight="1" x14ac:dyDescent="0.35">
      <c r="A71" s="3"/>
      <c r="B71" s="1"/>
      <c r="C71" s="1"/>
      <c r="D71" s="1"/>
      <c r="E71" s="2"/>
      <c r="F71" s="2"/>
      <c r="G71" s="2"/>
      <c r="H71" s="4"/>
      <c r="I71" s="4"/>
      <c r="J71" s="4"/>
      <c r="L71" s="89"/>
      <c r="M71" s="89"/>
      <c r="N71" s="89"/>
      <c r="O71" s="89"/>
    </row>
    <row r="72" spans="1:16" s="18" customFormat="1" ht="18.75" customHeight="1" x14ac:dyDescent="0.35">
      <c r="A72" s="3"/>
      <c r="B72" s="1"/>
      <c r="C72" s="1"/>
      <c r="D72" s="1"/>
      <c r="E72" s="2"/>
      <c r="F72" s="2"/>
      <c r="G72" s="2"/>
      <c r="H72" s="4"/>
      <c r="I72" s="4"/>
      <c r="J72" s="4"/>
    </row>
    <row r="73" spans="1:16" s="18" customFormat="1" ht="18.75" customHeight="1" x14ac:dyDescent="0.35">
      <c r="A73" s="3"/>
      <c r="B73" s="1"/>
      <c r="C73" s="1"/>
      <c r="D73" s="1"/>
      <c r="E73" s="2"/>
      <c r="F73" s="2"/>
      <c r="G73" s="2"/>
      <c r="H73" s="4"/>
      <c r="I73" s="4"/>
      <c r="J73" s="4"/>
    </row>
    <row r="74" spans="1:16" s="18" customFormat="1" ht="18.75" customHeight="1" x14ac:dyDescent="0.35">
      <c r="A74" s="3"/>
      <c r="B74" s="1"/>
      <c r="C74" s="1"/>
      <c r="D74" s="1"/>
      <c r="E74" s="2"/>
      <c r="F74" s="2"/>
      <c r="G74" s="2"/>
      <c r="H74" s="4"/>
      <c r="I74" s="4"/>
      <c r="J74" s="4"/>
    </row>
    <row r="75" spans="1:16" s="18" customFormat="1" ht="18.75" customHeight="1" x14ac:dyDescent="0.35">
      <c r="A75" s="3"/>
      <c r="B75" s="1"/>
      <c r="C75" s="1"/>
      <c r="D75" s="1"/>
      <c r="E75" s="2"/>
      <c r="F75" s="2"/>
      <c r="G75" s="2"/>
      <c r="H75" s="4"/>
      <c r="I75" s="4"/>
      <c r="J75" s="4"/>
    </row>
    <row r="76" spans="1:16" s="18" customFormat="1" ht="18.75" customHeight="1" x14ac:dyDescent="0.35">
      <c r="A76" s="3"/>
      <c r="B76" s="1"/>
      <c r="C76" s="1"/>
      <c r="D76" s="1"/>
      <c r="E76" s="2"/>
      <c r="F76" s="2"/>
      <c r="G76" s="2"/>
      <c r="H76" s="4"/>
      <c r="I76" s="4"/>
      <c r="J76" s="4"/>
    </row>
    <row r="77" spans="1:16" s="18" customFormat="1" ht="18.75" customHeight="1" x14ac:dyDescent="0.35">
      <c r="A77" s="3"/>
      <c r="B77" s="1"/>
      <c r="C77" s="1"/>
      <c r="D77" s="1"/>
      <c r="E77" s="2"/>
      <c r="F77" s="2"/>
      <c r="G77" s="2"/>
      <c r="H77" s="4"/>
      <c r="I77" s="4"/>
      <c r="J77" s="4"/>
    </row>
    <row r="78" spans="1:16" s="18" customFormat="1" ht="18.75" customHeight="1" x14ac:dyDescent="0.35">
      <c r="A78" s="3"/>
      <c r="B78" s="1"/>
      <c r="C78" s="1"/>
      <c r="D78" s="1"/>
      <c r="E78" s="2"/>
      <c r="F78" s="2"/>
      <c r="G78" s="2"/>
      <c r="H78" s="4"/>
      <c r="I78" s="4"/>
      <c r="J78" s="4"/>
    </row>
    <row r="79" spans="1:16" s="18" customFormat="1" ht="18.75" customHeight="1" x14ac:dyDescent="0.35">
      <c r="A79" s="3"/>
      <c r="B79" s="1"/>
      <c r="C79" s="1"/>
      <c r="D79" s="1"/>
      <c r="E79" s="2"/>
      <c r="F79" s="2"/>
      <c r="G79" s="2"/>
      <c r="H79" s="4"/>
      <c r="I79" s="4"/>
      <c r="J79" s="4"/>
    </row>
    <row r="80" spans="1:16" s="18" customFormat="1" ht="18.75" customHeight="1" x14ac:dyDescent="0.35">
      <c r="A80" s="3"/>
      <c r="B80" s="1"/>
      <c r="C80" s="1"/>
      <c r="D80" s="1"/>
      <c r="E80" s="2"/>
      <c r="F80" s="2"/>
      <c r="G80" s="2"/>
      <c r="H80" s="4"/>
      <c r="I80" s="4"/>
      <c r="J80" s="4"/>
    </row>
    <row r="81" spans="1:21" s="18" customFormat="1" ht="18.75" customHeight="1" x14ac:dyDescent="0.35">
      <c r="A81" s="3"/>
      <c r="B81" s="1"/>
      <c r="C81" s="1"/>
      <c r="D81" s="1"/>
      <c r="E81" s="2"/>
      <c r="F81" s="2"/>
      <c r="G81" s="2"/>
      <c r="H81" s="4"/>
      <c r="I81" s="4"/>
      <c r="J81" s="4"/>
    </row>
    <row r="82" spans="1:21" s="18" customFormat="1" ht="18.75" customHeight="1" x14ac:dyDescent="0.35">
      <c r="A82" s="3"/>
      <c r="B82" s="1"/>
      <c r="C82" s="1"/>
      <c r="D82" s="1"/>
      <c r="E82" s="2"/>
      <c r="F82" s="2"/>
      <c r="G82" s="2"/>
      <c r="H82" s="4"/>
      <c r="I82" s="4"/>
      <c r="J82" s="4"/>
    </row>
    <row r="83" spans="1:21" s="18" customFormat="1" ht="18.75" customHeight="1" x14ac:dyDescent="0.35">
      <c r="A83" s="3"/>
      <c r="B83" s="1"/>
      <c r="C83" s="1"/>
      <c r="D83" s="1"/>
      <c r="E83" s="2"/>
      <c r="F83" s="2"/>
      <c r="G83" s="2"/>
      <c r="H83" s="4"/>
      <c r="I83" s="4"/>
      <c r="J83" s="4"/>
    </row>
    <row r="84" spans="1:21" s="18" customFormat="1" ht="18.75" customHeight="1" x14ac:dyDescent="0.35">
      <c r="A84" s="3"/>
      <c r="B84" s="1"/>
      <c r="C84" s="1"/>
      <c r="D84" s="1"/>
      <c r="E84" s="2"/>
      <c r="F84" s="2"/>
      <c r="G84" s="2"/>
      <c r="H84" s="4"/>
      <c r="I84" s="4"/>
      <c r="J84" s="4"/>
    </row>
    <row r="85" spans="1:21" s="18" customFormat="1" ht="54.4" customHeight="1" x14ac:dyDescent="0.25">
      <c r="A85" s="6"/>
      <c r="B85" s="7"/>
      <c r="C85" s="7"/>
      <c r="D85" s="7"/>
      <c r="E85" s="7"/>
      <c r="F85" s="7"/>
      <c r="G85" s="7"/>
      <c r="H85" s="7"/>
      <c r="I85" s="7"/>
      <c r="J85" s="7"/>
      <c r="K85" s="7"/>
      <c r="L85" s="7"/>
      <c r="M85" s="7"/>
      <c r="N85" s="7"/>
      <c r="O85" s="7"/>
    </row>
    <row r="86" spans="1:21" s="13" customFormat="1" ht="54" customHeight="1" x14ac:dyDescent="0.2">
      <c r="A86" s="40"/>
      <c r="B86" s="207" t="s">
        <v>8</v>
      </c>
      <c r="C86" s="208"/>
      <c r="D86" s="208"/>
      <c r="E86" s="208"/>
      <c r="F86" s="208"/>
      <c r="G86" s="208"/>
      <c r="H86" s="208"/>
      <c r="I86" s="208"/>
      <c r="J86" s="208"/>
      <c r="K86" s="208"/>
      <c r="L86" s="208"/>
      <c r="M86" s="208"/>
      <c r="N86" s="202">
        <f>Année_Calendaire</f>
        <v>2016</v>
      </c>
      <c r="O86" s="202"/>
    </row>
    <row r="87" spans="1:21" s="38" customFormat="1" ht="34.15" customHeight="1" x14ac:dyDescent="0.2">
      <c r="B87" s="183" t="s">
        <v>0</v>
      </c>
      <c r="C87" s="183"/>
      <c r="D87" s="183" t="s">
        <v>1</v>
      </c>
      <c r="E87" s="183"/>
      <c r="F87" s="183" t="s">
        <v>2</v>
      </c>
      <c r="G87" s="183"/>
      <c r="H87" s="183" t="s">
        <v>3</v>
      </c>
      <c r="I87" s="183"/>
      <c r="J87" s="183" t="s">
        <v>4</v>
      </c>
      <c r="K87" s="183"/>
      <c r="L87" s="183" t="s">
        <v>5</v>
      </c>
      <c r="M87" s="183"/>
      <c r="N87" s="183" t="s">
        <v>6</v>
      </c>
      <c r="O87" s="183"/>
      <c r="P87" s="39"/>
      <c r="T87" s="37"/>
      <c r="U87" s="37"/>
    </row>
    <row r="88" spans="1:21" s="9" customFormat="1" ht="16.5" customHeight="1" x14ac:dyDescent="0.25">
      <c r="B88" s="85"/>
      <c r="C88" s="86">
        <f>IF(DAY(Mar_Dim1)=1,Mar_Dim1-6,Mar_Dim1+1)</f>
        <v>42429</v>
      </c>
      <c r="D88" s="83"/>
      <c r="E88" s="86">
        <f>IF(DAY(Mar_Dim1)=1,Mar_Dim1-5,Mar_Dim1+2)</f>
        <v>42430</v>
      </c>
      <c r="F88" s="83"/>
      <c r="G88" s="86">
        <f>IF(DAY(Mar_Dim1)=1,Mar_Dim1-4,Mar_Dim1+3)</f>
        <v>42431</v>
      </c>
      <c r="H88" s="83"/>
      <c r="I88" s="86">
        <f>IF(DAY(Mar_Dim1)=1,Mar_Dim1-3,Mar_Dim1+4)</f>
        <v>42432</v>
      </c>
      <c r="J88" s="83"/>
      <c r="K88" s="86">
        <f>IF(DAY(Mar_Dim1)=1,Mar_Dim1-2,Mar_Dim1+5)</f>
        <v>42433</v>
      </c>
      <c r="L88" s="83"/>
      <c r="M88" s="86">
        <f>IF(DAY(Mar_Dim1)=1,Mar_Dim1-1,Mar_Dim1+6)</f>
        <v>42434</v>
      </c>
      <c r="N88" s="83"/>
      <c r="O88" s="86">
        <f>IF(DAY(Mar_Dim1)=1,Mar_Dim1,Mar_Dim1+7)</f>
        <v>42435</v>
      </c>
      <c r="P88" s="10"/>
      <c r="T88" s="11"/>
      <c r="U88" s="10"/>
    </row>
    <row r="89" spans="1:21" s="12" customFormat="1" ht="55.5" customHeight="1" x14ac:dyDescent="0.25">
      <c r="A89" s="6"/>
      <c r="B89" s="175"/>
      <c r="C89" s="176"/>
      <c r="D89" s="176"/>
      <c r="E89" s="176"/>
      <c r="F89" s="176"/>
      <c r="G89" s="176"/>
      <c r="H89" s="176"/>
      <c r="I89" s="176"/>
      <c r="J89" s="176"/>
      <c r="K89" s="176"/>
      <c r="L89" s="180"/>
      <c r="M89" s="180"/>
      <c r="N89" s="180"/>
      <c r="O89" s="180"/>
    </row>
    <row r="90" spans="1:21" s="12" customFormat="1" ht="8.25" customHeight="1" x14ac:dyDescent="0.25">
      <c r="A90" s="6"/>
      <c r="B90" s="162"/>
      <c r="C90" s="162"/>
      <c r="D90" s="162"/>
      <c r="E90" s="162"/>
      <c r="F90" s="162"/>
      <c r="G90" s="162"/>
      <c r="H90" s="162"/>
      <c r="I90" s="162"/>
      <c r="J90" s="162"/>
      <c r="K90" s="162"/>
      <c r="L90" s="163"/>
      <c r="M90" s="163"/>
      <c r="N90" s="163"/>
      <c r="O90" s="163"/>
    </row>
    <row r="91" spans="1:21" s="10" customFormat="1" ht="16.5" customHeight="1" x14ac:dyDescent="0.25">
      <c r="A91" s="9"/>
      <c r="B91" s="84"/>
      <c r="C91" s="86">
        <f>IF(DAY(Mar_Dim1)=1,Mar_Dim1+1,Mar_Dim1+8)</f>
        <v>42436</v>
      </c>
      <c r="D91" s="83"/>
      <c r="E91" s="86">
        <f>IF(DAY(Mar_Dim1)=1,Mar_Dim1+2,Mar_Dim1+9)</f>
        <v>42437</v>
      </c>
      <c r="F91" s="83"/>
      <c r="G91" s="86">
        <f>IF(DAY(Mar_Dim1)=1,Mar_Dim1+3,Mar_Dim1+10)</f>
        <v>42438</v>
      </c>
      <c r="H91" s="83"/>
      <c r="I91" s="86">
        <f>IF(DAY(Mar_Dim1)=1,Mar_Dim1+4,Mar_Dim1+11)</f>
        <v>42439</v>
      </c>
      <c r="J91" s="83"/>
      <c r="K91" s="86">
        <f>IF(DAY(Mar_Dim1)=1,Mar_Dim1+5,Mar_Dim1+12)</f>
        <v>42440</v>
      </c>
      <c r="L91" s="83"/>
      <c r="M91" s="86">
        <f>IF(DAY(Mar_Dim1)=1,Mar_Dim1+6,Mar_Dim1+13)</f>
        <v>42441</v>
      </c>
      <c r="N91" s="83"/>
      <c r="O91" s="86">
        <f>IF(DAY(Mar_Dim1)=1,Mar_Dim1+7,Mar_Dim1+14)</f>
        <v>42442</v>
      </c>
    </row>
    <row r="92" spans="1:21" s="13" customFormat="1" ht="55.5" customHeight="1" x14ac:dyDescent="0.25">
      <c r="A92" s="6"/>
      <c r="B92" s="175"/>
      <c r="C92" s="176"/>
      <c r="D92" s="176"/>
      <c r="E92" s="176"/>
      <c r="F92" s="176" t="s">
        <v>7</v>
      </c>
      <c r="G92" s="176"/>
      <c r="H92" s="176"/>
      <c r="I92" s="176"/>
      <c r="J92" s="176"/>
      <c r="K92" s="176"/>
      <c r="L92" s="180"/>
      <c r="M92" s="180"/>
      <c r="N92" s="180"/>
      <c r="O92" s="180"/>
    </row>
    <row r="93" spans="1:21" s="13" customFormat="1" ht="8.25" customHeight="1" x14ac:dyDescent="0.25">
      <c r="A93" s="6"/>
      <c r="B93" s="162"/>
      <c r="C93" s="162"/>
      <c r="D93" s="162"/>
      <c r="E93" s="162"/>
      <c r="F93" s="162"/>
      <c r="G93" s="162"/>
      <c r="H93" s="162"/>
      <c r="I93" s="162"/>
      <c r="J93" s="162"/>
      <c r="K93" s="162"/>
      <c r="L93" s="163"/>
      <c r="M93" s="163"/>
      <c r="N93" s="163"/>
      <c r="O93" s="163"/>
    </row>
    <row r="94" spans="1:21" s="10" customFormat="1" ht="16.5" customHeight="1" x14ac:dyDescent="0.25">
      <c r="A94" s="9"/>
      <c r="B94" s="84"/>
      <c r="C94" s="86">
        <f>IF(DAY(Mar_Dim1)=1,Mar_Dim1+8,Mar_Dim1+15)</f>
        <v>42443</v>
      </c>
      <c r="D94" s="83"/>
      <c r="E94" s="86">
        <f>IF(DAY(Mar_Dim1)=1,Mar_Dim1+9,Mar_Dim1+16)</f>
        <v>42444</v>
      </c>
      <c r="F94" s="83"/>
      <c r="G94" s="86">
        <f>IF(DAY(Mar_Dim1)=1,Mar_Dim1+10,Mar_Dim1+17)</f>
        <v>42445</v>
      </c>
      <c r="H94" s="83"/>
      <c r="I94" s="86">
        <f>IF(DAY(Mar_Dim1)=1,Mar_Dim1+11,Mar_Dim1+18)</f>
        <v>42446</v>
      </c>
      <c r="J94" s="83"/>
      <c r="K94" s="86">
        <f>IF(DAY(Mar_Dim1)=1,Mar_Dim1+12,Mar_Dim1+19)</f>
        <v>42447</v>
      </c>
      <c r="L94" s="83"/>
      <c r="M94" s="86">
        <f>IF(DAY(Mar_Dim1)=1,Mar_Dim1+13,Mar_Dim1+20)</f>
        <v>42448</v>
      </c>
      <c r="N94" s="83"/>
      <c r="O94" s="86">
        <f>IF(DAY(Mar_Dim1)=1,Mar_Dim1+14,Mar_Dim1+21)</f>
        <v>42449</v>
      </c>
    </row>
    <row r="95" spans="1:21" s="13" customFormat="1" ht="55.5" customHeight="1" x14ac:dyDescent="0.25">
      <c r="A95" s="6"/>
      <c r="B95" s="175"/>
      <c r="C95" s="176"/>
      <c r="D95" s="176"/>
      <c r="E95" s="176"/>
      <c r="F95" s="176"/>
      <c r="G95" s="176"/>
      <c r="H95" s="176"/>
      <c r="I95" s="176"/>
      <c r="J95" s="176"/>
      <c r="K95" s="176"/>
      <c r="L95" s="180"/>
      <c r="M95" s="180"/>
      <c r="N95" s="180"/>
      <c r="O95" s="180"/>
    </row>
    <row r="96" spans="1:21" s="13" customFormat="1" ht="8.25" customHeight="1" x14ac:dyDescent="0.25">
      <c r="A96" s="6"/>
      <c r="B96" s="162"/>
      <c r="C96" s="162"/>
      <c r="D96" s="162"/>
      <c r="E96" s="162"/>
      <c r="F96" s="162"/>
      <c r="G96" s="162"/>
      <c r="H96" s="162"/>
      <c r="I96" s="162"/>
      <c r="J96" s="162"/>
      <c r="K96" s="162"/>
      <c r="L96" s="163"/>
      <c r="M96" s="163"/>
      <c r="N96" s="163"/>
      <c r="O96" s="163"/>
    </row>
    <row r="97" spans="1:15" s="10" customFormat="1" ht="16.5" customHeight="1" x14ac:dyDescent="0.25">
      <c r="A97" s="9"/>
      <c r="B97" s="84"/>
      <c r="C97" s="86">
        <f>IF(DAY(Mar_Dim1)=1,Mar_Dim1+15,Mar_Dim1+22)</f>
        <v>42450</v>
      </c>
      <c r="D97" s="83"/>
      <c r="E97" s="86">
        <f>IF(DAY(Mar_Dim1)=1,Mar_Dim1+16,Mar_Dim1+23)</f>
        <v>42451</v>
      </c>
      <c r="F97" s="83"/>
      <c r="G97" s="86">
        <f>IF(DAY(Mar_Dim1)=1,Mar_Dim1+17,Mar_Dim1+24)</f>
        <v>42452</v>
      </c>
      <c r="H97" s="83"/>
      <c r="I97" s="86">
        <f>IF(DAY(Mar_Dim1)=1,Mar_Dim1+18,Mar_Dim1+25)</f>
        <v>42453</v>
      </c>
      <c r="J97" s="83"/>
      <c r="K97" s="86">
        <f>IF(DAY(Mar_Dim1)=1,Mar_Dim1+19,Mar_Dim1+26)</f>
        <v>42454</v>
      </c>
      <c r="L97" s="83"/>
      <c r="M97" s="86">
        <f>IF(DAY(Mar_Dim1)=1,Mar_Dim1+20,Mar_Dim1+27)</f>
        <v>42455</v>
      </c>
      <c r="N97" s="83"/>
      <c r="O97" s="86">
        <f>IF(DAY(Mar_Dim1)=1,Mar_Dim1+21,Mar_Dim1+28)</f>
        <v>42456</v>
      </c>
    </row>
    <row r="98" spans="1:15" s="13" customFormat="1" ht="55.5" customHeight="1" x14ac:dyDescent="0.25">
      <c r="A98" s="6"/>
      <c r="B98" s="175"/>
      <c r="C98" s="176"/>
      <c r="D98" s="176"/>
      <c r="E98" s="176"/>
      <c r="F98" s="176"/>
      <c r="G98" s="176"/>
      <c r="H98" s="176"/>
      <c r="I98" s="176"/>
      <c r="J98" s="176"/>
      <c r="K98" s="176"/>
      <c r="L98" s="180"/>
      <c r="M98" s="180"/>
      <c r="N98" s="180"/>
      <c r="O98" s="180"/>
    </row>
    <row r="99" spans="1:15" s="13" customFormat="1" ht="8.25" customHeight="1" x14ac:dyDescent="0.25">
      <c r="A99" s="6"/>
      <c r="B99" s="162"/>
      <c r="C99" s="162"/>
      <c r="D99" s="162"/>
      <c r="E99" s="162"/>
      <c r="F99" s="162"/>
      <c r="G99" s="162"/>
      <c r="H99" s="162"/>
      <c r="I99" s="162"/>
      <c r="J99" s="162"/>
      <c r="K99" s="162"/>
      <c r="L99" s="163"/>
      <c r="M99" s="163"/>
      <c r="N99" s="163"/>
      <c r="O99" s="163"/>
    </row>
    <row r="100" spans="1:15" s="10" customFormat="1" ht="16.5" customHeight="1" x14ac:dyDescent="0.25">
      <c r="A100" s="9"/>
      <c r="B100" s="84"/>
      <c r="C100" s="86">
        <f>IF(DAY(Mar_Dim1)=1,Mar_Dim1+22,Mar_Dim1+29)</f>
        <v>42457</v>
      </c>
      <c r="D100" s="83"/>
      <c r="E100" s="86">
        <f>IF(DAY(Mar_Dim1)=1,Mar_Dim1+23,Mar_Dim1+30)</f>
        <v>42458</v>
      </c>
      <c r="F100" s="83"/>
      <c r="G100" s="86">
        <f>IF(DAY(Mar_Dim1)=1,Mar_Dim1+24,Mar_Dim1+31)</f>
        <v>42459</v>
      </c>
      <c r="H100" s="83"/>
      <c r="I100" s="86">
        <f>IF(DAY(Mar_Dim1)=1,Mar_Dim1+25,Mar_Dim1+32)</f>
        <v>42460</v>
      </c>
      <c r="J100" s="83"/>
      <c r="K100" s="86">
        <f>IF(DAY(Mar_Dim1)=1,Mar_Dim1+26,Mar_Dim1+33)</f>
        <v>42461</v>
      </c>
      <c r="L100" s="83"/>
      <c r="M100" s="86">
        <f>IF(DAY(Mar_Dim1)=1,Mar_Dim1+27,Mar_Dim1+34)</f>
        <v>42462</v>
      </c>
      <c r="N100" s="83"/>
      <c r="O100" s="86">
        <f>IF(DAY(Mar_Dim1)=1,Mar_Dim1+28,Mar_Dim1+35)</f>
        <v>42463</v>
      </c>
    </row>
    <row r="101" spans="1:15" s="13" customFormat="1" ht="55.5" customHeight="1" x14ac:dyDescent="0.25">
      <c r="A101" s="6"/>
      <c r="B101" s="175"/>
      <c r="C101" s="176"/>
      <c r="D101" s="176"/>
      <c r="E101" s="176"/>
      <c r="F101" s="176"/>
      <c r="G101" s="176"/>
      <c r="H101" s="176"/>
      <c r="I101" s="176"/>
      <c r="J101" s="176"/>
      <c r="K101" s="176"/>
      <c r="L101" s="180"/>
      <c r="M101" s="180"/>
      <c r="N101" s="180"/>
      <c r="O101" s="180"/>
    </row>
    <row r="102" spans="1:15" s="13" customFormat="1" ht="8.25" customHeight="1" x14ac:dyDescent="0.25">
      <c r="A102" s="6"/>
      <c r="B102" s="162"/>
      <c r="C102" s="162"/>
      <c r="D102" s="162"/>
      <c r="E102" s="162"/>
      <c r="F102" s="162"/>
      <c r="G102" s="162"/>
      <c r="H102" s="162"/>
      <c r="I102" s="162"/>
      <c r="J102" s="162"/>
      <c r="K102" s="162"/>
      <c r="L102" s="163"/>
      <c r="M102" s="163"/>
      <c r="N102" s="163"/>
      <c r="O102" s="163"/>
    </row>
    <row r="103" spans="1:15" s="10" customFormat="1" ht="16.5" customHeight="1" x14ac:dyDescent="0.25">
      <c r="A103" s="9"/>
      <c r="B103" s="84"/>
      <c r="C103" s="86">
        <f>IF(DAY(Mar_Dim1)=1,Mar_Dim1+29,Mar_Dim1+36)</f>
        <v>42464</v>
      </c>
      <c r="D103" s="83"/>
      <c r="E103" s="86">
        <f>IF(DAY(Mar_Dim1)=1,Mar_Dim1+30,Mar_Dim1+37)</f>
        <v>42465</v>
      </c>
      <c r="F103" s="83"/>
      <c r="G103" s="86">
        <f>IF(DAY(Mar_Dim1)=1,Mar_Dim1+31,Mar_Dim1+38)</f>
        <v>42466</v>
      </c>
      <c r="H103" s="83"/>
      <c r="I103" s="86">
        <f>IF(DAY(Mar_Dim1)=1,Mar_Dim1+32,Mar_Dim1+39)</f>
        <v>42467</v>
      </c>
      <c r="J103" s="83"/>
      <c r="K103" s="86">
        <f>IF(DAY(Mar_Dim1)=1,Mar_Dim1+33,Mar_Dim1+40)</f>
        <v>42468</v>
      </c>
      <c r="L103" s="83"/>
      <c r="M103" s="86">
        <f>IF(DAY(Mar_Dim1)=1,Mar_Dim1+34,Mar_Dim1+41)</f>
        <v>42469</v>
      </c>
      <c r="N103" s="83"/>
      <c r="O103" s="86">
        <f>IF(DAY(Mar_Dim1)=1,Mar_Dim1+35,Mar_Dim1+42)</f>
        <v>42470</v>
      </c>
    </row>
    <row r="104" spans="1:15" s="13" customFormat="1" ht="55.5" customHeight="1" x14ac:dyDescent="0.25">
      <c r="A104" s="6"/>
      <c r="B104" s="175"/>
      <c r="C104" s="176"/>
      <c r="D104" s="176"/>
      <c r="E104" s="176"/>
      <c r="F104" s="173"/>
      <c r="G104" s="173"/>
      <c r="H104" s="173"/>
      <c r="I104" s="173"/>
      <c r="J104" s="173"/>
      <c r="K104" s="173"/>
      <c r="L104" s="173"/>
      <c r="M104" s="173"/>
      <c r="N104" s="173"/>
      <c r="O104" s="173"/>
    </row>
    <row r="105" spans="1:15" s="18" customFormat="1" ht="7.5" customHeight="1" x14ac:dyDescent="0.2">
      <c r="B105" s="14"/>
      <c r="C105" s="14"/>
      <c r="D105" s="14"/>
      <c r="E105" s="14"/>
      <c r="F105" s="14"/>
      <c r="G105" s="14"/>
      <c r="H105" s="14"/>
      <c r="I105" s="14"/>
      <c r="J105" s="14"/>
      <c r="K105" s="14"/>
      <c r="L105" s="14"/>
      <c r="M105" s="14"/>
      <c r="N105" s="14"/>
      <c r="O105" s="14"/>
    </row>
    <row r="106" spans="1:15" s="18" customFormat="1" ht="34.5" customHeight="1" x14ac:dyDescent="0.2"/>
    <row r="107" spans="1:15" s="18" customFormat="1" ht="18.75" customHeight="1" x14ac:dyDescent="0.35">
      <c r="A107" s="3"/>
      <c r="B107" s="1"/>
      <c r="C107" s="1"/>
      <c r="D107" s="1"/>
      <c r="E107" s="2"/>
      <c r="F107" s="2"/>
      <c r="G107" s="2"/>
      <c r="H107" s="4"/>
      <c r="I107" s="4"/>
      <c r="J107" s="4"/>
      <c r="L107" s="89"/>
      <c r="M107" s="89"/>
      <c r="N107" s="89"/>
      <c r="O107" s="89"/>
    </row>
    <row r="108" spans="1:15" s="18" customFormat="1" ht="18.75" customHeight="1" x14ac:dyDescent="0.35">
      <c r="A108" s="3"/>
      <c r="B108" s="1"/>
      <c r="C108" s="1"/>
      <c r="D108" s="1"/>
      <c r="E108" s="2"/>
      <c r="F108" s="2"/>
      <c r="G108" s="2"/>
      <c r="H108" s="4"/>
      <c r="I108" s="4"/>
      <c r="J108" s="4"/>
    </row>
    <row r="109" spans="1:15" s="18" customFormat="1" ht="18.75" customHeight="1" x14ac:dyDescent="0.35">
      <c r="A109" s="3"/>
      <c r="B109" s="1"/>
      <c r="C109" s="1"/>
      <c r="D109" s="1"/>
      <c r="E109" s="2"/>
      <c r="F109" s="2"/>
      <c r="G109" s="2"/>
      <c r="H109" s="4"/>
      <c r="I109" s="4"/>
      <c r="J109" s="4"/>
    </row>
    <row r="110" spans="1:15" s="18" customFormat="1" ht="18.75" customHeight="1" x14ac:dyDescent="0.35">
      <c r="A110" s="3"/>
      <c r="B110" s="1"/>
      <c r="C110" s="1"/>
      <c r="D110" s="1"/>
      <c r="E110" s="2"/>
      <c r="F110" s="2"/>
      <c r="G110" s="2"/>
      <c r="H110" s="4"/>
      <c r="I110" s="4"/>
      <c r="J110" s="4"/>
    </row>
    <row r="111" spans="1:15" s="18" customFormat="1" ht="18.75" customHeight="1" x14ac:dyDescent="0.35">
      <c r="A111" s="3"/>
      <c r="B111" s="1"/>
      <c r="C111" s="1"/>
      <c r="D111" s="1"/>
      <c r="E111" s="2"/>
      <c r="F111" s="2"/>
      <c r="G111" s="2"/>
      <c r="H111" s="4"/>
      <c r="I111" s="4"/>
      <c r="J111" s="4"/>
    </row>
    <row r="112" spans="1:15" s="18" customFormat="1" ht="18.75" customHeight="1" x14ac:dyDescent="0.35">
      <c r="A112" s="3"/>
      <c r="B112" s="1"/>
      <c r="C112" s="1"/>
      <c r="D112" s="1"/>
      <c r="E112" s="2"/>
      <c r="F112" s="2"/>
      <c r="G112" s="2"/>
      <c r="H112" s="4"/>
      <c r="I112" s="4"/>
      <c r="J112" s="4"/>
    </row>
    <row r="113" spans="1:21" s="18" customFormat="1" ht="18.75" customHeight="1" x14ac:dyDescent="0.35">
      <c r="A113" s="3"/>
      <c r="B113" s="1"/>
      <c r="C113" s="1"/>
      <c r="D113" s="1"/>
      <c r="E113" s="2"/>
      <c r="F113" s="2"/>
      <c r="G113" s="2"/>
      <c r="H113" s="4"/>
      <c r="I113" s="4"/>
      <c r="J113" s="4"/>
    </row>
    <row r="114" spans="1:21" s="18" customFormat="1" ht="18.75" customHeight="1" x14ac:dyDescent="0.35">
      <c r="A114" s="3"/>
      <c r="B114" s="1"/>
      <c r="C114" s="1"/>
      <c r="D114" s="1"/>
      <c r="E114" s="2"/>
      <c r="F114" s="2"/>
      <c r="G114" s="2"/>
      <c r="H114" s="4"/>
      <c r="I114" s="4"/>
      <c r="J114" s="4"/>
    </row>
    <row r="115" spans="1:21" s="18" customFormat="1" ht="18.75" customHeight="1" x14ac:dyDescent="0.35">
      <c r="A115" s="3"/>
      <c r="B115" s="1"/>
      <c r="C115" s="1"/>
      <c r="D115" s="1"/>
      <c r="E115" s="2"/>
      <c r="F115" s="2"/>
      <c r="G115" s="2"/>
      <c r="H115" s="4"/>
      <c r="I115" s="4"/>
      <c r="J115" s="4"/>
    </row>
    <row r="116" spans="1:21" s="18" customFormat="1" ht="18.75" customHeight="1" x14ac:dyDescent="0.35">
      <c r="A116" s="3"/>
      <c r="B116" s="1"/>
      <c r="C116" s="1"/>
      <c r="D116" s="1"/>
      <c r="E116" s="2"/>
      <c r="F116" s="2"/>
      <c r="G116" s="2"/>
      <c r="H116" s="4"/>
      <c r="I116" s="4"/>
      <c r="J116" s="4"/>
    </row>
    <row r="117" spans="1:21" s="18" customFormat="1" ht="18.75" customHeight="1" x14ac:dyDescent="0.35">
      <c r="A117" s="3"/>
      <c r="B117" s="1"/>
      <c r="C117" s="1"/>
      <c r="D117" s="1"/>
      <c r="E117" s="2"/>
      <c r="F117" s="2"/>
      <c r="G117" s="2"/>
      <c r="H117" s="4"/>
      <c r="I117" s="4"/>
      <c r="J117" s="4"/>
    </row>
    <row r="118" spans="1:21" s="18" customFormat="1" ht="18.75" customHeight="1" x14ac:dyDescent="0.35">
      <c r="A118" s="3"/>
      <c r="B118" s="1"/>
      <c r="C118" s="1"/>
      <c r="D118" s="1"/>
      <c r="E118" s="2"/>
      <c r="F118" s="2"/>
      <c r="G118" s="2"/>
      <c r="H118" s="4"/>
      <c r="I118" s="4"/>
      <c r="J118" s="4"/>
    </row>
    <row r="119" spans="1:21" s="18" customFormat="1" ht="18.75" customHeight="1" x14ac:dyDescent="0.35">
      <c r="A119" s="3"/>
      <c r="B119" s="1"/>
      <c r="C119" s="1"/>
      <c r="D119" s="1"/>
      <c r="E119" s="2"/>
      <c r="F119" s="2"/>
      <c r="G119" s="2"/>
      <c r="H119" s="4"/>
      <c r="I119" s="4"/>
      <c r="J119" s="4"/>
    </row>
    <row r="120" spans="1:21" s="18" customFormat="1" ht="18.75" customHeight="1" x14ac:dyDescent="0.35">
      <c r="A120" s="3"/>
      <c r="B120" s="1"/>
      <c r="C120" s="1"/>
      <c r="D120" s="1"/>
      <c r="E120" s="2"/>
      <c r="F120" s="2"/>
      <c r="G120" s="2"/>
      <c r="H120" s="4"/>
      <c r="I120" s="4"/>
      <c r="J120" s="4"/>
    </row>
    <row r="121" spans="1:21" s="18" customFormat="1" ht="54.4" customHeight="1" x14ac:dyDescent="0.25">
      <c r="A121" s="6"/>
      <c r="B121" s="7"/>
      <c r="C121" s="7"/>
      <c r="D121" s="7"/>
      <c r="E121" s="7"/>
      <c r="F121" s="7"/>
      <c r="G121" s="7"/>
      <c r="H121" s="7"/>
      <c r="I121" s="7"/>
      <c r="J121" s="7"/>
      <c r="K121" s="7"/>
      <c r="L121" s="7"/>
      <c r="M121" s="7"/>
      <c r="N121" s="7"/>
      <c r="O121" s="7"/>
    </row>
    <row r="122" spans="1:21" s="13" customFormat="1" ht="54" customHeight="1" x14ac:dyDescent="0.2">
      <c r="A122" s="19"/>
      <c r="B122" s="178" t="s">
        <v>8</v>
      </c>
      <c r="C122" s="179"/>
      <c r="D122" s="179"/>
      <c r="E122" s="179"/>
      <c r="F122" s="179"/>
      <c r="G122" s="179"/>
      <c r="H122" s="179"/>
      <c r="I122" s="179"/>
      <c r="J122" s="179"/>
      <c r="K122" s="179"/>
      <c r="L122" s="179"/>
      <c r="M122" s="179"/>
      <c r="N122" s="177">
        <f>Année_Calendaire</f>
        <v>2016</v>
      </c>
      <c r="O122" s="177"/>
    </row>
    <row r="123" spans="1:21" s="6" customFormat="1" ht="34.15" customHeight="1" x14ac:dyDescent="0.25">
      <c r="B123" s="174" t="s">
        <v>0</v>
      </c>
      <c r="C123" s="174"/>
      <c r="D123" s="174" t="s">
        <v>1</v>
      </c>
      <c r="E123" s="174"/>
      <c r="F123" s="174" t="s">
        <v>2</v>
      </c>
      <c r="G123" s="174"/>
      <c r="H123" s="174" t="s">
        <v>3</v>
      </c>
      <c r="I123" s="174"/>
      <c r="J123" s="174" t="s">
        <v>4</v>
      </c>
      <c r="K123" s="174"/>
      <c r="L123" s="174" t="s">
        <v>5</v>
      </c>
      <c r="M123" s="174"/>
      <c r="N123" s="174" t="s">
        <v>6</v>
      </c>
      <c r="O123" s="174"/>
      <c r="P123" s="8"/>
      <c r="T123" s="13"/>
      <c r="U123" s="13"/>
    </row>
    <row r="124" spans="1:21" s="9" customFormat="1" ht="16.5" customHeight="1" x14ac:dyDescent="0.25">
      <c r="B124" s="81"/>
      <c r="C124" s="82">
        <f>IF(DAY(Avr_Dim1)=1,Avr_Dim1-6,Avr_Dim1+1)</f>
        <v>42457</v>
      </c>
      <c r="D124" s="78"/>
      <c r="E124" s="82">
        <f>IF(DAY(Avr_Dim1)=1,Avr_Dim1-5,Avr_Dim1+2)</f>
        <v>42458</v>
      </c>
      <c r="F124" s="78"/>
      <c r="G124" s="82">
        <f>IF(DAY(Avr_Dim1)=1,Avr_Dim1-4,Avr_Dim1+3)</f>
        <v>42459</v>
      </c>
      <c r="H124" s="78"/>
      <c r="I124" s="82">
        <f>IF(DAY(Avr_Dim1)=1,Avr_Dim1-3,Avr_Dim1+4)</f>
        <v>42460</v>
      </c>
      <c r="J124" s="78"/>
      <c r="K124" s="82">
        <f>IF(DAY(Avr_Dim1)=1,Avr_Dim1-2,Avr_Dim1+5)</f>
        <v>42461</v>
      </c>
      <c r="L124" s="78"/>
      <c r="M124" s="82">
        <f>IF(DAY(Avr_Dim1)=1,Avr_Dim1-1,Avr_Dim1+6)</f>
        <v>42462</v>
      </c>
      <c r="N124" s="78"/>
      <c r="O124" s="82">
        <f>IF(DAY(Avr_Dim1)=1,Avr_Dim1,Avr_Dim1+7)</f>
        <v>42463</v>
      </c>
      <c r="P124" s="10"/>
      <c r="T124" s="11"/>
      <c r="U124" s="10"/>
    </row>
    <row r="125" spans="1:21" s="12" customFormat="1" ht="55.5" customHeight="1" x14ac:dyDescent="0.25">
      <c r="A125" s="6"/>
      <c r="B125" s="167"/>
      <c r="C125" s="168"/>
      <c r="D125" s="168"/>
      <c r="E125" s="168"/>
      <c r="F125" s="168"/>
      <c r="G125" s="168"/>
      <c r="H125" s="168"/>
      <c r="I125" s="168"/>
      <c r="J125" s="168"/>
      <c r="K125" s="168"/>
      <c r="L125" s="172"/>
      <c r="M125" s="172"/>
      <c r="N125" s="172"/>
      <c r="O125" s="172"/>
    </row>
    <row r="126" spans="1:21" s="12" customFormat="1" ht="8.25" customHeight="1" x14ac:dyDescent="0.25">
      <c r="A126" s="6"/>
      <c r="B126" s="162"/>
      <c r="C126" s="162"/>
      <c r="D126" s="162"/>
      <c r="E126" s="162"/>
      <c r="F126" s="162"/>
      <c r="G126" s="162"/>
      <c r="H126" s="162"/>
      <c r="I126" s="162"/>
      <c r="J126" s="162"/>
      <c r="K126" s="162"/>
      <c r="L126" s="163"/>
      <c r="M126" s="163"/>
      <c r="N126" s="163"/>
      <c r="O126" s="163"/>
    </row>
    <row r="127" spans="1:21" s="10" customFormat="1" ht="16.5" customHeight="1" x14ac:dyDescent="0.25">
      <c r="A127" s="9"/>
      <c r="B127" s="79"/>
      <c r="C127" s="82">
        <f>IF(DAY(Avr_Dim1)=1,Avr_Dim1+1,Avr_Dim1+8)</f>
        <v>42464</v>
      </c>
      <c r="D127" s="78"/>
      <c r="E127" s="82">
        <f>IF(DAY(Avr_Dim1)=1,Avr_Dim1+2,Avr_Dim1+9)</f>
        <v>42465</v>
      </c>
      <c r="F127" s="78"/>
      <c r="G127" s="82">
        <f>IF(DAY(Avr_Dim1)=1,Avr_Dim1+3,Avr_Dim1+10)</f>
        <v>42466</v>
      </c>
      <c r="H127" s="78"/>
      <c r="I127" s="82">
        <f>IF(DAY(Avr_Dim1)=1,Avr_Dim1+4,Avr_Dim1+11)</f>
        <v>42467</v>
      </c>
      <c r="J127" s="78"/>
      <c r="K127" s="82">
        <f>IF(DAY(Avr_Dim1)=1,Avr_Dim1+5,Avr_Dim1+12)</f>
        <v>42468</v>
      </c>
      <c r="L127" s="78"/>
      <c r="M127" s="82">
        <f>IF(DAY(Avr_Dim1)=1,Avr_Dim1+6,Avr_Dim1+13)</f>
        <v>42469</v>
      </c>
      <c r="N127" s="78"/>
      <c r="O127" s="82">
        <f>IF(DAY(Avr_Dim1)=1,Avr_Dim1+7,Avr_Dim1+14)</f>
        <v>42470</v>
      </c>
    </row>
    <row r="128" spans="1:21" s="13" customFormat="1" ht="55.5" customHeight="1" x14ac:dyDescent="0.25">
      <c r="A128" s="6"/>
      <c r="B128" s="167"/>
      <c r="C128" s="168"/>
      <c r="D128" s="168"/>
      <c r="E128" s="168"/>
      <c r="F128" s="168" t="s">
        <v>7</v>
      </c>
      <c r="G128" s="168"/>
      <c r="H128" s="168"/>
      <c r="I128" s="168"/>
      <c r="J128" s="168"/>
      <c r="K128" s="168"/>
      <c r="L128" s="172"/>
      <c r="M128" s="172"/>
      <c r="N128" s="172"/>
      <c r="O128" s="172"/>
    </row>
    <row r="129" spans="1:15" s="13" customFormat="1" ht="8.25" customHeight="1" x14ac:dyDescent="0.25">
      <c r="A129" s="6"/>
      <c r="B129" s="162"/>
      <c r="C129" s="162"/>
      <c r="D129" s="162"/>
      <c r="E129" s="162"/>
      <c r="F129" s="162"/>
      <c r="G129" s="162"/>
      <c r="H129" s="162"/>
      <c r="I129" s="162"/>
      <c r="J129" s="162"/>
      <c r="K129" s="162"/>
      <c r="L129" s="163"/>
      <c r="M129" s="163"/>
      <c r="N129" s="163"/>
      <c r="O129" s="163"/>
    </row>
    <row r="130" spans="1:15" s="10" customFormat="1" ht="16.5" customHeight="1" x14ac:dyDescent="0.25">
      <c r="A130" s="9"/>
      <c r="B130" s="79"/>
      <c r="C130" s="82">
        <f>IF(DAY(Avr_Dim1)=1,Avr_Dim1+8,Avr_Dim1+15)</f>
        <v>42471</v>
      </c>
      <c r="D130" s="78"/>
      <c r="E130" s="82">
        <f>IF(DAY(Avr_Dim1)=1,Avr_Dim1+9,Avr_Dim1+16)</f>
        <v>42472</v>
      </c>
      <c r="F130" s="78"/>
      <c r="G130" s="82">
        <f>IF(DAY(Avr_Dim1)=1,Avr_Dim1+10,Avr_Dim1+17)</f>
        <v>42473</v>
      </c>
      <c r="H130" s="78"/>
      <c r="I130" s="82">
        <f>IF(DAY(Avr_Dim1)=1,Avr_Dim1+11,Avr_Dim1+18)</f>
        <v>42474</v>
      </c>
      <c r="J130" s="78"/>
      <c r="K130" s="82">
        <f>IF(DAY(Avr_Dim1)=1,Avr_Dim1+12,Avr_Dim1+19)</f>
        <v>42475</v>
      </c>
      <c r="L130" s="78"/>
      <c r="M130" s="82">
        <f>IF(DAY(Avr_Dim1)=1,Avr_Dim1+13,Avr_Dim1+20)</f>
        <v>42476</v>
      </c>
      <c r="N130" s="80"/>
      <c r="O130" s="82">
        <f>IF(DAY(Avr_Dim1)=1,Avr_Dim1+14,Avr_Dim1+21)</f>
        <v>42477</v>
      </c>
    </row>
    <row r="131" spans="1:15" s="13" customFormat="1" ht="55.5" customHeight="1" x14ac:dyDescent="0.25">
      <c r="A131" s="6"/>
      <c r="B131" s="167"/>
      <c r="C131" s="168"/>
      <c r="D131" s="168"/>
      <c r="E131" s="168"/>
      <c r="F131" s="168"/>
      <c r="G131" s="168"/>
      <c r="H131" s="168"/>
      <c r="I131" s="168"/>
      <c r="J131" s="168"/>
      <c r="K131" s="168"/>
      <c r="L131" s="172"/>
      <c r="M131" s="172"/>
      <c r="N131" s="172"/>
      <c r="O131" s="172"/>
    </row>
    <row r="132" spans="1:15" s="13" customFormat="1" ht="8.25" customHeight="1" x14ac:dyDescent="0.25">
      <c r="A132" s="6"/>
      <c r="B132" s="162"/>
      <c r="C132" s="162"/>
      <c r="D132" s="162"/>
      <c r="E132" s="162"/>
      <c r="F132" s="162"/>
      <c r="G132" s="162"/>
      <c r="H132" s="162"/>
      <c r="I132" s="162"/>
      <c r="J132" s="162"/>
      <c r="K132" s="162"/>
      <c r="L132" s="163"/>
      <c r="M132" s="163"/>
      <c r="N132" s="163"/>
      <c r="O132" s="163"/>
    </row>
    <row r="133" spans="1:15" s="10" customFormat="1" ht="16.5" customHeight="1" x14ac:dyDescent="0.25">
      <c r="A133" s="9"/>
      <c r="B133" s="79"/>
      <c r="C133" s="82">
        <f>IF(DAY(Avr_Dim1)=1,Avr_Dim1+15,Avr_Dim1+22)</f>
        <v>42478</v>
      </c>
      <c r="D133" s="78"/>
      <c r="E133" s="82">
        <f>IF(DAY(Avr_Dim1)=1,Avr_Dim1+16,Avr_Dim1+23)</f>
        <v>42479</v>
      </c>
      <c r="F133" s="78"/>
      <c r="G133" s="82">
        <f>IF(DAY(Avr_Dim1)=1,Avr_Dim1+17,Avr_Dim1+24)</f>
        <v>42480</v>
      </c>
      <c r="H133" s="78"/>
      <c r="I133" s="82">
        <f>IF(DAY(Avr_Dim1)=1,Avr_Dim1+18,Avr_Dim1+25)</f>
        <v>42481</v>
      </c>
      <c r="J133" s="78"/>
      <c r="K133" s="82">
        <f>IF(DAY(Avr_Dim1)=1,Avr_Dim1+19,Avr_Dim1+26)</f>
        <v>42482</v>
      </c>
      <c r="L133" s="78"/>
      <c r="M133" s="82">
        <f>IF(DAY(Avr_Dim1)=1,Avr_Dim1+20,Avr_Dim1+27)</f>
        <v>42483</v>
      </c>
      <c r="N133" s="78"/>
      <c r="O133" s="82">
        <f>IF(DAY(Avr_Dim1)=1,Avr_Dim1+21,Avr_Dim1+28)</f>
        <v>42484</v>
      </c>
    </row>
    <row r="134" spans="1:15" s="13" customFormat="1" ht="55.5" customHeight="1" x14ac:dyDescent="0.25">
      <c r="A134" s="6"/>
      <c r="B134" s="167"/>
      <c r="C134" s="168"/>
      <c r="D134" s="168"/>
      <c r="E134" s="168"/>
      <c r="F134" s="168"/>
      <c r="G134" s="168"/>
      <c r="H134" s="168"/>
      <c r="I134" s="168"/>
      <c r="J134" s="168"/>
      <c r="K134" s="168"/>
      <c r="L134" s="172"/>
      <c r="M134" s="172"/>
      <c r="N134" s="172"/>
      <c r="O134" s="172"/>
    </row>
    <row r="135" spans="1:15" s="13" customFormat="1" ht="8.25" customHeight="1" x14ac:dyDescent="0.25">
      <c r="A135" s="6"/>
      <c r="B135" s="162"/>
      <c r="C135" s="162"/>
      <c r="D135" s="162"/>
      <c r="E135" s="162"/>
      <c r="F135" s="162"/>
      <c r="G135" s="162"/>
      <c r="H135" s="162"/>
      <c r="I135" s="162"/>
      <c r="J135" s="162"/>
      <c r="K135" s="162"/>
      <c r="L135" s="163"/>
      <c r="M135" s="163"/>
      <c r="N135" s="163"/>
      <c r="O135" s="163"/>
    </row>
    <row r="136" spans="1:15" s="10" customFormat="1" ht="16.5" customHeight="1" x14ac:dyDescent="0.25">
      <c r="A136" s="9"/>
      <c r="B136" s="79"/>
      <c r="C136" s="82">
        <f>IF(DAY(Avr_Dim1)=1,Avr_Dim1+22,Avr_Dim1+29)</f>
        <v>42485</v>
      </c>
      <c r="D136" s="78"/>
      <c r="E136" s="82">
        <f>IF(DAY(Avr_Dim1)=1,Avr_Dim1+23,Avr_Dim1+30)</f>
        <v>42486</v>
      </c>
      <c r="F136" s="78"/>
      <c r="G136" s="82">
        <f>IF(DAY(Avr_Dim1)=1,Avr_Dim1+24,Avr_Dim1+31)</f>
        <v>42487</v>
      </c>
      <c r="H136" s="78"/>
      <c r="I136" s="82">
        <f>IF(DAY(Avr_Dim1)=1,Avr_Dim1+25,Avr_Dim1+32)</f>
        <v>42488</v>
      </c>
      <c r="J136" s="78"/>
      <c r="K136" s="82">
        <f>IF(DAY(Avr_Dim1)=1,Avr_Dim1+26,Avr_Dim1+33)</f>
        <v>42489</v>
      </c>
      <c r="L136" s="78"/>
      <c r="M136" s="82">
        <f>IF(DAY(Avr_Dim1)=1,Avr_Dim1+27,Avr_Dim1+34)</f>
        <v>42490</v>
      </c>
      <c r="N136" s="78"/>
      <c r="O136" s="82">
        <f>IF(DAY(Avr_Dim1)=1,Avr_Dim1+28,Avr_Dim1+35)</f>
        <v>42491</v>
      </c>
    </row>
    <row r="137" spans="1:15" s="13" customFormat="1" ht="55.5" customHeight="1" x14ac:dyDescent="0.25">
      <c r="A137" s="6"/>
      <c r="B137" s="167"/>
      <c r="C137" s="168"/>
      <c r="D137" s="168"/>
      <c r="E137" s="168"/>
      <c r="F137" s="168"/>
      <c r="G137" s="168"/>
      <c r="H137" s="168"/>
      <c r="I137" s="168"/>
      <c r="J137" s="168"/>
      <c r="K137" s="168"/>
      <c r="L137" s="172"/>
      <c r="M137" s="172"/>
      <c r="N137" s="172"/>
      <c r="O137" s="172"/>
    </row>
    <row r="138" spans="1:15" s="13" customFormat="1" ht="8.25" customHeight="1" x14ac:dyDescent="0.25">
      <c r="A138" s="6"/>
      <c r="B138" s="162"/>
      <c r="C138" s="162"/>
      <c r="D138" s="162"/>
      <c r="E138" s="162"/>
      <c r="F138" s="162"/>
      <c r="G138" s="162"/>
      <c r="H138" s="162"/>
      <c r="I138" s="162"/>
      <c r="J138" s="162"/>
      <c r="K138" s="162"/>
      <c r="L138" s="163"/>
      <c r="M138" s="163"/>
      <c r="N138" s="163"/>
      <c r="O138" s="163"/>
    </row>
    <row r="139" spans="1:15" s="10" customFormat="1" ht="16.5" customHeight="1" x14ac:dyDescent="0.25">
      <c r="A139" s="9"/>
      <c r="B139" s="79"/>
      <c r="C139" s="82">
        <f>IF(DAY(Avr_Dim1)=1,Avr_Dim1+29,Avr_Dim1+36)</f>
        <v>42492</v>
      </c>
      <c r="D139" s="78"/>
      <c r="E139" s="82">
        <f>IF(DAY(Avr_Dim1)=1,Avr_Dim1+30,Avr_Dim1+37)</f>
        <v>42493</v>
      </c>
      <c r="F139" s="78"/>
      <c r="G139" s="82">
        <f>IF(DAY(Avr_Dim1)=1,Avr_Dim1+31,Avr_Dim1+38)</f>
        <v>42494</v>
      </c>
      <c r="H139" s="78"/>
      <c r="I139" s="82">
        <f>IF(DAY(Avr_Dim1)=1,Avr_Dim1+32,Avr_Dim1+39)</f>
        <v>42495</v>
      </c>
      <c r="J139" s="78"/>
      <c r="K139" s="82">
        <f>IF(DAY(Avr_Dim1)=1,Avr_Dim1+33,Avr_Dim1+40)</f>
        <v>42496</v>
      </c>
      <c r="L139" s="78"/>
      <c r="M139" s="82">
        <f>IF(DAY(Avr_Dim1)=1,Avr_Dim1+34,Avr_Dim1+41)</f>
        <v>42497</v>
      </c>
      <c r="N139" s="78"/>
      <c r="O139" s="82">
        <f>IF(DAY(Avr_Dim1)=1,Avr_Dim1+35,Avr_Dim1+42)</f>
        <v>42498</v>
      </c>
    </row>
    <row r="140" spans="1:15" s="13" customFormat="1" ht="55.5" customHeight="1" x14ac:dyDescent="0.25">
      <c r="A140" s="6"/>
      <c r="B140" s="167"/>
      <c r="C140" s="168"/>
      <c r="D140" s="168"/>
      <c r="E140" s="168"/>
      <c r="F140" s="165"/>
      <c r="G140" s="165"/>
      <c r="H140" s="165"/>
      <c r="I140" s="165"/>
      <c r="J140" s="165"/>
      <c r="K140" s="165"/>
      <c r="L140" s="165"/>
      <c r="M140" s="165"/>
      <c r="N140" s="165"/>
      <c r="O140" s="165"/>
    </row>
    <row r="141" spans="1:15" s="18" customFormat="1" ht="7.5" customHeight="1" x14ac:dyDescent="0.2">
      <c r="B141" s="14"/>
      <c r="C141" s="14"/>
      <c r="D141" s="14"/>
      <c r="E141" s="14"/>
      <c r="F141" s="14"/>
      <c r="G141" s="14"/>
      <c r="H141" s="14"/>
      <c r="I141" s="14"/>
      <c r="J141" s="14"/>
      <c r="K141" s="14"/>
      <c r="L141" s="14"/>
      <c r="M141" s="14"/>
      <c r="N141" s="14"/>
      <c r="O141" s="14"/>
    </row>
    <row r="142" spans="1:15" s="18" customFormat="1" ht="34.5" customHeight="1" x14ac:dyDescent="0.2"/>
    <row r="143" spans="1:15" s="18" customFormat="1" ht="18.75" customHeight="1" x14ac:dyDescent="0.35">
      <c r="A143" s="3"/>
      <c r="B143" s="1"/>
      <c r="C143" s="1"/>
      <c r="D143" s="1"/>
      <c r="E143" s="2"/>
      <c r="F143" s="2"/>
      <c r="G143" s="2"/>
      <c r="H143" s="4"/>
      <c r="I143" s="4"/>
      <c r="J143" s="4"/>
      <c r="L143" s="89"/>
      <c r="M143" s="89"/>
      <c r="N143" s="89"/>
      <c r="O143" s="89"/>
    </row>
    <row r="144" spans="1:15" s="18" customFormat="1" ht="18.75" customHeight="1" x14ac:dyDescent="0.35">
      <c r="A144" s="3"/>
      <c r="B144" s="1"/>
      <c r="C144" s="1"/>
      <c r="D144" s="1"/>
      <c r="E144" s="2"/>
      <c r="F144" s="2"/>
      <c r="G144" s="2"/>
      <c r="H144" s="4"/>
      <c r="I144" s="4"/>
      <c r="J144" s="4"/>
    </row>
    <row r="145" spans="1:21" s="18" customFormat="1" ht="18.75" customHeight="1" x14ac:dyDescent="0.35">
      <c r="A145" s="3"/>
      <c r="B145" s="1"/>
      <c r="C145" s="1"/>
      <c r="D145" s="1"/>
      <c r="E145" s="2"/>
      <c r="F145" s="2"/>
      <c r="G145" s="2"/>
      <c r="H145" s="4"/>
      <c r="I145" s="4"/>
      <c r="J145" s="4"/>
    </row>
    <row r="146" spans="1:21" s="18" customFormat="1" ht="18.75" customHeight="1" x14ac:dyDescent="0.35">
      <c r="A146" s="3"/>
      <c r="B146" s="1"/>
      <c r="C146" s="1"/>
      <c r="D146" s="1"/>
      <c r="E146" s="2"/>
      <c r="F146" s="2"/>
      <c r="G146" s="2"/>
      <c r="H146" s="4"/>
      <c r="I146" s="4"/>
      <c r="J146" s="4"/>
    </row>
    <row r="147" spans="1:21" s="18" customFormat="1" ht="18.75" customHeight="1" x14ac:dyDescent="0.35">
      <c r="A147" s="3"/>
      <c r="B147" s="1"/>
      <c r="C147" s="1"/>
      <c r="D147" s="1"/>
      <c r="E147" s="2"/>
      <c r="F147" s="2"/>
      <c r="G147" s="2"/>
      <c r="H147" s="4"/>
      <c r="I147" s="4"/>
      <c r="J147" s="4"/>
    </row>
    <row r="148" spans="1:21" s="18" customFormat="1" ht="18.75" customHeight="1" x14ac:dyDescent="0.35">
      <c r="A148" s="3"/>
      <c r="B148" s="1"/>
      <c r="C148" s="1"/>
      <c r="D148" s="1"/>
      <c r="E148" s="2"/>
      <c r="F148" s="2"/>
      <c r="G148" s="2"/>
      <c r="H148" s="4"/>
      <c r="I148" s="4"/>
      <c r="J148" s="4"/>
    </row>
    <row r="149" spans="1:21" s="18" customFormat="1" ht="18.75" customHeight="1" x14ac:dyDescent="0.35">
      <c r="A149" s="3"/>
      <c r="B149" s="1"/>
      <c r="C149" s="1"/>
      <c r="D149" s="1"/>
      <c r="E149" s="2"/>
      <c r="F149" s="2"/>
      <c r="G149" s="2"/>
      <c r="H149" s="4"/>
      <c r="I149" s="4"/>
      <c r="J149" s="4"/>
    </row>
    <row r="150" spans="1:21" s="18" customFormat="1" ht="18.75" customHeight="1" x14ac:dyDescent="0.35">
      <c r="A150" s="3"/>
      <c r="B150" s="1"/>
      <c r="C150" s="1"/>
      <c r="D150" s="1"/>
      <c r="E150" s="2"/>
      <c r="F150" s="2"/>
      <c r="G150" s="2"/>
      <c r="H150" s="4"/>
      <c r="I150" s="4"/>
      <c r="J150" s="4"/>
    </row>
    <row r="151" spans="1:21" s="18" customFormat="1" ht="18.75" customHeight="1" x14ac:dyDescent="0.35">
      <c r="A151" s="3"/>
      <c r="B151" s="1"/>
      <c r="C151" s="1"/>
      <c r="D151" s="1"/>
      <c r="E151" s="2"/>
      <c r="F151" s="2"/>
      <c r="G151" s="2"/>
      <c r="H151" s="4"/>
      <c r="I151" s="4"/>
      <c r="J151" s="4"/>
    </row>
    <row r="152" spans="1:21" s="18" customFormat="1" ht="18.75" customHeight="1" x14ac:dyDescent="0.35">
      <c r="A152" s="3"/>
      <c r="B152" s="1"/>
      <c r="C152" s="1"/>
      <c r="D152" s="1"/>
      <c r="E152" s="2"/>
      <c r="F152" s="2"/>
      <c r="G152" s="2"/>
      <c r="H152" s="4"/>
      <c r="I152" s="4"/>
      <c r="J152" s="4"/>
    </row>
    <row r="153" spans="1:21" s="18" customFormat="1" ht="18.75" customHeight="1" x14ac:dyDescent="0.35">
      <c r="A153" s="3"/>
      <c r="B153" s="1"/>
      <c r="C153" s="1"/>
      <c r="D153" s="1"/>
      <c r="E153" s="2"/>
      <c r="F153" s="2"/>
      <c r="G153" s="2"/>
      <c r="H153" s="4"/>
      <c r="I153" s="4"/>
      <c r="J153" s="4"/>
    </row>
    <row r="154" spans="1:21" s="18" customFormat="1" ht="18.75" customHeight="1" x14ac:dyDescent="0.35">
      <c r="A154" s="3"/>
      <c r="B154" s="1"/>
      <c r="C154" s="1"/>
      <c r="D154" s="1"/>
      <c r="E154" s="2"/>
      <c r="F154" s="2"/>
      <c r="G154" s="2"/>
      <c r="H154" s="4"/>
      <c r="I154" s="4"/>
      <c r="J154" s="4"/>
    </row>
    <row r="155" spans="1:21" s="18" customFormat="1" ht="18.75" customHeight="1" x14ac:dyDescent="0.35">
      <c r="A155" s="3"/>
      <c r="B155" s="1"/>
      <c r="C155" s="1"/>
      <c r="D155" s="1"/>
      <c r="E155" s="2"/>
      <c r="F155" s="2"/>
      <c r="G155" s="2"/>
      <c r="H155" s="4"/>
      <c r="I155" s="4"/>
      <c r="J155" s="4"/>
    </row>
    <row r="156" spans="1:21" s="18" customFormat="1" ht="18.75" customHeight="1" x14ac:dyDescent="0.35">
      <c r="A156" s="3"/>
      <c r="B156" s="1"/>
      <c r="C156" s="1"/>
      <c r="D156" s="1"/>
      <c r="E156" s="2"/>
      <c r="F156" s="2"/>
      <c r="G156" s="2"/>
      <c r="H156" s="4"/>
      <c r="I156" s="4"/>
      <c r="J156" s="4"/>
    </row>
    <row r="157" spans="1:21" s="18" customFormat="1" ht="56.65" customHeight="1" x14ac:dyDescent="0.25">
      <c r="A157" s="6"/>
      <c r="B157" s="7"/>
      <c r="C157" s="7"/>
      <c r="D157" s="7"/>
      <c r="E157" s="7"/>
      <c r="F157" s="7"/>
      <c r="G157" s="7"/>
      <c r="H157" s="7"/>
      <c r="I157" s="7"/>
      <c r="J157" s="7"/>
      <c r="K157" s="7"/>
      <c r="L157" s="7"/>
      <c r="M157" s="7"/>
      <c r="N157" s="7"/>
      <c r="O157" s="7"/>
    </row>
    <row r="158" spans="1:21" s="13" customFormat="1" ht="54" customHeight="1" x14ac:dyDescent="0.2">
      <c r="A158" s="19"/>
      <c r="B158" s="170" t="s">
        <v>8</v>
      </c>
      <c r="C158" s="171"/>
      <c r="D158" s="171"/>
      <c r="E158" s="171"/>
      <c r="F158" s="171"/>
      <c r="G158" s="171"/>
      <c r="H158" s="171"/>
      <c r="I158" s="171"/>
      <c r="J158" s="171"/>
      <c r="K158" s="171"/>
      <c r="L158" s="171"/>
      <c r="M158" s="171"/>
      <c r="N158" s="169">
        <f>Année_Calendaire</f>
        <v>2016</v>
      </c>
      <c r="O158" s="169"/>
    </row>
    <row r="159" spans="1:21" s="6" customFormat="1" ht="34.15" customHeight="1" x14ac:dyDescent="0.25">
      <c r="B159" s="166" t="s">
        <v>0</v>
      </c>
      <c r="C159" s="166"/>
      <c r="D159" s="166" t="s">
        <v>1</v>
      </c>
      <c r="E159" s="166"/>
      <c r="F159" s="166" t="s">
        <v>2</v>
      </c>
      <c r="G159" s="166"/>
      <c r="H159" s="166" t="s">
        <v>3</v>
      </c>
      <c r="I159" s="166"/>
      <c r="J159" s="166" t="s">
        <v>4</v>
      </c>
      <c r="K159" s="166"/>
      <c r="L159" s="166" t="s">
        <v>5</v>
      </c>
      <c r="M159" s="166"/>
      <c r="N159" s="166" t="s">
        <v>6</v>
      </c>
      <c r="O159" s="166"/>
      <c r="P159" s="8"/>
      <c r="T159" s="13"/>
      <c r="U159" s="13"/>
    </row>
    <row r="160" spans="1:21" s="9" customFormat="1" ht="16.5" customHeight="1" x14ac:dyDescent="0.25">
      <c r="B160" s="76"/>
      <c r="C160" s="77">
        <f>IF(DAY(Mai_Dim1)=1,Mai_Dim1-6,Mai_Dim1+1)</f>
        <v>42485</v>
      </c>
      <c r="D160" s="74"/>
      <c r="E160" s="77">
        <f>IF(DAY(Mai_Dim1)=1,Mai_Dim1-5,Mai_Dim1+2)</f>
        <v>42486</v>
      </c>
      <c r="F160" s="74"/>
      <c r="G160" s="77">
        <f>IF(DAY(Mai_Dim1)=1,Mai_Dim1-4,Mai_Dim1+3)</f>
        <v>42487</v>
      </c>
      <c r="H160" s="74"/>
      <c r="I160" s="77">
        <f>IF(DAY(Mai_Dim1)=1,Mai_Dim1-3,Mai_Dim1+4)</f>
        <v>42488</v>
      </c>
      <c r="J160" s="74"/>
      <c r="K160" s="77">
        <f>IF(DAY(Mai_Dim1)=1,Mai_Dim1-2,Mai_Dim1+5)</f>
        <v>42489</v>
      </c>
      <c r="L160" s="74"/>
      <c r="M160" s="77">
        <f>IF(DAY(Mai_Dim1)=1,Mai_Dim1-1,Mai_Dim1+6)</f>
        <v>42490</v>
      </c>
      <c r="N160" s="74"/>
      <c r="O160" s="77">
        <f>IF(DAY(Mai_Dim1)=1,Mai_Dim1,Mai_Dim1+7)</f>
        <v>42491</v>
      </c>
      <c r="P160" s="10"/>
      <c r="T160" s="11"/>
      <c r="U160" s="10"/>
    </row>
    <row r="161" spans="1:15" s="12" customFormat="1" ht="55.5" customHeight="1" x14ac:dyDescent="0.25">
      <c r="A161" s="6"/>
      <c r="B161" s="159"/>
      <c r="C161" s="160"/>
      <c r="D161" s="160"/>
      <c r="E161" s="160"/>
      <c r="F161" s="160"/>
      <c r="G161" s="160"/>
      <c r="H161" s="160"/>
      <c r="I161" s="160"/>
      <c r="J161" s="160"/>
      <c r="K161" s="160"/>
      <c r="L161" s="161"/>
      <c r="M161" s="161"/>
      <c r="N161" s="161"/>
      <c r="O161" s="161"/>
    </row>
    <row r="162" spans="1:15" s="12" customFormat="1" ht="8.25" customHeight="1" x14ac:dyDescent="0.25">
      <c r="A162" s="6"/>
      <c r="B162" s="162"/>
      <c r="C162" s="162"/>
      <c r="D162" s="162"/>
      <c r="E162" s="162"/>
      <c r="F162" s="162"/>
      <c r="G162" s="162"/>
      <c r="H162" s="162"/>
      <c r="I162" s="162"/>
      <c r="J162" s="162"/>
      <c r="K162" s="162"/>
      <c r="L162" s="163"/>
      <c r="M162" s="163"/>
      <c r="N162" s="163"/>
      <c r="O162" s="163"/>
    </row>
    <row r="163" spans="1:15" s="10" customFormat="1" ht="16.5" customHeight="1" x14ac:dyDescent="0.25">
      <c r="A163" s="9"/>
      <c r="B163" s="75"/>
      <c r="C163" s="77">
        <f>IF(DAY(Mai_Dim1)=1,Mai_Dim1+1,Mai_Dim1+8)</f>
        <v>42492</v>
      </c>
      <c r="D163" s="74"/>
      <c r="E163" s="77">
        <f>IF(DAY(Mai_Dim1)=1,Mai_Dim1+2,Mai_Dim1+9)</f>
        <v>42493</v>
      </c>
      <c r="F163" s="74"/>
      <c r="G163" s="77">
        <f>IF(DAY(Mai_Dim1)=1,Mai_Dim1+3,Mai_Dim1+10)</f>
        <v>42494</v>
      </c>
      <c r="H163" s="74"/>
      <c r="I163" s="77">
        <f>IF(DAY(Mai_Dim1)=1,Mai_Dim1+4,Mai_Dim1+11)</f>
        <v>42495</v>
      </c>
      <c r="J163" s="74"/>
      <c r="K163" s="77">
        <f>IF(DAY(Mai_Dim1)=1,Mai_Dim1+5,Mai_Dim1+12)</f>
        <v>42496</v>
      </c>
      <c r="L163" s="74"/>
      <c r="M163" s="77">
        <f>IF(DAY(Mai_Dim1)=1,Mai_Dim1+6,Mai_Dim1+13)</f>
        <v>42497</v>
      </c>
      <c r="N163" s="74"/>
      <c r="O163" s="77">
        <f>IF(DAY(Mai_Dim1)=1,Mai_Dim1+7,Mai_Dim1+14)</f>
        <v>42498</v>
      </c>
    </row>
    <row r="164" spans="1:15" s="13" customFormat="1" ht="55.5" customHeight="1" x14ac:dyDescent="0.25">
      <c r="A164" s="6"/>
      <c r="B164" s="159"/>
      <c r="C164" s="160"/>
      <c r="D164" s="160"/>
      <c r="E164" s="160"/>
      <c r="F164" s="160" t="s">
        <v>7</v>
      </c>
      <c r="G164" s="160"/>
      <c r="H164" s="160"/>
      <c r="I164" s="160"/>
      <c r="J164" s="160"/>
      <c r="K164" s="160"/>
      <c r="L164" s="161"/>
      <c r="M164" s="161"/>
      <c r="N164" s="161"/>
      <c r="O164" s="161"/>
    </row>
    <row r="165" spans="1:15" s="13" customFormat="1" ht="8.25" customHeight="1" x14ac:dyDescent="0.25">
      <c r="A165" s="6"/>
      <c r="B165" s="162"/>
      <c r="C165" s="162"/>
      <c r="D165" s="162"/>
      <c r="E165" s="162"/>
      <c r="F165" s="162"/>
      <c r="G165" s="162"/>
      <c r="H165" s="162"/>
      <c r="I165" s="162"/>
      <c r="J165" s="162"/>
      <c r="K165" s="162"/>
      <c r="L165" s="163"/>
      <c r="M165" s="163"/>
      <c r="N165" s="163"/>
      <c r="O165" s="163"/>
    </row>
    <row r="166" spans="1:15" s="10" customFormat="1" ht="16.5" customHeight="1" x14ac:dyDescent="0.25">
      <c r="A166" s="9"/>
      <c r="B166" s="75"/>
      <c r="C166" s="77">
        <f>IF(DAY(Mai_Dim1)=1,Mai_Dim1+8,Mai_Dim1+15)</f>
        <v>42499</v>
      </c>
      <c r="D166" s="74"/>
      <c r="E166" s="77">
        <f>IF(DAY(Mai_Dim1)=1,Mai_Dim1+9,Mai_Dim1+16)</f>
        <v>42500</v>
      </c>
      <c r="F166" s="74"/>
      <c r="G166" s="77">
        <f>IF(DAY(Mai_Dim1)=1,Mai_Dim1+10,Mai_Dim1+17)</f>
        <v>42501</v>
      </c>
      <c r="H166" s="74"/>
      <c r="I166" s="77">
        <f>IF(DAY(Mai_Dim1)=1,Mai_Dim1+11,Mai_Dim1+18)</f>
        <v>42502</v>
      </c>
      <c r="J166" s="74"/>
      <c r="K166" s="77">
        <f>IF(DAY(Mai_Dim1)=1,Mai_Dim1+12,Mai_Dim1+19)</f>
        <v>42503</v>
      </c>
      <c r="L166" s="74"/>
      <c r="M166" s="77">
        <f>IF(DAY(Mai_Dim1)=1,Mai_Dim1+13,Mai_Dim1+20)</f>
        <v>42504</v>
      </c>
      <c r="N166" s="74"/>
      <c r="O166" s="77">
        <f>IF(DAY(Mai_Dim1)=1,Mai_Dim1+14,Mai_Dim1+21)</f>
        <v>42505</v>
      </c>
    </row>
    <row r="167" spans="1:15" s="13" customFormat="1" ht="55.5" customHeight="1" x14ac:dyDescent="0.25">
      <c r="A167" s="6"/>
      <c r="B167" s="159"/>
      <c r="C167" s="160"/>
      <c r="D167" s="160"/>
      <c r="E167" s="160"/>
      <c r="F167" s="160"/>
      <c r="G167" s="160"/>
      <c r="H167" s="160"/>
      <c r="I167" s="160"/>
      <c r="J167" s="160"/>
      <c r="K167" s="160"/>
      <c r="L167" s="161"/>
      <c r="M167" s="161"/>
      <c r="N167" s="161"/>
      <c r="O167" s="161"/>
    </row>
    <row r="168" spans="1:15" s="13" customFormat="1" ht="8.25" customHeight="1" x14ac:dyDescent="0.25">
      <c r="A168" s="6"/>
      <c r="B168" s="162"/>
      <c r="C168" s="162"/>
      <c r="D168" s="162"/>
      <c r="E168" s="162"/>
      <c r="F168" s="162"/>
      <c r="G168" s="162"/>
      <c r="H168" s="162"/>
      <c r="I168" s="162"/>
      <c r="J168" s="162"/>
      <c r="K168" s="162"/>
      <c r="L168" s="163"/>
      <c r="M168" s="163"/>
      <c r="N168" s="163"/>
      <c r="O168" s="163"/>
    </row>
    <row r="169" spans="1:15" s="10" customFormat="1" ht="16.5" customHeight="1" x14ac:dyDescent="0.25">
      <c r="A169" s="9"/>
      <c r="B169" s="75"/>
      <c r="C169" s="77">
        <f>IF(DAY(Mai_Dim1)=1,Mai_Dim1+15,Mai_Dim1+22)</f>
        <v>42506</v>
      </c>
      <c r="D169" s="74"/>
      <c r="E169" s="77">
        <f>IF(DAY(Mai_Dim1)=1,Mai_Dim1+16,Mai_Dim1+23)</f>
        <v>42507</v>
      </c>
      <c r="F169" s="74"/>
      <c r="G169" s="77">
        <f>IF(DAY(Mai_Dim1)=1,Mai_Dim1+17,Mai_Dim1+24)</f>
        <v>42508</v>
      </c>
      <c r="H169" s="74"/>
      <c r="I169" s="77">
        <f>IF(DAY(Mai_Dim1)=1,Mai_Dim1+18,Mai_Dim1+25)</f>
        <v>42509</v>
      </c>
      <c r="J169" s="74"/>
      <c r="K169" s="77">
        <f>IF(DAY(Mai_Dim1)=1,Mai_Dim1+19,Mai_Dim1+26)</f>
        <v>42510</v>
      </c>
      <c r="L169" s="74"/>
      <c r="M169" s="77">
        <f>IF(DAY(Mai_Dim1)=1,Mai_Dim1+20,Mai_Dim1+27)</f>
        <v>42511</v>
      </c>
      <c r="N169" s="74"/>
      <c r="O169" s="77">
        <f>IF(DAY(Mai_Dim1)=1,Mai_Dim1+21,Mai_Dim1+28)</f>
        <v>42512</v>
      </c>
    </row>
    <row r="170" spans="1:15" s="13" customFormat="1" ht="55.5" customHeight="1" x14ac:dyDescent="0.25">
      <c r="A170" s="6"/>
      <c r="B170" s="159"/>
      <c r="C170" s="160"/>
      <c r="D170" s="160"/>
      <c r="E170" s="160"/>
      <c r="F170" s="160"/>
      <c r="G170" s="160"/>
      <c r="H170" s="160"/>
      <c r="I170" s="160"/>
      <c r="J170" s="160"/>
      <c r="K170" s="160"/>
      <c r="L170" s="161"/>
      <c r="M170" s="161"/>
      <c r="N170" s="161"/>
      <c r="O170" s="161"/>
    </row>
    <row r="171" spans="1:15" s="13" customFormat="1" ht="8.25" customHeight="1" x14ac:dyDescent="0.25">
      <c r="A171" s="6"/>
      <c r="B171" s="162"/>
      <c r="C171" s="162"/>
      <c r="D171" s="162"/>
      <c r="E171" s="162"/>
      <c r="F171" s="162"/>
      <c r="G171" s="162"/>
      <c r="H171" s="162"/>
      <c r="I171" s="162"/>
      <c r="J171" s="162"/>
      <c r="K171" s="162"/>
      <c r="L171" s="163"/>
      <c r="M171" s="163"/>
      <c r="N171" s="163"/>
      <c r="O171" s="163"/>
    </row>
    <row r="172" spans="1:15" s="10" customFormat="1" ht="16.5" customHeight="1" x14ac:dyDescent="0.25">
      <c r="A172" s="9"/>
      <c r="B172" s="75"/>
      <c r="C172" s="77">
        <f>IF(DAY(Mai_Dim1)=1,Mai_Dim1+22,Mai_Dim1+29)</f>
        <v>42513</v>
      </c>
      <c r="D172" s="74"/>
      <c r="E172" s="77">
        <f>IF(DAY(Mai_Dim1)=1,Mai_Dim1+23,Mai_Dim1+30)</f>
        <v>42514</v>
      </c>
      <c r="F172" s="74"/>
      <c r="G172" s="77">
        <f>IF(DAY(Mai_Dim1)=1,Mai_Dim1+24,Mai_Dim1+31)</f>
        <v>42515</v>
      </c>
      <c r="H172" s="74"/>
      <c r="I172" s="77">
        <f>IF(DAY(Mai_Dim1)=1,Mai_Dim1+25,Mai_Dim1+32)</f>
        <v>42516</v>
      </c>
      <c r="J172" s="74"/>
      <c r="K172" s="77">
        <f>IF(DAY(Mai_Dim1)=1,Mai_Dim1+26,Mai_Dim1+33)</f>
        <v>42517</v>
      </c>
      <c r="L172" s="74"/>
      <c r="M172" s="77">
        <f>IF(DAY(Mai_Dim1)=1,Mai_Dim1+27,Mai_Dim1+34)</f>
        <v>42518</v>
      </c>
      <c r="N172" s="74"/>
      <c r="O172" s="77">
        <f>IF(DAY(Mai_Dim1)=1,Mai_Dim1+28,Mai_Dim1+35)</f>
        <v>42519</v>
      </c>
    </row>
    <row r="173" spans="1:15" s="13" customFormat="1" ht="55.5" customHeight="1" x14ac:dyDescent="0.25">
      <c r="A173" s="6"/>
      <c r="B173" s="159"/>
      <c r="C173" s="160"/>
      <c r="D173" s="160"/>
      <c r="E173" s="160"/>
      <c r="F173" s="160"/>
      <c r="G173" s="160"/>
      <c r="H173" s="160"/>
      <c r="I173" s="160"/>
      <c r="J173" s="160"/>
      <c r="K173" s="160"/>
      <c r="L173" s="161"/>
      <c r="M173" s="161"/>
      <c r="N173" s="161"/>
      <c r="O173" s="161"/>
    </row>
    <row r="174" spans="1:15" s="13" customFormat="1" ht="8.25" customHeight="1" x14ac:dyDescent="0.25">
      <c r="A174" s="6"/>
      <c r="B174" s="162"/>
      <c r="C174" s="162"/>
      <c r="D174" s="162"/>
      <c r="E174" s="162"/>
      <c r="F174" s="162"/>
      <c r="G174" s="162"/>
      <c r="H174" s="162"/>
      <c r="I174" s="162"/>
      <c r="J174" s="162"/>
      <c r="K174" s="162"/>
      <c r="L174" s="163"/>
      <c r="M174" s="163"/>
      <c r="N174" s="163"/>
      <c r="O174" s="163"/>
    </row>
    <row r="175" spans="1:15" s="10" customFormat="1" ht="16.5" customHeight="1" x14ac:dyDescent="0.25">
      <c r="A175" s="9"/>
      <c r="B175" s="75"/>
      <c r="C175" s="77">
        <f>IF(DAY(Mai_Dim1)=1,Mai_Dim1+29,Mai_Dim1+36)</f>
        <v>42520</v>
      </c>
      <c r="D175" s="74"/>
      <c r="E175" s="77">
        <f>IF(DAY(Mai_Dim1)=1,Mai_Dim1+30,Mai_Dim1+37)</f>
        <v>42521</v>
      </c>
      <c r="F175" s="74"/>
      <c r="G175" s="77">
        <f>IF(DAY(Mai_Dim1)=1,Mai_Dim1+31,Mai_Dim1+38)</f>
        <v>42522</v>
      </c>
      <c r="H175" s="74"/>
      <c r="I175" s="77">
        <f>IF(DAY(Mai_Dim1)=1,Mai_Dim1+32,Mai_Dim1+39)</f>
        <v>42523</v>
      </c>
      <c r="J175" s="74"/>
      <c r="K175" s="77">
        <f>IF(DAY(Mai_Dim1)=1,Mai_Dim1+33,Mai_Dim1+40)</f>
        <v>42524</v>
      </c>
      <c r="L175" s="74"/>
      <c r="M175" s="77">
        <f>IF(DAY(Mai_Dim1)=1,Mai_Dim1+34,Mai_Dim1+41)</f>
        <v>42525</v>
      </c>
      <c r="N175" s="74"/>
      <c r="O175" s="77">
        <f>IF(DAY(Mai_Dim1)=1,Mai_Dim1+35,Mai_Dim1+42)</f>
        <v>42526</v>
      </c>
    </row>
    <row r="176" spans="1:15" s="13" customFormat="1" ht="55.5" customHeight="1" x14ac:dyDescent="0.25">
      <c r="A176" s="6"/>
      <c r="B176" s="159"/>
      <c r="C176" s="160"/>
      <c r="D176" s="160"/>
      <c r="E176" s="160"/>
      <c r="F176" s="157"/>
      <c r="G176" s="157"/>
      <c r="H176" s="157"/>
      <c r="I176" s="157"/>
      <c r="J176" s="157"/>
      <c r="K176" s="157"/>
      <c r="L176" s="157"/>
      <c r="M176" s="157"/>
      <c r="N176" s="157"/>
      <c r="O176" s="157"/>
    </row>
    <row r="177" spans="1:15" s="20" customFormat="1" ht="34.5" customHeight="1" x14ac:dyDescent="0.2"/>
    <row r="178" spans="1:15" s="20" customFormat="1" ht="18.75" customHeight="1" x14ac:dyDescent="0.35">
      <c r="A178" s="3"/>
      <c r="B178" s="1"/>
      <c r="C178" s="1"/>
      <c r="D178" s="1"/>
      <c r="E178" s="2"/>
      <c r="F178" s="2"/>
      <c r="G178" s="2"/>
      <c r="H178" s="4"/>
      <c r="I178" s="4"/>
      <c r="J178" s="4"/>
      <c r="L178" s="89"/>
      <c r="M178" s="89"/>
      <c r="N178" s="89"/>
      <c r="O178" s="89"/>
    </row>
    <row r="179" spans="1:15" s="20" customFormat="1" ht="18.75" customHeight="1" x14ac:dyDescent="0.35">
      <c r="A179" s="3"/>
      <c r="B179" s="1"/>
      <c r="C179" s="1"/>
      <c r="D179" s="1"/>
      <c r="E179" s="2"/>
      <c r="F179" s="2"/>
      <c r="G179" s="2"/>
      <c r="H179" s="4"/>
      <c r="I179" s="4"/>
      <c r="J179" s="4"/>
    </row>
    <row r="180" spans="1:15" s="20" customFormat="1" ht="18.75" customHeight="1" x14ac:dyDescent="0.35">
      <c r="A180" s="3"/>
      <c r="B180" s="1"/>
      <c r="C180" s="1"/>
      <c r="D180" s="1"/>
      <c r="E180" s="2"/>
      <c r="F180" s="2"/>
      <c r="G180" s="2"/>
      <c r="H180" s="4"/>
      <c r="I180" s="4"/>
      <c r="J180" s="4"/>
    </row>
    <row r="181" spans="1:15" s="20" customFormat="1" ht="18.75" customHeight="1" x14ac:dyDescent="0.35">
      <c r="A181" s="3"/>
      <c r="B181" s="1"/>
      <c r="C181" s="1"/>
      <c r="D181" s="1"/>
      <c r="E181" s="2"/>
      <c r="F181" s="2"/>
      <c r="G181" s="2"/>
      <c r="H181" s="4"/>
      <c r="I181" s="4"/>
      <c r="J181" s="4"/>
    </row>
    <row r="182" spans="1:15" s="20" customFormat="1" ht="18.75" customHeight="1" x14ac:dyDescent="0.35">
      <c r="A182" s="3"/>
      <c r="B182" s="1"/>
      <c r="C182" s="1"/>
      <c r="D182" s="1"/>
      <c r="E182" s="2"/>
      <c r="F182" s="2"/>
      <c r="G182" s="2"/>
      <c r="H182" s="4"/>
      <c r="I182" s="4"/>
      <c r="J182" s="4"/>
    </row>
    <row r="183" spans="1:15" s="20" customFormat="1" ht="18.75" customHeight="1" x14ac:dyDescent="0.35">
      <c r="A183" s="3"/>
      <c r="B183" s="1"/>
      <c r="C183" s="1"/>
      <c r="D183" s="1"/>
      <c r="E183" s="2"/>
      <c r="F183" s="2"/>
      <c r="G183" s="2"/>
      <c r="H183" s="4"/>
      <c r="I183" s="4"/>
      <c r="J183" s="4"/>
    </row>
    <row r="184" spans="1:15" s="20" customFormat="1" ht="18.75" customHeight="1" x14ac:dyDescent="0.35">
      <c r="A184" s="3"/>
      <c r="B184" s="1"/>
      <c r="C184" s="1"/>
      <c r="D184" s="1"/>
      <c r="E184" s="2"/>
      <c r="F184" s="2"/>
      <c r="G184" s="2"/>
      <c r="H184" s="4"/>
      <c r="I184" s="4"/>
      <c r="J184" s="4"/>
    </row>
    <row r="185" spans="1:15" s="20" customFormat="1" ht="18.75" customHeight="1" x14ac:dyDescent="0.35">
      <c r="A185" s="3"/>
      <c r="B185" s="1"/>
      <c r="C185" s="1"/>
      <c r="D185" s="1"/>
      <c r="E185" s="2"/>
      <c r="F185" s="2"/>
      <c r="G185" s="2"/>
      <c r="H185" s="4"/>
      <c r="I185" s="4"/>
      <c r="J185" s="4"/>
    </row>
    <row r="186" spans="1:15" s="20" customFormat="1" ht="18.75" customHeight="1" x14ac:dyDescent="0.35">
      <c r="A186" s="3"/>
      <c r="B186" s="1"/>
      <c r="C186" s="1"/>
      <c r="D186" s="1"/>
      <c r="E186" s="2"/>
      <c r="F186" s="2"/>
      <c r="G186" s="2"/>
      <c r="H186" s="4"/>
      <c r="I186" s="4"/>
      <c r="J186" s="4"/>
    </row>
    <row r="187" spans="1:15" s="20" customFormat="1" ht="18.75" customHeight="1" x14ac:dyDescent="0.35">
      <c r="A187" s="3"/>
      <c r="B187" s="1"/>
      <c r="C187" s="1"/>
      <c r="D187" s="1"/>
      <c r="E187" s="2"/>
      <c r="F187" s="2"/>
      <c r="G187" s="2"/>
      <c r="H187" s="4"/>
      <c r="I187" s="4"/>
      <c r="J187" s="4"/>
    </row>
    <row r="188" spans="1:15" s="20" customFormat="1" ht="18.75" customHeight="1" x14ac:dyDescent="0.35">
      <c r="A188" s="3"/>
      <c r="B188" s="1"/>
      <c r="C188" s="1"/>
      <c r="D188" s="1"/>
      <c r="E188" s="2"/>
      <c r="F188" s="2"/>
      <c r="G188" s="2"/>
      <c r="H188" s="4"/>
      <c r="I188" s="4"/>
      <c r="J188" s="4"/>
    </row>
    <row r="189" spans="1:15" s="20" customFormat="1" ht="18.75" customHeight="1" x14ac:dyDescent="0.35">
      <c r="A189" s="3"/>
      <c r="B189" s="1"/>
      <c r="C189" s="1"/>
      <c r="D189" s="1"/>
      <c r="E189" s="2"/>
      <c r="F189" s="2"/>
      <c r="G189" s="2"/>
      <c r="H189" s="4"/>
      <c r="I189" s="4"/>
      <c r="J189" s="4"/>
    </row>
    <row r="190" spans="1:15" s="20" customFormat="1" ht="18.75" customHeight="1" x14ac:dyDescent="0.35">
      <c r="A190" s="3"/>
      <c r="B190" s="1"/>
      <c r="C190" s="1"/>
      <c r="D190" s="1"/>
      <c r="E190" s="2"/>
      <c r="F190" s="2"/>
      <c r="G190" s="2"/>
      <c r="H190" s="4"/>
      <c r="I190" s="4"/>
      <c r="J190" s="4"/>
    </row>
    <row r="191" spans="1:15" s="20" customFormat="1" ht="18.75" customHeight="1" x14ac:dyDescent="0.35">
      <c r="A191" s="3"/>
      <c r="B191" s="1"/>
      <c r="C191" s="1"/>
      <c r="D191" s="1"/>
      <c r="E191" s="2"/>
      <c r="F191" s="2"/>
      <c r="G191" s="2"/>
      <c r="H191" s="4"/>
      <c r="I191" s="4"/>
      <c r="J191" s="4"/>
    </row>
    <row r="192" spans="1:15" s="20" customFormat="1" ht="56.65" customHeight="1" x14ac:dyDescent="0.25">
      <c r="A192" s="6"/>
      <c r="B192" s="7"/>
      <c r="C192" s="7"/>
      <c r="D192" s="7"/>
      <c r="E192" s="7"/>
      <c r="F192" s="7"/>
      <c r="G192" s="7"/>
      <c r="H192" s="7"/>
      <c r="I192" s="7"/>
      <c r="J192" s="7"/>
      <c r="K192" s="7"/>
      <c r="L192" s="7"/>
      <c r="M192" s="7"/>
      <c r="N192" s="7"/>
      <c r="O192" s="7"/>
    </row>
    <row r="193" spans="1:21" s="13" customFormat="1" ht="54" customHeight="1" x14ac:dyDescent="0.2">
      <c r="A193" s="21"/>
      <c r="B193" s="93" t="s">
        <v>8</v>
      </c>
      <c r="C193" s="94"/>
      <c r="D193" s="94"/>
      <c r="E193" s="94"/>
      <c r="F193" s="94"/>
      <c r="G193" s="94"/>
      <c r="H193" s="94"/>
      <c r="I193" s="94"/>
      <c r="J193" s="94"/>
      <c r="K193" s="94"/>
      <c r="L193" s="94"/>
      <c r="M193" s="94"/>
      <c r="N193" s="164">
        <f>Année_Calendaire</f>
        <v>2016</v>
      </c>
      <c r="O193" s="164"/>
    </row>
    <row r="194" spans="1:21" s="6" customFormat="1" ht="34.15" customHeight="1" x14ac:dyDescent="0.25">
      <c r="B194" s="158" t="s">
        <v>0</v>
      </c>
      <c r="C194" s="158"/>
      <c r="D194" s="158" t="s">
        <v>1</v>
      </c>
      <c r="E194" s="158"/>
      <c r="F194" s="158" t="s">
        <v>2</v>
      </c>
      <c r="G194" s="158"/>
      <c r="H194" s="158" t="s">
        <v>3</v>
      </c>
      <c r="I194" s="158"/>
      <c r="J194" s="158" t="s">
        <v>4</v>
      </c>
      <c r="K194" s="158"/>
      <c r="L194" s="158" t="s">
        <v>5</v>
      </c>
      <c r="M194" s="158"/>
      <c r="N194" s="158" t="s">
        <v>6</v>
      </c>
      <c r="O194" s="158"/>
      <c r="P194" s="8"/>
      <c r="T194" s="13"/>
      <c r="U194" s="13"/>
    </row>
    <row r="195" spans="1:21" s="9" customFormat="1" ht="16.5" customHeight="1" x14ac:dyDescent="0.25">
      <c r="B195" s="71"/>
      <c r="C195" s="73">
        <f>IF(DAY(Juin_Dim1)=1,Juin_Dim1-6,Juin_Dim1+1)</f>
        <v>42520</v>
      </c>
      <c r="D195" s="70"/>
      <c r="E195" s="73">
        <f>IF(DAY(Juin_Dim1)=1,Juin_Dim1-5,Juin_Dim1+2)</f>
        <v>42521</v>
      </c>
      <c r="F195" s="70"/>
      <c r="G195" s="73">
        <f>IF(DAY(Juin_Dim1)=1,Juin_Dim1-4,Juin_Dim1+3)</f>
        <v>42522</v>
      </c>
      <c r="H195" s="70"/>
      <c r="I195" s="73">
        <f>IF(DAY(Juin_Dim1)=1,Juin_Dim1-3,Juin_Dim1+4)</f>
        <v>42523</v>
      </c>
      <c r="J195" s="70"/>
      <c r="K195" s="73">
        <f>IF(DAY(Juin_Dim1)=1,Juin_Dim1-2,Juin_Dim1+5)</f>
        <v>42524</v>
      </c>
      <c r="L195" s="70"/>
      <c r="M195" s="73">
        <f>IF(DAY(Juin_Dim1)=1,Juin_Dim1-1,Juin_Dim1+6)</f>
        <v>42525</v>
      </c>
      <c r="N195" s="70"/>
      <c r="O195" s="73">
        <f>IF(DAY(Juin_Dim1)=1,Juin_Dim1,Juin_Dim1+7)</f>
        <v>42526</v>
      </c>
      <c r="P195" s="10"/>
      <c r="T195" s="11"/>
      <c r="U195" s="10"/>
    </row>
    <row r="196" spans="1:21" s="12" customFormat="1" ht="55.5" customHeight="1" x14ac:dyDescent="0.25">
      <c r="A196" s="6"/>
      <c r="B196" s="154"/>
      <c r="C196" s="155"/>
      <c r="D196" s="155"/>
      <c r="E196" s="155"/>
      <c r="F196" s="155"/>
      <c r="G196" s="155"/>
      <c r="H196" s="155"/>
      <c r="I196" s="155"/>
      <c r="J196" s="155"/>
      <c r="K196" s="155"/>
      <c r="L196" s="156"/>
      <c r="M196" s="156"/>
      <c r="N196" s="156"/>
      <c r="O196" s="156"/>
    </row>
    <row r="197" spans="1:21" s="12" customFormat="1" ht="8.25" customHeight="1" x14ac:dyDescent="0.25">
      <c r="A197" s="6"/>
      <c r="B197" s="150"/>
      <c r="C197" s="150"/>
      <c r="D197" s="150"/>
      <c r="E197" s="150"/>
      <c r="F197" s="150"/>
      <c r="G197" s="150"/>
      <c r="H197" s="150"/>
      <c r="I197" s="150"/>
      <c r="J197" s="150"/>
      <c r="K197" s="150"/>
      <c r="L197" s="151"/>
      <c r="M197" s="151"/>
      <c r="N197" s="151"/>
      <c r="O197" s="151"/>
    </row>
    <row r="198" spans="1:21" s="10" customFormat="1" ht="16.5" customHeight="1" x14ac:dyDescent="0.25">
      <c r="A198" s="9"/>
      <c r="B198" s="72"/>
      <c r="C198" s="73">
        <f>IF(DAY(Juin_Dim1)=1,Juin_Dim1+1,Juin_Dim1+8)</f>
        <v>42527</v>
      </c>
      <c r="D198" s="70"/>
      <c r="E198" s="73">
        <f>IF(DAY(Juin_Dim1)=1,Juin_Dim1+2,Juin_Dim1+9)</f>
        <v>42528</v>
      </c>
      <c r="F198" s="70"/>
      <c r="G198" s="73">
        <f>IF(DAY(Juin_Dim1)=1,Juin_Dim1+3,Juin_Dim1+10)</f>
        <v>42529</v>
      </c>
      <c r="H198" s="70"/>
      <c r="I198" s="73">
        <f>IF(DAY(Juin_Dim1)=1,Juin_Dim1+4,Juin_Dim1+11)</f>
        <v>42530</v>
      </c>
      <c r="J198" s="70"/>
      <c r="K198" s="73">
        <f>IF(DAY(Juin_Dim1)=1,Juin_Dim1+5,Juin_Dim1+12)</f>
        <v>42531</v>
      </c>
      <c r="L198" s="70"/>
      <c r="M198" s="73">
        <f>IF(DAY(Juin_Dim1)=1,Juin_Dim1+6,Juin_Dim1+13)</f>
        <v>42532</v>
      </c>
      <c r="N198" s="70"/>
      <c r="O198" s="73">
        <f>IF(DAY(Juin_Dim1)=1,Juin_Dim1+7,Juin_Dim1+14)</f>
        <v>42533</v>
      </c>
    </row>
    <row r="199" spans="1:21" s="13" customFormat="1" ht="55.5" customHeight="1" x14ac:dyDescent="0.25">
      <c r="A199" s="6"/>
      <c r="B199" s="154"/>
      <c r="C199" s="155"/>
      <c r="D199" s="155"/>
      <c r="E199" s="155"/>
      <c r="F199" s="155" t="s">
        <v>7</v>
      </c>
      <c r="G199" s="155"/>
      <c r="H199" s="155"/>
      <c r="I199" s="155"/>
      <c r="J199" s="155"/>
      <c r="K199" s="155"/>
      <c r="L199" s="156"/>
      <c r="M199" s="156"/>
      <c r="N199" s="156"/>
      <c r="O199" s="156"/>
    </row>
    <row r="200" spans="1:21" s="13" customFormat="1" ht="8.25" customHeight="1" x14ac:dyDescent="0.25">
      <c r="A200" s="6"/>
      <c r="B200" s="150"/>
      <c r="C200" s="150"/>
      <c r="D200" s="150"/>
      <c r="E200" s="150"/>
      <c r="F200" s="150"/>
      <c r="G200" s="150"/>
      <c r="H200" s="150"/>
      <c r="I200" s="150"/>
      <c r="J200" s="150"/>
      <c r="K200" s="150"/>
      <c r="L200" s="151"/>
      <c r="M200" s="151"/>
      <c r="N200" s="151"/>
      <c r="O200" s="151"/>
    </row>
    <row r="201" spans="1:21" s="10" customFormat="1" ht="16.5" customHeight="1" x14ac:dyDescent="0.25">
      <c r="A201" s="9"/>
      <c r="B201" s="72"/>
      <c r="C201" s="73">
        <f>IF(DAY(Juin_Dim1)=1,Juin_Dim1+8,Juin_Dim1+15)</f>
        <v>42534</v>
      </c>
      <c r="D201" s="70"/>
      <c r="E201" s="73">
        <f>IF(DAY(Juin_Dim1)=1,Juin_Dim1+9,Juin_Dim1+16)</f>
        <v>42535</v>
      </c>
      <c r="F201" s="70"/>
      <c r="G201" s="73">
        <f>IF(DAY(Juin_Dim1)=1,Juin_Dim1+10,Juin_Dim1+17)</f>
        <v>42536</v>
      </c>
      <c r="H201" s="70"/>
      <c r="I201" s="73">
        <f>IF(DAY(Juin_Dim1)=1,Juin_Dim1+11,Juin_Dim1+18)</f>
        <v>42537</v>
      </c>
      <c r="J201" s="70"/>
      <c r="K201" s="73">
        <f>IF(DAY(Juin_Dim1)=1,Juin_Dim1+12,Juin_Dim1+19)</f>
        <v>42538</v>
      </c>
      <c r="L201" s="70"/>
      <c r="M201" s="73">
        <f>IF(DAY(Juin_Dim1)=1,Juin_Dim1+13,Juin_Dim1+20)</f>
        <v>42539</v>
      </c>
      <c r="N201" s="70"/>
      <c r="O201" s="73">
        <f>IF(DAY(Juin_Dim1)=1,Juin_Dim1+14,Juin_Dim1+21)</f>
        <v>42540</v>
      </c>
    </row>
    <row r="202" spans="1:21" s="13" customFormat="1" ht="55.5" customHeight="1" x14ac:dyDescent="0.25">
      <c r="A202" s="6"/>
      <c r="B202" s="154"/>
      <c r="C202" s="155"/>
      <c r="D202" s="155"/>
      <c r="E202" s="155"/>
      <c r="F202" s="155"/>
      <c r="G202" s="155"/>
      <c r="H202" s="155"/>
      <c r="I202" s="155"/>
      <c r="J202" s="155"/>
      <c r="K202" s="155"/>
      <c r="L202" s="156"/>
      <c r="M202" s="156"/>
      <c r="N202" s="156"/>
      <c r="O202" s="156"/>
    </row>
    <row r="203" spans="1:21" s="13" customFormat="1" ht="8.25" customHeight="1" x14ac:dyDescent="0.25">
      <c r="A203" s="6"/>
      <c r="B203" s="150"/>
      <c r="C203" s="150"/>
      <c r="D203" s="150"/>
      <c r="E203" s="150"/>
      <c r="F203" s="150"/>
      <c r="G203" s="150"/>
      <c r="H203" s="150"/>
      <c r="I203" s="150"/>
      <c r="J203" s="150"/>
      <c r="K203" s="150"/>
      <c r="L203" s="151"/>
      <c r="M203" s="151"/>
      <c r="N203" s="151"/>
      <c r="O203" s="151"/>
    </row>
    <row r="204" spans="1:21" s="10" customFormat="1" ht="16.5" customHeight="1" x14ac:dyDescent="0.25">
      <c r="A204" s="9"/>
      <c r="B204" s="72"/>
      <c r="C204" s="73">
        <f>IF(DAY(Juin_Dim1)=1,Juin_Dim1+15,Juin_Dim1+22)</f>
        <v>42541</v>
      </c>
      <c r="D204" s="70"/>
      <c r="E204" s="73">
        <f>IF(DAY(Juin_Dim1)=1,Juin_Dim1+16,Juin_Dim1+23)</f>
        <v>42542</v>
      </c>
      <c r="F204" s="70"/>
      <c r="G204" s="73">
        <f>IF(DAY(Juin_Dim1)=1,Juin_Dim1+17,Juin_Dim1+24)</f>
        <v>42543</v>
      </c>
      <c r="H204" s="70"/>
      <c r="I204" s="73">
        <f>IF(DAY(Juin_Dim1)=1,Juin_Dim1+18,Juin_Dim1+25)</f>
        <v>42544</v>
      </c>
      <c r="J204" s="70"/>
      <c r="K204" s="73">
        <f>IF(DAY(Juin_Dim1)=1,Juin_Dim1+19,Juin_Dim1+26)</f>
        <v>42545</v>
      </c>
      <c r="L204" s="70"/>
      <c r="M204" s="73">
        <f>IF(DAY(Juin_Dim1)=1,Juin_Dim1+20,Juin_Dim1+27)</f>
        <v>42546</v>
      </c>
      <c r="N204" s="70"/>
      <c r="O204" s="73">
        <f>IF(DAY(Juin_Dim1)=1,Juin_Dim1+21,Juin_Dim1+28)</f>
        <v>42547</v>
      </c>
    </row>
    <row r="205" spans="1:21" s="13" customFormat="1" ht="55.5" customHeight="1" x14ac:dyDescent="0.25">
      <c r="A205" s="6"/>
      <c r="B205" s="154"/>
      <c r="C205" s="155"/>
      <c r="D205" s="155"/>
      <c r="E205" s="155"/>
      <c r="F205" s="155"/>
      <c r="G205" s="155"/>
      <c r="H205" s="155"/>
      <c r="I205" s="155"/>
      <c r="J205" s="155"/>
      <c r="K205" s="155"/>
      <c r="L205" s="156"/>
      <c r="M205" s="156"/>
      <c r="N205" s="156"/>
      <c r="O205" s="156"/>
    </row>
    <row r="206" spans="1:21" s="13" customFormat="1" ht="8.25" customHeight="1" x14ac:dyDescent="0.25">
      <c r="A206" s="6"/>
      <c r="B206" s="150"/>
      <c r="C206" s="150"/>
      <c r="D206" s="150"/>
      <c r="E206" s="150"/>
      <c r="F206" s="150"/>
      <c r="G206" s="150"/>
      <c r="H206" s="150"/>
      <c r="I206" s="150"/>
      <c r="J206" s="150"/>
      <c r="K206" s="150"/>
      <c r="L206" s="151"/>
      <c r="M206" s="151"/>
      <c r="N206" s="151"/>
      <c r="O206" s="151"/>
    </row>
    <row r="207" spans="1:21" s="10" customFormat="1" ht="16.5" customHeight="1" x14ac:dyDescent="0.25">
      <c r="A207" s="9"/>
      <c r="B207" s="72"/>
      <c r="C207" s="73">
        <f>IF(DAY(Juin_Dim1)=1,Juin_Dim1+22,Juin_Dim1+29)</f>
        <v>42548</v>
      </c>
      <c r="D207" s="70"/>
      <c r="E207" s="73">
        <f>IF(DAY(Juin_Dim1)=1,Juin_Dim1+23,Juin_Dim1+30)</f>
        <v>42549</v>
      </c>
      <c r="F207" s="70"/>
      <c r="G207" s="73">
        <f>IF(DAY(Juin_Dim1)=1,Juin_Dim1+24,Juin_Dim1+31)</f>
        <v>42550</v>
      </c>
      <c r="H207" s="70"/>
      <c r="I207" s="73">
        <f>IF(DAY(Juin_Dim1)=1,Juin_Dim1+25,Juin_Dim1+32)</f>
        <v>42551</v>
      </c>
      <c r="J207" s="70"/>
      <c r="K207" s="73">
        <f>IF(DAY(Juin_Dim1)=1,Juin_Dim1+26,Juin_Dim1+33)</f>
        <v>42552</v>
      </c>
      <c r="L207" s="70"/>
      <c r="M207" s="73">
        <f>IF(DAY(Juin_Dim1)=1,Juin_Dim1+27,Juin_Dim1+34)</f>
        <v>42553</v>
      </c>
      <c r="N207" s="70"/>
      <c r="O207" s="73">
        <f>IF(DAY(Juin_Dim1)=1,Juin_Dim1+28,Juin_Dim1+35)</f>
        <v>42554</v>
      </c>
    </row>
    <row r="208" spans="1:21" s="13" customFormat="1" ht="55.5" customHeight="1" x14ac:dyDescent="0.25">
      <c r="A208" s="6"/>
      <c r="B208" s="154"/>
      <c r="C208" s="155"/>
      <c r="D208" s="155"/>
      <c r="E208" s="155"/>
      <c r="F208" s="155"/>
      <c r="G208" s="155"/>
      <c r="H208" s="155"/>
      <c r="I208" s="155"/>
      <c r="J208" s="155"/>
      <c r="K208" s="155"/>
      <c r="L208" s="156"/>
      <c r="M208" s="156"/>
      <c r="N208" s="156"/>
      <c r="O208" s="156"/>
    </row>
    <row r="209" spans="1:15" s="13" customFormat="1" ht="8.25" customHeight="1" x14ac:dyDescent="0.25">
      <c r="A209" s="6"/>
      <c r="B209" s="150"/>
      <c r="C209" s="150"/>
      <c r="D209" s="150"/>
      <c r="E209" s="150"/>
      <c r="F209" s="150"/>
      <c r="G209" s="150"/>
      <c r="H209" s="150"/>
      <c r="I209" s="150"/>
      <c r="J209" s="150"/>
      <c r="K209" s="150"/>
      <c r="L209" s="151"/>
      <c r="M209" s="151"/>
      <c r="N209" s="151"/>
      <c r="O209" s="151"/>
    </row>
    <row r="210" spans="1:15" s="10" customFormat="1" ht="16.5" customHeight="1" x14ac:dyDescent="0.25">
      <c r="A210" s="9"/>
      <c r="B210" s="72"/>
      <c r="C210" s="73">
        <f>IF(DAY(Juin_Dim1)=1,Juin_Dim1+29,Juin_Dim1+36)</f>
        <v>42555</v>
      </c>
      <c r="D210" s="70"/>
      <c r="E210" s="73">
        <f>IF(DAY(Juin_Dim1)=1,Juin_Dim1+30,Juin_Dim1+37)</f>
        <v>42556</v>
      </c>
      <c r="F210" s="70"/>
      <c r="G210" s="73">
        <f>IF(DAY(Juin_Dim1)=1,Juin_Dim1+31,Juin_Dim1+38)</f>
        <v>42557</v>
      </c>
      <c r="H210" s="70"/>
      <c r="I210" s="73">
        <f>IF(DAY(Juin_Dim1)=1,Juin_Dim1+32,Juin_Dim1+39)</f>
        <v>42558</v>
      </c>
      <c r="J210" s="70"/>
      <c r="K210" s="73">
        <f>IF(DAY(Juin_Dim1)=1,Juin_Dim1+33,Juin_Dim1+40)</f>
        <v>42559</v>
      </c>
      <c r="L210" s="70"/>
      <c r="M210" s="73">
        <f>IF(DAY(Juin_Dim1)=1,Juin_Dim1+34,Juin_Dim1+41)</f>
        <v>42560</v>
      </c>
      <c r="N210" s="70"/>
      <c r="O210" s="73">
        <f>IF(DAY(Juin_Dim1)=1,Juin_Dim1+35,Juin_Dim1+42)</f>
        <v>42561</v>
      </c>
    </row>
    <row r="211" spans="1:15" s="13" customFormat="1" ht="55.5" customHeight="1" x14ac:dyDescent="0.25">
      <c r="A211" s="6"/>
      <c r="B211" s="154"/>
      <c r="C211" s="155"/>
      <c r="D211" s="155"/>
      <c r="E211" s="155"/>
      <c r="F211" s="152"/>
      <c r="G211" s="152"/>
      <c r="H211" s="152"/>
      <c r="I211" s="152"/>
      <c r="J211" s="152"/>
      <c r="K211" s="152"/>
      <c r="L211" s="152"/>
      <c r="M211" s="152"/>
      <c r="N211" s="152"/>
      <c r="O211" s="152"/>
    </row>
    <row r="212" spans="1:15" s="20" customFormat="1" ht="34.5" customHeight="1" x14ac:dyDescent="0.2"/>
    <row r="213" spans="1:15" s="20" customFormat="1" ht="18.75" customHeight="1" x14ac:dyDescent="0.35">
      <c r="A213" s="3"/>
      <c r="B213" s="1"/>
      <c r="C213" s="1"/>
      <c r="D213" s="1"/>
      <c r="E213" s="2"/>
      <c r="F213" s="2"/>
      <c r="G213" s="2"/>
      <c r="H213" s="4"/>
      <c r="I213" s="4"/>
      <c r="J213" s="4"/>
      <c r="L213" s="89"/>
      <c r="M213" s="89"/>
      <c r="N213" s="89"/>
      <c r="O213" s="89"/>
    </row>
    <row r="214" spans="1:15" s="20" customFormat="1" ht="18.75" customHeight="1" x14ac:dyDescent="0.35">
      <c r="A214" s="3"/>
      <c r="B214" s="1"/>
      <c r="C214" s="1"/>
      <c r="D214" s="1"/>
      <c r="E214" s="2"/>
      <c r="F214" s="2"/>
      <c r="G214" s="2"/>
      <c r="H214" s="4"/>
      <c r="I214" s="4"/>
      <c r="J214" s="4"/>
    </row>
    <row r="215" spans="1:15" s="20" customFormat="1" ht="18.75" customHeight="1" x14ac:dyDescent="0.35">
      <c r="A215" s="3"/>
      <c r="B215" s="1"/>
      <c r="C215" s="1"/>
      <c r="D215" s="1"/>
      <c r="E215" s="2"/>
      <c r="F215" s="2"/>
      <c r="G215" s="2"/>
      <c r="H215" s="4"/>
      <c r="I215" s="4"/>
      <c r="J215" s="4"/>
    </row>
    <row r="216" spans="1:15" s="20" customFormat="1" ht="18.75" customHeight="1" x14ac:dyDescent="0.35">
      <c r="A216" s="3"/>
      <c r="B216" s="1"/>
      <c r="C216" s="1"/>
      <c r="D216" s="1"/>
      <c r="E216" s="2"/>
      <c r="F216" s="2"/>
      <c r="G216" s="2"/>
      <c r="H216" s="4"/>
      <c r="I216" s="4"/>
      <c r="J216" s="4"/>
    </row>
    <row r="217" spans="1:15" s="20" customFormat="1" ht="18.75" customHeight="1" x14ac:dyDescent="0.35">
      <c r="A217" s="3"/>
      <c r="B217" s="1"/>
      <c r="C217" s="1"/>
      <c r="D217" s="1"/>
      <c r="E217" s="2"/>
      <c r="F217" s="2"/>
      <c r="G217" s="2"/>
      <c r="H217" s="4"/>
      <c r="I217" s="4"/>
      <c r="J217" s="4"/>
    </row>
    <row r="218" spans="1:15" s="20" customFormat="1" ht="18.75" customHeight="1" x14ac:dyDescent="0.35">
      <c r="A218" s="3"/>
      <c r="B218" s="1"/>
      <c r="C218" s="1"/>
      <c r="D218" s="1"/>
      <c r="E218" s="2"/>
      <c r="F218" s="2"/>
      <c r="G218" s="2"/>
      <c r="H218" s="4"/>
      <c r="I218" s="4"/>
      <c r="J218" s="4"/>
    </row>
    <row r="219" spans="1:15" s="20" customFormat="1" ht="18.75" customHeight="1" x14ac:dyDescent="0.35">
      <c r="A219" s="3"/>
      <c r="B219" s="1"/>
      <c r="C219" s="1"/>
      <c r="D219" s="1"/>
      <c r="E219" s="2"/>
      <c r="F219" s="2"/>
      <c r="G219" s="2"/>
      <c r="H219" s="4"/>
      <c r="I219" s="4"/>
      <c r="J219" s="4"/>
    </row>
    <row r="220" spans="1:15" s="20" customFormat="1" ht="18.75" customHeight="1" x14ac:dyDescent="0.35">
      <c r="A220" s="3"/>
      <c r="B220" s="1"/>
      <c r="C220" s="1"/>
      <c r="D220" s="1"/>
      <c r="E220" s="2"/>
      <c r="F220" s="2"/>
      <c r="G220" s="2"/>
      <c r="H220" s="4"/>
      <c r="I220" s="4"/>
      <c r="J220" s="4"/>
    </row>
    <row r="221" spans="1:15" s="20" customFormat="1" ht="18.75" customHeight="1" x14ac:dyDescent="0.35">
      <c r="A221" s="3"/>
      <c r="B221" s="1"/>
      <c r="C221" s="1"/>
      <c r="D221" s="1"/>
      <c r="E221" s="2"/>
      <c r="F221" s="2"/>
      <c r="G221" s="2"/>
      <c r="H221" s="4"/>
      <c r="I221" s="4"/>
      <c r="J221" s="4"/>
    </row>
    <row r="222" spans="1:15" s="20" customFormat="1" ht="18.75" customHeight="1" x14ac:dyDescent="0.35">
      <c r="A222" s="3"/>
      <c r="B222" s="1"/>
      <c r="C222" s="1"/>
      <c r="D222" s="1"/>
      <c r="E222" s="2"/>
      <c r="F222" s="2"/>
      <c r="G222" s="2"/>
      <c r="H222" s="4"/>
      <c r="I222" s="4"/>
      <c r="J222" s="4"/>
    </row>
    <row r="223" spans="1:15" s="20" customFormat="1" ht="18.75" customHeight="1" x14ac:dyDescent="0.35">
      <c r="A223" s="3"/>
      <c r="B223" s="1"/>
      <c r="C223" s="1"/>
      <c r="D223" s="1"/>
      <c r="E223" s="2"/>
      <c r="F223" s="2"/>
      <c r="G223" s="2"/>
      <c r="H223" s="4"/>
      <c r="I223" s="4"/>
      <c r="J223" s="4"/>
    </row>
    <row r="224" spans="1:15" s="20" customFormat="1" ht="18.75" customHeight="1" x14ac:dyDescent="0.35">
      <c r="A224" s="3"/>
      <c r="B224" s="1"/>
      <c r="C224" s="1"/>
      <c r="D224" s="1"/>
      <c r="E224" s="2"/>
      <c r="F224" s="2"/>
      <c r="G224" s="2"/>
      <c r="H224" s="4"/>
      <c r="I224" s="4"/>
      <c r="J224" s="4"/>
    </row>
    <row r="225" spans="1:21" s="20" customFormat="1" ht="18.75" customHeight="1" x14ac:dyDescent="0.35">
      <c r="A225" s="3"/>
      <c r="B225" s="1"/>
      <c r="C225" s="1"/>
      <c r="D225" s="1"/>
      <c r="E225" s="2"/>
      <c r="F225" s="2"/>
      <c r="G225" s="2"/>
      <c r="H225" s="4"/>
      <c r="I225" s="4"/>
      <c r="J225" s="4"/>
    </row>
    <row r="226" spans="1:21" s="20" customFormat="1" ht="18.75" customHeight="1" x14ac:dyDescent="0.35">
      <c r="A226" s="3"/>
      <c r="B226" s="1"/>
      <c r="C226" s="1"/>
      <c r="D226" s="1"/>
      <c r="E226" s="2"/>
      <c r="F226" s="2"/>
      <c r="G226" s="2"/>
      <c r="H226" s="4"/>
      <c r="I226" s="4"/>
      <c r="J226" s="4"/>
    </row>
    <row r="227" spans="1:21" s="20" customFormat="1" ht="56.65" customHeight="1" x14ac:dyDescent="0.25">
      <c r="A227" s="6"/>
      <c r="B227" s="7"/>
      <c r="C227" s="7"/>
      <c r="D227" s="7"/>
      <c r="E227" s="7"/>
      <c r="F227" s="7"/>
      <c r="G227" s="7"/>
      <c r="H227" s="7"/>
      <c r="I227" s="7"/>
      <c r="J227" s="7"/>
      <c r="K227" s="7"/>
      <c r="L227" s="7"/>
      <c r="M227" s="7"/>
      <c r="N227" s="7"/>
      <c r="O227" s="7"/>
    </row>
    <row r="228" spans="1:21" s="20" customFormat="1" ht="54" customHeight="1" x14ac:dyDescent="0.2">
      <c r="A228" s="21"/>
      <c r="B228" s="95" t="s">
        <v>8</v>
      </c>
      <c r="C228" s="96"/>
      <c r="D228" s="96"/>
      <c r="E228" s="96"/>
      <c r="F228" s="96"/>
      <c r="G228" s="96"/>
      <c r="H228" s="96"/>
      <c r="I228" s="96"/>
      <c r="J228" s="96"/>
      <c r="K228" s="96"/>
      <c r="L228" s="96"/>
      <c r="M228" s="96"/>
      <c r="N228" s="97">
        <f>Année_Calendaire</f>
        <v>2016</v>
      </c>
      <c r="O228" s="97"/>
    </row>
    <row r="229" spans="1:21" s="6" customFormat="1" ht="34.15" customHeight="1" x14ac:dyDescent="0.25">
      <c r="B229" s="153" t="s">
        <v>0</v>
      </c>
      <c r="C229" s="153"/>
      <c r="D229" s="153" t="s">
        <v>1</v>
      </c>
      <c r="E229" s="153"/>
      <c r="F229" s="153" t="s">
        <v>2</v>
      </c>
      <c r="G229" s="153"/>
      <c r="H229" s="153" t="s">
        <v>3</v>
      </c>
      <c r="I229" s="153"/>
      <c r="J229" s="153" t="s">
        <v>4</v>
      </c>
      <c r="K229" s="153"/>
      <c r="L229" s="153" t="s">
        <v>5</v>
      </c>
      <c r="M229" s="153"/>
      <c r="N229" s="153" t="s">
        <v>6</v>
      </c>
      <c r="O229" s="153"/>
      <c r="P229" s="8"/>
      <c r="T229" s="13"/>
      <c r="U229" s="13"/>
    </row>
    <row r="230" spans="1:21" s="9" customFormat="1" ht="16.5" customHeight="1" x14ac:dyDescent="0.25">
      <c r="B230" s="68"/>
      <c r="C230" s="69">
        <f>IF(DAY(Juil_Dim1)=1,Juil_Dim1-6,Juil_Dim1+1)</f>
        <v>42548</v>
      </c>
      <c r="D230" s="66"/>
      <c r="E230" s="69">
        <f>IF(DAY(Juil_Dim1)=1,Juil_Dim1-5,Juil_Dim1+2)</f>
        <v>42549</v>
      </c>
      <c r="F230" s="66"/>
      <c r="G230" s="69">
        <f>IF(DAY(Juil_Dim1)=1,Juil_Dim1-4,Juil_Dim1+3)</f>
        <v>42550</v>
      </c>
      <c r="H230" s="66"/>
      <c r="I230" s="69">
        <f>IF(DAY(Juil_Dim1)=1,Juil_Dim1-3,Juil_Dim1+4)</f>
        <v>42551</v>
      </c>
      <c r="J230" s="66"/>
      <c r="K230" s="69">
        <f>IF(DAY(Juil_Dim1)=1,Juil_Dim1-2,Juil_Dim1+5)</f>
        <v>42552</v>
      </c>
      <c r="L230" s="66"/>
      <c r="M230" s="69">
        <f>IF(DAY(Juil_Dim1)=1,Juil_Dim1-1,Juil_Dim1+6)</f>
        <v>42553</v>
      </c>
      <c r="N230" s="66"/>
      <c r="O230" s="69">
        <f>IF(DAY(Juil_Dim1)=1,Juil_Dim1,Juil_Dim1+7)</f>
        <v>42554</v>
      </c>
      <c r="P230" s="10"/>
      <c r="T230" s="11"/>
      <c r="U230" s="10"/>
    </row>
    <row r="231" spans="1:21" s="12" customFormat="1" ht="55.5" customHeight="1" x14ac:dyDescent="0.25">
      <c r="A231" s="6"/>
      <c r="B231" s="147"/>
      <c r="C231" s="148"/>
      <c r="D231" s="148"/>
      <c r="E231" s="148"/>
      <c r="F231" s="148"/>
      <c r="G231" s="148"/>
      <c r="H231" s="148"/>
      <c r="I231" s="148"/>
      <c r="J231" s="148"/>
      <c r="K231" s="148"/>
      <c r="L231" s="149"/>
      <c r="M231" s="149"/>
      <c r="N231" s="149"/>
      <c r="O231" s="149"/>
    </row>
    <row r="232" spans="1:21" s="12" customFormat="1" ht="8.25" customHeight="1" x14ac:dyDescent="0.25">
      <c r="A232" s="6"/>
      <c r="B232" s="150"/>
      <c r="C232" s="150"/>
      <c r="D232" s="150"/>
      <c r="E232" s="150"/>
      <c r="F232" s="150"/>
      <c r="G232" s="150"/>
      <c r="H232" s="150"/>
      <c r="I232" s="150"/>
      <c r="J232" s="150"/>
      <c r="K232" s="150"/>
      <c r="L232" s="151"/>
      <c r="M232" s="151"/>
      <c r="N232" s="151"/>
      <c r="O232" s="151"/>
    </row>
    <row r="233" spans="1:21" s="10" customFormat="1" ht="16.5" customHeight="1" x14ac:dyDescent="0.25">
      <c r="A233" s="9"/>
      <c r="B233" s="67"/>
      <c r="C233" s="69">
        <f>IF(DAY(Juil_Dim1)=1,Juil_Dim1+1,Juil_Dim1+8)</f>
        <v>42555</v>
      </c>
      <c r="D233" s="66"/>
      <c r="E233" s="69">
        <f>IF(DAY(Juil_Dim1)=1,Juil_Dim1+2,Juil_Dim1+9)</f>
        <v>42556</v>
      </c>
      <c r="F233" s="66"/>
      <c r="G233" s="69">
        <f>IF(DAY(Juil_Dim1)=1,Juil_Dim1+3,Juil_Dim1+10)</f>
        <v>42557</v>
      </c>
      <c r="H233" s="66"/>
      <c r="I233" s="69">
        <f>IF(DAY(Juil_Dim1)=1,Juil_Dim1+4,Juil_Dim1+11)</f>
        <v>42558</v>
      </c>
      <c r="J233" s="66"/>
      <c r="K233" s="69">
        <f>IF(DAY(Juil_Dim1)=1,Juil_Dim1+5,Juil_Dim1+12)</f>
        <v>42559</v>
      </c>
      <c r="L233" s="66"/>
      <c r="M233" s="69">
        <f>IF(DAY(Juil_Dim1)=1,Juil_Dim1+6,Juil_Dim1+13)</f>
        <v>42560</v>
      </c>
      <c r="N233" s="66"/>
      <c r="O233" s="69">
        <f>IF(DAY(Juil_Dim1)=1,Juil_Dim1+7,Juil_Dim1+14)</f>
        <v>42561</v>
      </c>
    </row>
    <row r="234" spans="1:21" s="13" customFormat="1" ht="55.5" customHeight="1" x14ac:dyDescent="0.25">
      <c r="A234" s="6"/>
      <c r="B234" s="147"/>
      <c r="C234" s="148"/>
      <c r="D234" s="148"/>
      <c r="E234" s="148"/>
      <c r="F234" s="148" t="s">
        <v>7</v>
      </c>
      <c r="G234" s="148"/>
      <c r="H234" s="148"/>
      <c r="I234" s="148"/>
      <c r="J234" s="148"/>
      <c r="K234" s="148"/>
      <c r="L234" s="149"/>
      <c r="M234" s="149"/>
      <c r="N234" s="149"/>
      <c r="O234" s="149"/>
    </row>
    <row r="235" spans="1:21" s="13" customFormat="1" ht="8.25" customHeight="1" x14ac:dyDescent="0.25">
      <c r="A235" s="6"/>
      <c r="B235" s="150"/>
      <c r="C235" s="150"/>
      <c r="D235" s="150"/>
      <c r="E235" s="150"/>
      <c r="F235" s="150"/>
      <c r="G235" s="150"/>
      <c r="H235" s="150"/>
      <c r="I235" s="150"/>
      <c r="J235" s="150"/>
      <c r="K235" s="150"/>
      <c r="L235" s="151"/>
      <c r="M235" s="151"/>
      <c r="N235" s="151"/>
      <c r="O235" s="151"/>
    </row>
    <row r="236" spans="1:21" s="10" customFormat="1" ht="16.5" customHeight="1" x14ac:dyDescent="0.25">
      <c r="A236" s="9"/>
      <c r="B236" s="67"/>
      <c r="C236" s="69">
        <f>IF(DAY(Juil_Dim1)=1,Juil_Dim1+8,Juil_Dim1+15)</f>
        <v>42562</v>
      </c>
      <c r="D236" s="66"/>
      <c r="E236" s="69">
        <f>IF(DAY(Juil_Dim1)=1,Juil_Dim1+9,Juil_Dim1+16)</f>
        <v>42563</v>
      </c>
      <c r="F236" s="66"/>
      <c r="G236" s="69">
        <f>IF(DAY(Juil_Dim1)=1,Juil_Dim1+10,Juil_Dim1+17)</f>
        <v>42564</v>
      </c>
      <c r="H236" s="66"/>
      <c r="I236" s="69">
        <f>IF(DAY(Juil_Dim1)=1,Juil_Dim1+11,Juil_Dim1+18)</f>
        <v>42565</v>
      </c>
      <c r="J236" s="66"/>
      <c r="K236" s="69">
        <f>IF(DAY(Juil_Dim1)=1,Juil_Dim1+12,Juil_Dim1+19)</f>
        <v>42566</v>
      </c>
      <c r="L236" s="66"/>
      <c r="M236" s="69">
        <f>IF(DAY(Juil_Dim1)=1,Juil_Dim1+13,Juil_Dim1+20)</f>
        <v>42567</v>
      </c>
      <c r="N236" s="66"/>
      <c r="O236" s="69">
        <f>IF(DAY(Juil_Dim1)=1,Juil_Dim1+14,Juil_Dim1+21)</f>
        <v>42568</v>
      </c>
    </row>
    <row r="237" spans="1:21" s="13" customFormat="1" ht="55.5" customHeight="1" x14ac:dyDescent="0.25">
      <c r="A237" s="6"/>
      <c r="B237" s="147"/>
      <c r="C237" s="148"/>
      <c r="D237" s="148"/>
      <c r="E237" s="148"/>
      <c r="F237" s="148"/>
      <c r="G237" s="148"/>
      <c r="H237" s="148"/>
      <c r="I237" s="148"/>
      <c r="J237" s="148"/>
      <c r="K237" s="148"/>
      <c r="L237" s="149"/>
      <c r="M237" s="149"/>
      <c r="N237" s="149"/>
      <c r="O237" s="149"/>
    </row>
    <row r="238" spans="1:21" s="13" customFormat="1" ht="8.25" customHeight="1" x14ac:dyDescent="0.25">
      <c r="A238" s="6"/>
      <c r="B238" s="150"/>
      <c r="C238" s="150"/>
      <c r="D238" s="150"/>
      <c r="E238" s="150"/>
      <c r="F238" s="150"/>
      <c r="G238" s="150"/>
      <c r="H238" s="150"/>
      <c r="I238" s="150"/>
      <c r="J238" s="150"/>
      <c r="K238" s="150"/>
      <c r="L238" s="151"/>
      <c r="M238" s="151"/>
      <c r="N238" s="151"/>
      <c r="O238" s="151"/>
    </row>
    <row r="239" spans="1:21" s="10" customFormat="1" ht="16.5" customHeight="1" x14ac:dyDescent="0.25">
      <c r="A239" s="9"/>
      <c r="B239" s="67"/>
      <c r="C239" s="69">
        <f>IF(DAY(Juil_Dim1)=1,Juil_Dim1+15,Juil_Dim1+22)</f>
        <v>42569</v>
      </c>
      <c r="D239" s="66"/>
      <c r="E239" s="69">
        <f>IF(DAY(Juil_Dim1)=1,Juil_Dim1+16,Juil_Dim1+23)</f>
        <v>42570</v>
      </c>
      <c r="F239" s="66"/>
      <c r="G239" s="69">
        <f>IF(DAY(Juil_Dim1)=1,Juil_Dim1+17,Juil_Dim1+24)</f>
        <v>42571</v>
      </c>
      <c r="H239" s="66"/>
      <c r="I239" s="69">
        <f>IF(DAY(Juil_Dim1)=1,Juil_Dim1+18,Juil_Dim1+25)</f>
        <v>42572</v>
      </c>
      <c r="J239" s="66"/>
      <c r="K239" s="69">
        <f>IF(DAY(Juil_Dim1)=1,Juil_Dim1+19,Juil_Dim1+26)</f>
        <v>42573</v>
      </c>
      <c r="L239" s="66"/>
      <c r="M239" s="69">
        <f>IF(DAY(Juil_Dim1)=1,Juil_Dim1+20,Juil_Dim1+27)</f>
        <v>42574</v>
      </c>
      <c r="N239" s="66"/>
      <c r="O239" s="69">
        <f>IF(DAY(Juil_Dim1)=1,Juil_Dim1+21,Juil_Dim1+28)</f>
        <v>42575</v>
      </c>
    </row>
    <row r="240" spans="1:21" s="13" customFormat="1" ht="55.5" customHeight="1" x14ac:dyDescent="0.25">
      <c r="A240" s="6"/>
      <c r="B240" s="147"/>
      <c r="C240" s="148"/>
      <c r="D240" s="148"/>
      <c r="E240" s="148"/>
      <c r="F240" s="148"/>
      <c r="G240" s="148"/>
      <c r="H240" s="148"/>
      <c r="I240" s="148"/>
      <c r="J240" s="148"/>
      <c r="K240" s="148"/>
      <c r="L240" s="149"/>
      <c r="M240" s="149"/>
      <c r="N240" s="149"/>
      <c r="O240" s="149"/>
    </row>
    <row r="241" spans="1:15" s="13" customFormat="1" ht="8.25" customHeight="1" x14ac:dyDescent="0.25">
      <c r="A241" s="6"/>
      <c r="B241" s="150"/>
      <c r="C241" s="150"/>
      <c r="D241" s="150"/>
      <c r="E241" s="150"/>
      <c r="F241" s="150"/>
      <c r="G241" s="150"/>
      <c r="H241" s="150"/>
      <c r="I241" s="150"/>
      <c r="J241" s="150"/>
      <c r="K241" s="150"/>
      <c r="L241" s="151"/>
      <c r="M241" s="151"/>
      <c r="N241" s="151"/>
      <c r="O241" s="151"/>
    </row>
    <row r="242" spans="1:15" s="10" customFormat="1" ht="16.5" customHeight="1" x14ac:dyDescent="0.25">
      <c r="A242" s="9"/>
      <c r="B242" s="67"/>
      <c r="C242" s="69">
        <f>IF(DAY(Juil_Dim1)=1,Juil_Dim1+22,Juil_Dim1+29)</f>
        <v>42576</v>
      </c>
      <c r="D242" s="66"/>
      <c r="E242" s="69">
        <f>IF(DAY(Juil_Dim1)=1,Juil_Dim1+23,Juil_Dim1+30)</f>
        <v>42577</v>
      </c>
      <c r="F242" s="66"/>
      <c r="G242" s="69">
        <f>IF(DAY(Juil_Dim1)=1,Juil_Dim1+24,Juil_Dim1+31)</f>
        <v>42578</v>
      </c>
      <c r="H242" s="66"/>
      <c r="I242" s="69">
        <f>IF(DAY(Juil_Dim1)=1,Juil_Dim1+25,Juil_Dim1+32)</f>
        <v>42579</v>
      </c>
      <c r="J242" s="66"/>
      <c r="K242" s="69">
        <f>IF(DAY(Juil_Dim1)=1,Juil_Dim1+26,Juil_Dim1+33)</f>
        <v>42580</v>
      </c>
      <c r="L242" s="66"/>
      <c r="M242" s="69">
        <f>IF(DAY(Juil_Dim1)=1,Juil_Dim1+27,Juil_Dim1+34)</f>
        <v>42581</v>
      </c>
      <c r="N242" s="66"/>
      <c r="O242" s="69">
        <f>IF(DAY(Juil_Dim1)=1,Juil_Dim1+28,Juil_Dim1+35)</f>
        <v>42582</v>
      </c>
    </row>
    <row r="243" spans="1:15" s="13" customFormat="1" ht="55.5" customHeight="1" x14ac:dyDescent="0.25">
      <c r="A243" s="6"/>
      <c r="B243" s="147"/>
      <c r="C243" s="148"/>
      <c r="D243" s="148"/>
      <c r="E243" s="148"/>
      <c r="F243" s="148"/>
      <c r="G243" s="148"/>
      <c r="H243" s="148"/>
      <c r="I243" s="148"/>
      <c r="J243" s="148"/>
      <c r="K243" s="148"/>
      <c r="L243" s="149"/>
      <c r="M243" s="149"/>
      <c r="N243" s="149"/>
      <c r="O243" s="149"/>
    </row>
    <row r="244" spans="1:15" s="13" customFormat="1" ht="8.25" customHeight="1" x14ac:dyDescent="0.25">
      <c r="A244" s="6"/>
      <c r="B244" s="150"/>
      <c r="C244" s="150"/>
      <c r="D244" s="150"/>
      <c r="E244" s="150"/>
      <c r="F244" s="150"/>
      <c r="G244" s="150"/>
      <c r="H244" s="150"/>
      <c r="I244" s="150"/>
      <c r="J244" s="150"/>
      <c r="K244" s="150"/>
      <c r="L244" s="151"/>
      <c r="M244" s="151"/>
      <c r="N244" s="151"/>
      <c r="O244" s="151"/>
    </row>
    <row r="245" spans="1:15" s="10" customFormat="1" ht="16.5" customHeight="1" x14ac:dyDescent="0.25">
      <c r="A245" s="9"/>
      <c r="B245" s="67"/>
      <c r="C245" s="69">
        <f>IF(DAY(Juil_Dim1)=1,Juil_Dim1+29,Juil_Dim1+36)</f>
        <v>42583</v>
      </c>
      <c r="D245" s="66"/>
      <c r="E245" s="69">
        <f>IF(DAY(Juil_Dim1)=1,Juil_Dim1+30,Juil_Dim1+37)</f>
        <v>42584</v>
      </c>
      <c r="F245" s="66"/>
      <c r="G245" s="69">
        <f>IF(DAY(Juil_Dim1)=1,Juil_Dim1+31,Juil_Dim1+38)</f>
        <v>42585</v>
      </c>
      <c r="H245" s="66"/>
      <c r="I245" s="69">
        <f>IF(DAY(Juil_Dim1)=1,Juil_Dim1+32,Juil_Dim1+39)</f>
        <v>42586</v>
      </c>
      <c r="J245" s="66"/>
      <c r="K245" s="69">
        <f>IF(DAY(Juil_Dim1)=1,Juil_Dim1+33,Juil_Dim1+40)</f>
        <v>42587</v>
      </c>
      <c r="L245" s="66"/>
      <c r="M245" s="69">
        <f>IF(DAY(Juil_Dim1)=1,Juil_Dim1+34,Juil_Dim1+41)</f>
        <v>42588</v>
      </c>
      <c r="N245" s="66"/>
      <c r="O245" s="69">
        <f>IF(DAY(Juil_Dim1)=1,Juil_Dim1+35,Juil_Dim1+42)</f>
        <v>42589</v>
      </c>
    </row>
    <row r="246" spans="1:15" s="13" customFormat="1" ht="55.5" customHeight="1" x14ac:dyDescent="0.25">
      <c r="A246" s="6"/>
      <c r="B246" s="147"/>
      <c r="C246" s="148"/>
      <c r="D246" s="148"/>
      <c r="E246" s="148"/>
      <c r="F246" s="145"/>
      <c r="G246" s="145"/>
      <c r="H246" s="145"/>
      <c r="I246" s="145"/>
      <c r="J246" s="145"/>
      <c r="K246" s="145"/>
      <c r="L246" s="145"/>
      <c r="M246" s="145"/>
      <c r="N246" s="145"/>
      <c r="O246" s="145"/>
    </row>
    <row r="247" spans="1:15" s="20" customFormat="1" ht="34.5" customHeight="1" x14ac:dyDescent="0.2"/>
    <row r="248" spans="1:15" s="20" customFormat="1" ht="18.75" customHeight="1" x14ac:dyDescent="0.35">
      <c r="A248" s="3"/>
      <c r="B248" s="1"/>
      <c r="C248" s="1"/>
      <c r="D248" s="1"/>
      <c r="E248" s="2"/>
      <c r="F248" s="2"/>
      <c r="G248" s="2"/>
      <c r="H248" s="4"/>
      <c r="I248" s="4"/>
      <c r="J248" s="4"/>
      <c r="L248" s="89"/>
      <c r="M248" s="89"/>
      <c r="N248" s="89"/>
      <c r="O248" s="89"/>
    </row>
    <row r="249" spans="1:15" s="20" customFormat="1" ht="18.75" customHeight="1" x14ac:dyDescent="0.35">
      <c r="A249" s="3"/>
      <c r="B249" s="1"/>
      <c r="C249" s="1"/>
      <c r="D249" s="1"/>
      <c r="E249" s="2"/>
      <c r="F249" s="2"/>
      <c r="G249" s="2"/>
      <c r="H249" s="4"/>
      <c r="I249" s="4"/>
      <c r="J249" s="4"/>
    </row>
    <row r="250" spans="1:15" s="20" customFormat="1" ht="18.75" customHeight="1" x14ac:dyDescent="0.35">
      <c r="A250" s="3"/>
      <c r="B250" s="1"/>
      <c r="C250" s="1"/>
      <c r="D250" s="1"/>
      <c r="E250" s="2"/>
      <c r="F250" s="2"/>
      <c r="G250" s="2"/>
      <c r="H250" s="4"/>
      <c r="I250" s="4"/>
      <c r="J250" s="4"/>
    </row>
    <row r="251" spans="1:15" s="20" customFormat="1" ht="18.75" customHeight="1" x14ac:dyDescent="0.35">
      <c r="A251" s="3"/>
      <c r="B251" s="1"/>
      <c r="C251" s="1"/>
      <c r="D251" s="1"/>
      <c r="E251" s="2"/>
      <c r="F251" s="2"/>
      <c r="G251" s="2"/>
      <c r="H251" s="4"/>
      <c r="I251" s="4"/>
      <c r="J251" s="4"/>
    </row>
    <row r="252" spans="1:15" s="20" customFormat="1" ht="18.75" customHeight="1" x14ac:dyDescent="0.35">
      <c r="A252" s="3"/>
      <c r="B252" s="1"/>
      <c r="C252" s="1"/>
      <c r="D252" s="1"/>
      <c r="E252" s="2"/>
      <c r="F252" s="2"/>
      <c r="G252" s="2"/>
      <c r="H252" s="4"/>
      <c r="I252" s="4"/>
      <c r="J252" s="4"/>
    </row>
    <row r="253" spans="1:15" s="20" customFormat="1" ht="18.75" customHeight="1" x14ac:dyDescent="0.35">
      <c r="A253" s="3"/>
      <c r="B253" s="1"/>
      <c r="C253" s="1"/>
      <c r="D253" s="1"/>
      <c r="E253" s="2"/>
      <c r="F253" s="2"/>
      <c r="G253" s="2"/>
      <c r="H253" s="4"/>
      <c r="I253" s="4"/>
      <c r="J253" s="4"/>
    </row>
    <row r="254" spans="1:15" s="20" customFormat="1" ht="18.75" customHeight="1" x14ac:dyDescent="0.35">
      <c r="A254" s="3"/>
      <c r="B254" s="1"/>
      <c r="C254" s="1"/>
      <c r="D254" s="1"/>
      <c r="E254" s="2"/>
      <c r="F254" s="2"/>
      <c r="G254" s="2"/>
      <c r="H254" s="4"/>
      <c r="I254" s="4"/>
      <c r="J254" s="4"/>
    </row>
    <row r="255" spans="1:15" s="20" customFormat="1" ht="18.75" customHeight="1" x14ac:dyDescent="0.35">
      <c r="A255" s="3"/>
      <c r="B255" s="1"/>
      <c r="C255" s="1"/>
      <c r="D255" s="1"/>
      <c r="E255" s="2"/>
      <c r="F255" s="2"/>
      <c r="G255" s="2"/>
      <c r="H255" s="4"/>
      <c r="I255" s="4"/>
      <c r="J255" s="4"/>
    </row>
    <row r="256" spans="1:15" s="20" customFormat="1" ht="18.75" customHeight="1" x14ac:dyDescent="0.35">
      <c r="A256" s="3"/>
      <c r="B256" s="1"/>
      <c r="C256" s="1"/>
      <c r="D256" s="1"/>
      <c r="E256" s="2"/>
      <c r="F256" s="2"/>
      <c r="G256" s="2"/>
      <c r="H256" s="4"/>
      <c r="I256" s="4"/>
      <c r="J256" s="4"/>
    </row>
    <row r="257" spans="1:21" s="20" customFormat="1" ht="18.75" customHeight="1" x14ac:dyDescent="0.35">
      <c r="A257" s="3"/>
      <c r="B257" s="1"/>
      <c r="C257" s="1"/>
      <c r="D257" s="1"/>
      <c r="E257" s="2"/>
      <c r="F257" s="2"/>
      <c r="G257" s="2"/>
      <c r="H257" s="4"/>
      <c r="I257" s="4"/>
      <c r="J257" s="4"/>
    </row>
    <row r="258" spans="1:21" s="20" customFormat="1" ht="18.75" customHeight="1" x14ac:dyDescent="0.35">
      <c r="A258" s="3"/>
      <c r="B258" s="1"/>
      <c r="C258" s="1"/>
      <c r="D258" s="1"/>
      <c r="E258" s="2"/>
      <c r="F258" s="2"/>
      <c r="G258" s="2"/>
      <c r="H258" s="4"/>
      <c r="I258" s="4"/>
      <c r="J258" s="4"/>
    </row>
    <row r="259" spans="1:21" s="20" customFormat="1" ht="18.75" customHeight="1" x14ac:dyDescent="0.35">
      <c r="A259" s="3"/>
      <c r="B259" s="1"/>
      <c r="C259" s="1"/>
      <c r="D259" s="1"/>
      <c r="E259" s="2"/>
      <c r="F259" s="2"/>
      <c r="G259" s="2"/>
      <c r="H259" s="4"/>
      <c r="I259" s="4"/>
      <c r="J259" s="4"/>
    </row>
    <row r="260" spans="1:21" s="20" customFormat="1" ht="18.75" customHeight="1" x14ac:dyDescent="0.35">
      <c r="A260" s="3"/>
      <c r="B260" s="1"/>
      <c r="C260" s="1"/>
      <c r="D260" s="1"/>
      <c r="E260" s="2"/>
      <c r="F260" s="2"/>
      <c r="G260" s="2"/>
      <c r="H260" s="4"/>
      <c r="I260" s="4"/>
      <c r="J260" s="4"/>
    </row>
    <row r="261" spans="1:21" s="20" customFormat="1" ht="18.75" customHeight="1" x14ac:dyDescent="0.35">
      <c r="A261" s="3"/>
      <c r="B261" s="1"/>
      <c r="C261" s="1"/>
      <c r="D261" s="1"/>
      <c r="E261" s="2"/>
      <c r="F261" s="2"/>
      <c r="G261" s="2"/>
      <c r="H261" s="4"/>
      <c r="I261" s="4"/>
      <c r="J261" s="4"/>
    </row>
    <row r="262" spans="1:21" s="20" customFormat="1" ht="56.65" customHeight="1" x14ac:dyDescent="0.25">
      <c r="A262" s="6"/>
      <c r="B262" s="7"/>
      <c r="C262" s="7"/>
      <c r="D262" s="7"/>
      <c r="E262" s="7"/>
      <c r="F262" s="7"/>
      <c r="G262" s="7"/>
      <c r="H262" s="7"/>
      <c r="I262" s="7"/>
      <c r="J262" s="7"/>
      <c r="K262" s="7"/>
      <c r="L262" s="7"/>
      <c r="M262" s="7"/>
      <c r="N262" s="7"/>
      <c r="O262" s="7"/>
    </row>
    <row r="263" spans="1:21" s="20" customFormat="1" ht="54" customHeight="1" x14ac:dyDescent="0.2">
      <c r="A263" s="21"/>
      <c r="B263" s="98" t="s">
        <v>8</v>
      </c>
      <c r="C263" s="99"/>
      <c r="D263" s="99"/>
      <c r="E263" s="99"/>
      <c r="F263" s="99"/>
      <c r="G263" s="99"/>
      <c r="H263" s="99"/>
      <c r="I263" s="99"/>
      <c r="J263" s="99"/>
      <c r="K263" s="99"/>
      <c r="L263" s="99"/>
      <c r="M263" s="99"/>
      <c r="N263" s="100">
        <f>Année_Calendaire</f>
        <v>2016</v>
      </c>
      <c r="O263" s="100"/>
    </row>
    <row r="264" spans="1:21" s="6" customFormat="1" ht="34.15" customHeight="1" x14ac:dyDescent="0.25">
      <c r="B264" s="146" t="s">
        <v>0</v>
      </c>
      <c r="C264" s="146"/>
      <c r="D264" s="146" t="s">
        <v>1</v>
      </c>
      <c r="E264" s="146"/>
      <c r="F264" s="146" t="s">
        <v>2</v>
      </c>
      <c r="G264" s="146"/>
      <c r="H264" s="146" t="s">
        <v>3</v>
      </c>
      <c r="I264" s="146"/>
      <c r="J264" s="146" t="s">
        <v>4</v>
      </c>
      <c r="K264" s="146"/>
      <c r="L264" s="146" t="s">
        <v>5</v>
      </c>
      <c r="M264" s="146"/>
      <c r="N264" s="146" t="s">
        <v>6</v>
      </c>
      <c r="O264" s="146"/>
      <c r="P264" s="8"/>
      <c r="T264" s="13"/>
      <c r="U264" s="13"/>
    </row>
    <row r="265" spans="1:21" s="9" customFormat="1" ht="16.5" customHeight="1" x14ac:dyDescent="0.3">
      <c r="B265" s="64"/>
      <c r="C265" s="65">
        <f>IF(DAY(Aoû_Dim1)=1,Aoû_Dim1-6,Aoû_Dim1+1)</f>
        <v>42583</v>
      </c>
      <c r="D265" s="62"/>
      <c r="E265" s="65">
        <f>IF(DAY(Aoû_Dim1)=1,Aoû_Dim1-5,Aoû_Dim1+2)</f>
        <v>42584</v>
      </c>
      <c r="F265" s="62"/>
      <c r="G265" s="65">
        <f>IF(DAY(Aoû_Dim1)=1,Aoû_Dim1-4,Aoû_Dim1+3)</f>
        <v>42585</v>
      </c>
      <c r="H265" s="62"/>
      <c r="I265" s="65">
        <f>IF(DAY(Aoû_Dim1)=1,Aoû_Dim1-3,Aoû_Dim1+4)</f>
        <v>42586</v>
      </c>
      <c r="J265" s="62"/>
      <c r="K265" s="65">
        <f>IF(DAY(Aoû_Dim1)=1,Aoû_Dim1-2,Aoû_Dim1+5)</f>
        <v>42587</v>
      </c>
      <c r="L265" s="62"/>
      <c r="M265" s="65">
        <f>IF(DAY(Aoû_Dim1)=1,Aoû_Dim1-1,Aoû_Dim1+6)</f>
        <v>42588</v>
      </c>
      <c r="N265" s="62"/>
      <c r="O265" s="65">
        <f>IF(DAY(Aoû_Dim1)=1,Aoû_Dim1,Aoû_Dim1+7)</f>
        <v>42589</v>
      </c>
      <c r="P265" s="10"/>
      <c r="T265" s="11"/>
      <c r="U265" s="10"/>
    </row>
    <row r="266" spans="1:21" s="12" customFormat="1" ht="55.5" customHeight="1" x14ac:dyDescent="0.25">
      <c r="A266" s="6"/>
      <c r="B266" s="140"/>
      <c r="C266" s="141"/>
      <c r="D266" s="141"/>
      <c r="E266" s="141"/>
      <c r="F266" s="141"/>
      <c r="G266" s="141"/>
      <c r="H266" s="141"/>
      <c r="I266" s="141"/>
      <c r="J266" s="141"/>
      <c r="K266" s="141"/>
      <c r="L266" s="142"/>
      <c r="M266" s="142"/>
      <c r="N266" s="142"/>
      <c r="O266" s="142"/>
    </row>
    <row r="267" spans="1:21" s="12" customFormat="1" ht="8.25" customHeight="1" x14ac:dyDescent="0.25">
      <c r="A267" s="6"/>
      <c r="B267" s="143"/>
      <c r="C267" s="143"/>
      <c r="D267" s="143"/>
      <c r="E267" s="143"/>
      <c r="F267" s="143"/>
      <c r="G267" s="143"/>
      <c r="H267" s="143"/>
      <c r="I267" s="143"/>
      <c r="J267" s="143"/>
      <c r="K267" s="143"/>
      <c r="L267" s="144"/>
      <c r="M267" s="144"/>
      <c r="N267" s="144"/>
      <c r="O267" s="144"/>
    </row>
    <row r="268" spans="1:21" s="10" customFormat="1" ht="16.5" customHeight="1" x14ac:dyDescent="0.25">
      <c r="A268" s="9"/>
      <c r="B268" s="63"/>
      <c r="C268" s="65">
        <f>IF(DAY(Aoû_Dim1)=1,Aoû_Dim1+1,Aoû_Dim1+8)</f>
        <v>42590</v>
      </c>
      <c r="D268" s="62"/>
      <c r="E268" s="65">
        <f>IF(DAY(Aoû_Dim1)=1,Aoû_Dim1+2,Aoû_Dim1+9)</f>
        <v>42591</v>
      </c>
      <c r="F268" s="62"/>
      <c r="G268" s="65">
        <f>IF(DAY(Aoû_Dim1)=1,Aoû_Dim1+3,Aoû_Dim1+10)</f>
        <v>42592</v>
      </c>
      <c r="H268" s="62"/>
      <c r="I268" s="65">
        <f>IF(DAY(Aoû_Dim1)=1,Aoû_Dim1+4,Aoû_Dim1+11)</f>
        <v>42593</v>
      </c>
      <c r="J268" s="62"/>
      <c r="K268" s="65">
        <f>IF(DAY(Aoû_Dim1)=1,Aoû_Dim1+5,Aoû_Dim1+12)</f>
        <v>42594</v>
      </c>
      <c r="L268" s="62"/>
      <c r="M268" s="65">
        <f>IF(DAY(Aoû_Dim1)=1,Aoû_Dim1+6,Aoû_Dim1+13)</f>
        <v>42595</v>
      </c>
      <c r="N268" s="62"/>
      <c r="O268" s="65">
        <f>IF(DAY(Aoû_Dim1)=1,Aoû_Dim1+7,Aoû_Dim1+14)</f>
        <v>42596</v>
      </c>
    </row>
    <row r="269" spans="1:21" s="13" customFormat="1" ht="55.5" customHeight="1" x14ac:dyDescent="0.25">
      <c r="A269" s="6"/>
      <c r="B269" s="140"/>
      <c r="C269" s="141"/>
      <c r="D269" s="141"/>
      <c r="E269" s="141"/>
      <c r="F269" s="141" t="s">
        <v>7</v>
      </c>
      <c r="G269" s="141"/>
      <c r="H269" s="141"/>
      <c r="I269" s="141"/>
      <c r="J269" s="141"/>
      <c r="K269" s="141"/>
      <c r="L269" s="142"/>
      <c r="M269" s="142"/>
      <c r="N269" s="142"/>
      <c r="O269" s="142"/>
    </row>
    <row r="270" spans="1:21" s="13" customFormat="1" ht="8.25" customHeight="1" x14ac:dyDescent="0.25">
      <c r="A270" s="6"/>
      <c r="B270" s="143"/>
      <c r="C270" s="143"/>
      <c r="D270" s="143"/>
      <c r="E270" s="143"/>
      <c r="F270" s="143"/>
      <c r="G270" s="143"/>
      <c r="H270" s="143"/>
      <c r="I270" s="143"/>
      <c r="J270" s="143"/>
      <c r="K270" s="143"/>
      <c r="L270" s="144"/>
      <c r="M270" s="144"/>
      <c r="N270" s="144"/>
      <c r="O270" s="144"/>
    </row>
    <row r="271" spans="1:21" s="10" customFormat="1" ht="16.5" customHeight="1" x14ac:dyDescent="0.25">
      <c r="A271" s="9"/>
      <c r="B271" s="63"/>
      <c r="C271" s="65">
        <f>IF(DAY(Aoû_Dim1)=1,Aoû_Dim1+8,Aoû_Dim1+15)</f>
        <v>42597</v>
      </c>
      <c r="D271" s="62"/>
      <c r="E271" s="65">
        <f>IF(DAY(Aoû_Dim1)=1,Aoû_Dim1+9,Aoû_Dim1+16)</f>
        <v>42598</v>
      </c>
      <c r="F271" s="62"/>
      <c r="G271" s="65">
        <f>IF(DAY(Aoû_Dim1)=1,Aoû_Dim1+10,Aoû_Dim1+17)</f>
        <v>42599</v>
      </c>
      <c r="H271" s="62"/>
      <c r="I271" s="65">
        <f>IF(DAY(Aoû_Dim1)=1,Aoû_Dim1+11,Aoû_Dim1+18)</f>
        <v>42600</v>
      </c>
      <c r="J271" s="62"/>
      <c r="K271" s="65">
        <f>IF(DAY(Aoû_Dim1)=1,Aoû_Dim1+12,Aoû_Dim1+19)</f>
        <v>42601</v>
      </c>
      <c r="L271" s="62"/>
      <c r="M271" s="65">
        <f>IF(DAY(Aoû_Dim1)=1,Aoû_Dim1+13,Aoû_Dim1+20)</f>
        <v>42602</v>
      </c>
      <c r="N271" s="62"/>
      <c r="O271" s="65">
        <f>IF(DAY(Aoû_Dim1)=1,Aoû_Dim1+14,Aoû_Dim1+21)</f>
        <v>42603</v>
      </c>
    </row>
    <row r="272" spans="1:21" s="13" customFormat="1" ht="55.5" customHeight="1" x14ac:dyDescent="0.25">
      <c r="A272" s="6"/>
      <c r="B272" s="140"/>
      <c r="C272" s="141"/>
      <c r="D272" s="141"/>
      <c r="E272" s="141"/>
      <c r="F272" s="141"/>
      <c r="G272" s="141"/>
      <c r="H272" s="141"/>
      <c r="I272" s="141"/>
      <c r="J272" s="141"/>
      <c r="K272" s="141"/>
      <c r="L272" s="142"/>
      <c r="M272" s="142"/>
      <c r="N272" s="142"/>
      <c r="O272" s="142"/>
    </row>
    <row r="273" spans="1:15" s="13" customFormat="1" ht="8.25" customHeight="1" x14ac:dyDescent="0.25">
      <c r="A273" s="6"/>
      <c r="B273" s="143"/>
      <c r="C273" s="143"/>
      <c r="D273" s="143"/>
      <c r="E273" s="143"/>
      <c r="F273" s="143"/>
      <c r="G273" s="143"/>
      <c r="H273" s="143"/>
      <c r="I273" s="143"/>
      <c r="J273" s="143"/>
      <c r="K273" s="143"/>
      <c r="L273" s="144"/>
      <c r="M273" s="144"/>
      <c r="N273" s="144"/>
      <c r="O273" s="144"/>
    </row>
    <row r="274" spans="1:15" s="10" customFormat="1" ht="16.5" customHeight="1" x14ac:dyDescent="0.25">
      <c r="A274" s="9"/>
      <c r="B274" s="63"/>
      <c r="C274" s="65">
        <f>IF(DAY(Aoû_Dim1)=1,Aoû_Dim1+15,Aoû_Dim1+22)</f>
        <v>42604</v>
      </c>
      <c r="D274" s="62"/>
      <c r="E274" s="65">
        <f>IF(DAY(Aoû_Dim1)=1,Aoû_Dim1+16,Aoû_Dim1+23)</f>
        <v>42605</v>
      </c>
      <c r="F274" s="62"/>
      <c r="G274" s="65">
        <f>IF(DAY(Aoû_Dim1)=1,Aoû_Dim1+17,Aoû_Dim1+24)</f>
        <v>42606</v>
      </c>
      <c r="H274" s="62"/>
      <c r="I274" s="65">
        <f>IF(DAY(Aoû_Dim1)=1,Aoû_Dim1+18,Aoû_Dim1+25)</f>
        <v>42607</v>
      </c>
      <c r="J274" s="62"/>
      <c r="K274" s="65">
        <f>IF(DAY(Aoû_Dim1)=1,Aoû_Dim1+19,Aoû_Dim1+26)</f>
        <v>42608</v>
      </c>
      <c r="L274" s="62"/>
      <c r="M274" s="65">
        <f>IF(DAY(Aoû_Dim1)=1,Aoû_Dim1+20,Aoû_Dim1+27)</f>
        <v>42609</v>
      </c>
      <c r="N274" s="62"/>
      <c r="O274" s="65">
        <f>IF(DAY(Aoû_Dim1)=1,Aoû_Dim1+21,Aoû_Dim1+28)</f>
        <v>42610</v>
      </c>
    </row>
    <row r="275" spans="1:15" s="13" customFormat="1" ht="55.5" customHeight="1" x14ac:dyDescent="0.25">
      <c r="A275" s="6"/>
      <c r="B275" s="140"/>
      <c r="C275" s="141"/>
      <c r="D275" s="141"/>
      <c r="E275" s="141"/>
      <c r="F275" s="141"/>
      <c r="G275" s="141"/>
      <c r="H275" s="141"/>
      <c r="I275" s="141"/>
      <c r="J275" s="141"/>
      <c r="K275" s="141"/>
      <c r="L275" s="142"/>
      <c r="M275" s="142"/>
      <c r="N275" s="142"/>
      <c r="O275" s="142"/>
    </row>
    <row r="276" spans="1:15" s="13" customFormat="1" ht="8.25" customHeight="1" x14ac:dyDescent="0.25">
      <c r="A276" s="6"/>
      <c r="B276" s="143"/>
      <c r="C276" s="143"/>
      <c r="D276" s="143"/>
      <c r="E276" s="143"/>
      <c r="F276" s="143"/>
      <c r="G276" s="143"/>
      <c r="H276" s="143"/>
      <c r="I276" s="143"/>
      <c r="J276" s="143"/>
      <c r="K276" s="143"/>
      <c r="L276" s="144"/>
      <c r="M276" s="144"/>
      <c r="N276" s="144"/>
      <c r="O276" s="144"/>
    </row>
    <row r="277" spans="1:15" s="10" customFormat="1" ht="16.5" customHeight="1" x14ac:dyDescent="0.25">
      <c r="A277" s="9"/>
      <c r="B277" s="63"/>
      <c r="C277" s="65">
        <f>IF(DAY(Aoû_Dim1)=1,Aoû_Dim1+22,Aoû_Dim1+29)</f>
        <v>42611</v>
      </c>
      <c r="D277" s="62"/>
      <c r="E277" s="65">
        <f>IF(DAY(Aoû_Dim1)=1,Aoû_Dim1+23,Aoû_Dim1+30)</f>
        <v>42612</v>
      </c>
      <c r="F277" s="62"/>
      <c r="G277" s="65">
        <f>IF(DAY(Aoû_Dim1)=1,Aoû_Dim1+24,Aoû_Dim1+31)</f>
        <v>42613</v>
      </c>
      <c r="H277" s="62"/>
      <c r="I277" s="65">
        <f>IF(DAY(Aoû_Dim1)=1,Aoû_Dim1+25,Aoû_Dim1+32)</f>
        <v>42614</v>
      </c>
      <c r="J277" s="62"/>
      <c r="K277" s="65">
        <f>IF(DAY(Aoû_Dim1)=1,Aoû_Dim1+26,Aoû_Dim1+33)</f>
        <v>42615</v>
      </c>
      <c r="L277" s="62"/>
      <c r="M277" s="65">
        <f>IF(DAY(Aoû_Dim1)=1,Aoû_Dim1+27,Aoû_Dim1+34)</f>
        <v>42616</v>
      </c>
      <c r="N277" s="62"/>
      <c r="O277" s="65">
        <f>IF(DAY(Aoû_Dim1)=1,Aoû_Dim1+28,Aoû_Dim1+35)</f>
        <v>42617</v>
      </c>
    </row>
    <row r="278" spans="1:15" s="13" customFormat="1" ht="55.5" customHeight="1" x14ac:dyDescent="0.25">
      <c r="A278" s="6"/>
      <c r="B278" s="140"/>
      <c r="C278" s="141"/>
      <c r="D278" s="141"/>
      <c r="E278" s="141"/>
      <c r="F278" s="141"/>
      <c r="G278" s="141"/>
      <c r="H278" s="141"/>
      <c r="I278" s="141"/>
      <c r="J278" s="141"/>
      <c r="K278" s="141"/>
      <c r="L278" s="142"/>
      <c r="M278" s="142"/>
      <c r="N278" s="142"/>
      <c r="O278" s="142"/>
    </row>
    <row r="279" spans="1:15" s="13" customFormat="1" ht="8.25" customHeight="1" x14ac:dyDescent="0.25">
      <c r="A279" s="6"/>
      <c r="B279" s="143"/>
      <c r="C279" s="143"/>
      <c r="D279" s="143"/>
      <c r="E279" s="143"/>
      <c r="F279" s="143"/>
      <c r="G279" s="143"/>
      <c r="H279" s="143"/>
      <c r="I279" s="143"/>
      <c r="J279" s="143"/>
      <c r="K279" s="143"/>
      <c r="L279" s="144"/>
      <c r="M279" s="144"/>
      <c r="N279" s="144"/>
      <c r="O279" s="144"/>
    </row>
    <row r="280" spans="1:15" s="10" customFormat="1" ht="16.5" customHeight="1" x14ac:dyDescent="0.25">
      <c r="A280" s="9"/>
      <c r="B280" s="63"/>
      <c r="C280" s="65">
        <f>IF(DAY(Aoû_Dim1)=1,Aoû_Dim1+29,Aoû_Dim1+36)</f>
        <v>42618</v>
      </c>
      <c r="D280" s="62"/>
      <c r="E280" s="65">
        <f>IF(DAY(Aoû_Dim1)=1,Aoû_Dim1+30,Aoû_Dim1+37)</f>
        <v>42619</v>
      </c>
      <c r="F280" s="62"/>
      <c r="G280" s="65">
        <f>IF(DAY(Aoû_Dim1)=1,Aoû_Dim1+31,Aoû_Dim1+38)</f>
        <v>42620</v>
      </c>
      <c r="H280" s="62"/>
      <c r="I280" s="65">
        <f>IF(DAY(Aoû_Dim1)=1,Aoû_Dim1+32,Aoû_Dim1+39)</f>
        <v>42621</v>
      </c>
      <c r="J280" s="62"/>
      <c r="K280" s="65">
        <f>IF(DAY(Aoû_Dim1)=1,Aoû_Dim1+33,Aoû_Dim1+40)</f>
        <v>42622</v>
      </c>
      <c r="L280" s="62"/>
      <c r="M280" s="65">
        <f>IF(DAY(Aoû_Dim1)=1,Aoû_Dim1+34,Aoû_Dim1+41)</f>
        <v>42623</v>
      </c>
      <c r="N280" s="62"/>
      <c r="O280" s="65">
        <f>IF(DAY(Aoû_Dim1)=1,Aoû_Dim1+35,Aoû_Dim1+42)</f>
        <v>42624</v>
      </c>
    </row>
    <row r="281" spans="1:15" s="13" customFormat="1" ht="55.5" customHeight="1" x14ac:dyDescent="0.25">
      <c r="A281" s="6"/>
      <c r="B281" s="140"/>
      <c r="C281" s="141"/>
      <c r="D281" s="141"/>
      <c r="E281" s="141"/>
      <c r="F281" s="138"/>
      <c r="G281" s="138"/>
      <c r="H281" s="138"/>
      <c r="I281" s="138"/>
      <c r="J281" s="138"/>
      <c r="K281" s="138"/>
      <c r="L281" s="138"/>
      <c r="M281" s="138"/>
      <c r="N281" s="138"/>
      <c r="O281" s="138"/>
    </row>
    <row r="282" spans="1:15" s="20" customFormat="1" ht="34.5" customHeight="1" x14ac:dyDescent="0.2"/>
    <row r="283" spans="1:15" s="20" customFormat="1" ht="18.75" customHeight="1" x14ac:dyDescent="0.35">
      <c r="A283" s="3"/>
      <c r="B283" s="1"/>
      <c r="C283" s="1"/>
      <c r="D283" s="1"/>
      <c r="E283" s="2"/>
      <c r="F283" s="2"/>
      <c r="G283" s="2"/>
      <c r="H283" s="4"/>
      <c r="I283" s="4"/>
      <c r="J283" s="4"/>
      <c r="L283" s="89"/>
      <c r="M283" s="89"/>
      <c r="N283" s="89"/>
      <c r="O283" s="89"/>
    </row>
    <row r="284" spans="1:15" s="20" customFormat="1" ht="18.75" customHeight="1" x14ac:dyDescent="0.35">
      <c r="A284" s="3"/>
      <c r="B284" s="1"/>
      <c r="C284" s="1"/>
      <c r="D284" s="1"/>
      <c r="E284" s="2"/>
      <c r="F284" s="2"/>
      <c r="G284" s="2"/>
      <c r="H284" s="4"/>
      <c r="I284" s="4"/>
      <c r="J284" s="4"/>
    </row>
    <row r="285" spans="1:15" s="20" customFormat="1" ht="18.75" customHeight="1" x14ac:dyDescent="0.35">
      <c r="A285" s="3"/>
      <c r="B285" s="1"/>
      <c r="C285" s="1"/>
      <c r="D285" s="1"/>
      <c r="E285" s="2"/>
      <c r="F285" s="2"/>
      <c r="G285" s="2"/>
      <c r="H285" s="4"/>
      <c r="I285" s="4"/>
      <c r="J285" s="4"/>
    </row>
    <row r="286" spans="1:15" s="20" customFormat="1" ht="18.75" customHeight="1" x14ac:dyDescent="0.35">
      <c r="A286" s="3"/>
      <c r="B286" s="1"/>
      <c r="C286" s="1"/>
      <c r="D286" s="1"/>
      <c r="E286" s="2"/>
      <c r="F286" s="2"/>
      <c r="G286" s="2"/>
      <c r="H286" s="4"/>
      <c r="I286" s="4"/>
      <c r="J286" s="4"/>
    </row>
    <row r="287" spans="1:15" s="20" customFormat="1" ht="18.75" customHeight="1" x14ac:dyDescent="0.35">
      <c r="A287" s="3"/>
      <c r="B287" s="1"/>
      <c r="C287" s="1"/>
      <c r="D287" s="1"/>
      <c r="E287" s="2"/>
      <c r="F287" s="2"/>
      <c r="G287" s="2"/>
      <c r="H287" s="4"/>
      <c r="I287" s="4"/>
      <c r="J287" s="4"/>
    </row>
    <row r="288" spans="1:15" s="20" customFormat="1" ht="18.75" customHeight="1" x14ac:dyDescent="0.35">
      <c r="A288" s="3"/>
      <c r="B288" s="1"/>
      <c r="C288" s="1"/>
      <c r="D288" s="1"/>
      <c r="E288" s="2"/>
      <c r="F288" s="2"/>
      <c r="G288" s="2"/>
      <c r="H288" s="4"/>
      <c r="I288" s="4"/>
      <c r="J288" s="4"/>
    </row>
    <row r="289" spans="1:21" s="20" customFormat="1" ht="18.75" customHeight="1" x14ac:dyDescent="0.35">
      <c r="A289" s="3"/>
      <c r="B289" s="1"/>
      <c r="C289" s="1"/>
      <c r="D289" s="1"/>
      <c r="E289" s="2"/>
      <c r="F289" s="2"/>
      <c r="G289" s="2"/>
      <c r="H289" s="4"/>
      <c r="I289" s="4"/>
      <c r="J289" s="4"/>
    </row>
    <row r="290" spans="1:21" s="20" customFormat="1" ht="18.75" customHeight="1" x14ac:dyDescent="0.35">
      <c r="A290" s="3"/>
      <c r="B290" s="1"/>
      <c r="C290" s="1"/>
      <c r="D290" s="1"/>
      <c r="E290" s="2"/>
      <c r="F290" s="2"/>
      <c r="G290" s="2"/>
      <c r="H290" s="4"/>
      <c r="I290" s="4"/>
      <c r="J290" s="4"/>
    </row>
    <row r="291" spans="1:21" s="20" customFormat="1" ht="18.75" customHeight="1" x14ac:dyDescent="0.35">
      <c r="A291" s="3"/>
      <c r="B291" s="1"/>
      <c r="C291" s="1"/>
      <c r="D291" s="1"/>
      <c r="E291" s="2"/>
      <c r="F291" s="2"/>
      <c r="G291" s="2"/>
      <c r="H291" s="4"/>
      <c r="I291" s="4"/>
      <c r="J291" s="4"/>
    </row>
    <row r="292" spans="1:21" s="20" customFormat="1" ht="18.75" customHeight="1" x14ac:dyDescent="0.35">
      <c r="A292" s="3"/>
      <c r="B292" s="1"/>
      <c r="C292" s="1"/>
      <c r="D292" s="1"/>
      <c r="E292" s="2"/>
      <c r="F292" s="2"/>
      <c r="G292" s="2"/>
      <c r="H292" s="4"/>
      <c r="I292" s="4"/>
      <c r="J292" s="4"/>
    </row>
    <row r="293" spans="1:21" s="20" customFormat="1" ht="18.75" customHeight="1" x14ac:dyDescent="0.35">
      <c r="A293" s="3"/>
      <c r="B293" s="1"/>
      <c r="C293" s="1"/>
      <c r="D293" s="1"/>
      <c r="E293" s="2"/>
      <c r="F293" s="2"/>
      <c r="G293" s="2"/>
      <c r="H293" s="4"/>
      <c r="I293" s="4"/>
      <c r="J293" s="4"/>
    </row>
    <row r="294" spans="1:21" s="20" customFormat="1" ht="18.75" customHeight="1" x14ac:dyDescent="0.35">
      <c r="A294" s="3"/>
      <c r="B294" s="1"/>
      <c r="C294" s="1"/>
      <c r="D294" s="1"/>
      <c r="E294" s="2"/>
      <c r="F294" s="2"/>
      <c r="G294" s="2"/>
      <c r="H294" s="4"/>
      <c r="I294" s="4"/>
      <c r="J294" s="4"/>
    </row>
    <row r="295" spans="1:21" s="20" customFormat="1" ht="18.75" customHeight="1" x14ac:dyDescent="0.35">
      <c r="A295" s="3"/>
      <c r="B295" s="1"/>
      <c r="C295" s="1"/>
      <c r="D295" s="1"/>
      <c r="E295" s="2"/>
      <c r="F295" s="2"/>
      <c r="G295" s="2"/>
      <c r="H295" s="4"/>
      <c r="I295" s="4"/>
      <c r="J295" s="4"/>
    </row>
    <row r="296" spans="1:21" s="20" customFormat="1" ht="18.75" customHeight="1" x14ac:dyDescent="0.35">
      <c r="A296" s="3"/>
      <c r="B296" s="1"/>
      <c r="C296" s="1"/>
      <c r="D296" s="1"/>
      <c r="E296" s="2"/>
      <c r="F296" s="2"/>
      <c r="G296" s="2"/>
      <c r="H296" s="4"/>
      <c r="I296" s="4"/>
      <c r="J296" s="4"/>
    </row>
    <row r="297" spans="1:21" s="20" customFormat="1" ht="56.65" customHeight="1" x14ac:dyDescent="0.25">
      <c r="A297" s="6"/>
      <c r="B297" s="7"/>
      <c r="C297" s="7"/>
      <c r="D297" s="7"/>
      <c r="E297" s="7"/>
      <c r="F297" s="7"/>
      <c r="G297" s="7"/>
      <c r="H297" s="7"/>
      <c r="I297" s="7"/>
      <c r="J297" s="7"/>
      <c r="K297" s="7"/>
      <c r="L297" s="7"/>
      <c r="M297" s="7"/>
      <c r="N297" s="7"/>
      <c r="O297" s="7"/>
    </row>
    <row r="298" spans="1:21" s="20" customFormat="1" ht="54" customHeight="1" x14ac:dyDescent="0.2">
      <c r="A298" s="21"/>
      <c r="B298" s="101" t="s">
        <v>8</v>
      </c>
      <c r="C298" s="102"/>
      <c r="D298" s="102"/>
      <c r="E298" s="102"/>
      <c r="F298" s="102"/>
      <c r="G298" s="102"/>
      <c r="H298" s="102"/>
      <c r="I298" s="102"/>
      <c r="J298" s="102"/>
      <c r="K298" s="102"/>
      <c r="L298" s="102"/>
      <c r="M298" s="102"/>
      <c r="N298" s="103">
        <f>Année_Calendaire</f>
        <v>2016</v>
      </c>
      <c r="O298" s="103"/>
    </row>
    <row r="299" spans="1:21" s="6" customFormat="1" ht="34.15" customHeight="1" x14ac:dyDescent="0.25">
      <c r="B299" s="139" t="s">
        <v>0</v>
      </c>
      <c r="C299" s="139"/>
      <c r="D299" s="139" t="s">
        <v>1</v>
      </c>
      <c r="E299" s="139"/>
      <c r="F299" s="139" t="s">
        <v>2</v>
      </c>
      <c r="G299" s="139"/>
      <c r="H299" s="139" t="s">
        <v>3</v>
      </c>
      <c r="I299" s="139"/>
      <c r="J299" s="139" t="s">
        <v>4</v>
      </c>
      <c r="K299" s="139"/>
      <c r="L299" s="139" t="s">
        <v>5</v>
      </c>
      <c r="M299" s="139"/>
      <c r="N299" s="139" t="s">
        <v>6</v>
      </c>
      <c r="O299" s="139"/>
      <c r="P299" s="8"/>
      <c r="T299" s="13"/>
      <c r="U299" s="13"/>
    </row>
    <row r="300" spans="1:21" s="9" customFormat="1" ht="16.5" customHeight="1" x14ac:dyDescent="0.25">
      <c r="B300" s="59"/>
      <c r="C300" s="61">
        <f>IF(DAY(Sep_Dim1)=1,Sep_Dim1-6,Sep_Dim1+1)</f>
        <v>42611</v>
      </c>
      <c r="D300" s="58"/>
      <c r="E300" s="61">
        <f>IF(DAY(Sep_Dim1)=1,Sep_Dim1-5,Sep_Dim1+2)</f>
        <v>42612</v>
      </c>
      <c r="F300" s="58"/>
      <c r="G300" s="61">
        <f>IF(DAY(Sep_Dim1)=1,Sep_Dim1-4,Sep_Dim1+3)</f>
        <v>42613</v>
      </c>
      <c r="H300" s="58"/>
      <c r="I300" s="61">
        <f>IF(DAY(Sep_Dim1)=1,Sep_Dim1-3,Sep_Dim1+4)</f>
        <v>42614</v>
      </c>
      <c r="J300" s="58"/>
      <c r="K300" s="61">
        <f>IF(DAY(Sep_Dim1)=1,Sep_Dim1-2,Sep_Dim1+5)</f>
        <v>42615</v>
      </c>
      <c r="L300" s="58"/>
      <c r="M300" s="61">
        <f>IF(DAY(Sep_Dim1)=1,Sep_Dim1-1,Sep_Dim1+6)</f>
        <v>42616</v>
      </c>
      <c r="N300" s="58"/>
      <c r="O300" s="61">
        <f>IF(DAY(Sep_Dim1)=1,Sep_Dim1,Sep_Dim1+7)</f>
        <v>42617</v>
      </c>
      <c r="P300" s="10"/>
      <c r="T300" s="11"/>
      <c r="U300" s="10"/>
    </row>
    <row r="301" spans="1:21" s="12" customFormat="1" ht="55.5" customHeight="1" x14ac:dyDescent="0.25">
      <c r="A301" s="6"/>
      <c r="B301" s="133"/>
      <c r="C301" s="134"/>
      <c r="D301" s="134"/>
      <c r="E301" s="134"/>
      <c r="F301" s="134"/>
      <c r="G301" s="134"/>
      <c r="H301" s="134"/>
      <c r="I301" s="134"/>
      <c r="J301" s="134"/>
      <c r="K301" s="134"/>
      <c r="L301" s="135"/>
      <c r="M301" s="135"/>
      <c r="N301" s="135"/>
      <c r="O301" s="135"/>
    </row>
    <row r="302" spans="1:21" s="12" customFormat="1" ht="8.25" customHeight="1" x14ac:dyDescent="0.25">
      <c r="A302" s="6"/>
      <c r="B302" s="136"/>
      <c r="C302" s="136"/>
      <c r="D302" s="136"/>
      <c r="E302" s="136"/>
      <c r="F302" s="136"/>
      <c r="G302" s="136"/>
      <c r="H302" s="136"/>
      <c r="I302" s="136"/>
      <c r="J302" s="136"/>
      <c r="K302" s="136"/>
      <c r="L302" s="137"/>
      <c r="M302" s="137"/>
      <c r="N302" s="137"/>
      <c r="O302" s="137"/>
    </row>
    <row r="303" spans="1:21" s="10" customFormat="1" ht="16.5" customHeight="1" x14ac:dyDescent="0.25">
      <c r="A303" s="9"/>
      <c r="B303" s="60"/>
      <c r="C303" s="61">
        <f>IF(DAY(Sep_Dim1)=1,Sep_Dim1+1,Sep_Dim1+8)</f>
        <v>42618</v>
      </c>
      <c r="D303" s="58"/>
      <c r="E303" s="61">
        <f>IF(DAY(Sep_Dim1)=1,Sep_Dim1+2,Sep_Dim1+9)</f>
        <v>42619</v>
      </c>
      <c r="F303" s="58"/>
      <c r="G303" s="61">
        <f>IF(DAY(Sep_Dim1)=1,Sep_Dim1+3,Sep_Dim1+10)</f>
        <v>42620</v>
      </c>
      <c r="H303" s="58"/>
      <c r="I303" s="61">
        <f>IF(DAY(Sep_Dim1)=1,Sep_Dim1+4,Sep_Dim1+11)</f>
        <v>42621</v>
      </c>
      <c r="J303" s="58"/>
      <c r="K303" s="61">
        <f>IF(DAY(Sep_Dim1)=1,Sep_Dim1+5,Sep_Dim1+12)</f>
        <v>42622</v>
      </c>
      <c r="L303" s="58"/>
      <c r="M303" s="61">
        <f>IF(DAY(Sep_Dim1)=1,Sep_Dim1+6,Sep_Dim1+13)</f>
        <v>42623</v>
      </c>
      <c r="N303" s="58"/>
      <c r="O303" s="61">
        <f>IF(DAY(Sep_Dim1)=1,Sep_Dim1+7,Sep_Dim1+14)</f>
        <v>42624</v>
      </c>
    </row>
    <row r="304" spans="1:21" s="13" customFormat="1" ht="55.5" customHeight="1" x14ac:dyDescent="0.25">
      <c r="A304" s="6"/>
      <c r="B304" s="133"/>
      <c r="C304" s="134"/>
      <c r="D304" s="134"/>
      <c r="E304" s="134"/>
      <c r="F304" s="134" t="s">
        <v>7</v>
      </c>
      <c r="G304" s="134"/>
      <c r="H304" s="134"/>
      <c r="I304" s="134"/>
      <c r="J304" s="134"/>
      <c r="K304" s="134"/>
      <c r="L304" s="135"/>
      <c r="M304" s="135"/>
      <c r="N304" s="135"/>
      <c r="O304" s="135"/>
    </row>
    <row r="305" spans="1:15" s="13" customFormat="1" ht="8.25" customHeight="1" x14ac:dyDescent="0.25">
      <c r="A305" s="6"/>
      <c r="B305" s="136"/>
      <c r="C305" s="136"/>
      <c r="D305" s="136"/>
      <c r="E305" s="136"/>
      <c r="F305" s="136"/>
      <c r="G305" s="136"/>
      <c r="H305" s="136"/>
      <c r="I305" s="136"/>
      <c r="J305" s="136"/>
      <c r="K305" s="136"/>
      <c r="L305" s="137"/>
      <c r="M305" s="137"/>
      <c r="N305" s="137"/>
      <c r="O305" s="137"/>
    </row>
    <row r="306" spans="1:15" s="10" customFormat="1" ht="16.5" customHeight="1" x14ac:dyDescent="0.25">
      <c r="A306" s="9"/>
      <c r="B306" s="60"/>
      <c r="C306" s="61">
        <f>IF(DAY(Sep_Dim1)=1,Sep_Dim1+8,Sep_Dim1+15)</f>
        <v>42625</v>
      </c>
      <c r="D306" s="58"/>
      <c r="E306" s="61">
        <f>IF(DAY(Sep_Dim1)=1,Sep_Dim1+9,Sep_Dim1+16)</f>
        <v>42626</v>
      </c>
      <c r="F306" s="58"/>
      <c r="G306" s="61">
        <f>IF(DAY(Sep_Dim1)=1,Sep_Dim1+10,Sep_Dim1+17)</f>
        <v>42627</v>
      </c>
      <c r="H306" s="58"/>
      <c r="I306" s="61">
        <f>IF(DAY(Sep_Dim1)=1,Sep_Dim1+11,Sep_Dim1+18)</f>
        <v>42628</v>
      </c>
      <c r="J306" s="58"/>
      <c r="K306" s="61">
        <f>IF(DAY(Sep_Dim1)=1,Sep_Dim1+12,Sep_Dim1+19)</f>
        <v>42629</v>
      </c>
      <c r="L306" s="58"/>
      <c r="M306" s="61">
        <f>IF(DAY(Sep_Dim1)=1,Sep_Dim1+13,Sep_Dim1+20)</f>
        <v>42630</v>
      </c>
      <c r="N306" s="58"/>
      <c r="O306" s="61">
        <f>IF(DAY(Sep_Dim1)=1,Sep_Dim1+14,Sep_Dim1+21)</f>
        <v>42631</v>
      </c>
    </row>
    <row r="307" spans="1:15" s="13" customFormat="1" ht="55.5" customHeight="1" x14ac:dyDescent="0.25">
      <c r="A307" s="6"/>
      <c r="B307" s="133"/>
      <c r="C307" s="134"/>
      <c r="D307" s="134"/>
      <c r="E307" s="134"/>
      <c r="F307" s="134"/>
      <c r="G307" s="134"/>
      <c r="H307" s="134"/>
      <c r="I307" s="134"/>
      <c r="J307" s="134"/>
      <c r="K307" s="134"/>
      <c r="L307" s="135"/>
      <c r="M307" s="135"/>
      <c r="N307" s="135"/>
      <c r="O307" s="135"/>
    </row>
    <row r="308" spans="1:15" s="13" customFormat="1" ht="8.25" customHeight="1" x14ac:dyDescent="0.25">
      <c r="A308" s="6"/>
      <c r="B308" s="136"/>
      <c r="C308" s="136"/>
      <c r="D308" s="136"/>
      <c r="E308" s="136"/>
      <c r="F308" s="136"/>
      <c r="G308" s="136"/>
      <c r="H308" s="136"/>
      <c r="I308" s="136"/>
      <c r="J308" s="136"/>
      <c r="K308" s="136"/>
      <c r="L308" s="137"/>
      <c r="M308" s="137"/>
      <c r="N308" s="137"/>
      <c r="O308" s="137"/>
    </row>
    <row r="309" spans="1:15" s="10" customFormat="1" ht="16.5" customHeight="1" x14ac:dyDescent="0.25">
      <c r="A309" s="9"/>
      <c r="B309" s="60"/>
      <c r="C309" s="61">
        <f>IF(DAY(Sep_Dim1)=1,Sep_Dim1+15,Sep_Dim1+22)</f>
        <v>42632</v>
      </c>
      <c r="D309" s="58"/>
      <c r="E309" s="61">
        <f>IF(DAY(Sep_Dim1)=1,Sep_Dim1+16,Sep_Dim1+23)</f>
        <v>42633</v>
      </c>
      <c r="F309" s="58"/>
      <c r="G309" s="61">
        <f>IF(DAY(Sep_Dim1)=1,Sep_Dim1+17,Sep_Dim1+24)</f>
        <v>42634</v>
      </c>
      <c r="H309" s="58"/>
      <c r="I309" s="61">
        <f>IF(DAY(Sep_Dim1)=1,Sep_Dim1+18,Sep_Dim1+25)</f>
        <v>42635</v>
      </c>
      <c r="J309" s="58"/>
      <c r="K309" s="61">
        <f>IF(DAY(Sep_Dim1)=1,Sep_Dim1+19,Sep_Dim1+26)</f>
        <v>42636</v>
      </c>
      <c r="L309" s="58"/>
      <c r="M309" s="61">
        <f>IF(DAY(Sep_Dim1)=1,Sep_Dim1+20,Sep_Dim1+27)</f>
        <v>42637</v>
      </c>
      <c r="N309" s="58"/>
      <c r="O309" s="61">
        <f>IF(DAY(Sep_Dim1)=1,Sep_Dim1+21,Sep_Dim1+28)</f>
        <v>42638</v>
      </c>
    </row>
    <row r="310" spans="1:15" s="13" customFormat="1" ht="55.5" customHeight="1" x14ac:dyDescent="0.25">
      <c r="A310" s="6"/>
      <c r="B310" s="133"/>
      <c r="C310" s="134"/>
      <c r="D310" s="134"/>
      <c r="E310" s="134"/>
      <c r="F310" s="134"/>
      <c r="G310" s="134"/>
      <c r="H310" s="134"/>
      <c r="I310" s="134"/>
      <c r="J310" s="134"/>
      <c r="K310" s="134"/>
      <c r="L310" s="135"/>
      <c r="M310" s="135"/>
      <c r="N310" s="135"/>
      <c r="O310" s="135"/>
    </row>
    <row r="311" spans="1:15" s="13" customFormat="1" ht="8.25" customHeight="1" x14ac:dyDescent="0.25">
      <c r="A311" s="6"/>
      <c r="B311" s="136"/>
      <c r="C311" s="136"/>
      <c r="D311" s="136"/>
      <c r="E311" s="136"/>
      <c r="F311" s="136"/>
      <c r="G311" s="136"/>
      <c r="H311" s="136"/>
      <c r="I311" s="136"/>
      <c r="J311" s="136"/>
      <c r="K311" s="136"/>
      <c r="L311" s="137"/>
      <c r="M311" s="137"/>
      <c r="N311" s="137"/>
      <c r="O311" s="137"/>
    </row>
    <row r="312" spans="1:15" s="10" customFormat="1" ht="16.5" customHeight="1" x14ac:dyDescent="0.25">
      <c r="A312" s="9"/>
      <c r="B312" s="60"/>
      <c r="C312" s="61">
        <f>IF(DAY(Sep_Dim1)=1,Sep_Dim1+22,Sep_Dim1+29)</f>
        <v>42639</v>
      </c>
      <c r="D312" s="58"/>
      <c r="E312" s="61">
        <f>IF(DAY(Sep_Dim1)=1,Sep_Dim1+23,Sep_Dim1+30)</f>
        <v>42640</v>
      </c>
      <c r="F312" s="58"/>
      <c r="G312" s="61">
        <f>IF(DAY(Sep_Dim1)=1,Sep_Dim1+24,Sep_Dim1+31)</f>
        <v>42641</v>
      </c>
      <c r="H312" s="58"/>
      <c r="I312" s="61">
        <f>IF(DAY(Sep_Dim1)=1,Sep_Dim1+25,Sep_Dim1+32)</f>
        <v>42642</v>
      </c>
      <c r="J312" s="58"/>
      <c r="K312" s="61">
        <f>IF(DAY(Sep_Dim1)=1,Sep_Dim1+26,Sep_Dim1+33)</f>
        <v>42643</v>
      </c>
      <c r="L312" s="58"/>
      <c r="M312" s="61">
        <f>IF(DAY(Sep_Dim1)=1,Sep_Dim1+27,Sep_Dim1+34)</f>
        <v>42644</v>
      </c>
      <c r="N312" s="58"/>
      <c r="O312" s="61">
        <f>IF(DAY(Sep_Dim1)=1,Sep_Dim1+28,Sep_Dim1+35)</f>
        <v>42645</v>
      </c>
    </row>
    <row r="313" spans="1:15" s="13" customFormat="1" ht="55.5" customHeight="1" x14ac:dyDescent="0.25">
      <c r="A313" s="6"/>
      <c r="B313" s="133"/>
      <c r="C313" s="134"/>
      <c r="D313" s="134"/>
      <c r="E313" s="134"/>
      <c r="F313" s="134"/>
      <c r="G313" s="134"/>
      <c r="H313" s="134"/>
      <c r="I313" s="134"/>
      <c r="J313" s="134"/>
      <c r="K313" s="134"/>
      <c r="L313" s="135"/>
      <c r="M313" s="135"/>
      <c r="N313" s="135"/>
      <c r="O313" s="135"/>
    </row>
    <row r="314" spans="1:15" s="13" customFormat="1" ht="8.25" customHeight="1" x14ac:dyDescent="0.25">
      <c r="A314" s="6"/>
      <c r="B314" s="136"/>
      <c r="C314" s="136"/>
      <c r="D314" s="136"/>
      <c r="E314" s="136"/>
      <c r="F314" s="136"/>
      <c r="G314" s="136"/>
      <c r="H314" s="136"/>
      <c r="I314" s="136"/>
      <c r="J314" s="136"/>
      <c r="K314" s="136"/>
      <c r="L314" s="137"/>
      <c r="M314" s="137"/>
      <c r="N314" s="137"/>
      <c r="O314" s="137"/>
    </row>
    <row r="315" spans="1:15" s="10" customFormat="1" ht="16.5" customHeight="1" x14ac:dyDescent="0.25">
      <c r="A315" s="9"/>
      <c r="B315" s="60"/>
      <c r="C315" s="61">
        <f>IF(DAY(Sep_Dim1)=1,Sep_Dim1+29,Sep_Dim1+36)</f>
        <v>42646</v>
      </c>
      <c r="D315" s="58"/>
      <c r="E315" s="61">
        <f>IF(DAY(Sep_Dim1)=1,Sep_Dim1+30,Sep_Dim1+37)</f>
        <v>42647</v>
      </c>
      <c r="F315" s="58"/>
      <c r="G315" s="61">
        <f>IF(DAY(Sep_Dim1)=1,Sep_Dim1+31,Sep_Dim1+38)</f>
        <v>42648</v>
      </c>
      <c r="H315" s="58"/>
      <c r="I315" s="61">
        <f>IF(DAY(Sep_Dim1)=1,Sep_Dim1+32,Sep_Dim1+39)</f>
        <v>42649</v>
      </c>
      <c r="J315" s="58"/>
      <c r="K315" s="61">
        <f>IF(DAY(Sep_Dim1)=1,Sep_Dim1+33,Sep_Dim1+40)</f>
        <v>42650</v>
      </c>
      <c r="L315" s="58"/>
      <c r="M315" s="61">
        <f>IF(DAY(Sep_Dim1)=1,Sep_Dim1+34,Sep_Dim1+41)</f>
        <v>42651</v>
      </c>
      <c r="N315" s="58"/>
      <c r="O315" s="61">
        <f>IF(DAY(Sep_Dim1)=1,Sep_Dim1+35,Sep_Dim1+42)</f>
        <v>42652</v>
      </c>
    </row>
    <row r="316" spans="1:15" s="13" customFormat="1" ht="55.5" customHeight="1" x14ac:dyDescent="0.25">
      <c r="A316" s="6"/>
      <c r="B316" s="133"/>
      <c r="C316" s="134"/>
      <c r="D316" s="134"/>
      <c r="E316" s="134"/>
      <c r="F316" s="131"/>
      <c r="G316" s="131"/>
      <c r="H316" s="131"/>
      <c r="I316" s="131"/>
      <c r="J316" s="131"/>
      <c r="K316" s="131"/>
      <c r="L316" s="131"/>
      <c r="M316" s="131"/>
      <c r="N316" s="131"/>
      <c r="O316" s="131"/>
    </row>
    <row r="317" spans="1:15" s="20" customFormat="1" ht="34.5" customHeight="1" x14ac:dyDescent="0.2"/>
    <row r="318" spans="1:15" s="20" customFormat="1" ht="18.75" customHeight="1" x14ac:dyDescent="0.35">
      <c r="A318" s="3"/>
      <c r="B318" s="1"/>
      <c r="C318" s="1"/>
      <c r="D318" s="1"/>
      <c r="E318" s="2"/>
      <c r="F318" s="2"/>
      <c r="G318" s="2"/>
      <c r="H318" s="4"/>
      <c r="I318" s="4"/>
      <c r="J318" s="4"/>
      <c r="L318" s="89"/>
      <c r="M318" s="89"/>
      <c r="N318" s="89"/>
      <c r="O318" s="89"/>
    </row>
    <row r="319" spans="1:15" s="20" customFormat="1" ht="18.75" customHeight="1" x14ac:dyDescent="0.35">
      <c r="A319" s="3"/>
      <c r="B319" s="1"/>
      <c r="C319" s="1"/>
      <c r="D319" s="1"/>
      <c r="E319" s="2"/>
      <c r="F319" s="2"/>
      <c r="G319" s="2"/>
      <c r="H319" s="4"/>
      <c r="I319" s="4"/>
      <c r="J319" s="4"/>
    </row>
    <row r="320" spans="1:15" s="20" customFormat="1" ht="18.75" customHeight="1" x14ac:dyDescent="0.35">
      <c r="A320" s="3"/>
      <c r="B320" s="1"/>
      <c r="C320" s="1"/>
      <c r="D320" s="1"/>
      <c r="E320" s="2"/>
      <c r="F320" s="2"/>
      <c r="G320" s="2"/>
      <c r="H320" s="4"/>
      <c r="I320" s="4"/>
      <c r="J320" s="4"/>
    </row>
    <row r="321" spans="1:21" s="20" customFormat="1" ht="18.75" customHeight="1" x14ac:dyDescent="0.35">
      <c r="A321" s="3"/>
      <c r="B321" s="1"/>
      <c r="C321" s="1"/>
      <c r="D321" s="1"/>
      <c r="E321" s="2"/>
      <c r="F321" s="2"/>
      <c r="G321" s="2"/>
      <c r="H321" s="4"/>
      <c r="I321" s="4"/>
      <c r="J321" s="4"/>
    </row>
    <row r="322" spans="1:21" s="20" customFormat="1" ht="18.75" customHeight="1" x14ac:dyDescent="0.35">
      <c r="A322" s="3"/>
      <c r="B322" s="1"/>
      <c r="C322" s="1"/>
      <c r="D322" s="1"/>
      <c r="E322" s="2"/>
      <c r="F322" s="2"/>
      <c r="G322" s="2"/>
      <c r="H322" s="4"/>
      <c r="I322" s="4"/>
      <c r="J322" s="4"/>
    </row>
    <row r="323" spans="1:21" s="20" customFormat="1" ht="18.75" customHeight="1" x14ac:dyDescent="0.35">
      <c r="A323" s="3"/>
      <c r="B323" s="1"/>
      <c r="C323" s="1"/>
      <c r="D323" s="1"/>
      <c r="E323" s="2"/>
      <c r="F323" s="2"/>
      <c r="G323" s="2"/>
      <c r="H323" s="4"/>
      <c r="I323" s="4"/>
      <c r="J323" s="4"/>
    </row>
    <row r="324" spans="1:21" s="20" customFormat="1" ht="18.75" customHeight="1" x14ac:dyDescent="0.35">
      <c r="A324" s="3"/>
      <c r="B324" s="1"/>
      <c r="C324" s="1"/>
      <c r="D324" s="1"/>
      <c r="E324" s="2"/>
      <c r="F324" s="2"/>
      <c r="G324" s="2"/>
      <c r="H324" s="4"/>
      <c r="I324" s="4"/>
      <c r="J324" s="4"/>
    </row>
    <row r="325" spans="1:21" s="20" customFormat="1" ht="18.75" customHeight="1" x14ac:dyDescent="0.35">
      <c r="A325" s="3"/>
      <c r="B325" s="1"/>
      <c r="C325" s="1"/>
      <c r="D325" s="1"/>
      <c r="E325" s="2"/>
      <c r="F325" s="2"/>
      <c r="G325" s="2"/>
      <c r="H325" s="4"/>
      <c r="I325" s="4"/>
      <c r="J325" s="4"/>
    </row>
    <row r="326" spans="1:21" s="20" customFormat="1" ht="18.75" customHeight="1" x14ac:dyDescent="0.35">
      <c r="A326" s="3"/>
      <c r="B326" s="1"/>
      <c r="C326" s="1"/>
      <c r="D326" s="1"/>
      <c r="E326" s="2"/>
      <c r="F326" s="2"/>
      <c r="G326" s="2"/>
      <c r="H326" s="4"/>
      <c r="I326" s="4"/>
      <c r="J326" s="4"/>
    </row>
    <row r="327" spans="1:21" s="20" customFormat="1" ht="18.75" customHeight="1" x14ac:dyDescent="0.35">
      <c r="A327" s="3"/>
      <c r="B327" s="1"/>
      <c r="C327" s="1"/>
      <c r="D327" s="1"/>
      <c r="E327" s="2"/>
      <c r="F327" s="2"/>
      <c r="G327" s="2"/>
      <c r="H327" s="4"/>
      <c r="I327" s="4"/>
      <c r="J327" s="4"/>
    </row>
    <row r="328" spans="1:21" s="20" customFormat="1" ht="18.75" customHeight="1" x14ac:dyDescent="0.35">
      <c r="A328" s="3"/>
      <c r="B328" s="1"/>
      <c r="C328" s="1"/>
      <c r="D328" s="1"/>
      <c r="E328" s="2"/>
      <c r="F328" s="2"/>
      <c r="G328" s="2"/>
      <c r="H328" s="4"/>
      <c r="I328" s="4"/>
      <c r="J328" s="4"/>
    </row>
    <row r="329" spans="1:21" s="20" customFormat="1" ht="18.75" customHeight="1" x14ac:dyDescent="0.35">
      <c r="A329" s="3"/>
      <c r="B329" s="1"/>
      <c r="C329" s="1"/>
      <c r="D329" s="1"/>
      <c r="E329" s="2"/>
      <c r="F329" s="2"/>
      <c r="G329" s="2"/>
      <c r="H329" s="4"/>
      <c r="I329" s="4"/>
      <c r="J329" s="4"/>
    </row>
    <row r="330" spans="1:21" s="20" customFormat="1" ht="18.75" customHeight="1" x14ac:dyDescent="0.35">
      <c r="A330" s="3"/>
      <c r="B330" s="1"/>
      <c r="C330" s="1"/>
      <c r="D330" s="1"/>
      <c r="E330" s="2"/>
      <c r="F330" s="2"/>
      <c r="G330" s="2"/>
      <c r="H330" s="4"/>
      <c r="I330" s="4"/>
      <c r="J330" s="4"/>
    </row>
    <row r="331" spans="1:21" s="20" customFormat="1" ht="18.75" customHeight="1" x14ac:dyDescent="0.35">
      <c r="A331" s="3"/>
      <c r="B331" s="1"/>
      <c r="C331" s="1"/>
      <c r="D331" s="1"/>
      <c r="E331" s="2"/>
      <c r="F331" s="2"/>
      <c r="G331" s="2"/>
      <c r="H331" s="4"/>
      <c r="I331" s="4"/>
      <c r="J331" s="4"/>
    </row>
    <row r="332" spans="1:21" s="20" customFormat="1" ht="56.65" customHeight="1" x14ac:dyDescent="0.25">
      <c r="A332" s="6"/>
      <c r="B332" s="7"/>
      <c r="C332" s="7"/>
      <c r="D332" s="7"/>
      <c r="E332" s="7"/>
      <c r="F332" s="7"/>
      <c r="G332" s="7"/>
      <c r="H332" s="7"/>
      <c r="I332" s="7"/>
      <c r="J332" s="7"/>
      <c r="K332" s="7"/>
      <c r="L332" s="7"/>
      <c r="M332" s="7"/>
      <c r="N332" s="7"/>
      <c r="O332" s="7"/>
    </row>
    <row r="333" spans="1:21" s="20" customFormat="1" ht="54" customHeight="1" x14ac:dyDescent="0.2">
      <c r="A333" s="21"/>
      <c r="B333" s="104" t="s">
        <v>8</v>
      </c>
      <c r="C333" s="105"/>
      <c r="D333" s="105"/>
      <c r="E333" s="105"/>
      <c r="F333" s="105"/>
      <c r="G333" s="105"/>
      <c r="H333" s="105"/>
      <c r="I333" s="105"/>
      <c r="J333" s="105"/>
      <c r="K333" s="105"/>
      <c r="L333" s="105"/>
      <c r="M333" s="105"/>
      <c r="N333" s="106">
        <f>Année_Calendaire</f>
        <v>2016</v>
      </c>
      <c r="O333" s="106"/>
    </row>
    <row r="334" spans="1:21" s="6" customFormat="1" ht="34.15" customHeight="1" x14ac:dyDescent="0.25">
      <c r="B334" s="132" t="s">
        <v>0</v>
      </c>
      <c r="C334" s="132"/>
      <c r="D334" s="132" t="s">
        <v>1</v>
      </c>
      <c r="E334" s="132"/>
      <c r="F334" s="132" t="s">
        <v>2</v>
      </c>
      <c r="G334" s="132"/>
      <c r="H334" s="132" t="s">
        <v>3</v>
      </c>
      <c r="I334" s="132"/>
      <c r="J334" s="132" t="s">
        <v>4</v>
      </c>
      <c r="K334" s="132"/>
      <c r="L334" s="132" t="s">
        <v>5</v>
      </c>
      <c r="M334" s="132"/>
      <c r="N334" s="132" t="s">
        <v>6</v>
      </c>
      <c r="O334" s="132"/>
      <c r="P334" s="8"/>
      <c r="T334" s="13"/>
      <c r="U334" s="13"/>
    </row>
    <row r="335" spans="1:21" s="9" customFormat="1" ht="16.5" customHeight="1" x14ac:dyDescent="0.25">
      <c r="B335" s="56"/>
      <c r="C335" s="57">
        <f>IF(DAY(Oct_Dim1)=1,Oct_Dim1-6,Oct_Dim1+1)</f>
        <v>42639</v>
      </c>
      <c r="D335" s="54"/>
      <c r="E335" s="57">
        <f>IF(DAY(Oct_Dim1)=1,Oct_Dim1-5,Oct_Dim1+2)</f>
        <v>42640</v>
      </c>
      <c r="F335" s="54"/>
      <c r="G335" s="57">
        <f>IF(DAY(Oct_Dim1)=1,Oct_Dim1-4,Oct_Dim1+3)</f>
        <v>42641</v>
      </c>
      <c r="H335" s="54"/>
      <c r="I335" s="57">
        <f>IF(DAY(Oct_Dim1)=1,Oct_Dim1-3,Oct_Dim1+4)</f>
        <v>42642</v>
      </c>
      <c r="J335" s="54"/>
      <c r="K335" s="57">
        <f>IF(DAY(Oct_Dim1)=1,Oct_Dim1-2,Oct_Dim1+5)</f>
        <v>42643</v>
      </c>
      <c r="L335" s="54"/>
      <c r="M335" s="57">
        <f>IF(DAY(Oct_Dim1)=1,Oct_Dim1-1,Oct_Dim1+6)</f>
        <v>42644</v>
      </c>
      <c r="N335" s="54"/>
      <c r="O335" s="57">
        <f>IF(DAY(Oct_Dim1)=1,Oct_Dim1,Oct_Dim1+7)</f>
        <v>42645</v>
      </c>
      <c r="P335" s="10"/>
      <c r="T335" s="11"/>
      <c r="U335" s="10"/>
    </row>
    <row r="336" spans="1:21" s="12" customFormat="1" ht="55.5" customHeight="1" x14ac:dyDescent="0.25">
      <c r="A336" s="6"/>
      <c r="B336" s="126"/>
      <c r="C336" s="127"/>
      <c r="D336" s="127"/>
      <c r="E336" s="127"/>
      <c r="F336" s="127"/>
      <c r="G336" s="127"/>
      <c r="H336" s="127"/>
      <c r="I336" s="127"/>
      <c r="J336" s="127"/>
      <c r="K336" s="127"/>
      <c r="L336" s="128"/>
      <c r="M336" s="128"/>
      <c r="N336" s="128"/>
      <c r="O336" s="128"/>
    </row>
    <row r="337" spans="1:15" s="12" customFormat="1" ht="8.25" customHeight="1" x14ac:dyDescent="0.25">
      <c r="A337" s="6"/>
      <c r="B337" s="114"/>
      <c r="C337" s="114"/>
      <c r="D337" s="114"/>
      <c r="E337" s="114"/>
      <c r="F337" s="114"/>
      <c r="G337" s="114"/>
      <c r="H337" s="114"/>
      <c r="I337" s="114"/>
      <c r="J337" s="114"/>
      <c r="K337" s="114"/>
      <c r="L337" s="123"/>
      <c r="M337" s="123"/>
      <c r="N337" s="123"/>
      <c r="O337" s="123"/>
    </row>
    <row r="338" spans="1:15" s="10" customFormat="1" ht="16.5" customHeight="1" x14ac:dyDescent="0.25">
      <c r="A338" s="9"/>
      <c r="B338" s="55"/>
      <c r="C338" s="57">
        <f>IF(DAY(Oct_Dim1)=1,Oct_Dim1+1,Oct_Dim1+8)</f>
        <v>42646</v>
      </c>
      <c r="D338" s="54"/>
      <c r="E338" s="57">
        <f>IF(DAY(Oct_Dim1)=1,Oct_Dim1+2,Oct_Dim1+9)</f>
        <v>42647</v>
      </c>
      <c r="F338" s="54"/>
      <c r="G338" s="57">
        <f>IF(DAY(Oct_Dim1)=1,Oct_Dim1+3,Oct_Dim1+10)</f>
        <v>42648</v>
      </c>
      <c r="H338" s="54"/>
      <c r="I338" s="57">
        <f>IF(DAY(Oct_Dim1)=1,Oct_Dim1+4,Oct_Dim1+11)</f>
        <v>42649</v>
      </c>
      <c r="J338" s="54"/>
      <c r="K338" s="57">
        <f>IF(DAY(Oct_Dim1)=1,Oct_Dim1+5,Oct_Dim1+12)</f>
        <v>42650</v>
      </c>
      <c r="L338" s="54"/>
      <c r="M338" s="57">
        <f>IF(DAY(Oct_Dim1)=1,Oct_Dim1+6,Oct_Dim1+13)</f>
        <v>42651</v>
      </c>
      <c r="N338" s="54"/>
      <c r="O338" s="57">
        <f>IF(DAY(Oct_Dim1)=1,Oct_Dim1+7,Oct_Dim1+14)</f>
        <v>42652</v>
      </c>
    </row>
    <row r="339" spans="1:15" s="13" customFormat="1" ht="55.5" customHeight="1" x14ac:dyDescent="0.25">
      <c r="A339" s="6"/>
      <c r="B339" s="126"/>
      <c r="C339" s="127"/>
      <c r="D339" s="127"/>
      <c r="E339" s="127"/>
      <c r="F339" s="127" t="s">
        <v>7</v>
      </c>
      <c r="G339" s="127"/>
      <c r="H339" s="127"/>
      <c r="I339" s="127"/>
      <c r="J339" s="127"/>
      <c r="K339" s="127"/>
      <c r="L339" s="128"/>
      <c r="M339" s="128"/>
      <c r="N339" s="128"/>
      <c r="O339" s="128"/>
    </row>
    <row r="340" spans="1:15" s="13" customFormat="1" ht="8.25" customHeight="1" x14ac:dyDescent="0.25">
      <c r="A340" s="6"/>
      <c r="B340" s="114"/>
      <c r="C340" s="114"/>
      <c r="D340" s="114"/>
      <c r="E340" s="114"/>
      <c r="F340" s="114"/>
      <c r="G340" s="114"/>
      <c r="H340" s="114"/>
      <c r="I340" s="114"/>
      <c r="J340" s="114"/>
      <c r="K340" s="114"/>
      <c r="L340" s="123"/>
      <c r="M340" s="123"/>
      <c r="N340" s="123"/>
      <c r="O340" s="123"/>
    </row>
    <row r="341" spans="1:15" s="10" customFormat="1" ht="16.5" customHeight="1" x14ac:dyDescent="0.25">
      <c r="A341" s="9"/>
      <c r="B341" s="55"/>
      <c r="C341" s="57">
        <f>IF(DAY(Oct_Dim1)=1,Oct_Dim1+8,Oct_Dim1+15)</f>
        <v>42653</v>
      </c>
      <c r="D341" s="54"/>
      <c r="E341" s="57">
        <f>IF(DAY(Oct_Dim1)=1,Oct_Dim1+9,Oct_Dim1+16)</f>
        <v>42654</v>
      </c>
      <c r="F341" s="54"/>
      <c r="G341" s="57">
        <f>IF(DAY(Oct_Dim1)=1,Oct_Dim1+10,Oct_Dim1+17)</f>
        <v>42655</v>
      </c>
      <c r="H341" s="54"/>
      <c r="I341" s="57">
        <f>IF(DAY(Oct_Dim1)=1,Oct_Dim1+11,Oct_Dim1+18)</f>
        <v>42656</v>
      </c>
      <c r="J341" s="54"/>
      <c r="K341" s="57">
        <f>IF(DAY(Oct_Dim1)=1,Oct_Dim1+12,Oct_Dim1+19)</f>
        <v>42657</v>
      </c>
      <c r="L341" s="54"/>
      <c r="M341" s="57">
        <f>IF(DAY(Oct_Dim1)=1,Oct_Dim1+13,Oct_Dim1+20)</f>
        <v>42658</v>
      </c>
      <c r="N341" s="54"/>
      <c r="O341" s="57">
        <f>IF(DAY(Oct_Dim1)=1,Oct_Dim1+14,Oct_Dim1+21)</f>
        <v>42659</v>
      </c>
    </row>
    <row r="342" spans="1:15" s="13" customFormat="1" ht="55.5" customHeight="1" x14ac:dyDescent="0.25">
      <c r="A342" s="6"/>
      <c r="B342" s="126"/>
      <c r="C342" s="127"/>
      <c r="D342" s="127"/>
      <c r="E342" s="127"/>
      <c r="F342" s="127"/>
      <c r="G342" s="127"/>
      <c r="H342" s="127"/>
      <c r="I342" s="127"/>
      <c r="J342" s="127"/>
      <c r="K342" s="127"/>
      <c r="L342" s="128"/>
      <c r="M342" s="128"/>
      <c r="N342" s="128"/>
      <c r="O342" s="128"/>
    </row>
    <row r="343" spans="1:15" s="13" customFormat="1" ht="8.25" customHeight="1" x14ac:dyDescent="0.25">
      <c r="A343" s="6"/>
      <c r="B343" s="114"/>
      <c r="C343" s="114"/>
      <c r="D343" s="114"/>
      <c r="E343" s="114"/>
      <c r="F343" s="114"/>
      <c r="G343" s="114"/>
      <c r="H343" s="114"/>
      <c r="I343" s="114"/>
      <c r="J343" s="114"/>
      <c r="K343" s="114"/>
      <c r="L343" s="123"/>
      <c r="M343" s="123"/>
      <c r="N343" s="123"/>
      <c r="O343" s="123"/>
    </row>
    <row r="344" spans="1:15" s="10" customFormat="1" ht="16.5" customHeight="1" x14ac:dyDescent="0.25">
      <c r="A344" s="9"/>
      <c r="B344" s="55"/>
      <c r="C344" s="57">
        <f>IF(DAY(Oct_Dim1)=1,Oct_Dim1+15,Oct_Dim1+22)</f>
        <v>42660</v>
      </c>
      <c r="D344" s="54"/>
      <c r="E344" s="57">
        <f>IF(DAY(Oct_Dim1)=1,Oct_Dim1+16,Oct_Dim1+23)</f>
        <v>42661</v>
      </c>
      <c r="F344" s="54"/>
      <c r="G344" s="57">
        <f>IF(DAY(Oct_Dim1)=1,Oct_Dim1+17,Oct_Dim1+24)</f>
        <v>42662</v>
      </c>
      <c r="H344" s="54"/>
      <c r="I344" s="57">
        <f>IF(DAY(Oct_Dim1)=1,Oct_Dim1+18,Oct_Dim1+25)</f>
        <v>42663</v>
      </c>
      <c r="J344" s="54"/>
      <c r="K344" s="57">
        <f>IF(DAY(Oct_Dim1)=1,Oct_Dim1+19,Oct_Dim1+26)</f>
        <v>42664</v>
      </c>
      <c r="L344" s="54"/>
      <c r="M344" s="57">
        <f>IF(DAY(Oct_Dim1)=1,Oct_Dim1+20,Oct_Dim1+27)</f>
        <v>42665</v>
      </c>
      <c r="N344" s="54"/>
      <c r="O344" s="57">
        <f>IF(DAY(Oct_Dim1)=1,Oct_Dim1+21,Oct_Dim1+28)</f>
        <v>42666</v>
      </c>
    </row>
    <row r="345" spans="1:15" s="13" customFormat="1" ht="55.5" customHeight="1" x14ac:dyDescent="0.25">
      <c r="A345" s="6"/>
      <c r="B345" s="126"/>
      <c r="C345" s="127"/>
      <c r="D345" s="127"/>
      <c r="E345" s="127"/>
      <c r="F345" s="127"/>
      <c r="G345" s="127"/>
      <c r="H345" s="127"/>
      <c r="I345" s="127"/>
      <c r="J345" s="127"/>
      <c r="K345" s="127"/>
      <c r="L345" s="128"/>
      <c r="M345" s="128"/>
      <c r="N345" s="128"/>
      <c r="O345" s="128"/>
    </row>
    <row r="346" spans="1:15" s="13" customFormat="1" ht="8.25" customHeight="1" x14ac:dyDescent="0.25">
      <c r="A346" s="6"/>
      <c r="B346" s="129"/>
      <c r="C346" s="129"/>
      <c r="D346" s="129"/>
      <c r="E346" s="129"/>
      <c r="F346" s="129"/>
      <c r="G346" s="129"/>
      <c r="H346" s="129"/>
      <c r="I346" s="129"/>
      <c r="J346" s="129"/>
      <c r="K346" s="129"/>
      <c r="L346" s="130"/>
      <c r="M346" s="130"/>
      <c r="N346" s="130"/>
      <c r="O346" s="130"/>
    </row>
    <row r="347" spans="1:15" s="10" customFormat="1" ht="16.5" customHeight="1" x14ac:dyDescent="0.25">
      <c r="A347" s="9"/>
      <c r="B347" s="55"/>
      <c r="C347" s="57">
        <f>IF(DAY(Oct_Dim1)=1,Oct_Dim1+22,Oct_Dim1+29)</f>
        <v>42667</v>
      </c>
      <c r="D347" s="54"/>
      <c r="E347" s="57">
        <f>IF(DAY(Oct_Dim1)=1,Oct_Dim1+23,Oct_Dim1+30)</f>
        <v>42668</v>
      </c>
      <c r="F347" s="54"/>
      <c r="G347" s="57">
        <f>IF(DAY(Oct_Dim1)=1,Oct_Dim1+24,Oct_Dim1+31)</f>
        <v>42669</v>
      </c>
      <c r="H347" s="54"/>
      <c r="I347" s="57">
        <f>IF(DAY(Oct_Dim1)=1,Oct_Dim1+25,Oct_Dim1+32)</f>
        <v>42670</v>
      </c>
      <c r="J347" s="54"/>
      <c r="K347" s="57">
        <f>IF(DAY(Oct_Dim1)=1,Oct_Dim1+26,Oct_Dim1+33)</f>
        <v>42671</v>
      </c>
      <c r="L347" s="54"/>
      <c r="M347" s="57">
        <f>IF(DAY(Oct_Dim1)=1,Oct_Dim1+27,Oct_Dim1+34)</f>
        <v>42672</v>
      </c>
      <c r="N347" s="54"/>
      <c r="O347" s="57">
        <f>IF(DAY(Oct_Dim1)=1,Oct_Dim1+28,Oct_Dim1+35)</f>
        <v>42673</v>
      </c>
    </row>
    <row r="348" spans="1:15" s="13" customFormat="1" ht="55.5" customHeight="1" x14ac:dyDescent="0.25">
      <c r="A348" s="6"/>
      <c r="B348" s="126"/>
      <c r="C348" s="127"/>
      <c r="D348" s="127"/>
      <c r="E348" s="127"/>
      <c r="F348" s="127"/>
      <c r="G348" s="127"/>
      <c r="H348" s="127"/>
      <c r="I348" s="127"/>
      <c r="J348" s="127"/>
      <c r="K348" s="127"/>
      <c r="L348" s="128"/>
      <c r="M348" s="128"/>
      <c r="N348" s="128"/>
      <c r="O348" s="128"/>
    </row>
    <row r="349" spans="1:15" s="13" customFormat="1" ht="8.25" customHeight="1" x14ac:dyDescent="0.25">
      <c r="A349" s="6"/>
      <c r="B349" s="114"/>
      <c r="C349" s="114"/>
      <c r="D349" s="114"/>
      <c r="E349" s="114"/>
      <c r="F349" s="114"/>
      <c r="G349" s="114"/>
      <c r="H349" s="114"/>
      <c r="I349" s="114"/>
      <c r="J349" s="114"/>
      <c r="K349" s="114"/>
      <c r="L349" s="123"/>
      <c r="M349" s="123"/>
      <c r="N349" s="123"/>
      <c r="O349" s="123"/>
    </row>
    <row r="350" spans="1:15" s="10" customFormat="1" ht="16.5" customHeight="1" x14ac:dyDescent="0.25">
      <c r="A350" s="9"/>
      <c r="B350" s="55"/>
      <c r="C350" s="57">
        <f>IF(DAY(Oct_Dim1)=1,Oct_Dim1+29,Oct_Dim1+36)</f>
        <v>42674</v>
      </c>
      <c r="D350" s="54"/>
      <c r="E350" s="57">
        <f>IF(DAY(Oct_Dim1)=1,Oct_Dim1+30,Oct_Dim1+37)</f>
        <v>42675</v>
      </c>
      <c r="F350" s="54"/>
      <c r="G350" s="57">
        <f>IF(DAY(Oct_Dim1)=1,Oct_Dim1+31,Oct_Dim1+38)</f>
        <v>42676</v>
      </c>
      <c r="H350" s="54"/>
      <c r="I350" s="57">
        <f>IF(DAY(Oct_Dim1)=1,Oct_Dim1+32,Oct_Dim1+39)</f>
        <v>42677</v>
      </c>
      <c r="J350" s="54"/>
      <c r="K350" s="57">
        <f>IF(DAY(Oct_Dim1)=1,Oct_Dim1+33,Oct_Dim1+40)</f>
        <v>42678</v>
      </c>
      <c r="L350" s="54"/>
      <c r="M350" s="57">
        <f>IF(DAY(Oct_Dim1)=1,Oct_Dim1+34,Oct_Dim1+41)</f>
        <v>42679</v>
      </c>
      <c r="N350" s="54"/>
      <c r="O350" s="57">
        <f>IF(DAY(Oct_Dim1)=1,Oct_Dim1+35,Oct_Dim1+42)</f>
        <v>42680</v>
      </c>
    </row>
    <row r="351" spans="1:15" s="13" customFormat="1" ht="55.5" customHeight="1" x14ac:dyDescent="0.25">
      <c r="A351" s="6"/>
      <c r="B351" s="126"/>
      <c r="C351" s="127"/>
      <c r="D351" s="127"/>
      <c r="E351" s="127"/>
      <c r="F351" s="124"/>
      <c r="G351" s="124"/>
      <c r="H351" s="124"/>
      <c r="I351" s="124"/>
      <c r="J351" s="124"/>
      <c r="K351" s="124"/>
      <c r="L351" s="124"/>
      <c r="M351" s="124"/>
      <c r="N351" s="124"/>
      <c r="O351" s="124"/>
    </row>
    <row r="352" spans="1:15" s="20" customFormat="1" ht="34.5" customHeight="1" x14ac:dyDescent="0.2"/>
    <row r="353" spans="1:15" s="20" customFormat="1" ht="18.75" customHeight="1" x14ac:dyDescent="0.35">
      <c r="A353" s="3"/>
      <c r="B353" s="1"/>
      <c r="C353" s="1"/>
      <c r="D353" s="1"/>
      <c r="E353" s="2"/>
      <c r="F353" s="2"/>
      <c r="G353" s="2"/>
      <c r="H353" s="4"/>
      <c r="I353" s="4"/>
      <c r="J353" s="4"/>
      <c r="L353" s="89"/>
      <c r="M353" s="89"/>
      <c r="N353" s="89"/>
      <c r="O353" s="89"/>
    </row>
    <row r="354" spans="1:15" s="20" customFormat="1" ht="18.75" customHeight="1" x14ac:dyDescent="0.35">
      <c r="A354" s="3"/>
      <c r="B354" s="1"/>
      <c r="C354" s="1"/>
      <c r="D354" s="1"/>
      <c r="E354" s="2"/>
      <c r="F354" s="2"/>
      <c r="G354" s="2"/>
      <c r="H354" s="4"/>
      <c r="I354" s="4"/>
      <c r="J354" s="4"/>
    </row>
    <row r="355" spans="1:15" s="20" customFormat="1" ht="18.75" customHeight="1" x14ac:dyDescent="0.35">
      <c r="A355" s="3"/>
      <c r="B355" s="1"/>
      <c r="C355" s="1"/>
      <c r="D355" s="1"/>
      <c r="E355" s="2"/>
      <c r="F355" s="2"/>
      <c r="G355" s="2"/>
      <c r="H355" s="4"/>
      <c r="I355" s="4"/>
      <c r="J355" s="4"/>
    </row>
    <row r="356" spans="1:15" s="20" customFormat="1" ht="18.75" customHeight="1" x14ac:dyDescent="0.35">
      <c r="A356" s="3"/>
      <c r="B356" s="1"/>
      <c r="C356" s="1"/>
      <c r="D356" s="1"/>
      <c r="E356" s="2"/>
      <c r="F356" s="2"/>
      <c r="G356" s="2"/>
      <c r="H356" s="4"/>
      <c r="I356" s="4"/>
      <c r="J356" s="4"/>
    </row>
    <row r="357" spans="1:15" s="20" customFormat="1" ht="18.75" customHeight="1" x14ac:dyDescent="0.35">
      <c r="A357" s="3"/>
      <c r="B357" s="1"/>
      <c r="C357" s="1"/>
      <c r="D357" s="1"/>
      <c r="E357" s="2"/>
      <c r="F357" s="2"/>
      <c r="G357" s="2"/>
      <c r="H357" s="4"/>
      <c r="I357" s="4"/>
      <c r="J357" s="4"/>
    </row>
    <row r="358" spans="1:15" s="20" customFormat="1" ht="18.75" customHeight="1" x14ac:dyDescent="0.35">
      <c r="A358" s="3"/>
      <c r="B358" s="1"/>
      <c r="C358" s="1"/>
      <c r="D358" s="1"/>
      <c r="E358" s="2"/>
      <c r="F358" s="2"/>
      <c r="G358" s="2"/>
      <c r="H358" s="4"/>
      <c r="I358" s="4"/>
      <c r="J358" s="4"/>
    </row>
    <row r="359" spans="1:15" s="20" customFormat="1" ht="18.75" customHeight="1" x14ac:dyDescent="0.35">
      <c r="A359" s="3"/>
      <c r="B359" s="1"/>
      <c r="C359" s="1"/>
      <c r="D359" s="1"/>
      <c r="E359" s="2"/>
      <c r="F359" s="2"/>
      <c r="G359" s="2"/>
      <c r="H359" s="4"/>
      <c r="I359" s="4"/>
      <c r="J359" s="4"/>
    </row>
    <row r="360" spans="1:15" s="20" customFormat="1" ht="18.75" customHeight="1" x14ac:dyDescent="0.35">
      <c r="A360" s="3"/>
      <c r="B360" s="1"/>
      <c r="C360" s="1"/>
      <c r="D360" s="1"/>
      <c r="E360" s="2"/>
      <c r="F360" s="2"/>
      <c r="G360" s="2"/>
      <c r="H360" s="4"/>
      <c r="I360" s="4"/>
      <c r="J360" s="4"/>
    </row>
    <row r="361" spans="1:15" s="20" customFormat="1" ht="18.75" customHeight="1" x14ac:dyDescent="0.35">
      <c r="A361" s="3"/>
      <c r="B361" s="1"/>
      <c r="C361" s="1"/>
      <c r="D361" s="1"/>
      <c r="E361" s="2"/>
      <c r="F361" s="2"/>
      <c r="G361" s="2"/>
      <c r="H361" s="4"/>
      <c r="I361" s="4"/>
      <c r="J361" s="4"/>
    </row>
    <row r="362" spans="1:15" s="20" customFormat="1" ht="18.75" customHeight="1" x14ac:dyDescent="0.35">
      <c r="A362" s="3"/>
      <c r="B362" s="1"/>
      <c r="C362" s="1"/>
      <c r="D362" s="1"/>
      <c r="E362" s="2"/>
      <c r="F362" s="2"/>
      <c r="G362" s="2"/>
      <c r="H362" s="4"/>
      <c r="I362" s="4"/>
      <c r="J362" s="4"/>
    </row>
    <row r="363" spans="1:15" s="20" customFormat="1" ht="18.75" customHeight="1" x14ac:dyDescent="0.35">
      <c r="A363" s="3"/>
      <c r="B363" s="1"/>
      <c r="C363" s="1"/>
      <c r="D363" s="1"/>
      <c r="E363" s="2"/>
      <c r="F363" s="2"/>
      <c r="G363" s="2"/>
      <c r="H363" s="4"/>
      <c r="I363" s="4"/>
      <c r="J363" s="4"/>
    </row>
    <row r="364" spans="1:15" s="20" customFormat="1" ht="18.75" customHeight="1" x14ac:dyDescent="0.35">
      <c r="A364" s="3"/>
      <c r="B364" s="1"/>
      <c r="C364" s="1"/>
      <c r="D364" s="1"/>
      <c r="E364" s="2"/>
      <c r="F364" s="2"/>
      <c r="G364" s="2"/>
      <c r="H364" s="4"/>
      <c r="I364" s="4"/>
      <c r="J364" s="4"/>
    </row>
    <row r="365" spans="1:15" s="20" customFormat="1" ht="18.75" customHeight="1" x14ac:dyDescent="0.35">
      <c r="A365" s="3"/>
      <c r="B365" s="1"/>
      <c r="C365" s="1"/>
      <c r="D365" s="1"/>
      <c r="E365" s="2"/>
      <c r="F365" s="2"/>
      <c r="G365" s="2"/>
      <c r="H365" s="4"/>
      <c r="I365" s="4"/>
      <c r="J365" s="4"/>
    </row>
    <row r="366" spans="1:15" s="20" customFormat="1" ht="18.75" customHeight="1" x14ac:dyDescent="0.35">
      <c r="A366" s="3"/>
      <c r="B366" s="1"/>
      <c r="C366" s="1"/>
      <c r="D366" s="1"/>
      <c r="E366" s="2"/>
      <c r="F366" s="2"/>
      <c r="G366" s="2"/>
      <c r="H366" s="4"/>
      <c r="I366" s="4"/>
      <c r="J366" s="4"/>
    </row>
    <row r="367" spans="1:15" s="20" customFormat="1" ht="56.65" customHeight="1" x14ac:dyDescent="0.25">
      <c r="A367" s="6"/>
      <c r="B367" s="7"/>
      <c r="C367" s="7"/>
      <c r="D367" s="7"/>
      <c r="E367" s="7"/>
      <c r="F367" s="7"/>
      <c r="G367" s="7"/>
      <c r="H367" s="7"/>
      <c r="I367" s="7"/>
      <c r="J367" s="7"/>
      <c r="K367" s="7"/>
      <c r="L367" s="7"/>
      <c r="M367" s="7"/>
      <c r="N367" s="7"/>
      <c r="O367" s="7"/>
    </row>
    <row r="368" spans="1:15" s="20" customFormat="1" ht="54" customHeight="1" x14ac:dyDescent="0.2">
      <c r="A368" s="21"/>
      <c r="B368" s="107" t="s">
        <v>8</v>
      </c>
      <c r="C368" s="108"/>
      <c r="D368" s="108"/>
      <c r="E368" s="108"/>
      <c r="F368" s="108"/>
      <c r="G368" s="108"/>
      <c r="H368" s="108"/>
      <c r="I368" s="108"/>
      <c r="J368" s="108"/>
      <c r="K368" s="108"/>
      <c r="L368" s="108"/>
      <c r="M368" s="108"/>
      <c r="N368" s="109">
        <f>Année_Calendaire</f>
        <v>2016</v>
      </c>
      <c r="O368" s="109"/>
    </row>
    <row r="369" spans="1:21" s="6" customFormat="1" ht="34.15" customHeight="1" x14ac:dyDescent="0.25">
      <c r="B369" s="125" t="s">
        <v>0</v>
      </c>
      <c r="C369" s="125"/>
      <c r="D369" s="125" t="s">
        <v>1</v>
      </c>
      <c r="E369" s="125"/>
      <c r="F369" s="125" t="s">
        <v>2</v>
      </c>
      <c r="G369" s="125"/>
      <c r="H369" s="125" t="s">
        <v>3</v>
      </c>
      <c r="I369" s="125"/>
      <c r="J369" s="125" t="s">
        <v>4</v>
      </c>
      <c r="K369" s="125"/>
      <c r="L369" s="125" t="s">
        <v>5</v>
      </c>
      <c r="M369" s="125"/>
      <c r="N369" s="125" t="s">
        <v>6</v>
      </c>
      <c r="O369" s="125"/>
      <c r="P369" s="8"/>
      <c r="T369" s="13"/>
      <c r="U369" s="13"/>
    </row>
    <row r="370" spans="1:21" s="9" customFormat="1" ht="16.5" customHeight="1" x14ac:dyDescent="0.25">
      <c r="B370" s="48"/>
      <c r="C370" s="49">
        <f>IF(DAY(Nov_Dim1)=1,Nov_Dim1-6,Nov_Dim1+1)</f>
        <v>42674</v>
      </c>
      <c r="D370" s="45"/>
      <c r="E370" s="49">
        <f>IF(DAY(Nov_Dim1)=1,Nov_Dim1-5,Nov_Dim1+2)</f>
        <v>42675</v>
      </c>
      <c r="F370" s="45"/>
      <c r="G370" s="49">
        <f>IF(DAY(Nov_Dim1)=1,Nov_Dim1-4,Nov_Dim1+3)</f>
        <v>42676</v>
      </c>
      <c r="H370" s="45"/>
      <c r="I370" s="49">
        <f>IF(DAY(Nov_Dim1)=1,Nov_Dim1-3,Nov_Dim1+4)</f>
        <v>42677</v>
      </c>
      <c r="J370" s="45"/>
      <c r="K370" s="49">
        <f>IF(DAY(Nov_Dim1)=1,Nov_Dim1-2,Nov_Dim1+5)</f>
        <v>42678</v>
      </c>
      <c r="L370" s="45"/>
      <c r="M370" s="49">
        <f>IF(DAY(Nov_Dim1)=1,Nov_Dim1-1,Nov_Dim1+6)</f>
        <v>42679</v>
      </c>
      <c r="N370" s="45"/>
      <c r="O370" s="49">
        <f>IF(DAY(Nov_Dim1)=1,Nov_Dim1,Nov_Dim1+7)</f>
        <v>42680</v>
      </c>
      <c r="P370" s="10"/>
      <c r="T370" s="11"/>
      <c r="U370" s="10"/>
    </row>
    <row r="371" spans="1:21" s="12" customFormat="1" ht="55.5" customHeight="1" x14ac:dyDescent="0.25">
      <c r="A371" s="6"/>
      <c r="B371" s="111"/>
      <c r="C371" s="112"/>
      <c r="D371" s="112"/>
      <c r="E371" s="112"/>
      <c r="F371" s="112"/>
      <c r="G371" s="112"/>
      <c r="H371" s="112"/>
      <c r="I371" s="112"/>
      <c r="J371" s="112"/>
      <c r="K371" s="112"/>
      <c r="L371" s="113"/>
      <c r="M371" s="113"/>
      <c r="N371" s="113"/>
      <c r="O371" s="113"/>
    </row>
    <row r="372" spans="1:21" s="12" customFormat="1" ht="8.25" customHeight="1" x14ac:dyDescent="0.25">
      <c r="A372" s="6"/>
      <c r="B372" s="114"/>
      <c r="C372" s="114"/>
      <c r="D372" s="114"/>
      <c r="E372" s="114"/>
      <c r="F372" s="114"/>
      <c r="G372" s="114"/>
      <c r="H372" s="114"/>
      <c r="I372" s="114"/>
      <c r="J372" s="114"/>
      <c r="K372" s="114"/>
      <c r="L372" s="123"/>
      <c r="M372" s="123"/>
      <c r="N372" s="123"/>
      <c r="O372" s="123"/>
    </row>
    <row r="373" spans="1:21" s="10" customFormat="1" ht="16.5" customHeight="1" x14ac:dyDescent="0.25">
      <c r="A373" s="9"/>
      <c r="B373" s="46"/>
      <c r="C373" s="49">
        <f>IF(DAY(Nov_Dim1)=1,Nov_Dim1+1,Nov_Dim1+8)</f>
        <v>42681</v>
      </c>
      <c r="D373" s="45"/>
      <c r="E373" s="49">
        <f>IF(DAY(Nov_Dim1)=1,Nov_Dim1+2,Nov_Dim1+9)</f>
        <v>42682</v>
      </c>
      <c r="F373" s="45"/>
      <c r="G373" s="49">
        <f>IF(DAY(Nov_Dim1)=1,Nov_Dim1+3,Nov_Dim1+10)</f>
        <v>42683</v>
      </c>
      <c r="H373" s="45"/>
      <c r="I373" s="49">
        <f>IF(DAY(Nov_Dim1)=1,Nov_Dim1+4,Nov_Dim1+11)</f>
        <v>42684</v>
      </c>
      <c r="J373" s="45"/>
      <c r="K373" s="49">
        <f>IF(DAY(Nov_Dim1)=1,Nov_Dim1+5,Nov_Dim1+12)</f>
        <v>42685</v>
      </c>
      <c r="L373" s="45"/>
      <c r="M373" s="49">
        <f>IF(DAY(Nov_Dim1)=1,Nov_Dim1+6,Nov_Dim1+13)</f>
        <v>42686</v>
      </c>
      <c r="N373" s="45"/>
      <c r="O373" s="49">
        <f>IF(DAY(Nov_Dim1)=1,Nov_Dim1+7,Nov_Dim1+14)</f>
        <v>42687</v>
      </c>
    </row>
    <row r="374" spans="1:21" s="13" customFormat="1" ht="55.5" customHeight="1" x14ac:dyDescent="0.25">
      <c r="A374" s="6"/>
      <c r="B374" s="111"/>
      <c r="C374" s="112"/>
      <c r="D374" s="112"/>
      <c r="E374" s="112"/>
      <c r="F374" s="112" t="s">
        <v>7</v>
      </c>
      <c r="G374" s="112"/>
      <c r="H374" s="112"/>
      <c r="I374" s="112"/>
      <c r="J374" s="112"/>
      <c r="K374" s="112"/>
      <c r="L374" s="113"/>
      <c r="M374" s="113"/>
      <c r="N374" s="113"/>
      <c r="O374" s="113"/>
    </row>
    <row r="375" spans="1:21" s="13" customFormat="1" ht="8.25" customHeight="1" x14ac:dyDescent="0.25">
      <c r="A375" s="6"/>
      <c r="B375" s="114"/>
      <c r="C375" s="114"/>
      <c r="D375" s="114"/>
      <c r="E375" s="114"/>
      <c r="F375" s="114"/>
      <c r="G375" s="114"/>
      <c r="H375" s="114"/>
      <c r="I375" s="114"/>
      <c r="J375" s="114"/>
      <c r="K375" s="114"/>
      <c r="L375" s="123"/>
      <c r="M375" s="123"/>
      <c r="N375" s="123"/>
      <c r="O375" s="123"/>
    </row>
    <row r="376" spans="1:21" s="10" customFormat="1" ht="16.5" customHeight="1" x14ac:dyDescent="0.25">
      <c r="A376" s="9"/>
      <c r="B376" s="46"/>
      <c r="C376" s="49">
        <f>IF(DAY(Nov_Dim1)=1,Nov_Dim1+8,Nov_Dim1+15)</f>
        <v>42688</v>
      </c>
      <c r="D376" s="45"/>
      <c r="E376" s="49">
        <f>IF(DAY(Nov_Dim1)=1,Nov_Dim1+9,Nov_Dim1+16)</f>
        <v>42689</v>
      </c>
      <c r="F376" s="45"/>
      <c r="G376" s="49">
        <f>IF(DAY(Nov_Dim1)=1,Nov_Dim1+10,Nov_Dim1+17)</f>
        <v>42690</v>
      </c>
      <c r="H376" s="45"/>
      <c r="I376" s="49">
        <f>IF(DAY(Nov_Dim1)=1,Nov_Dim1+11,Nov_Dim1+18)</f>
        <v>42691</v>
      </c>
      <c r="J376" s="45"/>
      <c r="K376" s="49">
        <f>IF(DAY(Nov_Dim1)=1,Nov_Dim1+12,Nov_Dim1+19)</f>
        <v>42692</v>
      </c>
      <c r="L376" s="45"/>
      <c r="M376" s="49">
        <f>IF(DAY(Nov_Dim1)=1,Nov_Dim1+13,Nov_Dim1+20)</f>
        <v>42693</v>
      </c>
      <c r="N376" s="45"/>
      <c r="O376" s="49">
        <f>IF(DAY(Nov_Dim1)=1,Nov_Dim1+14,Nov_Dim1+21)</f>
        <v>42694</v>
      </c>
    </row>
    <row r="377" spans="1:21" s="13" customFormat="1" ht="55.5" customHeight="1" x14ac:dyDescent="0.25">
      <c r="A377" s="6"/>
      <c r="B377" s="111"/>
      <c r="C377" s="112"/>
      <c r="D377" s="112"/>
      <c r="E377" s="112"/>
      <c r="F377" s="112"/>
      <c r="G377" s="112"/>
      <c r="H377" s="112"/>
      <c r="I377" s="112"/>
      <c r="J377" s="112"/>
      <c r="K377" s="112"/>
      <c r="L377" s="113"/>
      <c r="M377" s="113"/>
      <c r="N377" s="113"/>
      <c r="O377" s="113"/>
    </row>
    <row r="378" spans="1:21" s="13" customFormat="1" ht="8.25" customHeight="1" x14ac:dyDescent="0.25">
      <c r="A378" s="6"/>
      <c r="B378" s="114"/>
      <c r="C378" s="114"/>
      <c r="D378" s="114"/>
      <c r="E378" s="114"/>
      <c r="F378" s="114"/>
      <c r="G378" s="114"/>
      <c r="H378" s="114"/>
      <c r="I378" s="114"/>
      <c r="J378" s="114"/>
      <c r="K378" s="114"/>
      <c r="L378" s="123"/>
      <c r="M378" s="123"/>
      <c r="N378" s="123"/>
      <c r="O378" s="123"/>
    </row>
    <row r="379" spans="1:21" s="10" customFormat="1" ht="16.5" customHeight="1" x14ac:dyDescent="0.25">
      <c r="A379" s="9"/>
      <c r="B379" s="46"/>
      <c r="C379" s="49">
        <f>IF(DAY(Nov_Dim1)=1,Nov_Dim1+15,Nov_Dim1+22)</f>
        <v>42695</v>
      </c>
      <c r="D379" s="45"/>
      <c r="E379" s="49">
        <f>IF(DAY(Nov_Dim1)=1,Nov_Dim1+16,Nov_Dim1+23)</f>
        <v>42696</v>
      </c>
      <c r="F379" s="45"/>
      <c r="G379" s="49">
        <f>IF(DAY(Nov_Dim1)=1,Nov_Dim1+17,Nov_Dim1+24)</f>
        <v>42697</v>
      </c>
      <c r="H379" s="45"/>
      <c r="I379" s="49">
        <f>IF(DAY(Nov_Dim1)=1,Nov_Dim1+18,Nov_Dim1+25)</f>
        <v>42698</v>
      </c>
      <c r="J379" s="45"/>
      <c r="K379" s="49">
        <f>IF(DAY(Nov_Dim1)=1,Nov_Dim1+19,Nov_Dim1+26)</f>
        <v>42699</v>
      </c>
      <c r="L379" s="47"/>
      <c r="M379" s="49">
        <f>IF(DAY(Nov_Dim1)=1,Nov_Dim1+20,Nov_Dim1+27)</f>
        <v>42700</v>
      </c>
      <c r="N379" s="45"/>
      <c r="O379" s="49">
        <f>IF(DAY(Nov_Dim1)=1,Nov_Dim1+21,Nov_Dim1+28)</f>
        <v>42701</v>
      </c>
    </row>
    <row r="380" spans="1:21" s="13" customFormat="1" ht="55.5" customHeight="1" x14ac:dyDescent="0.25">
      <c r="A380" s="6"/>
      <c r="B380" s="111"/>
      <c r="C380" s="112"/>
      <c r="D380" s="112"/>
      <c r="E380" s="112"/>
      <c r="F380" s="112"/>
      <c r="G380" s="112"/>
      <c r="H380" s="112"/>
      <c r="I380" s="112"/>
      <c r="J380" s="112"/>
      <c r="K380" s="112"/>
      <c r="L380" s="113"/>
      <c r="M380" s="113"/>
      <c r="N380" s="113"/>
      <c r="O380" s="113"/>
    </row>
    <row r="381" spans="1:21" s="13" customFormat="1" ht="8.25" customHeight="1" x14ac:dyDescent="0.25">
      <c r="A381" s="6"/>
      <c r="B381" s="114"/>
      <c r="C381" s="114"/>
      <c r="D381" s="114"/>
      <c r="E381" s="114"/>
      <c r="F381" s="114"/>
      <c r="G381" s="114"/>
      <c r="H381" s="114"/>
      <c r="I381" s="114"/>
      <c r="J381" s="114"/>
      <c r="K381" s="114"/>
      <c r="L381" s="123"/>
      <c r="M381" s="123"/>
      <c r="N381" s="123"/>
      <c r="O381" s="123"/>
    </row>
    <row r="382" spans="1:21" s="10" customFormat="1" ht="16.5" customHeight="1" x14ac:dyDescent="0.25">
      <c r="A382" s="9"/>
      <c r="B382" s="46"/>
      <c r="C382" s="49">
        <f>IF(DAY(Nov_Dim1)=1,Nov_Dim1+22,Nov_Dim1+29)</f>
        <v>42702</v>
      </c>
      <c r="D382" s="45"/>
      <c r="E382" s="49">
        <f>IF(DAY(Nov_Dim1)=1,Nov_Dim1+23,Nov_Dim1+30)</f>
        <v>42703</v>
      </c>
      <c r="F382" s="45"/>
      <c r="G382" s="49">
        <f>IF(DAY(Nov_Dim1)=1,Nov_Dim1+24,Nov_Dim1+31)</f>
        <v>42704</v>
      </c>
      <c r="H382" s="45"/>
      <c r="I382" s="49">
        <f>IF(DAY(Nov_Dim1)=1,Nov_Dim1+25,Nov_Dim1+32)</f>
        <v>42705</v>
      </c>
      <c r="J382" s="45"/>
      <c r="K382" s="49">
        <f>IF(DAY(Nov_Dim1)=1,Nov_Dim1+26,Nov_Dim1+33)</f>
        <v>42706</v>
      </c>
      <c r="L382" s="45"/>
      <c r="M382" s="49">
        <f>IF(DAY(Nov_Dim1)=1,Nov_Dim1+27,Nov_Dim1+34)</f>
        <v>42707</v>
      </c>
      <c r="N382" s="45"/>
      <c r="O382" s="49">
        <f>IF(DAY(Nov_Dim1)=1,Nov_Dim1+28,Nov_Dim1+35)</f>
        <v>42708</v>
      </c>
    </row>
    <row r="383" spans="1:21" s="13" customFormat="1" ht="55.5" customHeight="1" x14ac:dyDescent="0.25">
      <c r="A383" s="6"/>
      <c r="B383" s="111"/>
      <c r="C383" s="112"/>
      <c r="D383" s="112"/>
      <c r="E383" s="112"/>
      <c r="F383" s="112"/>
      <c r="G383" s="112"/>
      <c r="H383" s="112"/>
      <c r="I383" s="112"/>
      <c r="J383" s="112"/>
      <c r="K383" s="112"/>
      <c r="L383" s="113"/>
      <c r="M383" s="113"/>
      <c r="N383" s="113"/>
      <c r="O383" s="113"/>
    </row>
    <row r="384" spans="1:21" s="13" customFormat="1" ht="8.25" customHeight="1" x14ac:dyDescent="0.25">
      <c r="A384" s="6"/>
      <c r="B384" s="114"/>
      <c r="C384" s="114"/>
      <c r="D384" s="114"/>
      <c r="E384" s="114"/>
      <c r="F384" s="114"/>
      <c r="G384" s="114"/>
      <c r="H384" s="114"/>
      <c r="I384" s="114"/>
      <c r="J384" s="114"/>
      <c r="K384" s="114"/>
      <c r="L384" s="123"/>
      <c r="M384" s="123"/>
      <c r="N384" s="123"/>
      <c r="O384" s="123"/>
    </row>
    <row r="385" spans="1:15" s="10" customFormat="1" ht="16.5" customHeight="1" x14ac:dyDescent="0.25">
      <c r="A385" s="9"/>
      <c r="B385" s="46"/>
      <c r="C385" s="49">
        <f>IF(DAY(Nov_Dim1)=1,Nov_Dim1+29,Nov_Dim1+36)</f>
        <v>42709</v>
      </c>
      <c r="D385" s="45"/>
      <c r="E385" s="49">
        <f>IF(DAY(Nov_Dim1)=1,Nov_Dim1+30,Nov_Dim1+37)</f>
        <v>42710</v>
      </c>
      <c r="F385" s="45"/>
      <c r="G385" s="49">
        <f>IF(DAY(Nov_Dim1)=1,Nov_Dim1+31,Nov_Dim1+38)</f>
        <v>42711</v>
      </c>
      <c r="H385" s="45"/>
      <c r="I385" s="49">
        <f>IF(DAY(Nov_Dim1)=1,Nov_Dim1+32,Nov_Dim1+39)</f>
        <v>42712</v>
      </c>
      <c r="J385" s="45"/>
      <c r="K385" s="49">
        <f>IF(DAY(Nov_Dim1)=1,Nov_Dim1+33,Nov_Dim1+40)</f>
        <v>42713</v>
      </c>
      <c r="L385" s="45"/>
      <c r="M385" s="49">
        <f>IF(DAY(Nov_Dim1)=1,Nov_Dim1+34,Nov_Dim1+41)</f>
        <v>42714</v>
      </c>
      <c r="N385" s="45"/>
      <c r="O385" s="49">
        <f>IF(DAY(Nov_Dim1)=1,Nov_Dim1+35,Nov_Dim1+42)</f>
        <v>42715</v>
      </c>
    </row>
    <row r="386" spans="1:15" s="13" customFormat="1" ht="55.5" customHeight="1" x14ac:dyDescent="0.25">
      <c r="A386" s="6"/>
      <c r="B386" s="111"/>
      <c r="C386" s="112"/>
      <c r="D386" s="112"/>
      <c r="E386" s="112"/>
      <c r="F386" s="110"/>
      <c r="G386" s="110"/>
      <c r="H386" s="110"/>
      <c r="I386" s="110"/>
      <c r="J386" s="110"/>
      <c r="K386" s="110"/>
      <c r="L386" s="110"/>
      <c r="M386" s="110"/>
      <c r="N386" s="110"/>
      <c r="O386" s="110"/>
    </row>
    <row r="387" spans="1:15" s="20" customFormat="1" ht="34.5" customHeight="1" x14ac:dyDescent="0.2"/>
    <row r="388" spans="1:15" s="20" customFormat="1" ht="18.75" customHeight="1" x14ac:dyDescent="0.35">
      <c r="A388" s="3"/>
      <c r="B388" s="1"/>
      <c r="C388" s="1"/>
      <c r="D388" s="1"/>
      <c r="E388" s="2"/>
      <c r="F388" s="2"/>
      <c r="G388" s="2"/>
      <c r="H388" s="4"/>
      <c r="I388" s="4"/>
      <c r="J388" s="4"/>
      <c r="L388" s="89"/>
      <c r="M388" s="89"/>
      <c r="N388" s="89"/>
      <c r="O388" s="89"/>
    </row>
    <row r="389" spans="1:15" s="20" customFormat="1" ht="18.75" customHeight="1" x14ac:dyDescent="0.35">
      <c r="A389" s="3"/>
      <c r="B389" s="1"/>
      <c r="C389" s="1"/>
      <c r="D389" s="1"/>
      <c r="E389" s="2"/>
      <c r="F389" s="2"/>
      <c r="G389" s="2"/>
      <c r="H389" s="4"/>
      <c r="I389" s="4"/>
      <c r="J389" s="4"/>
    </row>
    <row r="390" spans="1:15" s="20" customFormat="1" ht="18.75" customHeight="1" x14ac:dyDescent="0.35">
      <c r="A390" s="3"/>
      <c r="B390" s="1"/>
      <c r="C390" s="1"/>
      <c r="D390" s="1"/>
      <c r="E390" s="2"/>
      <c r="F390" s="2"/>
      <c r="G390" s="2"/>
      <c r="H390" s="4"/>
      <c r="I390" s="4"/>
      <c r="J390" s="4"/>
    </row>
    <row r="391" spans="1:15" s="20" customFormat="1" ht="18.75" customHeight="1" x14ac:dyDescent="0.35">
      <c r="A391" s="3"/>
      <c r="B391" s="1"/>
      <c r="C391" s="1"/>
      <c r="D391" s="1"/>
      <c r="E391" s="2"/>
      <c r="F391" s="2"/>
      <c r="G391" s="2"/>
      <c r="H391" s="4"/>
      <c r="I391" s="4"/>
      <c r="J391" s="4"/>
    </row>
    <row r="392" spans="1:15" s="20" customFormat="1" ht="18.75" customHeight="1" x14ac:dyDescent="0.35">
      <c r="A392" s="3"/>
      <c r="B392" s="1"/>
      <c r="C392" s="1"/>
      <c r="D392" s="1"/>
      <c r="E392" s="2"/>
      <c r="F392" s="2"/>
      <c r="G392" s="2"/>
      <c r="H392" s="4"/>
      <c r="I392" s="4"/>
      <c r="J392" s="4"/>
    </row>
    <row r="393" spans="1:15" s="20" customFormat="1" ht="18.75" customHeight="1" x14ac:dyDescent="0.35">
      <c r="A393" s="3"/>
      <c r="B393" s="1"/>
      <c r="C393" s="1"/>
      <c r="D393" s="1"/>
      <c r="E393" s="2"/>
      <c r="F393" s="2"/>
      <c r="G393" s="2"/>
      <c r="H393" s="4"/>
      <c r="I393" s="4"/>
      <c r="J393" s="4"/>
    </row>
    <row r="394" spans="1:15" s="20" customFormat="1" ht="18.75" customHeight="1" x14ac:dyDescent="0.35">
      <c r="A394" s="3"/>
      <c r="B394" s="1"/>
      <c r="C394" s="1"/>
      <c r="D394" s="1"/>
      <c r="E394" s="2"/>
      <c r="F394" s="2"/>
      <c r="G394" s="2"/>
      <c r="H394" s="4"/>
      <c r="I394" s="4"/>
      <c r="J394" s="4"/>
    </row>
    <row r="395" spans="1:15" s="20" customFormat="1" ht="18.75" customHeight="1" x14ac:dyDescent="0.35">
      <c r="A395" s="3"/>
      <c r="B395" s="1"/>
      <c r="C395" s="1"/>
      <c r="D395" s="1"/>
      <c r="E395" s="2"/>
      <c r="F395" s="2"/>
      <c r="G395" s="2"/>
      <c r="H395" s="4"/>
      <c r="I395" s="4"/>
      <c r="J395" s="4"/>
    </row>
    <row r="396" spans="1:15" s="20" customFormat="1" ht="18.75" customHeight="1" x14ac:dyDescent="0.35">
      <c r="A396" s="3"/>
      <c r="B396" s="1"/>
      <c r="C396" s="1"/>
      <c r="D396" s="1"/>
      <c r="E396" s="2"/>
      <c r="F396" s="2"/>
      <c r="G396" s="2"/>
      <c r="H396" s="4"/>
      <c r="I396" s="4"/>
      <c r="J396" s="4"/>
    </row>
    <row r="397" spans="1:15" s="20" customFormat="1" ht="18.75" customHeight="1" x14ac:dyDescent="0.35">
      <c r="A397" s="3"/>
      <c r="B397" s="1"/>
      <c r="C397" s="1"/>
      <c r="D397" s="1"/>
      <c r="E397" s="2"/>
      <c r="F397" s="2"/>
      <c r="G397" s="2"/>
      <c r="H397" s="4"/>
      <c r="I397" s="4"/>
      <c r="J397" s="4"/>
    </row>
    <row r="398" spans="1:15" s="20" customFormat="1" ht="18.75" customHeight="1" x14ac:dyDescent="0.35">
      <c r="A398" s="3"/>
      <c r="B398" s="1"/>
      <c r="C398" s="1"/>
      <c r="D398" s="1"/>
      <c r="E398" s="2"/>
      <c r="F398" s="2"/>
      <c r="G398" s="2"/>
      <c r="H398" s="4"/>
      <c r="I398" s="4"/>
      <c r="J398" s="4"/>
    </row>
    <row r="399" spans="1:15" s="20" customFormat="1" ht="18.75" customHeight="1" x14ac:dyDescent="0.35">
      <c r="A399" s="3"/>
      <c r="B399" s="1"/>
      <c r="C399" s="1"/>
      <c r="D399" s="1"/>
      <c r="E399" s="2"/>
      <c r="F399" s="2"/>
      <c r="G399" s="2"/>
      <c r="H399" s="4"/>
      <c r="I399" s="4"/>
      <c r="J399" s="4"/>
    </row>
    <row r="400" spans="1:15" s="20" customFormat="1" ht="18.75" customHeight="1" x14ac:dyDescent="0.35">
      <c r="A400" s="3"/>
      <c r="B400" s="1"/>
      <c r="C400" s="1"/>
      <c r="D400" s="1"/>
      <c r="E400" s="2"/>
      <c r="F400" s="2"/>
      <c r="G400" s="2"/>
      <c r="H400" s="4"/>
      <c r="I400" s="4"/>
      <c r="J400" s="4"/>
    </row>
    <row r="401" spans="1:21" s="20" customFormat="1" ht="18.75" customHeight="1" x14ac:dyDescent="0.35">
      <c r="A401" s="3"/>
      <c r="B401" s="1"/>
      <c r="C401" s="1"/>
      <c r="D401" s="1"/>
      <c r="E401" s="2"/>
      <c r="F401" s="2"/>
      <c r="G401" s="2"/>
      <c r="H401" s="4"/>
      <c r="I401" s="4"/>
      <c r="J401" s="4"/>
    </row>
    <row r="402" spans="1:21" s="20" customFormat="1" ht="56.65" customHeight="1" x14ac:dyDescent="0.25">
      <c r="A402" s="6"/>
      <c r="B402" s="7"/>
      <c r="C402" s="7"/>
      <c r="D402" s="7"/>
      <c r="E402" s="7"/>
      <c r="F402" s="7"/>
      <c r="G402" s="7"/>
      <c r="H402" s="7"/>
      <c r="I402" s="7"/>
      <c r="J402" s="7"/>
      <c r="K402" s="7"/>
      <c r="L402" s="7"/>
      <c r="M402" s="7"/>
      <c r="N402" s="7"/>
      <c r="O402" s="7"/>
    </row>
    <row r="403" spans="1:21" s="20" customFormat="1" ht="54" customHeight="1" x14ac:dyDescent="0.2">
      <c r="A403" s="21"/>
      <c r="B403" s="90" t="s">
        <v>8</v>
      </c>
      <c r="C403" s="91"/>
      <c r="D403" s="91"/>
      <c r="E403" s="91"/>
      <c r="F403" s="91"/>
      <c r="G403" s="91"/>
      <c r="H403" s="91"/>
      <c r="I403" s="91"/>
      <c r="J403" s="91"/>
      <c r="K403" s="91"/>
      <c r="L403" s="91"/>
      <c r="M403" s="91"/>
      <c r="N403" s="92">
        <f>Année_Calendaire</f>
        <v>2016</v>
      </c>
      <c r="O403" s="92"/>
    </row>
    <row r="404" spans="1:21" s="6" customFormat="1" ht="34.15" customHeight="1" x14ac:dyDescent="0.25">
      <c r="B404" s="122" t="s">
        <v>0</v>
      </c>
      <c r="C404" s="122"/>
      <c r="D404" s="121" t="s">
        <v>1</v>
      </c>
      <c r="E404" s="121"/>
      <c r="F404" s="121" t="s">
        <v>2</v>
      </c>
      <c r="G404" s="121"/>
      <c r="H404" s="121" t="s">
        <v>3</v>
      </c>
      <c r="I404" s="121"/>
      <c r="J404" s="121" t="s">
        <v>4</v>
      </c>
      <c r="K404" s="121"/>
      <c r="L404" s="121" t="s">
        <v>5</v>
      </c>
      <c r="M404" s="121"/>
      <c r="N404" s="121" t="s">
        <v>6</v>
      </c>
      <c r="O404" s="121"/>
      <c r="P404" s="8"/>
      <c r="T404" s="13"/>
      <c r="U404" s="13"/>
    </row>
    <row r="405" spans="1:21" s="9" customFormat="1" ht="16.5" customHeight="1" x14ac:dyDescent="0.25">
      <c r="B405" s="50"/>
      <c r="C405" s="53">
        <f>IF(DAY(Déc_Dim1)=1,Déc_Dim1-6,Déc_Dim1+1)</f>
        <v>42702</v>
      </c>
      <c r="D405" s="51"/>
      <c r="E405" s="53">
        <f>IF(DAY(Déc_Dim1)=1,Déc_Dim1-5,Déc_Dim1+2)</f>
        <v>42703</v>
      </c>
      <c r="F405" s="51"/>
      <c r="G405" s="53">
        <f>IF(DAY(Déc_Dim1)=1,Déc_Dim1-4,Déc_Dim1+3)</f>
        <v>42704</v>
      </c>
      <c r="H405" s="51"/>
      <c r="I405" s="53">
        <f>IF(DAY(Déc_Dim1)=1,Déc_Dim1-3,Déc_Dim1+4)</f>
        <v>42705</v>
      </c>
      <c r="J405" s="51"/>
      <c r="K405" s="53">
        <f>IF(DAY(Déc_Dim1)=1,Déc_Dim1-2,Déc_Dim1+5)</f>
        <v>42706</v>
      </c>
      <c r="L405" s="51"/>
      <c r="M405" s="53">
        <f>IF(DAY(Déc_Dim1)=1,Déc_Dim1-1,Déc_Dim1+6)</f>
        <v>42707</v>
      </c>
      <c r="N405" s="51"/>
      <c r="O405" s="53">
        <f>IF(DAY(Déc_Dim1)=1,Déc_Dim1,Déc_Dim1+7)</f>
        <v>42708</v>
      </c>
      <c r="P405" s="10"/>
      <c r="T405" s="11"/>
      <c r="U405" s="10"/>
    </row>
    <row r="406" spans="1:21" s="12" customFormat="1" ht="55.5" customHeight="1" x14ac:dyDescent="0.25">
      <c r="A406" s="6"/>
      <c r="B406" s="116"/>
      <c r="C406" s="117"/>
      <c r="D406" s="117"/>
      <c r="E406" s="117"/>
      <c r="F406" s="117"/>
      <c r="G406" s="117"/>
      <c r="H406" s="117"/>
      <c r="I406" s="117"/>
      <c r="J406" s="117"/>
      <c r="K406" s="117"/>
      <c r="L406" s="120"/>
      <c r="M406" s="120"/>
      <c r="N406" s="120"/>
      <c r="O406" s="120"/>
    </row>
    <row r="407" spans="1:21" s="12" customFormat="1" ht="8.25" customHeight="1" x14ac:dyDescent="0.25">
      <c r="A407" s="6"/>
      <c r="B407" s="119"/>
      <c r="C407" s="119"/>
      <c r="D407" s="119"/>
      <c r="E407" s="119"/>
      <c r="F407" s="119"/>
      <c r="G407" s="119"/>
      <c r="H407" s="119"/>
      <c r="I407" s="119"/>
      <c r="J407" s="119"/>
      <c r="K407" s="119"/>
      <c r="L407" s="115"/>
      <c r="M407" s="115"/>
      <c r="N407" s="115"/>
      <c r="O407" s="115"/>
    </row>
    <row r="408" spans="1:21" s="10" customFormat="1" ht="16.5" customHeight="1" x14ac:dyDescent="0.25">
      <c r="A408" s="9"/>
      <c r="B408" s="52"/>
      <c r="C408" s="53">
        <f>IF(DAY(Déc_Dim1)=1,Déc_Dim1+1,Déc_Dim1+8)</f>
        <v>42709</v>
      </c>
      <c r="D408" s="51"/>
      <c r="E408" s="53">
        <f>IF(DAY(Déc_Dim1)=1,Déc_Dim1+2,Déc_Dim1+9)</f>
        <v>42710</v>
      </c>
      <c r="F408" s="51"/>
      <c r="G408" s="53">
        <f>IF(DAY(Déc_Dim1)=1,Déc_Dim1+3,Déc_Dim1+10)</f>
        <v>42711</v>
      </c>
      <c r="H408" s="51"/>
      <c r="I408" s="53">
        <f>IF(DAY(Déc_Dim1)=1,Déc_Dim1+4,Déc_Dim1+11)</f>
        <v>42712</v>
      </c>
      <c r="J408" s="51"/>
      <c r="K408" s="53">
        <f>IF(DAY(Déc_Dim1)=1,Déc_Dim1+5,Déc_Dim1+12)</f>
        <v>42713</v>
      </c>
      <c r="L408" s="51"/>
      <c r="M408" s="53">
        <f>IF(DAY(Déc_Dim1)=1,Déc_Dim1+6,Déc_Dim1+13)</f>
        <v>42714</v>
      </c>
      <c r="N408" s="51"/>
      <c r="O408" s="53">
        <f>IF(DAY(Déc_Dim1)=1,Déc_Dim1+7,Déc_Dim1+14)</f>
        <v>42715</v>
      </c>
    </row>
    <row r="409" spans="1:21" s="13" customFormat="1" ht="55.5" customHeight="1" x14ac:dyDescent="0.25">
      <c r="A409" s="6"/>
      <c r="B409" s="116"/>
      <c r="C409" s="117"/>
      <c r="D409" s="117"/>
      <c r="E409" s="117"/>
      <c r="F409" s="117" t="s">
        <v>7</v>
      </c>
      <c r="G409" s="117"/>
      <c r="H409" s="117"/>
      <c r="I409" s="117"/>
      <c r="J409" s="117"/>
      <c r="K409" s="117"/>
      <c r="L409" s="120"/>
      <c r="M409" s="120"/>
      <c r="N409" s="120"/>
      <c r="O409" s="120"/>
    </row>
    <row r="410" spans="1:21" s="13" customFormat="1" ht="8.25" customHeight="1" x14ac:dyDescent="0.25">
      <c r="A410" s="6"/>
      <c r="B410" s="119"/>
      <c r="C410" s="119"/>
      <c r="D410" s="119"/>
      <c r="E410" s="119"/>
      <c r="F410" s="119"/>
      <c r="G410" s="119"/>
      <c r="H410" s="119"/>
      <c r="I410" s="119"/>
      <c r="J410" s="119"/>
      <c r="K410" s="119"/>
      <c r="L410" s="115"/>
      <c r="M410" s="115"/>
      <c r="N410" s="115"/>
      <c r="O410" s="115"/>
    </row>
    <row r="411" spans="1:21" s="10" customFormat="1" ht="16.5" customHeight="1" x14ac:dyDescent="0.25">
      <c r="A411" s="9"/>
      <c r="B411" s="52"/>
      <c r="C411" s="53">
        <f>IF(DAY(Déc_Dim1)=1,Déc_Dim1+8,Déc_Dim1+15)</f>
        <v>42716</v>
      </c>
      <c r="D411" s="51"/>
      <c r="E411" s="53">
        <f>IF(DAY(Déc_Dim1)=1,Déc_Dim1+9,Déc_Dim1+16)</f>
        <v>42717</v>
      </c>
      <c r="F411" s="51"/>
      <c r="G411" s="53">
        <f>IF(DAY(Déc_Dim1)=1,Déc_Dim1+10,Déc_Dim1+17)</f>
        <v>42718</v>
      </c>
      <c r="H411" s="51"/>
      <c r="I411" s="53">
        <f>IF(DAY(Déc_Dim1)=1,Déc_Dim1+11,Déc_Dim1+18)</f>
        <v>42719</v>
      </c>
      <c r="J411" s="51"/>
      <c r="K411" s="53">
        <f>IF(DAY(Déc_Dim1)=1,Déc_Dim1+12,Déc_Dim1+19)</f>
        <v>42720</v>
      </c>
      <c r="L411" s="51"/>
      <c r="M411" s="53">
        <f>IF(DAY(Déc_Dim1)=1,Déc_Dim1+13,Déc_Dim1+20)</f>
        <v>42721</v>
      </c>
      <c r="N411" s="51"/>
      <c r="O411" s="53">
        <f>IF(DAY(Déc_Dim1)=1,Déc_Dim1+14,Déc_Dim1+21)</f>
        <v>42722</v>
      </c>
    </row>
    <row r="412" spans="1:21" s="13" customFormat="1" ht="55.5" customHeight="1" x14ac:dyDescent="0.25">
      <c r="A412" s="6"/>
      <c r="B412" s="116"/>
      <c r="C412" s="117"/>
      <c r="D412" s="117"/>
      <c r="E412" s="117"/>
      <c r="F412" s="117"/>
      <c r="G412" s="117"/>
      <c r="H412" s="117"/>
      <c r="I412" s="117"/>
      <c r="J412" s="117"/>
      <c r="K412" s="117"/>
      <c r="L412" s="120"/>
      <c r="M412" s="120"/>
      <c r="N412" s="120"/>
      <c r="O412" s="120"/>
    </row>
    <row r="413" spans="1:21" s="13" customFormat="1" ht="8.25" customHeight="1" x14ac:dyDescent="0.25">
      <c r="A413" s="6"/>
      <c r="B413" s="119"/>
      <c r="C413" s="119"/>
      <c r="D413" s="119"/>
      <c r="E413" s="119"/>
      <c r="F413" s="119"/>
      <c r="G413" s="119"/>
      <c r="H413" s="119"/>
      <c r="I413" s="119"/>
      <c r="J413" s="119"/>
      <c r="K413" s="119"/>
      <c r="L413" s="115"/>
      <c r="M413" s="115"/>
      <c r="N413" s="115"/>
      <c r="O413" s="115"/>
    </row>
    <row r="414" spans="1:21" s="10" customFormat="1" ht="16.5" customHeight="1" x14ac:dyDescent="0.25">
      <c r="A414" s="9"/>
      <c r="B414" s="52"/>
      <c r="C414" s="53">
        <f>IF(DAY(Déc_Dim1)=1,Déc_Dim1+15,Déc_Dim1+22)</f>
        <v>42723</v>
      </c>
      <c r="D414" s="51"/>
      <c r="E414" s="53">
        <f>IF(DAY(Déc_Dim1)=1,Déc_Dim1+16,Déc_Dim1+23)</f>
        <v>42724</v>
      </c>
      <c r="F414" s="51"/>
      <c r="G414" s="53">
        <f>IF(DAY(Déc_Dim1)=1,Déc_Dim1+17,Déc_Dim1+24)</f>
        <v>42725</v>
      </c>
      <c r="H414" s="51"/>
      <c r="I414" s="53">
        <f>IF(DAY(Déc_Dim1)=1,Déc_Dim1+18,Déc_Dim1+25)</f>
        <v>42726</v>
      </c>
      <c r="J414" s="51"/>
      <c r="K414" s="53">
        <f>IF(DAY(Déc_Dim1)=1,Déc_Dim1+19,Déc_Dim1+26)</f>
        <v>42727</v>
      </c>
      <c r="L414" s="51"/>
      <c r="M414" s="53">
        <f>IF(DAY(Déc_Dim1)=1,Déc_Dim1+20,Déc_Dim1+27)</f>
        <v>42728</v>
      </c>
      <c r="N414" s="51"/>
      <c r="O414" s="53">
        <f>IF(DAY(Déc_Dim1)=1,Déc_Dim1+21,Déc_Dim1+28)</f>
        <v>42729</v>
      </c>
    </row>
    <row r="415" spans="1:21" s="13" customFormat="1" ht="55.5" customHeight="1" x14ac:dyDescent="0.25">
      <c r="A415" s="6"/>
      <c r="B415" s="116"/>
      <c r="C415" s="117"/>
      <c r="D415" s="117"/>
      <c r="E415" s="117"/>
      <c r="F415" s="117"/>
      <c r="G415" s="117"/>
      <c r="H415" s="117"/>
      <c r="I415" s="117"/>
      <c r="J415" s="117"/>
      <c r="K415" s="117"/>
      <c r="L415" s="120"/>
      <c r="M415" s="120"/>
      <c r="N415" s="120"/>
      <c r="O415" s="120"/>
    </row>
    <row r="416" spans="1:21" s="13" customFormat="1" ht="8.25" customHeight="1" x14ac:dyDescent="0.25">
      <c r="A416" s="6"/>
      <c r="B416" s="119"/>
      <c r="C416" s="119"/>
      <c r="D416" s="119"/>
      <c r="E416" s="119"/>
      <c r="F416" s="119"/>
      <c r="G416" s="119"/>
      <c r="H416" s="119"/>
      <c r="I416" s="119"/>
      <c r="J416" s="119"/>
      <c r="K416" s="119"/>
      <c r="L416" s="115"/>
      <c r="M416" s="115"/>
      <c r="N416" s="115"/>
      <c r="O416" s="115"/>
    </row>
    <row r="417" spans="1:15" s="10" customFormat="1" ht="16.5" customHeight="1" x14ac:dyDescent="0.25">
      <c r="A417" s="9"/>
      <c r="B417" s="52"/>
      <c r="C417" s="53">
        <f>IF(DAY(Déc_Dim1)=1,Déc_Dim1+22,Déc_Dim1+29)</f>
        <v>42730</v>
      </c>
      <c r="D417" s="51"/>
      <c r="E417" s="53">
        <f>IF(DAY(Déc_Dim1)=1,Déc_Dim1+23,Déc_Dim1+30)</f>
        <v>42731</v>
      </c>
      <c r="F417" s="51"/>
      <c r="G417" s="53">
        <f>IF(DAY(Déc_Dim1)=1,Déc_Dim1+24,Déc_Dim1+31)</f>
        <v>42732</v>
      </c>
      <c r="H417" s="51"/>
      <c r="I417" s="53">
        <f>IF(DAY(Déc_Dim1)=1,Déc_Dim1+25,Déc_Dim1+32)</f>
        <v>42733</v>
      </c>
      <c r="J417" s="51"/>
      <c r="K417" s="53">
        <f>IF(DAY(Déc_Dim1)=1,Déc_Dim1+26,Déc_Dim1+33)</f>
        <v>42734</v>
      </c>
      <c r="L417" s="51"/>
      <c r="M417" s="53">
        <f>IF(DAY(Déc_Dim1)=1,Déc_Dim1+27,Déc_Dim1+34)</f>
        <v>42735</v>
      </c>
      <c r="N417" s="51"/>
      <c r="O417" s="53">
        <f>IF(DAY(Déc_Dim1)=1,Déc_Dim1+28,Déc_Dim1+35)</f>
        <v>42736</v>
      </c>
    </row>
    <row r="418" spans="1:15" s="13" customFormat="1" ht="55.5" customHeight="1" x14ac:dyDescent="0.25">
      <c r="A418" s="6"/>
      <c r="B418" s="116"/>
      <c r="C418" s="117"/>
      <c r="D418" s="117"/>
      <c r="E418" s="117"/>
      <c r="F418" s="117"/>
      <c r="G418" s="117"/>
      <c r="H418" s="117"/>
      <c r="I418" s="117"/>
      <c r="J418" s="117"/>
      <c r="K418" s="117"/>
      <c r="L418" s="120"/>
      <c r="M418" s="120"/>
      <c r="N418" s="120"/>
      <c r="O418" s="120"/>
    </row>
    <row r="419" spans="1:15" s="13" customFormat="1" ht="8.25" customHeight="1" x14ac:dyDescent="0.25">
      <c r="A419" s="6"/>
      <c r="B419" s="119"/>
      <c r="C419" s="119"/>
      <c r="D419" s="119"/>
      <c r="E419" s="119"/>
      <c r="F419" s="119"/>
      <c r="G419" s="119"/>
      <c r="H419" s="119"/>
      <c r="I419" s="119"/>
      <c r="J419" s="119"/>
      <c r="K419" s="119"/>
      <c r="L419" s="115"/>
      <c r="M419" s="115"/>
      <c r="N419" s="115"/>
      <c r="O419" s="115"/>
    </row>
    <row r="420" spans="1:15" s="10" customFormat="1" ht="16.5" customHeight="1" x14ac:dyDescent="0.25">
      <c r="A420" s="9"/>
      <c r="B420" s="52"/>
      <c r="C420" s="53">
        <f>IF(DAY(Déc_Dim1)=1,Déc_Dim1+29,Déc_Dim1+36)</f>
        <v>42737</v>
      </c>
      <c r="D420" s="51"/>
      <c r="E420" s="53">
        <f>IF(DAY(Déc_Dim1)=1,Déc_Dim1+30,Déc_Dim1+37)</f>
        <v>42738</v>
      </c>
      <c r="F420" s="51"/>
      <c r="G420" s="53">
        <f>IF(DAY(Déc_Dim1)=1,Déc_Dim1+31,Déc_Dim1+38)</f>
        <v>42739</v>
      </c>
      <c r="H420" s="51"/>
      <c r="I420" s="53">
        <f>IF(DAY(Déc_Dim1)=1,Déc_Dim1+32,Déc_Dim1+39)</f>
        <v>42740</v>
      </c>
      <c r="J420" s="51"/>
      <c r="K420" s="53">
        <f>IF(DAY(Déc_Dim1)=1,Déc_Dim1+33,Déc_Dim1+40)</f>
        <v>42741</v>
      </c>
      <c r="L420" s="51"/>
      <c r="M420" s="53">
        <f>IF(DAY(Déc_Dim1)=1,Déc_Dim1+34,Déc_Dim1+41)</f>
        <v>42742</v>
      </c>
      <c r="N420" s="51"/>
      <c r="O420" s="53">
        <f>IF(DAY(Déc_Dim1)=1,Déc_Dim1+35,Déc_Dim1+42)</f>
        <v>42743</v>
      </c>
    </row>
    <row r="421" spans="1:15" s="13" customFormat="1" ht="55.5" customHeight="1" x14ac:dyDescent="0.25">
      <c r="A421" s="6"/>
      <c r="B421" s="116"/>
      <c r="C421" s="117"/>
      <c r="D421" s="117"/>
      <c r="E421" s="117"/>
      <c r="F421" s="118"/>
      <c r="G421" s="118"/>
      <c r="H421" s="118"/>
      <c r="I421" s="118"/>
      <c r="J421" s="118"/>
      <c r="K421" s="118"/>
      <c r="L421" s="118"/>
      <c r="M421" s="118"/>
      <c r="N421" s="118"/>
      <c r="O421" s="118"/>
    </row>
    <row r="422" spans="1:15" s="13" customFormat="1" ht="7.5" customHeight="1" x14ac:dyDescent="0.2">
      <c r="B422" s="14"/>
      <c r="C422" s="14"/>
      <c r="D422" s="14"/>
      <c r="E422" s="14"/>
      <c r="F422" s="14"/>
      <c r="G422" s="14"/>
      <c r="H422" s="14"/>
      <c r="I422" s="14"/>
      <c r="J422" s="14"/>
      <c r="K422" s="14"/>
      <c r="L422" s="14"/>
      <c r="M422" s="14"/>
      <c r="N422" s="14"/>
      <c r="O422" s="14"/>
    </row>
  </sheetData>
  <mergeCells count="1044">
    <mergeCell ref="F21:G21"/>
    <mergeCell ref="H21:I21"/>
    <mergeCell ref="J27:K27"/>
    <mergeCell ref="L27:M27"/>
    <mergeCell ref="N27:O27"/>
    <mergeCell ref="B27:C27"/>
    <mergeCell ref="D27:E27"/>
    <mergeCell ref="F27:G27"/>
    <mergeCell ref="U27:V27"/>
    <mergeCell ref="H22:I22"/>
    <mergeCell ref="F22:G22"/>
    <mergeCell ref="D22:E22"/>
    <mergeCell ref="B22:C22"/>
    <mergeCell ref="N28:O28"/>
    <mergeCell ref="L28:M28"/>
    <mergeCell ref="J28:K28"/>
    <mergeCell ref="H28:I28"/>
    <mergeCell ref="F28:G28"/>
    <mergeCell ref="D28:E28"/>
    <mergeCell ref="B28:C28"/>
    <mergeCell ref="N25:O25"/>
    <mergeCell ref="L25:M25"/>
    <mergeCell ref="J25:K25"/>
    <mergeCell ref="J21:K21"/>
    <mergeCell ref="B15:M15"/>
    <mergeCell ref="B50:M50"/>
    <mergeCell ref="L71:O71"/>
    <mergeCell ref="B86:M86"/>
    <mergeCell ref="L16:M16"/>
    <mergeCell ref="N16:O16"/>
    <mergeCell ref="B18:C18"/>
    <mergeCell ref="D18:E18"/>
    <mergeCell ref="F18:G18"/>
    <mergeCell ref="H18:I18"/>
    <mergeCell ref="J18:K18"/>
    <mergeCell ref="L18:M18"/>
    <mergeCell ref="N18:O18"/>
    <mergeCell ref="B16:C16"/>
    <mergeCell ref="D16:E16"/>
    <mergeCell ref="F16:G16"/>
    <mergeCell ref="H16:I16"/>
    <mergeCell ref="J16:K16"/>
    <mergeCell ref="L33:M33"/>
    <mergeCell ref="N33:O33"/>
    <mergeCell ref="B19:C19"/>
    <mergeCell ref="N19:O19"/>
    <mergeCell ref="L19:M19"/>
    <mergeCell ref="J19:K19"/>
    <mergeCell ref="H19:I19"/>
    <mergeCell ref="F19:G19"/>
    <mergeCell ref="D19:E19"/>
    <mergeCell ref="N22:O22"/>
    <mergeCell ref="L22:M22"/>
    <mergeCell ref="J22:K22"/>
    <mergeCell ref="H30:I30"/>
    <mergeCell ref="J30:K30"/>
    <mergeCell ref="H25:I25"/>
    <mergeCell ref="F30:G30"/>
    <mergeCell ref="N21:O21"/>
    <mergeCell ref="B24:C24"/>
    <mergeCell ref="D24:E24"/>
    <mergeCell ref="F24:G24"/>
    <mergeCell ref="H24:I24"/>
    <mergeCell ref="J24:K24"/>
    <mergeCell ref="L24:M24"/>
    <mergeCell ref="B51:C51"/>
    <mergeCell ref="D51:E51"/>
    <mergeCell ref="F51:G51"/>
    <mergeCell ref="H51:I51"/>
    <mergeCell ref="J51:K51"/>
    <mergeCell ref="L51:M51"/>
    <mergeCell ref="N51:O51"/>
    <mergeCell ref="D31:E31"/>
    <mergeCell ref="B31:C31"/>
    <mergeCell ref="N31:O31"/>
    <mergeCell ref="L31:M31"/>
    <mergeCell ref="J31:K31"/>
    <mergeCell ref="H31:I31"/>
    <mergeCell ref="F31:G31"/>
    <mergeCell ref="D25:E25"/>
    <mergeCell ref="B25:C25"/>
    <mergeCell ref="N50:O50"/>
    <mergeCell ref="L30:M30"/>
    <mergeCell ref="N30:O30"/>
    <mergeCell ref="L21:M21"/>
    <mergeCell ref="N24:O24"/>
    <mergeCell ref="B21:C21"/>
    <mergeCell ref="D21:E21"/>
    <mergeCell ref="F25:G25"/>
    <mergeCell ref="H27:I27"/>
    <mergeCell ref="L35:O35"/>
    <mergeCell ref="N15:O15"/>
    <mergeCell ref="B56:C56"/>
    <mergeCell ref="D56:E56"/>
    <mergeCell ref="F56:G56"/>
    <mergeCell ref="H56:I56"/>
    <mergeCell ref="J56:K56"/>
    <mergeCell ref="L53:M53"/>
    <mergeCell ref="N53:O53"/>
    <mergeCell ref="B54:C54"/>
    <mergeCell ref="D54:E54"/>
    <mergeCell ref="F54:G54"/>
    <mergeCell ref="H54:I54"/>
    <mergeCell ref="J54:K54"/>
    <mergeCell ref="L54:M54"/>
    <mergeCell ref="N54:O54"/>
    <mergeCell ref="B53:C53"/>
    <mergeCell ref="D53:E53"/>
    <mergeCell ref="F53:G53"/>
    <mergeCell ref="H53:I53"/>
    <mergeCell ref="J53:K53"/>
    <mergeCell ref="L56:M56"/>
    <mergeCell ref="N56:O56"/>
    <mergeCell ref="B33:C33"/>
    <mergeCell ref="D33:E33"/>
    <mergeCell ref="F33:G33"/>
    <mergeCell ref="H33:I33"/>
    <mergeCell ref="J33:K33"/>
    <mergeCell ref="B30:C30"/>
    <mergeCell ref="D30:E30"/>
    <mergeCell ref="L59:M59"/>
    <mergeCell ref="N59:O59"/>
    <mergeCell ref="B60:C60"/>
    <mergeCell ref="D60:E60"/>
    <mergeCell ref="F60:G60"/>
    <mergeCell ref="H60:I60"/>
    <mergeCell ref="J60:K60"/>
    <mergeCell ref="L60:M60"/>
    <mergeCell ref="N60:O60"/>
    <mergeCell ref="B59:C59"/>
    <mergeCell ref="D59:E59"/>
    <mergeCell ref="F59:G59"/>
    <mergeCell ref="H59:I59"/>
    <mergeCell ref="J59:K59"/>
    <mergeCell ref="B57:C57"/>
    <mergeCell ref="D57:E57"/>
    <mergeCell ref="F57:G57"/>
    <mergeCell ref="H57:I57"/>
    <mergeCell ref="J57:K57"/>
    <mergeCell ref="L57:M57"/>
    <mergeCell ref="N57:O57"/>
    <mergeCell ref="L65:M65"/>
    <mergeCell ref="N65:O65"/>
    <mergeCell ref="B66:C66"/>
    <mergeCell ref="D66:E66"/>
    <mergeCell ref="F66:G66"/>
    <mergeCell ref="H66:I66"/>
    <mergeCell ref="J66:K66"/>
    <mergeCell ref="L66:M66"/>
    <mergeCell ref="N66:O66"/>
    <mergeCell ref="B65:C65"/>
    <mergeCell ref="D65:E65"/>
    <mergeCell ref="F65:G65"/>
    <mergeCell ref="H65:I65"/>
    <mergeCell ref="J65:K65"/>
    <mergeCell ref="L62:M62"/>
    <mergeCell ref="N62:O62"/>
    <mergeCell ref="B63:C63"/>
    <mergeCell ref="D63:E63"/>
    <mergeCell ref="F63:G63"/>
    <mergeCell ref="H63:I63"/>
    <mergeCell ref="J63:K63"/>
    <mergeCell ref="L63:M63"/>
    <mergeCell ref="N63:O63"/>
    <mergeCell ref="B62:C62"/>
    <mergeCell ref="D62:E62"/>
    <mergeCell ref="F62:G62"/>
    <mergeCell ref="H62:I62"/>
    <mergeCell ref="J62:K62"/>
    <mergeCell ref="L89:M89"/>
    <mergeCell ref="N89:O89"/>
    <mergeCell ref="B90:C90"/>
    <mergeCell ref="D90:E90"/>
    <mergeCell ref="F90:G90"/>
    <mergeCell ref="H90:I90"/>
    <mergeCell ref="J90:K90"/>
    <mergeCell ref="L90:M90"/>
    <mergeCell ref="N90:O90"/>
    <mergeCell ref="B89:C89"/>
    <mergeCell ref="D89:E89"/>
    <mergeCell ref="F89:G89"/>
    <mergeCell ref="H89:I89"/>
    <mergeCell ref="J89:K89"/>
    <mergeCell ref="L68:M68"/>
    <mergeCell ref="N68:O68"/>
    <mergeCell ref="B87:C87"/>
    <mergeCell ref="D87:E87"/>
    <mergeCell ref="F87:G87"/>
    <mergeCell ref="H87:I87"/>
    <mergeCell ref="J87:K87"/>
    <mergeCell ref="L87:M87"/>
    <mergeCell ref="N87:O87"/>
    <mergeCell ref="B68:C68"/>
    <mergeCell ref="D68:E68"/>
    <mergeCell ref="F68:G68"/>
    <mergeCell ref="H68:I68"/>
    <mergeCell ref="J68:K68"/>
    <mergeCell ref="N86:O86"/>
    <mergeCell ref="L95:M95"/>
    <mergeCell ref="N95:O95"/>
    <mergeCell ref="B96:C96"/>
    <mergeCell ref="D96:E96"/>
    <mergeCell ref="F96:G96"/>
    <mergeCell ref="H96:I96"/>
    <mergeCell ref="J96:K96"/>
    <mergeCell ref="L96:M96"/>
    <mergeCell ref="N96:O96"/>
    <mergeCell ref="B95:C95"/>
    <mergeCell ref="D95:E95"/>
    <mergeCell ref="F95:G95"/>
    <mergeCell ref="H95:I95"/>
    <mergeCell ref="J95:K95"/>
    <mergeCell ref="L92:M92"/>
    <mergeCell ref="N92:O92"/>
    <mergeCell ref="B93:C93"/>
    <mergeCell ref="D93:E93"/>
    <mergeCell ref="F93:G93"/>
    <mergeCell ref="H93:I93"/>
    <mergeCell ref="J93:K93"/>
    <mergeCell ref="L93:M93"/>
    <mergeCell ref="N93:O93"/>
    <mergeCell ref="B92:C92"/>
    <mergeCell ref="D92:E92"/>
    <mergeCell ref="F92:G92"/>
    <mergeCell ref="H92:I92"/>
    <mergeCell ref="J92:K92"/>
    <mergeCell ref="L101:M101"/>
    <mergeCell ref="N101:O101"/>
    <mergeCell ref="B102:C102"/>
    <mergeCell ref="D102:E102"/>
    <mergeCell ref="F102:G102"/>
    <mergeCell ref="H102:I102"/>
    <mergeCell ref="J102:K102"/>
    <mergeCell ref="L102:M102"/>
    <mergeCell ref="N102:O102"/>
    <mergeCell ref="B101:C101"/>
    <mergeCell ref="D101:E101"/>
    <mergeCell ref="F101:G101"/>
    <mergeCell ref="H101:I101"/>
    <mergeCell ref="J101:K101"/>
    <mergeCell ref="L98:M98"/>
    <mergeCell ref="N98:O98"/>
    <mergeCell ref="B99:C99"/>
    <mergeCell ref="D99:E99"/>
    <mergeCell ref="F99:G99"/>
    <mergeCell ref="H99:I99"/>
    <mergeCell ref="J99:K99"/>
    <mergeCell ref="L99:M99"/>
    <mergeCell ref="N99:O99"/>
    <mergeCell ref="B98:C98"/>
    <mergeCell ref="D98:E98"/>
    <mergeCell ref="F98:G98"/>
    <mergeCell ref="H98:I98"/>
    <mergeCell ref="J98:K98"/>
    <mergeCell ref="L125:M125"/>
    <mergeCell ref="N125:O125"/>
    <mergeCell ref="B126:C126"/>
    <mergeCell ref="D126:E126"/>
    <mergeCell ref="F126:G126"/>
    <mergeCell ref="H126:I126"/>
    <mergeCell ref="J126:K126"/>
    <mergeCell ref="L126:M126"/>
    <mergeCell ref="N126:O126"/>
    <mergeCell ref="B125:C125"/>
    <mergeCell ref="D125:E125"/>
    <mergeCell ref="F125:G125"/>
    <mergeCell ref="H125:I125"/>
    <mergeCell ref="J125:K125"/>
    <mergeCell ref="L104:M104"/>
    <mergeCell ref="N104:O104"/>
    <mergeCell ref="B123:C123"/>
    <mergeCell ref="D123:E123"/>
    <mergeCell ref="F123:G123"/>
    <mergeCell ref="H123:I123"/>
    <mergeCell ref="J123:K123"/>
    <mergeCell ref="L123:M123"/>
    <mergeCell ref="N123:O123"/>
    <mergeCell ref="B104:C104"/>
    <mergeCell ref="D104:E104"/>
    <mergeCell ref="F104:G104"/>
    <mergeCell ref="H104:I104"/>
    <mergeCell ref="J104:K104"/>
    <mergeCell ref="L107:O107"/>
    <mergeCell ref="N122:O122"/>
    <mergeCell ref="B122:M122"/>
    <mergeCell ref="L131:M131"/>
    <mergeCell ref="N131:O131"/>
    <mergeCell ref="B132:C132"/>
    <mergeCell ref="D132:E132"/>
    <mergeCell ref="F132:G132"/>
    <mergeCell ref="H132:I132"/>
    <mergeCell ref="J132:K132"/>
    <mergeCell ref="L132:M132"/>
    <mergeCell ref="N132:O132"/>
    <mergeCell ref="B131:C131"/>
    <mergeCell ref="D131:E131"/>
    <mergeCell ref="F131:G131"/>
    <mergeCell ref="H131:I131"/>
    <mergeCell ref="J131:K131"/>
    <mergeCell ref="L128:M128"/>
    <mergeCell ref="N128:O128"/>
    <mergeCell ref="B129:C129"/>
    <mergeCell ref="D129:E129"/>
    <mergeCell ref="F129:G129"/>
    <mergeCell ref="H129:I129"/>
    <mergeCell ref="J129:K129"/>
    <mergeCell ref="L129:M129"/>
    <mergeCell ref="N129:O129"/>
    <mergeCell ref="B128:C128"/>
    <mergeCell ref="D128:E128"/>
    <mergeCell ref="F128:G128"/>
    <mergeCell ref="H128:I128"/>
    <mergeCell ref="J128:K128"/>
    <mergeCell ref="L137:M137"/>
    <mergeCell ref="N137:O137"/>
    <mergeCell ref="B138:C138"/>
    <mergeCell ref="D138:E138"/>
    <mergeCell ref="F138:G138"/>
    <mergeCell ref="H138:I138"/>
    <mergeCell ref="J138:K138"/>
    <mergeCell ref="L138:M138"/>
    <mergeCell ref="N138:O138"/>
    <mergeCell ref="B137:C137"/>
    <mergeCell ref="D137:E137"/>
    <mergeCell ref="F137:G137"/>
    <mergeCell ref="H137:I137"/>
    <mergeCell ref="J137:K137"/>
    <mergeCell ref="L134:M134"/>
    <mergeCell ref="N134:O134"/>
    <mergeCell ref="B135:C135"/>
    <mergeCell ref="D135:E135"/>
    <mergeCell ref="F135:G135"/>
    <mergeCell ref="H135:I135"/>
    <mergeCell ref="J135:K135"/>
    <mergeCell ref="L135:M135"/>
    <mergeCell ref="N135:O135"/>
    <mergeCell ref="B134:C134"/>
    <mergeCell ref="D134:E134"/>
    <mergeCell ref="F134:G134"/>
    <mergeCell ref="H134:I134"/>
    <mergeCell ref="J134:K134"/>
    <mergeCell ref="L161:M161"/>
    <mergeCell ref="N161:O161"/>
    <mergeCell ref="B162:C162"/>
    <mergeCell ref="D162:E162"/>
    <mergeCell ref="F162:G162"/>
    <mergeCell ref="H162:I162"/>
    <mergeCell ref="J162:K162"/>
    <mergeCell ref="L162:M162"/>
    <mergeCell ref="N162:O162"/>
    <mergeCell ref="B161:C161"/>
    <mergeCell ref="D161:E161"/>
    <mergeCell ref="F161:G161"/>
    <mergeCell ref="H161:I161"/>
    <mergeCell ref="J161:K161"/>
    <mergeCell ref="L140:M140"/>
    <mergeCell ref="N140:O140"/>
    <mergeCell ref="B159:C159"/>
    <mergeCell ref="D159:E159"/>
    <mergeCell ref="F159:G159"/>
    <mergeCell ref="H159:I159"/>
    <mergeCell ref="J159:K159"/>
    <mergeCell ref="L159:M159"/>
    <mergeCell ref="N159:O159"/>
    <mergeCell ref="B140:C140"/>
    <mergeCell ref="D140:E140"/>
    <mergeCell ref="F140:G140"/>
    <mergeCell ref="H140:I140"/>
    <mergeCell ref="J140:K140"/>
    <mergeCell ref="L143:O143"/>
    <mergeCell ref="N158:O158"/>
    <mergeCell ref="B158:M158"/>
    <mergeCell ref="L167:M167"/>
    <mergeCell ref="N167:O167"/>
    <mergeCell ref="B168:C168"/>
    <mergeCell ref="D168:E168"/>
    <mergeCell ref="F168:G168"/>
    <mergeCell ref="H168:I168"/>
    <mergeCell ref="J168:K168"/>
    <mergeCell ref="L168:M168"/>
    <mergeCell ref="N168:O168"/>
    <mergeCell ref="B167:C167"/>
    <mergeCell ref="D167:E167"/>
    <mergeCell ref="F167:G167"/>
    <mergeCell ref="H167:I167"/>
    <mergeCell ref="J167:K167"/>
    <mergeCell ref="L164:M164"/>
    <mergeCell ref="N164:O164"/>
    <mergeCell ref="B165:C165"/>
    <mergeCell ref="D165:E165"/>
    <mergeCell ref="F165:G165"/>
    <mergeCell ref="H165:I165"/>
    <mergeCell ref="J165:K165"/>
    <mergeCell ref="L165:M165"/>
    <mergeCell ref="N165:O165"/>
    <mergeCell ref="B164:C164"/>
    <mergeCell ref="D164:E164"/>
    <mergeCell ref="F164:G164"/>
    <mergeCell ref="H164:I164"/>
    <mergeCell ref="J164:K164"/>
    <mergeCell ref="L173:M173"/>
    <mergeCell ref="N173:O173"/>
    <mergeCell ref="B174:C174"/>
    <mergeCell ref="D174:E174"/>
    <mergeCell ref="F174:G174"/>
    <mergeCell ref="H174:I174"/>
    <mergeCell ref="J174:K174"/>
    <mergeCell ref="L174:M174"/>
    <mergeCell ref="N174:O174"/>
    <mergeCell ref="B173:C173"/>
    <mergeCell ref="D173:E173"/>
    <mergeCell ref="F173:G173"/>
    <mergeCell ref="H173:I173"/>
    <mergeCell ref="J173:K173"/>
    <mergeCell ref="L178:O178"/>
    <mergeCell ref="N193:O193"/>
    <mergeCell ref="L170:M170"/>
    <mergeCell ref="N170:O170"/>
    <mergeCell ref="B171:C171"/>
    <mergeCell ref="D171:E171"/>
    <mergeCell ref="F171:G171"/>
    <mergeCell ref="H171:I171"/>
    <mergeCell ref="J171:K171"/>
    <mergeCell ref="L171:M171"/>
    <mergeCell ref="N171:O171"/>
    <mergeCell ref="B170:C170"/>
    <mergeCell ref="D170:E170"/>
    <mergeCell ref="F170:G170"/>
    <mergeCell ref="H170:I170"/>
    <mergeCell ref="J170:K170"/>
    <mergeCell ref="L196:M196"/>
    <mergeCell ref="N196:O196"/>
    <mergeCell ref="B197:C197"/>
    <mergeCell ref="D197:E197"/>
    <mergeCell ref="F197:G197"/>
    <mergeCell ref="H197:I197"/>
    <mergeCell ref="J197:K197"/>
    <mergeCell ref="L197:M197"/>
    <mergeCell ref="N197:O197"/>
    <mergeCell ref="B196:C196"/>
    <mergeCell ref="D196:E196"/>
    <mergeCell ref="F196:G196"/>
    <mergeCell ref="H196:I196"/>
    <mergeCell ref="J196:K196"/>
    <mergeCell ref="L176:M176"/>
    <mergeCell ref="N176:O176"/>
    <mergeCell ref="B194:C194"/>
    <mergeCell ref="D194:E194"/>
    <mergeCell ref="F194:G194"/>
    <mergeCell ref="H194:I194"/>
    <mergeCell ref="J194:K194"/>
    <mergeCell ref="L194:M194"/>
    <mergeCell ref="N194:O194"/>
    <mergeCell ref="B176:C176"/>
    <mergeCell ref="D176:E176"/>
    <mergeCell ref="F176:G176"/>
    <mergeCell ref="H176:I176"/>
    <mergeCell ref="J176:K176"/>
    <mergeCell ref="L202:M202"/>
    <mergeCell ref="N202:O202"/>
    <mergeCell ref="B203:C203"/>
    <mergeCell ref="D203:E203"/>
    <mergeCell ref="F203:G203"/>
    <mergeCell ref="H203:I203"/>
    <mergeCell ref="J203:K203"/>
    <mergeCell ref="L203:M203"/>
    <mergeCell ref="N203:O203"/>
    <mergeCell ref="B202:C202"/>
    <mergeCell ref="D202:E202"/>
    <mergeCell ref="F202:G202"/>
    <mergeCell ref="H202:I202"/>
    <mergeCell ref="J202:K202"/>
    <mergeCell ref="L199:M199"/>
    <mergeCell ref="N199:O199"/>
    <mergeCell ref="B200:C200"/>
    <mergeCell ref="D200:E200"/>
    <mergeCell ref="F200:G200"/>
    <mergeCell ref="H200:I200"/>
    <mergeCell ref="J200:K200"/>
    <mergeCell ref="L200:M200"/>
    <mergeCell ref="N200:O200"/>
    <mergeCell ref="B199:C199"/>
    <mergeCell ref="D199:E199"/>
    <mergeCell ref="F199:G199"/>
    <mergeCell ref="H199:I199"/>
    <mergeCell ref="J199:K199"/>
    <mergeCell ref="L208:M208"/>
    <mergeCell ref="N208:O208"/>
    <mergeCell ref="B209:C209"/>
    <mergeCell ref="D209:E209"/>
    <mergeCell ref="F209:G209"/>
    <mergeCell ref="H209:I209"/>
    <mergeCell ref="J209:K209"/>
    <mergeCell ref="L209:M209"/>
    <mergeCell ref="N209:O209"/>
    <mergeCell ref="B208:C208"/>
    <mergeCell ref="D208:E208"/>
    <mergeCell ref="F208:G208"/>
    <mergeCell ref="H208:I208"/>
    <mergeCell ref="J208:K208"/>
    <mergeCell ref="L205:M205"/>
    <mergeCell ref="N205:O205"/>
    <mergeCell ref="B206:C206"/>
    <mergeCell ref="D206:E206"/>
    <mergeCell ref="F206:G206"/>
    <mergeCell ref="H206:I206"/>
    <mergeCell ref="J206:K206"/>
    <mergeCell ref="L206:M206"/>
    <mergeCell ref="N206:O206"/>
    <mergeCell ref="B205:C205"/>
    <mergeCell ref="D205:E205"/>
    <mergeCell ref="F205:G205"/>
    <mergeCell ref="H205:I205"/>
    <mergeCell ref="J205:K205"/>
    <mergeCell ref="L231:M231"/>
    <mergeCell ref="N231:O231"/>
    <mergeCell ref="B232:C232"/>
    <mergeCell ref="D232:E232"/>
    <mergeCell ref="F232:G232"/>
    <mergeCell ref="H232:I232"/>
    <mergeCell ref="J232:K232"/>
    <mergeCell ref="L232:M232"/>
    <mergeCell ref="N232:O232"/>
    <mergeCell ref="B231:C231"/>
    <mergeCell ref="D231:E231"/>
    <mergeCell ref="F231:G231"/>
    <mergeCell ref="H231:I231"/>
    <mergeCell ref="J231:K231"/>
    <mergeCell ref="L211:M211"/>
    <mergeCell ref="N211:O211"/>
    <mergeCell ref="B229:C229"/>
    <mergeCell ref="D229:E229"/>
    <mergeCell ref="F229:G229"/>
    <mergeCell ref="H229:I229"/>
    <mergeCell ref="J229:K229"/>
    <mergeCell ref="L229:M229"/>
    <mergeCell ref="N229:O229"/>
    <mergeCell ref="B211:C211"/>
    <mergeCell ref="D211:E211"/>
    <mergeCell ref="F211:G211"/>
    <mergeCell ref="H211:I211"/>
    <mergeCell ref="J211:K211"/>
    <mergeCell ref="L237:M237"/>
    <mergeCell ref="N237:O237"/>
    <mergeCell ref="B238:C238"/>
    <mergeCell ref="D238:E238"/>
    <mergeCell ref="F238:G238"/>
    <mergeCell ref="H238:I238"/>
    <mergeCell ref="J238:K238"/>
    <mergeCell ref="L238:M238"/>
    <mergeCell ref="N238:O238"/>
    <mergeCell ref="B237:C237"/>
    <mergeCell ref="D237:E237"/>
    <mergeCell ref="F237:G237"/>
    <mergeCell ref="H237:I237"/>
    <mergeCell ref="J237:K237"/>
    <mergeCell ref="L234:M234"/>
    <mergeCell ref="N234:O234"/>
    <mergeCell ref="B235:C235"/>
    <mergeCell ref="D235:E235"/>
    <mergeCell ref="F235:G235"/>
    <mergeCell ref="H235:I235"/>
    <mergeCell ref="J235:K235"/>
    <mergeCell ref="L235:M235"/>
    <mergeCell ref="N235:O235"/>
    <mergeCell ref="B234:C234"/>
    <mergeCell ref="D234:E234"/>
    <mergeCell ref="F234:G234"/>
    <mergeCell ref="H234:I234"/>
    <mergeCell ref="J234:K234"/>
    <mergeCell ref="L243:M243"/>
    <mergeCell ref="N243:O243"/>
    <mergeCell ref="B244:C244"/>
    <mergeCell ref="D244:E244"/>
    <mergeCell ref="F244:G244"/>
    <mergeCell ref="H244:I244"/>
    <mergeCell ref="J244:K244"/>
    <mergeCell ref="L244:M244"/>
    <mergeCell ref="N244:O244"/>
    <mergeCell ref="B243:C243"/>
    <mergeCell ref="D243:E243"/>
    <mergeCell ref="F243:G243"/>
    <mergeCell ref="H243:I243"/>
    <mergeCell ref="J243:K243"/>
    <mergeCell ref="L240:M240"/>
    <mergeCell ref="N240:O240"/>
    <mergeCell ref="B241:C241"/>
    <mergeCell ref="D241:E241"/>
    <mergeCell ref="F241:G241"/>
    <mergeCell ref="H241:I241"/>
    <mergeCell ref="J241:K241"/>
    <mergeCell ref="L241:M241"/>
    <mergeCell ref="N241:O241"/>
    <mergeCell ref="B240:C240"/>
    <mergeCell ref="D240:E240"/>
    <mergeCell ref="F240:G240"/>
    <mergeCell ref="H240:I240"/>
    <mergeCell ref="J240:K240"/>
    <mergeCell ref="L266:M266"/>
    <mergeCell ref="N266:O266"/>
    <mergeCell ref="B267:C267"/>
    <mergeCell ref="D267:E267"/>
    <mergeCell ref="F267:G267"/>
    <mergeCell ref="H267:I267"/>
    <mergeCell ref="J267:K267"/>
    <mergeCell ref="L267:M267"/>
    <mergeCell ref="N267:O267"/>
    <mergeCell ref="B266:C266"/>
    <mergeCell ref="D266:E266"/>
    <mergeCell ref="F266:G266"/>
    <mergeCell ref="H266:I266"/>
    <mergeCell ref="J266:K266"/>
    <mergeCell ref="L246:M246"/>
    <mergeCell ref="N246:O246"/>
    <mergeCell ref="B264:C264"/>
    <mergeCell ref="D264:E264"/>
    <mergeCell ref="F264:G264"/>
    <mergeCell ref="H264:I264"/>
    <mergeCell ref="J264:K264"/>
    <mergeCell ref="L264:M264"/>
    <mergeCell ref="N264:O264"/>
    <mergeCell ref="B246:C246"/>
    <mergeCell ref="D246:E246"/>
    <mergeCell ref="F246:G246"/>
    <mergeCell ref="H246:I246"/>
    <mergeCell ref="J246:K246"/>
    <mergeCell ref="L272:M272"/>
    <mergeCell ref="N272:O272"/>
    <mergeCell ref="B273:C273"/>
    <mergeCell ref="D273:E273"/>
    <mergeCell ref="F273:G273"/>
    <mergeCell ref="H273:I273"/>
    <mergeCell ref="J273:K273"/>
    <mergeCell ref="L273:M273"/>
    <mergeCell ref="N273:O273"/>
    <mergeCell ref="B272:C272"/>
    <mergeCell ref="D272:E272"/>
    <mergeCell ref="F272:G272"/>
    <mergeCell ref="H272:I272"/>
    <mergeCell ref="J272:K272"/>
    <mergeCell ref="L269:M269"/>
    <mergeCell ref="N269:O269"/>
    <mergeCell ref="B270:C270"/>
    <mergeCell ref="D270:E270"/>
    <mergeCell ref="F270:G270"/>
    <mergeCell ref="H270:I270"/>
    <mergeCell ref="J270:K270"/>
    <mergeCell ref="L270:M270"/>
    <mergeCell ref="N270:O270"/>
    <mergeCell ref="B269:C269"/>
    <mergeCell ref="D269:E269"/>
    <mergeCell ref="F269:G269"/>
    <mergeCell ref="H269:I269"/>
    <mergeCell ref="J269:K269"/>
    <mergeCell ref="L278:M278"/>
    <mergeCell ref="N278:O278"/>
    <mergeCell ref="B279:C279"/>
    <mergeCell ref="D279:E279"/>
    <mergeCell ref="F279:G279"/>
    <mergeCell ref="H279:I279"/>
    <mergeCell ref="J279:K279"/>
    <mergeCell ref="L279:M279"/>
    <mergeCell ref="N279:O279"/>
    <mergeCell ref="B278:C278"/>
    <mergeCell ref="D278:E278"/>
    <mergeCell ref="F278:G278"/>
    <mergeCell ref="H278:I278"/>
    <mergeCell ref="J278:K278"/>
    <mergeCell ref="L275:M275"/>
    <mergeCell ref="N275:O275"/>
    <mergeCell ref="B276:C276"/>
    <mergeCell ref="D276:E276"/>
    <mergeCell ref="F276:G276"/>
    <mergeCell ref="H276:I276"/>
    <mergeCell ref="J276:K276"/>
    <mergeCell ref="L276:M276"/>
    <mergeCell ref="N276:O276"/>
    <mergeCell ref="B275:C275"/>
    <mergeCell ref="D275:E275"/>
    <mergeCell ref="F275:G275"/>
    <mergeCell ref="H275:I275"/>
    <mergeCell ref="J275:K275"/>
    <mergeCell ref="L301:M301"/>
    <mergeCell ref="N301:O301"/>
    <mergeCell ref="B302:C302"/>
    <mergeCell ref="D302:E302"/>
    <mergeCell ref="F302:G302"/>
    <mergeCell ref="H302:I302"/>
    <mergeCell ref="J302:K302"/>
    <mergeCell ref="L302:M302"/>
    <mergeCell ref="N302:O302"/>
    <mergeCell ref="B301:C301"/>
    <mergeCell ref="D301:E301"/>
    <mergeCell ref="F301:G301"/>
    <mergeCell ref="H301:I301"/>
    <mergeCell ref="J301:K301"/>
    <mergeCell ref="L281:M281"/>
    <mergeCell ref="N281:O281"/>
    <mergeCell ref="B299:C299"/>
    <mergeCell ref="D299:E299"/>
    <mergeCell ref="F299:G299"/>
    <mergeCell ref="H299:I299"/>
    <mergeCell ref="J299:K299"/>
    <mergeCell ref="L299:M299"/>
    <mergeCell ref="N299:O299"/>
    <mergeCell ref="B281:C281"/>
    <mergeCell ref="D281:E281"/>
    <mergeCell ref="F281:G281"/>
    <mergeCell ref="H281:I281"/>
    <mergeCell ref="J281:K281"/>
    <mergeCell ref="L307:M307"/>
    <mergeCell ref="N307:O307"/>
    <mergeCell ref="B308:C308"/>
    <mergeCell ref="D308:E308"/>
    <mergeCell ref="F308:G308"/>
    <mergeCell ref="H308:I308"/>
    <mergeCell ref="J308:K308"/>
    <mergeCell ref="L308:M308"/>
    <mergeCell ref="N308:O308"/>
    <mergeCell ref="B307:C307"/>
    <mergeCell ref="D307:E307"/>
    <mergeCell ref="F307:G307"/>
    <mergeCell ref="H307:I307"/>
    <mergeCell ref="J307:K307"/>
    <mergeCell ref="L304:M304"/>
    <mergeCell ref="N304:O304"/>
    <mergeCell ref="B305:C305"/>
    <mergeCell ref="D305:E305"/>
    <mergeCell ref="F305:G305"/>
    <mergeCell ref="H305:I305"/>
    <mergeCell ref="J305:K305"/>
    <mergeCell ref="L305:M305"/>
    <mergeCell ref="N305:O305"/>
    <mergeCell ref="B304:C304"/>
    <mergeCell ref="D304:E304"/>
    <mergeCell ref="F304:G304"/>
    <mergeCell ref="H304:I304"/>
    <mergeCell ref="J304:K304"/>
    <mergeCell ref="L313:M313"/>
    <mergeCell ref="N313:O313"/>
    <mergeCell ref="B314:C314"/>
    <mergeCell ref="D314:E314"/>
    <mergeCell ref="F314:G314"/>
    <mergeCell ref="H314:I314"/>
    <mergeCell ref="J314:K314"/>
    <mergeCell ref="L314:M314"/>
    <mergeCell ref="N314:O314"/>
    <mergeCell ref="B313:C313"/>
    <mergeCell ref="D313:E313"/>
    <mergeCell ref="F313:G313"/>
    <mergeCell ref="H313:I313"/>
    <mergeCell ref="J313:K313"/>
    <mergeCell ref="L310:M310"/>
    <mergeCell ref="N310:O310"/>
    <mergeCell ref="B311:C311"/>
    <mergeCell ref="D311:E311"/>
    <mergeCell ref="F311:G311"/>
    <mergeCell ref="H311:I311"/>
    <mergeCell ref="J311:K311"/>
    <mergeCell ref="L311:M311"/>
    <mergeCell ref="N311:O311"/>
    <mergeCell ref="B310:C310"/>
    <mergeCell ref="D310:E310"/>
    <mergeCell ref="F310:G310"/>
    <mergeCell ref="H310:I310"/>
    <mergeCell ref="J310:K310"/>
    <mergeCell ref="L336:M336"/>
    <mergeCell ref="N336:O336"/>
    <mergeCell ref="B337:C337"/>
    <mergeCell ref="D337:E337"/>
    <mergeCell ref="F337:G337"/>
    <mergeCell ref="H337:I337"/>
    <mergeCell ref="J337:K337"/>
    <mergeCell ref="L337:M337"/>
    <mergeCell ref="N337:O337"/>
    <mergeCell ref="B336:C336"/>
    <mergeCell ref="D336:E336"/>
    <mergeCell ref="F336:G336"/>
    <mergeCell ref="H336:I336"/>
    <mergeCell ref="J336:K336"/>
    <mergeCell ref="L316:M316"/>
    <mergeCell ref="N316:O316"/>
    <mergeCell ref="B334:C334"/>
    <mergeCell ref="D334:E334"/>
    <mergeCell ref="F334:G334"/>
    <mergeCell ref="H334:I334"/>
    <mergeCell ref="J334:K334"/>
    <mergeCell ref="L334:M334"/>
    <mergeCell ref="N334:O334"/>
    <mergeCell ref="B316:C316"/>
    <mergeCell ref="D316:E316"/>
    <mergeCell ref="F316:G316"/>
    <mergeCell ref="H316:I316"/>
    <mergeCell ref="J316:K316"/>
    <mergeCell ref="L342:M342"/>
    <mergeCell ref="N342:O342"/>
    <mergeCell ref="B343:C343"/>
    <mergeCell ref="D343:E343"/>
    <mergeCell ref="F343:G343"/>
    <mergeCell ref="H343:I343"/>
    <mergeCell ref="J343:K343"/>
    <mergeCell ref="L343:M343"/>
    <mergeCell ref="N343:O343"/>
    <mergeCell ref="B342:C342"/>
    <mergeCell ref="D342:E342"/>
    <mergeCell ref="F342:G342"/>
    <mergeCell ref="H342:I342"/>
    <mergeCell ref="J342:K342"/>
    <mergeCell ref="L339:M339"/>
    <mergeCell ref="N339:O339"/>
    <mergeCell ref="B340:C340"/>
    <mergeCell ref="D340:E340"/>
    <mergeCell ref="F340:G340"/>
    <mergeCell ref="H340:I340"/>
    <mergeCell ref="J340:K340"/>
    <mergeCell ref="L340:M340"/>
    <mergeCell ref="N340:O340"/>
    <mergeCell ref="B339:C339"/>
    <mergeCell ref="D339:E339"/>
    <mergeCell ref="F339:G339"/>
    <mergeCell ref="H339:I339"/>
    <mergeCell ref="J339:K339"/>
    <mergeCell ref="L348:M348"/>
    <mergeCell ref="N348:O348"/>
    <mergeCell ref="B349:C349"/>
    <mergeCell ref="D349:E349"/>
    <mergeCell ref="F349:G349"/>
    <mergeCell ref="H349:I349"/>
    <mergeCell ref="J349:K349"/>
    <mergeCell ref="L349:M349"/>
    <mergeCell ref="N349:O349"/>
    <mergeCell ref="B348:C348"/>
    <mergeCell ref="D348:E348"/>
    <mergeCell ref="F348:G348"/>
    <mergeCell ref="H348:I348"/>
    <mergeCell ref="J348:K348"/>
    <mergeCell ref="L345:M345"/>
    <mergeCell ref="N345:O345"/>
    <mergeCell ref="B346:C346"/>
    <mergeCell ref="D346:E346"/>
    <mergeCell ref="F346:G346"/>
    <mergeCell ref="H346:I346"/>
    <mergeCell ref="J346:K346"/>
    <mergeCell ref="L346:M346"/>
    <mergeCell ref="N346:O346"/>
    <mergeCell ref="B345:C345"/>
    <mergeCell ref="D345:E345"/>
    <mergeCell ref="F345:G345"/>
    <mergeCell ref="H345:I345"/>
    <mergeCell ref="J345:K345"/>
    <mergeCell ref="L371:M371"/>
    <mergeCell ref="N371:O371"/>
    <mergeCell ref="B372:C372"/>
    <mergeCell ref="D372:E372"/>
    <mergeCell ref="F372:G372"/>
    <mergeCell ref="H372:I372"/>
    <mergeCell ref="J372:K372"/>
    <mergeCell ref="L372:M372"/>
    <mergeCell ref="N372:O372"/>
    <mergeCell ref="B371:C371"/>
    <mergeCell ref="D371:E371"/>
    <mergeCell ref="F371:G371"/>
    <mergeCell ref="H371:I371"/>
    <mergeCell ref="J371:K371"/>
    <mergeCell ref="L351:M351"/>
    <mergeCell ref="N351:O351"/>
    <mergeCell ref="B369:C369"/>
    <mergeCell ref="D369:E369"/>
    <mergeCell ref="F369:G369"/>
    <mergeCell ref="H369:I369"/>
    <mergeCell ref="J369:K369"/>
    <mergeCell ref="L369:M369"/>
    <mergeCell ref="N369:O369"/>
    <mergeCell ref="B351:C351"/>
    <mergeCell ref="D351:E351"/>
    <mergeCell ref="F351:G351"/>
    <mergeCell ref="H351:I351"/>
    <mergeCell ref="J351:K351"/>
    <mergeCell ref="L377:M377"/>
    <mergeCell ref="N377:O377"/>
    <mergeCell ref="B378:C378"/>
    <mergeCell ref="D378:E378"/>
    <mergeCell ref="F378:G378"/>
    <mergeCell ref="H378:I378"/>
    <mergeCell ref="J378:K378"/>
    <mergeCell ref="L378:M378"/>
    <mergeCell ref="N378:O378"/>
    <mergeCell ref="B377:C377"/>
    <mergeCell ref="D377:E377"/>
    <mergeCell ref="F377:G377"/>
    <mergeCell ref="H377:I377"/>
    <mergeCell ref="J377:K377"/>
    <mergeCell ref="L374:M374"/>
    <mergeCell ref="N374:O374"/>
    <mergeCell ref="B375:C375"/>
    <mergeCell ref="D375:E375"/>
    <mergeCell ref="F375:G375"/>
    <mergeCell ref="H375:I375"/>
    <mergeCell ref="J375:K375"/>
    <mergeCell ref="L375:M375"/>
    <mergeCell ref="N375:O375"/>
    <mergeCell ref="B374:C374"/>
    <mergeCell ref="D374:E374"/>
    <mergeCell ref="F374:G374"/>
    <mergeCell ref="H374:I374"/>
    <mergeCell ref="J374:K374"/>
    <mergeCell ref="J384:K384"/>
    <mergeCell ref="L384:M384"/>
    <mergeCell ref="N384:O384"/>
    <mergeCell ref="B383:C383"/>
    <mergeCell ref="D383:E383"/>
    <mergeCell ref="F383:G383"/>
    <mergeCell ref="H383:I383"/>
    <mergeCell ref="J383:K383"/>
    <mergeCell ref="L380:M380"/>
    <mergeCell ref="N380:O380"/>
    <mergeCell ref="B381:C381"/>
    <mergeCell ref="D381:E381"/>
    <mergeCell ref="F381:G381"/>
    <mergeCell ref="H381:I381"/>
    <mergeCell ref="J381:K381"/>
    <mergeCell ref="L381:M381"/>
    <mergeCell ref="N381:O381"/>
    <mergeCell ref="B380:C380"/>
    <mergeCell ref="D380:E380"/>
    <mergeCell ref="F380:G380"/>
    <mergeCell ref="H380:I380"/>
    <mergeCell ref="J380:K380"/>
    <mergeCell ref="L407:M407"/>
    <mergeCell ref="N407:O407"/>
    <mergeCell ref="B409:C409"/>
    <mergeCell ref="D409:E409"/>
    <mergeCell ref="F409:G409"/>
    <mergeCell ref="H409:I409"/>
    <mergeCell ref="J409:K409"/>
    <mergeCell ref="L409:M409"/>
    <mergeCell ref="N409:O409"/>
    <mergeCell ref="B407:C407"/>
    <mergeCell ref="D407:E407"/>
    <mergeCell ref="F407:G407"/>
    <mergeCell ref="H407:I407"/>
    <mergeCell ref="J407:K407"/>
    <mergeCell ref="L404:M404"/>
    <mergeCell ref="N404:O404"/>
    <mergeCell ref="B406:C406"/>
    <mergeCell ref="D406:E406"/>
    <mergeCell ref="F406:G406"/>
    <mergeCell ref="H406:I406"/>
    <mergeCell ref="J406:K406"/>
    <mergeCell ref="L406:M406"/>
    <mergeCell ref="N406:O406"/>
    <mergeCell ref="B404:C404"/>
    <mergeCell ref="D404:E404"/>
    <mergeCell ref="F404:G404"/>
    <mergeCell ref="H404:I404"/>
    <mergeCell ref="J404:K404"/>
    <mergeCell ref="D415:E415"/>
    <mergeCell ref="F415:G415"/>
    <mergeCell ref="H415:I415"/>
    <mergeCell ref="J415:K415"/>
    <mergeCell ref="L415:M415"/>
    <mergeCell ref="N415:O415"/>
    <mergeCell ref="B413:C413"/>
    <mergeCell ref="D413:E413"/>
    <mergeCell ref="F413:G413"/>
    <mergeCell ref="H413:I413"/>
    <mergeCell ref="J413:K413"/>
    <mergeCell ref="L410:M410"/>
    <mergeCell ref="N410:O410"/>
    <mergeCell ref="B412:C412"/>
    <mergeCell ref="D412:E412"/>
    <mergeCell ref="F412:G412"/>
    <mergeCell ref="H412:I412"/>
    <mergeCell ref="J412:K412"/>
    <mergeCell ref="L412:M412"/>
    <mergeCell ref="N412:O412"/>
    <mergeCell ref="B410:C410"/>
    <mergeCell ref="D410:E410"/>
    <mergeCell ref="F410:G410"/>
    <mergeCell ref="H410:I410"/>
    <mergeCell ref="J410:K410"/>
    <mergeCell ref="L413:M413"/>
    <mergeCell ref="N413:O413"/>
    <mergeCell ref="B415:C415"/>
    <mergeCell ref="L419:M419"/>
    <mergeCell ref="N419:O419"/>
    <mergeCell ref="B421:C421"/>
    <mergeCell ref="D421:E421"/>
    <mergeCell ref="F421:G421"/>
    <mergeCell ref="H421:I421"/>
    <mergeCell ref="J421:K421"/>
    <mergeCell ref="L421:M421"/>
    <mergeCell ref="N421:O421"/>
    <mergeCell ref="B419:C419"/>
    <mergeCell ref="D419:E419"/>
    <mergeCell ref="F419:G419"/>
    <mergeCell ref="H419:I419"/>
    <mergeCell ref="J419:K419"/>
    <mergeCell ref="L416:M416"/>
    <mergeCell ref="N416:O416"/>
    <mergeCell ref="B418:C418"/>
    <mergeCell ref="D418:E418"/>
    <mergeCell ref="F418:G418"/>
    <mergeCell ref="H418:I418"/>
    <mergeCell ref="J418:K418"/>
    <mergeCell ref="L418:M418"/>
    <mergeCell ref="N418:O418"/>
    <mergeCell ref="B416:C416"/>
    <mergeCell ref="D416:E416"/>
    <mergeCell ref="F416:G416"/>
    <mergeCell ref="H416:I416"/>
    <mergeCell ref="J416:K416"/>
    <mergeCell ref="L388:O388"/>
    <mergeCell ref="B403:M403"/>
    <mergeCell ref="N403:O403"/>
    <mergeCell ref="B193:M193"/>
    <mergeCell ref="L213:O213"/>
    <mergeCell ref="B228:M228"/>
    <mergeCell ref="N228:O228"/>
    <mergeCell ref="L248:O248"/>
    <mergeCell ref="B263:M263"/>
    <mergeCell ref="N263:O263"/>
    <mergeCell ref="L283:O283"/>
    <mergeCell ref="B298:M298"/>
    <mergeCell ref="N298:O298"/>
    <mergeCell ref="L318:O318"/>
    <mergeCell ref="B333:M333"/>
    <mergeCell ref="N333:O333"/>
    <mergeCell ref="L353:O353"/>
    <mergeCell ref="B368:M368"/>
    <mergeCell ref="N368:O368"/>
    <mergeCell ref="L386:M386"/>
    <mergeCell ref="N386:O386"/>
    <mergeCell ref="B386:C386"/>
    <mergeCell ref="D386:E386"/>
    <mergeCell ref="F386:G386"/>
    <mergeCell ref="H386:I386"/>
    <mergeCell ref="J386:K386"/>
    <mergeCell ref="L383:M383"/>
    <mergeCell ref="N383:O383"/>
    <mergeCell ref="B384:C384"/>
    <mergeCell ref="D384:E384"/>
    <mergeCell ref="F384:G384"/>
    <mergeCell ref="H384:I384"/>
  </mergeCells>
  <phoneticPr fontId="19" type="noConversion"/>
  <conditionalFormatting sqref="C17 E17 G17 I17 K17 M17 O17">
    <cfRule type="expression" dxfId="35" priority="34">
      <formula>DAY(C17)&gt;8</formula>
    </cfRule>
  </conditionalFormatting>
  <conditionalFormatting sqref="C17 E17 G17 I17 K17 M17 O17 C20 E20 G20 I20 K20 M20 O20 C23 E23 G23 I23 K23 M23 O23 C26 E26 G26 I26 K26 M26 O26 C29 E29 G29 I29 K29 M29 O29 C32 E32 G32 I32 K32 M32 O32">
    <cfRule type="expression" dxfId="34" priority="36">
      <formula>B18&lt;&gt;""</formula>
    </cfRule>
  </conditionalFormatting>
  <conditionalFormatting sqref="C29 E29 G29 I29 K29 M29 O29 C32 E32 G32 I32 K32 M32 O32">
    <cfRule type="expression" dxfId="33" priority="35">
      <formula>AND(DAY(C29)&gt;=1,DAY(C29)&lt;=15)</formula>
    </cfRule>
  </conditionalFormatting>
  <conditionalFormatting sqref="C52 E52 G52 I52 K52 M52 O52">
    <cfRule type="expression" dxfId="32" priority="31">
      <formula>DAY(C52)&gt;8</formula>
    </cfRule>
  </conditionalFormatting>
  <conditionalFormatting sqref="C52 E52 G52 I52 K52 M52 O52 C55 E55 G55 I55 K55 M55 O55 C58 E58 G58 I58 K58 M58 O58 C61 E61 G61 I61 K61 M61 O61 C64 E64 G64 I64 K64 M64 O64 C67 E67 G67 I67 K67 M67 O67">
    <cfRule type="expression" dxfId="31" priority="33">
      <formula>B53&lt;&gt;""</formula>
    </cfRule>
  </conditionalFormatting>
  <conditionalFormatting sqref="C64 E64 G64 I64 K64 M64 O64 C67 E67 G67 I67 K67 M67 O67">
    <cfRule type="expression" dxfId="30" priority="32">
      <formula>AND(DAY(C64)&gt;=1,DAY(C64)&lt;=15)</formula>
    </cfRule>
  </conditionalFormatting>
  <conditionalFormatting sqref="C88 E88 G88 I88 K88 M88 O88">
    <cfRule type="expression" dxfId="29" priority="28">
      <formula>DAY(C88)&gt;8</formula>
    </cfRule>
  </conditionalFormatting>
  <conditionalFormatting sqref="C88 E88 G88 I88 K88 M88 O88 C91 E91 G91 I91 K91 M91 O91 C94 E94 G94 I94 K94 M94 O94 C97 E97 G97 I97 K97 M97 O97 C100 E100 G100 I100 K100 M100 O100 C103 E103 G103 I103 K103 M103 O103">
    <cfRule type="expression" dxfId="28" priority="30">
      <formula>B89&lt;&gt;""</formula>
    </cfRule>
  </conditionalFormatting>
  <conditionalFormatting sqref="C100 E100 G100 I100 K100 M100 O100 C103 E103 G103 I103 K103 M103 O103">
    <cfRule type="expression" dxfId="27" priority="29">
      <formula>AND(DAY(C100)&gt;=1,DAY(C100)&lt;=15)</formula>
    </cfRule>
  </conditionalFormatting>
  <conditionalFormatting sqref="C124 E124 G124 I124 K124 M124 O124">
    <cfRule type="expression" dxfId="26" priority="25">
      <formula>DAY(C124)&gt;8</formula>
    </cfRule>
  </conditionalFormatting>
  <conditionalFormatting sqref="C124 E124 G124 I124 K124 M124 O124 C127 E127 G127 I127 K127 M127 O127 C130 E130 G130 I130 K130 M130 O130 C133 E133 G133 I133 K133 M133 O133 C136 E136 G136 I136 K136 M136 O136 C139 E139 G139 I139 K139 M139 O139">
    <cfRule type="expression" dxfId="25" priority="27">
      <formula>B125&lt;&gt;""</formula>
    </cfRule>
  </conditionalFormatting>
  <conditionalFormatting sqref="C136 E136 G136 I136 K136 M136 O136 C139 E139 G139 I139 K139 M139 O139">
    <cfRule type="expression" dxfId="24" priority="26">
      <formula>AND(DAY(C136)&gt;=1,DAY(C136)&lt;=15)</formula>
    </cfRule>
  </conditionalFormatting>
  <conditionalFormatting sqref="C160 E160 G160 I160 K160 M160 O160">
    <cfRule type="expression" dxfId="23" priority="22">
      <formula>DAY(C160)&gt;8</formula>
    </cfRule>
  </conditionalFormatting>
  <conditionalFormatting sqref="C160 E160 G160 I160 K160 M160 O160 C163 E163 G163 I163 K163 M163 O163 C166 E166 G166 I166 K166 M166 O166 C169 E169 G169 I169 K169 M169 O169 C172 E172 G172 I172 K172 M172 O172 C175 E175 G175 I175 K175 M175 O175">
    <cfRule type="expression" dxfId="22" priority="24">
      <formula>B161&lt;&gt;""</formula>
    </cfRule>
  </conditionalFormatting>
  <conditionalFormatting sqref="C172 E172 G172 I172 K172 M172 O172 C175 E175 G175 I175 K175 M175 O175">
    <cfRule type="expression" dxfId="21" priority="23">
      <formula>AND(DAY(C172)&gt;=1,DAY(C172)&lt;=15)</formula>
    </cfRule>
  </conditionalFormatting>
  <conditionalFormatting sqref="C195 E195 G195 I195 K195 M195 O195">
    <cfRule type="expression" dxfId="20" priority="19">
      <formula>DAY(C195)&gt;8</formula>
    </cfRule>
  </conditionalFormatting>
  <conditionalFormatting sqref="C195 E195 G195 I195 K195 M195 O195 C198 E198 G198 I198 K198 M198 O198 C201 E201 G201 I201 K201 M201 O201 C204 E204 G204 I204 K204 M204 O204 C207 E207 G207 I207 K207 M207 O207 C210 E210 G210 I210 K210 M210 O210">
    <cfRule type="expression" dxfId="19" priority="21">
      <formula>B196&lt;&gt;""</formula>
    </cfRule>
  </conditionalFormatting>
  <conditionalFormatting sqref="C207 E207 G207 I207 K207 M207 O207 C210 E210 G210 I210 K210 M210 O210">
    <cfRule type="expression" dxfId="18" priority="20">
      <formula>AND(DAY(C207)&gt;=1,DAY(C207)&lt;=15)</formula>
    </cfRule>
  </conditionalFormatting>
  <conditionalFormatting sqref="C230 E230 G230 I230 K230 M230 O230">
    <cfRule type="expression" dxfId="17" priority="16">
      <formula>DAY(C230)&gt;8</formula>
    </cfRule>
  </conditionalFormatting>
  <conditionalFormatting sqref="C230 E230 G230 I230 K230 M230 O230 C233 E233 G233 I233 K233 M233 O233 C236 E236 G236 I236 K236 M236 O236 C239 E239 G239 I239 K239 M239 O239 C242 E242 G242 I242 K242 M242 O242 C245 E245 G245 I245 K245 M245 O245">
    <cfRule type="expression" dxfId="16" priority="18">
      <formula>B231&lt;&gt;""</formula>
    </cfRule>
  </conditionalFormatting>
  <conditionalFormatting sqref="C242 E242 G242 I242 K242 M242 O242 C245 E245 G245 I245 K245 M245 O245">
    <cfRule type="expression" dxfId="15" priority="17">
      <formula>AND(DAY(C242)&gt;=1,DAY(C242)&lt;=15)</formula>
    </cfRule>
  </conditionalFormatting>
  <conditionalFormatting sqref="C265 E265 G265 I265 K265 M265 O265">
    <cfRule type="expression" dxfId="14" priority="13">
      <formula>DAY(C265)&gt;8</formula>
    </cfRule>
  </conditionalFormatting>
  <conditionalFormatting sqref="C265 E265 G265 I265 K265 M265 O265 C268 E268 G268 I268 K268 M268 O268 C271 E271 G271 I271 K271 M271 O271 C274 E274 G274 I274 K274 M274 O274 C277 E277 G277 I277 K277 M277 O277 C280 E280 G280 I280 K280 M280 O280">
    <cfRule type="expression" dxfId="13" priority="15">
      <formula>B266&lt;&gt;""</formula>
    </cfRule>
  </conditionalFormatting>
  <conditionalFormatting sqref="C277 E277 G277 I277 K277 M277 O277 C280 E280 G280 I280 K280 M280 O280">
    <cfRule type="expression" dxfId="12" priority="14">
      <formula>AND(DAY(C277)&gt;=1,DAY(C277)&lt;=15)</formula>
    </cfRule>
  </conditionalFormatting>
  <conditionalFormatting sqref="C300 E300 G300 I300 K300 M300 O300">
    <cfRule type="expression" dxfId="11" priority="10">
      <formula>DAY(C300)&gt;8</formula>
    </cfRule>
  </conditionalFormatting>
  <conditionalFormatting sqref="C300 E300 G300 I300 K300 M300 O300 C303 E303 G303 I303 K303 M303 O303 C306 E306 G306 I306 K306 M306 O306 C309 E309 G309 I309 K309 M309 O309 C312 E312 G312 I312 K312 M312 O312 C315 E315 G315 I315 K315 M315 O315">
    <cfRule type="expression" dxfId="10" priority="12">
      <formula>B301&lt;&gt;""</formula>
    </cfRule>
  </conditionalFormatting>
  <conditionalFormatting sqref="C312 E312 G312 I312 K312 M312 O312 C315 E315 G315 I315 K315 M315 O315">
    <cfRule type="expression" dxfId="9" priority="11">
      <formula>AND(DAY(C312)&gt;=1,DAY(C312)&lt;=15)</formula>
    </cfRule>
  </conditionalFormatting>
  <conditionalFormatting sqref="C335 E335 G335 I335 K335 M335 O335">
    <cfRule type="expression" dxfId="8" priority="7">
      <formula>DAY(C335)&gt;8</formula>
    </cfRule>
  </conditionalFormatting>
  <conditionalFormatting sqref="C335 E335 G335 I335 K335 M335 O335 C338 E338 G338 I338 K338 M338 O338 C341 E341 G341 I341 K341 M341 O341 C344 E344 G344 I344 K344 M344 O344 C347 E347 G347 I347 K347 M347 O347 C350 E350 G350 I350 K350 M350 O350">
    <cfRule type="expression" dxfId="7" priority="9">
      <formula>B336&lt;&gt;""</formula>
    </cfRule>
  </conditionalFormatting>
  <conditionalFormatting sqref="C347 E347 G347 I347 K347 M347 O347 C350 E350 G350 I350 K350 M350 O350">
    <cfRule type="expression" dxfId="6" priority="8">
      <formula>AND(DAY(C347)&gt;=1,DAY(C347)&lt;=15)</formula>
    </cfRule>
  </conditionalFormatting>
  <conditionalFormatting sqref="C370 E370 G370 I370 K370 M370 O370">
    <cfRule type="expression" dxfId="5" priority="4">
      <formula>DAY(C370)&gt;8</formula>
    </cfRule>
  </conditionalFormatting>
  <conditionalFormatting sqref="C370 E370 G370 I370 K370 M370 O370 C373 E373 G373 I373 K373 M373 O373 C376 E376 G376 I376 K376 M376 O376 C379 E379 G379 I379 K379 M379 O379 C382 E382 G382 I382 K382 M382 O382 C385 E385 G385 I385 K385 M385 O385">
    <cfRule type="expression" dxfId="4" priority="6">
      <formula>B371&lt;&gt;""</formula>
    </cfRule>
  </conditionalFormatting>
  <conditionalFormatting sqref="C382 E382 G382 I382 K382 M382 O382 C385 E385 G385 I385 K385 M385 O385">
    <cfRule type="expression" dxfId="3" priority="5">
      <formula>AND(DAY(C382)&gt;=1,DAY(C382)&lt;=15)</formula>
    </cfRule>
  </conditionalFormatting>
  <conditionalFormatting sqref="C405 E405 G405 I405 K405 M405 O405">
    <cfRule type="expression" dxfId="2" priority="1">
      <formula>DAY(C405)&gt;8</formula>
    </cfRule>
  </conditionalFormatting>
  <conditionalFormatting sqref="C405 E405 G405 I405 K405 M405 O405 C408 E408 G408 I408 K408 M408 O408 C411 E411 G411 I411 K411 M411 O411 C414 E414 G414 I414 K414 M414 O414 C417 E417 G417 I417 K417 M417 O417 C420 E420 G420 I420 K420 M420 O420">
    <cfRule type="expression" dxfId="1" priority="3">
      <formula>B406&lt;&gt;""</formula>
    </cfRule>
  </conditionalFormatting>
  <conditionalFormatting sqref="C417 E417 G417 I417 K417 M417 O417 C420 E420 G420 I420 K420 M420 O420">
    <cfRule type="expression" dxfId="0" priority="2">
      <formula>AND(DAY(C417)&gt;=1,DAY(C417)&lt;=15)</formula>
    </cfRule>
  </conditionalFormatting>
  <printOptions horizontalCentered="1" verticalCentered="1"/>
  <pageMargins left="0.98425196850393704" right="0" top="0" bottom="0" header="0" footer="0"/>
  <pageSetup scale="80" orientation="portrait" r:id="rId1"/>
  <headerFooter scaleWithDoc="0" alignWithMargins="0"/>
  <rowBreaks count="11" manualBreakCount="11">
    <brk id="33" max="16383" man="1"/>
    <brk id="69" max="16383" man="1"/>
    <brk id="105" max="16383" man="1"/>
    <brk id="141" max="16383" man="1"/>
    <brk id="176" max="16383" man="1"/>
    <brk id="211" max="16383" man="1"/>
    <brk id="246" max="16383" man="1"/>
    <brk id="281" max="16383" man="1"/>
    <brk id="316" max="16383" man="1"/>
    <brk id="351" max="16383" man="1"/>
    <brk id="386" max="16383" man="1"/>
  </rowBreaks>
  <customProperties>
    <customPr name="SheetChanged" r:id="rId2"/>
  </customProperties>
  <drawing r:id="rId3"/>
  <legacyDrawing r:id="rId4"/>
  <mc:AlternateContent xmlns:mc="http://schemas.openxmlformats.org/markup-compatibility/2006">
    <mc:Choice Requires="x14">
      <controls>
        <mc:AlternateContent xmlns:mc="http://schemas.openxmlformats.org/markup-compatibility/2006">
          <mc:Choice Requires="x14">
            <control shapeId="1025" r:id="rId5" name="Spinner 1">
              <controlPr defaultSize="0" print="0" autoPict="0" altText="Spinner control. Use spinner to change calendar year or type desired year in cell L2 ">
                <anchor moveWithCells="1">
                  <from>
                    <xdr:col>15</xdr:col>
                    <xdr:colOff>0</xdr:colOff>
                    <xdr:row>14</xdr:row>
                    <xdr:rowOff>190500</xdr:rowOff>
                  </from>
                  <to>
                    <xdr:col>15</xdr:col>
                    <xdr:colOff>190500</xdr:colOff>
                    <xdr:row>15</xdr:row>
                    <xdr:rowOff>0</xdr:rowOff>
                  </to>
                </anchor>
              </controlPr>
            </control>
          </mc:Choice>
        </mc:AlternateContent>
      </controls>
    </mc:Choice>
  </mc:AlternateContent>
  <extLst>
    <ext xmlns:mx="http://schemas.microsoft.com/office/mac/excel/2008/main" uri="{64002731-A6B0-56B0-2670-7721B7C09600}">
      <mx:PLV Mode="0" OnePage="0" WScale="0"/>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mso-contentType ?>
<FormTemplates xmlns="http://schemas.microsoft.com/sharepoint/v3/contenttype/forms">
  <Display>DocumentLibraryForm</Display>
  <Edit>AssetEditForm</Edit>
  <New>DocumentLibraryForm</New>
</FormTemplates>
</file>

<file path=customXml/itemProps1.xml><?xml version="1.0" encoding="utf-8"?>
<ds:datastoreItem xmlns:ds="http://schemas.openxmlformats.org/officeDocument/2006/customXml" ds:itemID="{9B48E20A-A652-4549-ABEA-5A280634883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Feuilles de calcul</vt:lpstr>
      </vt:variant>
      <vt:variant>
        <vt:i4>1</vt:i4>
      </vt:variant>
      <vt:variant>
        <vt:lpstr>Plages nommées</vt:lpstr>
      </vt:variant>
      <vt:variant>
        <vt:i4>2</vt:i4>
      </vt:variant>
    </vt:vector>
  </HeadingPairs>
  <TitlesOfParts>
    <vt:vector size="3" baseType="lpstr">
      <vt:lpstr>Calendrier familial saisons</vt:lpstr>
      <vt:lpstr>Année_Calendaire</vt:lpstr>
      <vt:lpstr>'Calendrier familial saisons'!Zone_d_impression</vt:lpstr>
    </vt:vector>
  </TitlesOfParts>
  <LinksUpToDate>false</LinksUpToDate>
  <SharedDoc>false</SharedDoc>
  <HyperlinkBase/>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Calendrier photo mensuel perpétuel - Thème "Saisons"</dc:title>
  <dc:creator/>
  <cp:keywords/>
  <cp:lastModifiedBy/>
  <dcterms:created xsi:type="dcterms:W3CDTF">2015-11-10T10:22:28Z</dcterms:created>
  <dcterms:modified xsi:type="dcterms:W3CDTF">2015-11-10T10:22:28Z</dcterms:modified>
  <cp:version/>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TemplateID">
    <vt:lpwstr>TC043423779991</vt:lpwstr>
  </property>
</Properties>
</file>