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mc:AlternateContent xmlns:mc="http://schemas.openxmlformats.org/markup-compatibility/2006">
    <mc:Choice Requires="x15">
      <x15ac:absPath xmlns:x15ac="http://schemas.microsoft.com/office/spreadsheetml/2010/11/ac" url="C:\Users\v-zalu\Desktop\"/>
    </mc:Choice>
  </mc:AlternateContent>
  <bookViews>
    <workbookView xWindow="0" yWindow="0" windowWidth="21600" windowHeight="8325" tabRatio="756" xr2:uid="{00000000-000D-0000-FFFF-FFFF00000000}"/>
  </bookViews>
  <sheets>
    <sheet name="COMMENCER" sheetId="6" r:id="rId1"/>
    <sheet name="DÉPENSES PRÉVUES" sheetId="2" r:id="rId2"/>
    <sheet name="DÉPENSES RÉELLES" sheetId="3" r:id="rId3"/>
    <sheet name="ÉCARTS DE DÉPENSES" sheetId="4" r:id="rId4"/>
    <sheet name="ANALYSE DES DÉPENSES" sheetId="5" r:id="rId5"/>
  </sheets>
  <definedNames>
    <definedName name="titre_feuille_de_calcul">'DÉPENSES PRÉVUES'!$K$2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<sst xmlns="http://schemas.openxmlformats.org/spreadsheetml/2006/main" count="456" uniqueCount="108">
  <si>
    <t>À PROPOS DE CE MODÈLE</t>
  </si>
  <si>
    <t>Utilisez ce classeur Budget de dépenses de l’entreprise pour assurer le suivi des dépenses prévues, des dépenses réelles et des écarts de dépenses.</t>
  </si>
  <si>
    <t>Entrez le nom de la société et ajoutez un logo.</t>
  </si>
  <si>
    <t>Entrez les détails dans les tables des feuilles de calcul Dépenses prévues et Dépenses réelles.</t>
  </si>
  <si>
    <t>Les tables sont automatiquement mises à jour dans les feuilles de calcul Écarts de dépenses et Analyse des dépenses.</t>
  </si>
  <si>
    <t>Remarque : </t>
  </si>
  <si>
    <t>Des instructions supplémentaires sont disponibles dans la colonne A de chaque feuille de calcul. Ce texte a été intentionnellement masqué. Pour supprimer le texte, sélectionnez la colonne A et choisissez SUPPRIMER. Pour afficher le texte, sélectionnez la colonne A et changez la couleur de la police.</t>
  </si>
  <si>
    <t>Pour en savoir plus sur les tables, appuyez sur MAJ, puis sur F10 au sein d’une table, et sélectionnez les options TABLE et TEXTE DE REMPLACEMENT.</t>
  </si>
  <si>
    <t>Entrez les dépenses prévues dans les tables Coûts employés, Coûts bureau, Coûts marketing et Coûts formation/déplacements de cette feuille de calcul. Les totaux sont calculés automatiquement. Des instructions utiles sur l’utilisation de cette feuille de calcul sont disponibles dans les cellules dans cette colonne. Appuyez sur la flèche Bas pour commencer.</t>
  </si>
  <si>
    <t>Entrez le nom de la société dans la cellule de droite et le logo dans la cellule N2. Le titre de cette feuille de calcul figure dans la cellule K2.</t>
  </si>
  <si>
    <t>Un conseil apparaît dans la cellule K3.</t>
  </si>
  <si>
    <t>L’étiquette Dépenses prévues se trouve dans la cellule de droite, les mois dans les cellules C4 à N4, l’étiquette Année dans la cellule O4 et les instructions d’utilisation de ce modèle dans la cellule R4.</t>
  </si>
  <si>
    <t>Entrez les coûts marketing dans la table Prévisions marketing en commençant par la cellule de droite. L’instruction suivante figure dans la cellule A30.</t>
  </si>
  <si>
    <t>Entrez les coûts relatifs à la formation et aux déplacements dans la table Prévisions formation et déplacements en commençant par la cellule de droite. L’instruction suivante figure dans la cellule A35.</t>
  </si>
  <si>
    <t>Nom de la société</t>
  </si>
  <si>
    <t>DÉPENSES PRÉVUES</t>
  </si>
  <si>
    <t>Coûts employés</t>
  </si>
  <si>
    <t>Salaires</t>
  </si>
  <si>
    <t>Sous-total</t>
  </si>
  <si>
    <t>Coûts bureau</t>
  </si>
  <si>
    <t>Location des bureaux</t>
  </si>
  <si>
    <t>Gaz</t>
  </si>
  <si>
    <t>Électricité</t>
  </si>
  <si>
    <t>Eau</t>
  </si>
  <si>
    <t>Téléphone</t>
  </si>
  <si>
    <t>Accès à Internet</t>
  </si>
  <si>
    <t>Fournitures de bureau</t>
  </si>
  <si>
    <t>Sécurité</t>
  </si>
  <si>
    <t>Coûts marketing</t>
  </si>
  <si>
    <t>Préparation contrat de garantie</t>
  </si>
  <si>
    <t>Impression contrat de garantie</t>
  </si>
  <si>
    <t>Événements marketing</t>
  </si>
  <si>
    <t>Dépenses diverses</t>
  </si>
  <si>
    <t>Formation/Déplacements</t>
  </si>
  <si>
    <t>Sessions de formation</t>
  </si>
  <si>
    <t>Frais de déplacement liés aux formations</t>
  </si>
  <si>
    <t>TOTAUX</t>
  </si>
  <si>
    <t>Dépenses mensuelles prévues</t>
  </si>
  <si>
    <t>TOTAL des dépenses prévues</t>
  </si>
  <si>
    <t>JAN</t>
  </si>
  <si>
    <t>Jan</t>
  </si>
  <si>
    <t>FÉV</t>
  </si>
  <si>
    <t>Fév</t>
  </si>
  <si>
    <t>MAR</t>
  </si>
  <si>
    <t>Mar</t>
  </si>
  <si>
    <t>AVR</t>
  </si>
  <si>
    <t>Avr</t>
  </si>
  <si>
    <t>MAI</t>
  </si>
  <si>
    <t>Mai</t>
  </si>
  <si>
    <t>JUIN</t>
  </si>
  <si>
    <t>Juin</t>
  </si>
  <si>
    <t>JUIL</t>
  </si>
  <si>
    <t>Juil</t>
  </si>
  <si>
    <t>AOÛ</t>
  </si>
  <si>
    <t>Août</t>
  </si>
  <si>
    <t>Détail des dépenses prévues</t>
  </si>
  <si>
    <t>Les cellules ombrées correspondent aux calculs.</t>
  </si>
  <si>
    <t>SEPT</t>
  </si>
  <si>
    <t>Sept</t>
  </si>
  <si>
    <t>OCT</t>
  </si>
  <si>
    <t>Oct</t>
  </si>
  <si>
    <t>NOV</t>
  </si>
  <si>
    <t>Nov</t>
  </si>
  <si>
    <t>L’espace réservé au logo figure dans cette cellule.</t>
  </si>
  <si>
    <t>DÉC</t>
  </si>
  <si>
    <t>Déc</t>
  </si>
  <si>
    <t>ANNÉE</t>
  </si>
  <si>
    <t>Année</t>
  </si>
  <si>
    <t xml:space="preserve"> </t>
  </si>
  <si>
    <t>Conseil : COMMENT UTILISER CE MODÈLE
Entrez des données dans les cellules blanches des feuilles de calcul DÉPENSES PRÉVUES et DÉPENSES RÉELLES. Les ÉCARTS DE DÉPENSES et l’ANALYSE DES DÉPENSES seront alors calculés pour vous. Si vous ajoutez une ligne sur une feuille, elle doit aussi l’être sur les autres feuilles.</t>
  </si>
  <si>
    <t>Entrez les dépenses réelles dans les tables Coûts employés, Coûts bureau, Coûts marketing et Coûts formation/déplacements de cette feuille de calcul. Les totaux sont calculés automatiquement. Des instructions utiles sur l’utilisation de cette feuille de calcul sont disponibles dans les cellules dans cette colonne. Appuyez sur la flèche Bas pour commencer.</t>
  </si>
  <si>
    <t>Le nom de la société est automatiquement mis à jour dans la cellule de droite. Le titre de cette feuille de calcul figure dans la cellule K2. Entrez le logo dans la cellule N2.</t>
  </si>
  <si>
    <t>L’étiquette Dépenses réelles se trouve dans la cellule de droite, les mois dans les cellules C4 à N4 et l’étiquette Année dans la cellule O4.</t>
  </si>
  <si>
    <t>Entrez les coûts marketing dans la table Dépenses réelles marketing en commençant par la cellule de droite. L’instruction suivante figure dans la cellule A30.</t>
  </si>
  <si>
    <t>Entrez les coûts relatifs à la formation ou aux déplacements dans la table Dépenses réelles formation et déplacements en commençant par la cellule de droite. L’instruction suivante figure dans la cellule A35.</t>
  </si>
  <si>
    <t>DÉPENSES RÉELLES</t>
  </si>
  <si>
    <t>Dépenses réelles mensuelles</t>
  </si>
  <si>
    <t>TOTAL des dépenses réelles</t>
  </si>
  <si>
    <t>Les écarts de dépenses sont automatiquement calculés dans les tables les Coûts employés, Coûts bureau, Coûts marketing et Coûts formation/déplacements de cette feuille de calcul. Des instructions utiles sur l’utilisation de cette feuille de calcul sont disponibles dans les cellules dans cette colonne. Appuyez sur la flèche Bas pour commencer.</t>
  </si>
  <si>
    <t>L’étiquette Écarts de dépenses se trouve dans la cellule de droite, les mois dans les cellules C4 à N4 et l’étiquette Année dans la cellule O4.</t>
  </si>
  <si>
    <t>L’écart relatif aux coûts employés est automatiquement calculé dans la table Écarts employés en commençant par la cellule de droite. L’instruction suivante figure dans la cellule A10.</t>
  </si>
  <si>
    <t>L’écart relatif aux coûts bureau est automatiquement calculé dans la table Écarts bureau en commençant par la cellule de droite. L’instruction suivante figure dans la cellule A21.</t>
  </si>
  <si>
    <t>L’écart relatif aux coûts marketing est automatiquement calculé dans la table Écarts marketing en commençant par la cellule de droite. L’instruction suivante figure dans la cellule A30.</t>
  </si>
  <si>
    <t>ÉCARTS DE DÉPENSES</t>
  </si>
  <si>
    <t xml:space="preserve">Les dépenses prévues et réelles annuelles, les écarts de dépenses et le pourcentage d’écart sont automatiquement mis à jour pour chaque catégorie de dépenses dans cette feuille de calcul. Des instructions utiles sur l’utilisation de cette feuille de calcul sont disponibles dans les cellules dans cette colonne. Appuyez sur la flèche Bas pour commencer. </t>
  </si>
  <si>
    <t>Le nom de la société est automatiquement mis à jour dans la cellule de droite. Entrez le logo dans la cellule F2.</t>
  </si>
  <si>
    <t>Le titre de cette feuille de calcul figure dans la cellule E3. L’instruction suivante figure dans la cellule A5.</t>
  </si>
  <si>
    <t>Les dépenses prévues, les dépenses réelles, l’écart de dépenses et le pourcentage d’écart sont automatiquement calculés dans la table Analyse en commençant par la cellule de droite. L’instruction suivante figure dans la cellule A12.</t>
  </si>
  <si>
    <t>Le graphique en secteurs Dépenses prévues se trouve dans la cellule de droite et le graphique en secteurs Dépenses réelles dans la cellule D12. L’instruction suivante figure dans la cellule A14.</t>
  </si>
  <si>
    <t>Le graphique présentant les dépenses prévues, les dépenses réelles et l’écart en termes de dépenses mensuelles se trouve dans la cellule de droite.</t>
  </si>
  <si>
    <t>Catégorie de dépenses</t>
  </si>
  <si>
    <t>Le graphique en secteurs présentant les dépenses prévues par catégories se trouve dans cette cellule.</t>
  </si>
  <si>
    <t>Dépenses prévues</t>
  </si>
  <si>
    <t>Dépenses réelles</t>
  </si>
  <si>
    <t>Le graphique en secteurs présentant les dépenses réelles par catégories se trouve dans cette cellule.</t>
  </si>
  <si>
    <t>Écarts de dépenses</t>
  </si>
  <si>
    <t>Pourcentage d’écart</t>
  </si>
  <si>
    <t>Entrez les coûts employés dans la table Prévisions employés en commençant par la cellule de droite. L’instruction suivante figure dans la cellule A10.</t>
  </si>
  <si>
    <t>Entrez des coûts bureau dans la table Prévisions bureau en commençant par la cellule de droite. L’instruction suivante figure dans la cellule A21.</t>
  </si>
  <si>
    <t>Les totaux sont automatiquement calculés dans la table Total dépenses prévues en commençant par la cellule de droite.</t>
  </si>
  <si>
    <t>Entrez les coûts employés dans la table Dépenses réelles employés en commençant par la cellule de droite. L’instruction suivante figure dans la cellule A10.</t>
  </si>
  <si>
    <t>Entrez des coûts bureau dans la table Dépenses réelles bureau en commençant par la cellule de droite. L’instruction suivante figure dans la cellule A21.</t>
  </si>
  <si>
    <t>Le total des dépenses réelles est calculé dans la table Total dépenses réelles en commençant par la cellule de droite.</t>
  </si>
  <si>
    <t>L’écart relatif aux coûts de formation/déplacements est automatiquement calculé dans la table Écarts formation et déplacements en commençant par la cellule de droite. L’instruction suivante figure dans la cellule A35.</t>
  </si>
  <si>
    <t>Les écarts de dépenses sont automatiquement calculés dans la table Total écarts en commençant par la cellule de droite.</t>
  </si>
  <si>
    <t>Avantages sociaux</t>
  </si>
  <si>
    <t>Hébergement du site Web</t>
  </si>
  <si>
    <t>Mises à jour du site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</si>
</sst>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 &quot;€&quot;;[Red]#,##0.00\ &quot;€&quot;"/>
    <numFmt numFmtId="167" formatCode="#,##0_ ;\-#,##0\ "/>
    <numFmt numFmtId="168" formatCode="#,##0.00\ [$$-C0C]_);[Red]\(#,##0.00\ [$$-C0C]\)"/>
    <numFmt numFmtId="169" formatCode="0\ %"/>
  </numFmts>
  <fonts count="56"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
      <sz val="10"/>
      <color theme="1"/>
      <name val="Calibri"/>
      <family val="2"/>
    </font>
    <font>
      <b/>
      <sz val="10"/>
      <color theme="1"/>
      <name val="Calibri"/>
      <family val="2"/>
    </font>
    <font>
      <sz val="10"/>
      <color theme="1" tint="0.24994659260841701"/>
      <name val="Calibri"/>
      <family val="2"/>
    </font>
    <font>
      <sz val="10"/>
      <name val="Calibri"/>
      <family val="2"/>
    </font>
    <font>
      <b/>
      <sz val="10"/>
      <name val="Calibri"/>
      <family val="2"/>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6"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165" fontId="38" fillId="0" borderId="0" applyFont="0" applyFill="0" applyBorder="0" applyAlignment="0" applyProtection="0"/>
    <xf numFmtId="164"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2" fillId="16" borderId="0" applyNumberFormat="0" applyBorder="0" applyAlignment="0" applyProtection="0"/>
    <xf numFmtId="0" fontId="43" fillId="17" borderId="33" applyNumberFormat="0" applyAlignment="0" applyProtection="0"/>
    <xf numFmtId="0" fontId="44" fillId="18" borderId="34" applyNumberFormat="0" applyAlignment="0" applyProtection="0"/>
    <xf numFmtId="0" fontId="45" fillId="18" borderId="33" applyNumberFormat="0" applyAlignment="0" applyProtection="0"/>
    <xf numFmtId="0" fontId="46" fillId="0" borderId="35" applyNumberFormat="0" applyFill="0" applyAlignment="0" applyProtection="0"/>
    <xf numFmtId="0" fontId="47" fillId="19" borderId="36" applyNumberFormat="0" applyAlignment="0" applyProtection="0"/>
    <xf numFmtId="0" fontId="48" fillId="0" borderId="0" applyNumberFormat="0" applyFill="0" applyBorder="0" applyAlignment="0" applyProtection="0"/>
    <xf numFmtId="0" fontId="38" fillId="20" borderId="37" applyNumberFormat="0" applyFont="0" applyAlignment="0" applyProtection="0"/>
    <xf numFmtId="0" fontId="49" fillId="0" borderId="38" applyNumberFormat="0" applyFill="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52">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1" fillId="10" borderId="0" xfId="0" applyFont="1"/>
    <xf numFmtId="0" fontId="20" fillId="9" borderId="0" xfId="3" applyNumberFormat="1" applyFont="1" applyFill="1" applyAlignment="1">
      <alignment horizontal="left" vertical="center" indent="1"/>
    </xf>
    <xf numFmtId="0" fontId="15" fillId="4" borderId="5" xfId="0" applyNumberFormat="1" applyFont="1" applyFill="1" applyBorder="1" applyAlignment="1">
      <alignment horizontal="left" vertical="center" indent="1"/>
    </xf>
    <xf numFmtId="0" fontId="4" fillId="10" borderId="4" xfId="0" applyNumberFormat="1" applyFont="1" applyBorder="1" applyAlignment="1"/>
    <xf numFmtId="0" fontId="16"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0" fontId="21" fillId="10" borderId="0" xfId="0" applyFont="1" applyAlignment="1"/>
    <xf numFmtId="0" fontId="22" fillId="12" borderId="0" xfId="3" applyNumberFormat="1" applyFont="1" applyFill="1" applyAlignment="1">
      <alignment horizontal="left"/>
    </xf>
    <xf numFmtId="0" fontId="22"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5" fillId="4" borderId="7" xfId="0" applyNumberFormat="1" applyFont="1" applyFill="1" applyBorder="1" applyAlignment="1">
      <alignment horizontal="left" vertical="center" indent="1"/>
    </xf>
    <xf numFmtId="0" fontId="25" fillId="9" borderId="3" xfId="3" applyNumberFormat="1" applyFont="1" applyFill="1" applyBorder="1" applyAlignment="1">
      <alignment vertical="center"/>
    </xf>
    <xf numFmtId="0" fontId="19" fillId="10" borderId="0" xfId="0" applyFont="1" applyAlignment="1">
      <alignment wrapText="1"/>
    </xf>
    <xf numFmtId="0" fontId="20" fillId="9" borderId="3" xfId="3" applyNumberFormat="1" applyFont="1" applyFill="1" applyBorder="1" applyAlignment="1">
      <alignment horizontal="left" vertical="center" indent="1"/>
    </xf>
    <xf numFmtId="0" fontId="27" fillId="9" borderId="0" xfId="3" applyNumberFormat="1" applyFont="1" applyFill="1" applyAlignment="1">
      <alignment vertical="center"/>
    </xf>
    <xf numFmtId="0" fontId="0" fillId="10" borderId="0" xfId="0" applyAlignment="1">
      <alignment vertical="center"/>
    </xf>
    <xf numFmtId="0" fontId="29" fillId="8" borderId="0" xfId="2" applyFont="1" applyFill="1" applyBorder="1" applyAlignment="1">
      <alignment horizontal="center" vertical="center"/>
    </xf>
    <xf numFmtId="0" fontId="30" fillId="8" borderId="0" xfId="0" applyFont="1" applyFill="1" applyAlignment="1">
      <alignment horizontal="left" vertical="top" indent="1"/>
    </xf>
    <xf numFmtId="0" fontId="31" fillId="10" borderId="0" xfId="0" applyFont="1"/>
    <xf numFmtId="0" fontId="30" fillId="8" borderId="0" xfId="0" applyFont="1" applyFill="1" applyAlignment="1">
      <alignment horizontal="left" vertical="top" wrapText="1" indent="1"/>
    </xf>
    <xf numFmtId="0" fontId="31" fillId="10" borderId="0" xfId="0" applyFont="1" applyAlignment="1"/>
    <xf numFmtId="0" fontId="30" fillId="8" borderId="0" xfId="0" applyFont="1" applyFill="1" applyAlignment="1">
      <alignment horizontal="left" vertical="top" wrapText="1"/>
    </xf>
    <xf numFmtId="0" fontId="31" fillId="10" borderId="0" xfId="0" applyFont="1" applyAlignment="1">
      <alignment wrapText="1"/>
    </xf>
    <xf numFmtId="0" fontId="32"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0" fontId="31" fillId="10" borderId="0" xfId="0" applyFont="1" applyBorder="1"/>
    <xf numFmtId="0" fontId="31" fillId="10" borderId="6" xfId="0" applyFont="1" applyBorder="1"/>
    <xf numFmtId="0" fontId="33" fillId="10" borderId="0" xfId="0" applyFont="1" applyAlignment="1">
      <alignment vertical="center" wrapText="1"/>
    </xf>
    <xf numFmtId="0" fontId="33" fillId="10" borderId="0" xfId="0" applyFont="1" applyAlignment="1">
      <alignment wrapText="1"/>
    </xf>
    <xf numFmtId="0" fontId="34" fillId="10" borderId="0" xfId="0" applyFont="1" applyAlignment="1">
      <alignment vertical="center" wrapText="1"/>
    </xf>
    <xf numFmtId="0" fontId="23" fillId="6" borderId="9" xfId="4" applyNumberFormat="1" applyFont="1" applyFill="1" applyBorder="1" applyAlignment="1">
      <alignment horizontal="left" vertical="center" indent="1"/>
    </xf>
    <xf numFmtId="0" fontId="15"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3" fillId="5" borderId="14" xfId="4" applyNumberFormat="1" applyFont="1" applyFill="1" applyBorder="1">
      <alignment horizontal="left" vertical="center" indent="1"/>
    </xf>
    <xf numFmtId="0" fontId="19" fillId="12" borderId="15" xfId="4" applyNumberFormat="1" applyFont="1" applyFill="1" applyBorder="1">
      <alignment horizontal="left" vertical="center" indent="1"/>
    </xf>
    <xf numFmtId="0" fontId="19" fillId="12" borderId="16" xfId="4" applyNumberFormat="1" applyFont="1" applyFill="1" applyBorder="1">
      <alignment horizontal="left" vertical="center" indent="1"/>
    </xf>
    <xf numFmtId="0" fontId="23" fillId="5" borderId="9" xfId="4" applyNumberFormat="1" applyFont="1" applyFill="1" applyBorder="1">
      <alignment horizontal="left" vertical="center" indent="1"/>
    </xf>
    <xf numFmtId="0" fontId="19" fillId="12" borderId="22" xfId="4" applyNumberFormat="1" applyFont="1" applyFill="1" applyBorder="1">
      <alignment horizontal="left" vertical="center" indent="1"/>
    </xf>
    <xf numFmtId="0" fontId="19" fillId="12" borderId="23" xfId="4" applyNumberFormat="1" applyFont="1" applyFill="1" applyBorder="1">
      <alignment horizontal="left" vertical="center" indent="1"/>
    </xf>
    <xf numFmtId="0" fontId="19" fillId="12" borderId="24" xfId="4" applyNumberFormat="1" applyFont="1" applyFill="1" applyBorder="1">
      <alignment horizontal="left" vertical="center" indent="1"/>
    </xf>
    <xf numFmtId="0" fontId="23" fillId="5" borderId="25" xfId="4" applyNumberFormat="1" applyFont="1" applyFill="1" applyBorder="1">
      <alignment horizontal="left" vertical="center" indent="1"/>
    </xf>
    <xf numFmtId="0" fontId="23" fillId="7" borderId="14" xfId="4" applyNumberFormat="1" applyFont="1" applyFill="1" applyBorder="1">
      <alignment horizontal="left" vertical="center" indent="1"/>
    </xf>
    <xf numFmtId="0" fontId="23" fillId="6" borderId="14" xfId="4" applyNumberFormat="1" applyFont="1" applyFill="1" applyBorder="1">
      <alignment horizontal="left" vertical="center" indent="1"/>
    </xf>
    <xf numFmtId="0" fontId="23" fillId="6" borderId="14" xfId="4" applyNumberFormat="1" applyFont="1" applyFill="1" applyBorder="1" applyAlignment="1">
      <alignment horizontal="left" vertical="center" indent="1"/>
    </xf>
    <xf numFmtId="0" fontId="19" fillId="12" borderId="15" xfId="4" applyNumberFormat="1" applyFont="1" applyFill="1" applyBorder="1" applyAlignment="1">
      <alignment horizontal="center" vertical="center"/>
    </xf>
    <xf numFmtId="0" fontId="19" fillId="12" borderId="16" xfId="4" applyNumberFormat="1" applyFont="1" applyFill="1" applyBorder="1" applyAlignment="1">
      <alignment horizontal="center" vertical="center"/>
    </xf>
    <xf numFmtId="0" fontId="19"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37" fillId="4" borderId="0" xfId="0" applyFont="1" applyFill="1" applyAlignment="1">
      <alignment horizontal="left" vertical="top" indent="1"/>
    </xf>
    <xf numFmtId="0" fontId="19" fillId="12" borderId="15" xfId="4" applyNumberFormat="1" applyFont="1" applyFill="1" applyBorder="1" applyAlignment="1">
      <alignment horizontal="left" vertical="center" indent="1"/>
    </xf>
    <xf numFmtId="0" fontId="19" fillId="12" borderId="16" xfId="4" applyNumberFormat="1" applyFont="1" applyFill="1" applyBorder="1" applyAlignment="1">
      <alignment horizontal="left" vertical="center" indent="1"/>
    </xf>
    <xf numFmtId="0" fontId="15" fillId="4" borderId="17" xfId="0" applyNumberFormat="1" applyFont="1" applyFill="1" applyBorder="1" applyAlignment="1">
      <alignment horizontal="left" vertical="center" indent="1"/>
    </xf>
    <xf numFmtId="0" fontId="24" fillId="11" borderId="19" xfId="0" applyFont="1" applyFill="1" applyBorder="1" applyAlignment="1">
      <alignment horizontal="left" vertical="center" indent="1"/>
    </xf>
    <xf numFmtId="0" fontId="19" fillId="12" borderId="14" xfId="4" applyNumberFormat="1" applyFont="1" applyFill="1" applyBorder="1" applyAlignment="1">
      <alignment horizontal="left" vertical="center" indent="1"/>
    </xf>
    <xf numFmtId="0" fontId="24" fillId="11" borderId="11" xfId="0" applyFont="1" applyFill="1" applyBorder="1" applyAlignment="1">
      <alignment horizontal="left" vertical="center" indent="1"/>
    </xf>
    <xf numFmtId="0" fontId="24" fillId="11" borderId="19" xfId="0" applyFont="1" applyFill="1" applyBorder="1" applyAlignment="1">
      <alignment horizontal="left" vertical="center" indent="2"/>
    </xf>
    <xf numFmtId="0" fontId="23" fillId="7" borderId="9" xfId="4" applyNumberFormat="1" applyFont="1" applyFill="1" applyBorder="1">
      <alignment horizontal="left" vertical="center" indent="1"/>
    </xf>
    <xf numFmtId="0" fontId="15" fillId="4" borderId="4" xfId="0" applyNumberFormat="1" applyFont="1" applyFill="1" applyBorder="1" applyAlignment="1">
      <alignment horizontal="left" vertical="center" indent="1"/>
    </xf>
    <xf numFmtId="0" fontId="27" fillId="9" borderId="32" xfId="3" applyNumberFormat="1" applyFont="1" applyFill="1" applyBorder="1" applyAlignment="1">
      <alignment vertical="center"/>
    </xf>
    <xf numFmtId="0" fontId="19" fillId="12" borderId="15" xfId="4" applyNumberFormat="1" applyFont="1" applyFill="1" applyBorder="1" applyAlignment="1">
      <alignment horizontal="left"/>
    </xf>
    <xf numFmtId="0" fontId="19" fillId="12" borderId="16" xfId="4" applyNumberFormat="1" applyFont="1" applyFill="1" applyBorder="1" applyAlignment="1">
      <alignment horizontal="left"/>
    </xf>
    <xf numFmtId="0" fontId="18" fillId="11" borderId="19" xfId="0" applyNumberFormat="1" applyFont="1" applyFill="1" applyBorder="1" applyAlignment="1">
      <alignment horizontal="left" vertical="center" indent="1"/>
    </xf>
    <xf numFmtId="0" fontId="17"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5"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164" fontId="19" fillId="12" borderId="23" xfId="4" applyNumberFormat="1" applyFont="1" applyFill="1" applyBorder="1">
      <alignment horizontal="left" vertical="center" indent="1"/>
    </xf>
    <xf numFmtId="164" fontId="19" fillId="12" borderId="15" xfId="4" applyNumberFormat="1" applyFont="1" applyFill="1" applyBorder="1">
      <alignment horizontal="left" vertical="center" indent="1"/>
    </xf>
    <xf numFmtId="164" fontId="19" fillId="12" borderId="15" xfId="4" applyNumberFormat="1" applyFont="1" applyFill="1" applyBorder="1" applyAlignment="1">
      <alignment horizontal="left" vertical="center" indent="1"/>
    </xf>
    <xf numFmtId="166" fontId="0" fillId="10" borderId="0" xfId="0" applyNumberFormat="1" applyFont="1" applyBorder="1" applyAlignment="1">
      <alignment horizontal="right"/>
    </xf>
    <xf numFmtId="167" fontId="4" fillId="10" borderId="0" xfId="0" applyNumberFormat="1" applyFont="1" applyAlignment="1">
      <alignment horizontal="right"/>
    </xf>
    <xf numFmtId="167" fontId="6" fillId="10" borderId="0" xfId="0" applyNumberFormat="1" applyFont="1" applyAlignment="1">
      <alignment horizontal="right"/>
    </xf>
    <xf numFmtId="167" fontId="7" fillId="10" borderId="0" xfId="0" applyNumberFormat="1" applyFont="1" applyAlignment="1">
      <alignment horizontal="right"/>
    </xf>
    <xf numFmtId="0" fontId="2" fillId="8" borderId="0" xfId="0" applyNumberFormat="1" applyFont="1" applyFill="1" applyAlignment="1">
      <alignment horizontal="left" vertical="top" indent="1"/>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xf numFmtId="168" fontId="0" fillId="13" borderId="17" xfId="0" applyNumberFormat="1" applyFont="1" applyFill="1" applyBorder="1" applyAlignment="1">
      <alignment horizontal="right" vertical="center"/>
    </xf>
    <xf numFmtId="168" fontId="0" fillId="13" borderId="13" xfId="0" applyNumberFormat="1" applyFont="1" applyFill="1" applyBorder="1" applyAlignment="1">
      <alignment horizontal="right" vertical="center"/>
    </xf>
    <xf numFmtId="168" fontId="0" fillId="11" borderId="18" xfId="0" applyNumberFormat="1" applyFont="1" applyFill="1" applyBorder="1" applyAlignment="1">
      <alignment horizontal="right" vertical="center"/>
    </xf>
    <xf numFmtId="168" fontId="0" fillId="11" borderId="19" xfId="0" applyNumberFormat="1" applyFont="1" applyFill="1" applyBorder="1" applyAlignment="1">
      <alignment horizontal="right" vertical="center"/>
    </xf>
    <xf numFmtId="168" fontId="0" fillId="11" borderId="20" xfId="0" applyNumberFormat="1" applyFont="1" applyFill="1" applyBorder="1" applyAlignment="1">
      <alignment horizontal="right" vertical="center"/>
    </xf>
    <xf numFmtId="168" fontId="0" fillId="11" borderId="21" xfId="0" applyNumberFormat="1" applyFont="1" applyFill="1" applyBorder="1" applyAlignment="1">
      <alignment horizontal="right" vertical="center"/>
    </xf>
    <xf numFmtId="168" fontId="14" fillId="11" borderId="5" xfId="0" applyNumberFormat="1" applyFont="1" applyFill="1" applyBorder="1" applyAlignment="1">
      <alignment horizontal="right" vertical="center"/>
    </xf>
    <xf numFmtId="168" fontId="14" fillId="11" borderId="2" xfId="0" applyNumberFormat="1" applyFont="1" applyFill="1" applyBorder="1" applyAlignment="1">
      <alignment horizontal="right" vertical="center"/>
    </xf>
    <xf numFmtId="169" fontId="0" fillId="11" borderId="2" xfId="0" applyNumberFormat="1" applyFont="1" applyFill="1" applyBorder="1" applyAlignment="1">
      <alignment horizontal="right" vertical="center" indent="2"/>
    </xf>
    <xf numFmtId="169" fontId="0" fillId="11" borderId="5" xfId="0" applyNumberFormat="1" applyFont="1" applyFill="1" applyBorder="1" applyAlignment="1">
      <alignment horizontal="right" vertical="center" indent="2"/>
    </xf>
    <xf numFmtId="0" fontId="19" fillId="10" borderId="0" xfId="0" applyFont="1" applyAlignment="1">
      <alignment wrapText="1"/>
    </xf>
    <xf numFmtId="0" fontId="19" fillId="10" borderId="0" xfId="0" applyFont="1"/>
    <xf numFmtId="0" fontId="26" fillId="4" borderId="0" xfId="0" applyNumberFormat="1" applyFont="1" applyFill="1" applyAlignment="1">
      <alignment horizontal="center" vertical="top"/>
    </xf>
    <xf numFmtId="0" fontId="16" fillId="4" borderId="0" xfId="2" applyNumberFormat="1" applyFont="1" applyFill="1" applyAlignment="1">
      <alignment horizontal="left" indent="1"/>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12" fillId="4" borderId="0" xfId="5" applyNumberFormat="1" applyFill="1" applyAlignment="1">
      <alignment horizontal="left" vertical="top" indent="1"/>
    </xf>
    <xf numFmtId="0" fontId="35" fillId="4" borderId="0" xfId="5"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28" fillId="11" borderId="0" xfId="0" applyFont="1" applyFill="1" applyAlignment="1">
      <alignment horizontal="center"/>
    </xf>
    <xf numFmtId="0" fontId="28"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6" fillId="4" borderId="0" xfId="2" applyNumberFormat="1" applyFont="1" applyFill="1" applyAlignment="1">
      <alignment horizontal="right" vertical="center" indent="3"/>
    </xf>
    <xf numFmtId="0" fontId="36" fillId="4" borderId="0" xfId="2" applyNumberFormat="1" applyFont="1" applyFill="1" applyAlignment="1">
      <alignment horizontal="center" wrapText="1"/>
    </xf>
    <xf numFmtId="168" fontId="51" fillId="13" borderId="17" xfId="0" applyNumberFormat="1" applyFont="1" applyFill="1" applyBorder="1" applyAlignment="1">
      <alignment horizontal="right" vertical="center"/>
    </xf>
    <xf numFmtId="168" fontId="51" fillId="13" borderId="13" xfId="0" applyNumberFormat="1" applyFont="1" applyFill="1" applyBorder="1" applyAlignment="1">
      <alignment horizontal="right" vertical="center"/>
    </xf>
    <xf numFmtId="168" fontId="51" fillId="11" borderId="18" xfId="0" applyNumberFormat="1" applyFont="1" applyFill="1" applyBorder="1" applyAlignment="1">
      <alignment horizontal="right" vertical="center"/>
    </xf>
    <xf numFmtId="168" fontId="51" fillId="11" borderId="19" xfId="0" applyNumberFormat="1" applyFont="1" applyFill="1" applyBorder="1" applyAlignment="1">
      <alignment horizontal="right" vertical="center"/>
    </xf>
    <xf numFmtId="168" fontId="51" fillId="11" borderId="20" xfId="0" applyNumberFormat="1" applyFont="1" applyFill="1" applyBorder="1" applyAlignment="1">
      <alignment horizontal="right" vertical="center"/>
    </xf>
    <xf numFmtId="168" fontId="51" fillId="11" borderId="21" xfId="0" applyNumberFormat="1" applyFont="1" applyFill="1" applyBorder="1" applyAlignment="1">
      <alignment horizontal="right" vertical="center"/>
    </xf>
    <xf numFmtId="168" fontId="51" fillId="11" borderId="27" xfId="0" applyNumberFormat="1" applyFont="1" applyFill="1" applyBorder="1" applyAlignment="1">
      <alignment horizontal="right" vertical="center"/>
    </xf>
    <xf numFmtId="168" fontId="51" fillId="11" borderId="28" xfId="0" applyNumberFormat="1" applyFont="1" applyFill="1" applyBorder="1" applyAlignment="1">
      <alignment horizontal="right" vertical="center"/>
    </xf>
    <xf numFmtId="168" fontId="51" fillId="11" borderId="29" xfId="0" applyNumberFormat="1" applyFont="1" applyFill="1" applyBorder="1" applyAlignment="1">
      <alignment horizontal="right" vertical="center"/>
    </xf>
    <xf numFmtId="168" fontId="53" fillId="13" borderId="17" xfId="0" applyNumberFormat="1" applyFont="1" applyFill="1" applyBorder="1" applyAlignment="1">
      <alignment horizontal="right" vertical="center"/>
    </xf>
    <xf numFmtId="168" fontId="53" fillId="13" borderId="13" xfId="0" applyNumberFormat="1" applyFont="1" applyFill="1" applyBorder="1" applyAlignment="1">
      <alignment horizontal="right" vertical="center"/>
    </xf>
    <xf numFmtId="168" fontId="53" fillId="11" borderId="18" xfId="0" applyNumberFormat="1" applyFont="1" applyFill="1" applyBorder="1" applyAlignment="1">
      <alignment horizontal="right" vertical="center"/>
    </xf>
    <xf numFmtId="168" fontId="53" fillId="11" borderId="19" xfId="0" applyNumberFormat="1" applyFont="1" applyFill="1" applyBorder="1" applyAlignment="1">
      <alignment vertical="center"/>
    </xf>
    <xf numFmtId="168" fontId="53" fillId="11" borderId="20" xfId="0" applyNumberFormat="1" applyFont="1" applyFill="1" applyBorder="1" applyAlignment="1">
      <alignment vertical="center"/>
    </xf>
    <xf numFmtId="168" fontId="53" fillId="11" borderId="21" xfId="0" applyNumberFormat="1" applyFont="1" applyFill="1" applyBorder="1" applyAlignment="1">
      <alignment vertical="center"/>
    </xf>
    <xf numFmtId="168" fontId="53" fillId="11" borderId="20" xfId="0" applyNumberFormat="1" applyFont="1" applyFill="1" applyBorder="1" applyAlignment="1">
      <alignment horizontal="right" vertical="center"/>
    </xf>
    <xf numFmtId="168" fontId="53" fillId="11" borderId="21" xfId="0" applyNumberFormat="1" applyFont="1" applyFill="1" applyBorder="1" applyAlignment="1">
      <alignment horizontal="right" vertical="center"/>
    </xf>
    <xf numFmtId="168" fontId="54" fillId="11" borderId="20" xfId="0" applyNumberFormat="1" applyFont="1" applyFill="1" applyBorder="1" applyAlignment="1">
      <alignment horizontal="right" vertical="center"/>
    </xf>
    <xf numFmtId="168" fontId="52" fillId="11" borderId="31" xfId="0" applyNumberFormat="1" applyFont="1" applyFill="1" applyBorder="1" applyAlignment="1">
      <alignment horizontal="right"/>
    </xf>
    <xf numFmtId="168" fontId="52" fillId="11" borderId="2" xfId="0" applyNumberFormat="1" applyFont="1" applyFill="1" applyBorder="1" applyAlignment="1">
      <alignment horizontal="right"/>
    </xf>
    <xf numFmtId="168" fontId="52" fillId="11" borderId="6" xfId="0" applyNumberFormat="1" applyFont="1" applyFill="1" applyBorder="1" applyAlignment="1">
      <alignment horizontal="right"/>
    </xf>
    <xf numFmtId="168" fontId="52" fillId="11" borderId="8" xfId="0" applyNumberFormat="1" applyFont="1" applyFill="1" applyBorder="1" applyAlignment="1">
      <alignment horizontal="right"/>
    </xf>
    <xf numFmtId="168" fontId="52" fillId="11" borderId="5" xfId="0" applyNumberFormat="1" applyFont="1" applyFill="1" applyBorder="1" applyAlignment="1">
      <alignment horizontal="right"/>
    </xf>
    <xf numFmtId="168" fontId="51" fillId="11" borderId="20" xfId="0" applyNumberFormat="1" applyFont="1" applyFill="1" applyBorder="1" applyAlignment="1">
      <alignment vertical="center"/>
    </xf>
    <xf numFmtId="168" fontId="55" fillId="11" borderId="2" xfId="0" applyNumberFormat="1" applyFont="1" applyFill="1" applyBorder="1" applyAlignment="1">
      <alignment horizontal="right"/>
    </xf>
    <xf numFmtId="168" fontId="55" fillId="11" borderId="8" xfId="0" applyNumberFormat="1" applyFont="1" applyFill="1" applyBorder="1" applyAlignment="1">
      <alignment horizontal="right"/>
    </xf>
    <xf numFmtId="168" fontId="53" fillId="11" borderId="2" xfId="0" applyNumberFormat="1" applyFont="1" applyFill="1" applyBorder="1" applyAlignment="1">
      <alignment horizontal="right" vertical="center" indent="2"/>
    </xf>
    <xf numFmtId="168" fontId="53" fillId="11" borderId="5" xfId="0" applyNumberFormat="1" applyFont="1" applyFill="1" applyBorder="1" applyAlignment="1">
      <alignment horizontal="righ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2"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11" builtinId="15" customBuiltin="1"/>
    <cellStyle name="Total" xfId="22" builtinId="25" customBuiltin="1"/>
    <cellStyle name="Warning Text" xfId="20" builtinId="11" customBuiltin="1"/>
  </cellStyles>
  <dxfs count="463">
    <dxf>
      <font>
        <b val="0"/>
        <i val="0"/>
        <strike val="0"/>
        <condense val="0"/>
        <extend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numFmt numFmtId="169" formatCode="0\ %"/>
      <fill>
        <patternFill patternType="solid">
          <fgColor indexed="64"/>
          <bgColor theme="6" tint="0.79998168889431442"/>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val="0"/>
        <strike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strike val="0"/>
        <outline val="0"/>
        <shadow val="0"/>
        <u val="none"/>
        <vertAlign val="baseline"/>
        <sz val="10"/>
        <color theme="1" tint="0.24994659260841701"/>
        <name val="Calibri"/>
        <family val="2"/>
        <scheme val="none"/>
      </font>
      <numFmt numFmtId="168" formatCode="#,##0.00\ [$$-C0C]_);[Red]\(#,##0.00\ [$$-C0C]\)"/>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style="medium">
          <color theme="6" tint="0.39997558519241921"/>
        </top>
        <bottom style="medium">
          <color theme="6" tint="0.39997558519241921"/>
        </bottom>
      </border>
    </dxf>
    <dxf>
      <font>
        <strike val="0"/>
        <outline val="0"/>
        <shadow val="0"/>
        <u val="none"/>
        <vertAlign val="baseline"/>
        <sz val="10"/>
        <color theme="1" tint="0.24994659260841701"/>
        <name val="Calibri"/>
        <family val="2"/>
        <scheme val="none"/>
      </font>
      <numFmt numFmtId="168" formatCode="#,##0.00\ [$$-C0C]_);[Red]\(#,##0.00\ [$$-C0C]\)"/>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tint="0.24994659260841701"/>
        <name val="Calibri"/>
        <family val="2"/>
        <scheme val="none"/>
      </font>
      <numFmt numFmtId="168" formatCode="#,##0.00\ [$$-C0C]_);[Red]\(#,##0.00\ [$$-C0C]\)"/>
      <fill>
        <patternFill patternType="solid">
          <fgColor indexed="64"/>
          <bgColor theme="0"/>
        </patternFill>
      </fill>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Calibri"/>
        <family val="2"/>
        <scheme val="none"/>
      </font>
      <numFmt numFmtId="168" formatCode="#,##0.00\ [$$-C0C]_);[Red]\(#,##0.00\ [$$-C0C]\)"/>
      <fill>
        <patternFill patternType="solid">
          <fgColor indexed="64"/>
          <bgColor theme="0"/>
        </patternFill>
      </fill>
      <border diagonalUp="0" diagonalDown="0" outline="0">
        <left/>
        <right style="medium">
          <color theme="6" tint="0.39994506668294322"/>
        </right>
        <top style="medium">
          <color theme="6" tint="0.39994506668294322"/>
        </top>
        <bottom style="medium">
          <color theme="6" tint="0.39994506668294322"/>
        </bottom>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auto="1"/>
        <name val="Microsoft Sans Serif"/>
        <family val="2"/>
        <scheme val="minor"/>
      </font>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8" formatCode="#,##0.00\ [$$-C0C]_);[Red]\(#,##0.00\ [$$-C0C]\)"/>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8" formatCode="#,##0.00\ [$$-C0C]_);[Red]\(#,##0.00\ [$$-C0C]\)"/>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8" formatCode="#,##0.00\ [$$-C0C]_);[Red]\(#,##0.00\ [$$-C0C]\)"/>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62"/>
      <tableStyleElement type="headerRow" dxfId="461"/>
      <tableStyleElement type="totalRow" dxfId="460"/>
      <tableStyleElement type="firstColumn" dxfId="459"/>
      <tableStyleElement type="lastColumn" dxfId="458"/>
      <tableStyleElement type="firstRowStripe" size="9" dxfId="457"/>
      <tableStyleElement type="firstColumnStripe" dxfId="456"/>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Dépenses réelles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en-US"/>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3.9133483346486281E-2"/>
                  <c:y val="0.10124833189842194"/>
                </c:manualLayout>
              </c:layout>
              <c:tx>
                <c:rich>
                  <a:bodyPr/>
                  <a:lstStyle/>
                  <a:p>
                    <a:fld id="{CB2C9EFF-6404-4A6F-AD80-64F031F8259E}" type="CATEGORYNAME">
                      <a:rPr lang="en-US"/>
                      <a:pPr/>
                      <a:t>[CATEGORY NAME]</a:t>
                    </a:fld>
                    <a:r>
                      <a:rPr lang="en-US" baseline="0"/>
                      <a:t>
</a:t>
                    </a:r>
                    <a:fld id="{F701F585-9387-4D33-B5D3-FC019930D49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'ANALYSE DES DÉPENSES'!$B$6:$B$9</c:f>
              <c:strCache>
                <c:ptCount val="4"/>
                <c:pt idx="0">
                  <c:v>Coûts employés</c:v>
                </c:pt>
                <c:pt idx="1">
                  <c:v>Coûts bureau</c:v>
                </c:pt>
                <c:pt idx="2">
                  <c:v>Coûts marketing</c:v>
                </c:pt>
                <c:pt idx="3">
                  <c:v>Formation/Déplacements</c:v>
                </c:pt>
              </c:strCache>
            </c:strRef>
          </c:cat>
          <c:val>
            <c:numRef>
              <c:f>'ANALYSE DES DÉPENSES'!$D$6:$D$9</c:f>
              <c:numCache>
                <c:formatCode>#,##0.00\ [$$-C0C]_);[Red]\(#,##0.00\ [$$-C0C]\)</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3723410124887445"/>
          <c:y val="0.85735021397905353"/>
          <c:w val="0.63513133692934054"/>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Dépenses mensuelles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n-US"/>
        </a:p>
      </c:txPr>
    </c:title>
    <c:autoTitleDeleted val="0"/>
    <c:plotArea>
      <c:layout/>
      <c:barChart>
        <c:barDir val="col"/>
        <c:grouping val="clustered"/>
        <c:varyColors val="0"/>
        <c:ser>
          <c:idx val="1"/>
          <c:order val="1"/>
          <c:tx>
            <c:v>Prévues</c:v>
          </c:tx>
          <c:spPr>
            <a:solidFill>
              <a:schemeClr val="accent3"/>
            </a:solidFill>
            <a:ln>
              <a:noFill/>
            </a:ln>
            <a:effectLst/>
          </c:spPr>
          <c:invertIfNegative val="0"/>
          <c:val>
            <c:numRef>
              <c:f>'DÉPENSES PRÉVUES'!$C$36:$N$36</c:f>
              <c:numCache>
                <c:formatCode>#,##0.00\ [$$-C0C]_);[Red]\(#,##0.00\ [$$-C0C]\)</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Réelles</c:v>
          </c:tx>
          <c:spPr>
            <a:solidFill>
              <a:schemeClr val="accent3">
                <a:tint val="65000"/>
              </a:schemeClr>
            </a:solidFill>
            <a:ln>
              <a:noFill/>
            </a:ln>
            <a:effectLst/>
          </c:spPr>
          <c:invertIfNegative val="0"/>
          <c:val>
            <c:numRef>
              <c:f>'DÉPENSES RÉELLES'!$C$36:$N$36</c:f>
              <c:numCache>
                <c:formatCode>#,##0.00\ [$$-C0C]_);[Red]\(#,##0.00\ [$$-C0C]\)</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Écart</c:v>
          </c:tx>
          <c:spPr>
            <a:ln w="28575" cap="rnd">
              <a:solidFill>
                <a:schemeClr val="accent3">
                  <a:shade val="65000"/>
                </a:schemeClr>
              </a:solidFill>
              <a:round/>
            </a:ln>
            <a:effectLst/>
          </c:spPr>
          <c:marker>
            <c:symbol val="none"/>
          </c:marker>
          <c:val>
            <c:numRef>
              <c:f>'ÉCARTS DE DÉPENSES'!$C$36:$N$36</c:f>
              <c:numCache>
                <c:formatCode>#,##0.00\ [$$-C0C]_);[Red]\(#,##0.00\ [$$-C0C]\)</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Mois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Dépenses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0\ [$$-C0C]_);[Red]\(#,##0.00\ [$$-C0C]\)"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Dépenses prévues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n-US"/>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tx>
                <c:rich>
                  <a:bodyPr/>
                  <a:lstStyle/>
                  <a:p>
                    <a:fld id="{651BD7BC-F1D9-43A8-8D45-67BB078E7419}" type="CATEGORYNAME">
                      <a:rPr lang="en-US"/>
                      <a:pPr/>
                      <a:t>[CATEGORY NAME]</a:t>
                    </a:fld>
                    <a:r>
                      <a:rPr lang="en-US" baseline="0"/>
                      <a:t>
</a:t>
                    </a:r>
                    <a:fld id="{95D09D00-5CEF-4121-A0F2-4AFC7812C3A3}"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7.4682682403057737E-3"/>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'ANALYSE DES DÉPENSES'!$B$6:$B$9</c:f>
              <c:strCache>
                <c:ptCount val="4"/>
                <c:pt idx="0">
                  <c:v>Coûts employés</c:v>
                </c:pt>
                <c:pt idx="1">
                  <c:v>Coûts bureau</c:v>
                </c:pt>
                <c:pt idx="2">
                  <c:v>Coûts marketing</c:v>
                </c:pt>
                <c:pt idx="3">
                  <c:v>Formation/Déplacements</c:v>
                </c:pt>
              </c:strCache>
            </c:strRef>
          </c:cat>
          <c:val>
            <c:numRef>
              <c:f>'ANALYSE DES DÉPENSES'!$C$6:$C$9</c:f>
              <c:numCache>
                <c:formatCode>#,##0.00\ [$$-C0C]_);[Red]\(#,##0.00\ [$$-C0C]\)</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555807741327232"/>
          <c:y val="0.86776684164479445"/>
          <c:w val="0.71249955294049783"/>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Bulle narrative : Rectangle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fr" sz="1100" b="1">
              <a:solidFill>
                <a:schemeClr val="tx2"/>
              </a:solidFill>
              <a:effectLst/>
              <a:latin typeface="Microsoft Sans Serif" panose="020B0604020202020204" pitchFamily="34" charset="0"/>
              <a:ea typeface="+mn-ea"/>
              <a:cs typeface="+mn-cs"/>
            </a:rPr>
            <a:t>COMMENT UTILISER CE MODÈLE</a:t>
          </a:r>
        </a:p>
        <a:p>
          <a:pPr rtl="0"/>
          <a:endParaRPr lang="en-US">
            <a:solidFill>
              <a:schemeClr val="tx2"/>
            </a:solidFill>
            <a:effectLst/>
            <a:latin typeface="Microsoft Sans Serif" panose="020B0604020202020204" pitchFamily="34" charset="0"/>
          </a:endParaRPr>
        </a:p>
        <a:p>
          <a:pPr rtl="0"/>
          <a:r>
            <a:rPr lang="fr" sz="1100">
              <a:solidFill>
                <a:schemeClr val="tx2"/>
              </a:solidFill>
              <a:effectLst/>
              <a:latin typeface="Microsoft Sans Serif" panose="020B0604020202020204" pitchFamily="34" charset="0"/>
              <a:ea typeface="+mn-ea"/>
              <a:cs typeface="+mn-cs"/>
            </a:rPr>
            <a:t>Entrez des données dans les cellules blanches des feuilles de calcul DÉPENSES PRÉVUES et DÉPENSES RÉELLES. Les ÉCARTS DE DÉPENSES et l’ANALYSE DES DÉPENSES seront alors calculés pour vous. Si vous ajoutez une ligne sur une feuille, elle</a:t>
          </a:r>
          <a:r>
            <a:rPr lang="fr" sz="1100" baseline="0">
              <a:solidFill>
                <a:schemeClr val="tx2"/>
              </a:solidFill>
              <a:effectLst/>
              <a:latin typeface="Microsoft Sans Serif" panose="020B0604020202020204" pitchFamily="34" charset="0"/>
              <a:ea typeface="+mn-ea"/>
              <a:cs typeface="+mn-cs"/>
            </a:rPr>
            <a:t> doit aussi l’être sur les autres feuilles.</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267556</xdr:colOff>
      <xdr:row>1</xdr:row>
      <xdr:rowOff>2117</xdr:rowOff>
    </xdr:from>
    <xdr:to>
      <xdr:col>14</xdr:col>
      <xdr:colOff>784447</xdr:colOff>
      <xdr:row>2</xdr:row>
      <xdr:rowOff>139243</xdr:rowOff>
    </xdr:to>
    <xdr:pic>
      <xdr:nvPicPr>
        <xdr:cNvPr id="9" name="Image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602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2117</xdr:rowOff>
    </xdr:from>
    <xdr:to>
      <xdr:col>14</xdr:col>
      <xdr:colOff>784447</xdr:colOff>
      <xdr:row>2</xdr:row>
      <xdr:rowOff>139243</xdr:rowOff>
    </xdr:to>
    <xdr:pic>
      <xdr:nvPicPr>
        <xdr:cNvPr id="6" name="Image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602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270061</xdr:colOff>
      <xdr:row>1</xdr:row>
      <xdr:rowOff>0</xdr:rowOff>
    </xdr:from>
    <xdr:to>
      <xdr:col>14</xdr:col>
      <xdr:colOff>786436</xdr:colOff>
      <xdr:row>2</xdr:row>
      <xdr:rowOff>136902</xdr:rowOff>
    </xdr:to>
    <xdr:pic>
      <xdr:nvPicPr>
        <xdr:cNvPr id="6" name="Image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5071911" y="304800"/>
          <a:ext cx="1630800" cy="708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11</xdr:row>
      <xdr:rowOff>57150</xdr:rowOff>
    </xdr:from>
    <xdr:to>
      <xdr:col>5</xdr:col>
      <xdr:colOff>1447800</xdr:colOff>
      <xdr:row>11</xdr:row>
      <xdr:rowOff>3714751</xdr:rowOff>
    </xdr:to>
    <xdr:graphicFrame macro="">
      <xdr:nvGraphicFramePr>
        <xdr:cNvPr id="13" name="GraphiqueDépensesRéelles"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1558925</xdr:colOff>
      <xdr:row>16</xdr:row>
      <xdr:rowOff>5778</xdr:rowOff>
    </xdr:to>
    <xdr:graphicFrame macro="">
      <xdr:nvGraphicFramePr>
        <xdr:cNvPr id="8" name="GraphiqueDépensesMensuelles"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714375</xdr:colOff>
      <xdr:row>11</xdr:row>
      <xdr:rowOff>3733801</xdr:rowOff>
    </xdr:to>
    <xdr:graphicFrame macro="">
      <xdr:nvGraphicFramePr>
        <xdr:cNvPr id="12" name="GraphiqueDépensesPrévues"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447675</xdr:colOff>
      <xdr:row>1</xdr:row>
      <xdr:rowOff>1635</xdr:rowOff>
    </xdr:from>
    <xdr:to>
      <xdr:col>6</xdr:col>
      <xdr:colOff>69215</xdr:colOff>
      <xdr:row>1</xdr:row>
      <xdr:rowOff>548896</xdr:rowOff>
    </xdr:to>
    <xdr:pic>
      <xdr:nvPicPr>
        <xdr:cNvPr id="9" name="Image 18">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cstate="print">
          <a:biLevel thresh="25000"/>
          <a:extLst>
            <a:ext uri="{28A0092B-C50C-407E-A947-70E740481C1C}">
              <a14:useLocalDpi xmlns:a14="http://schemas.microsoft.com/office/drawing/2010/main" val="0"/>
            </a:ext>
          </a:extLst>
        </a:blip>
        <a:stretch>
          <a:fillRect/>
        </a:stretch>
      </xdr:blipFill>
      <xdr:spPr bwMode="auto">
        <a:xfrm>
          <a:off x="7219950" y="306435"/>
          <a:ext cx="1259840" cy="54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évisionsBureau" displayName="PrévisionsBureau" ref="B10:O19" totalsRowCount="1" headerRowDxfId="455" totalsRowDxfId="452" headerRowBorderDxfId="454" tableBorderDxfId="453" totalsRowBorderDxfId="451">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Coûts bureau" totalsRowLabel="Sous-total" dataDxfId="450" totalsRowDxfId="449"/>
    <tableColumn id="2" xr3:uid="{00000000-0010-0000-0000-000002000000}" name="Jan" totalsRowFunction="sum" dataDxfId="165" totalsRowDxfId="448"/>
    <tableColumn id="3" xr3:uid="{00000000-0010-0000-0000-000003000000}" name="Fév" totalsRowFunction="sum" dataDxfId="164" totalsRowDxfId="447"/>
    <tableColumn id="4" xr3:uid="{00000000-0010-0000-0000-000004000000}" name="Mar" totalsRowFunction="sum" dataDxfId="163" totalsRowDxfId="446"/>
    <tableColumn id="5" xr3:uid="{00000000-0010-0000-0000-000005000000}" name="Avr" totalsRowFunction="sum" dataDxfId="162" totalsRowDxfId="445"/>
    <tableColumn id="6" xr3:uid="{00000000-0010-0000-0000-000006000000}" name="Mai" totalsRowFunction="sum" dataDxfId="161" totalsRowDxfId="444"/>
    <tableColumn id="7" xr3:uid="{00000000-0010-0000-0000-000007000000}" name="Juin" totalsRowFunction="sum" dataDxfId="160" totalsRowDxfId="443"/>
    <tableColumn id="8" xr3:uid="{00000000-0010-0000-0000-000008000000}" name="Juil" totalsRowFunction="sum" dataDxfId="159" totalsRowDxfId="442"/>
    <tableColumn id="9" xr3:uid="{00000000-0010-0000-0000-000009000000}" name="Août" totalsRowFunction="sum" dataDxfId="158" totalsRowDxfId="441"/>
    <tableColumn id="10" xr3:uid="{00000000-0010-0000-0000-00000A000000}" name="Sept" totalsRowFunction="sum" dataDxfId="157" totalsRowDxfId="440"/>
    <tableColumn id="11" xr3:uid="{00000000-0010-0000-0000-00000B000000}" name="Oct" totalsRowFunction="sum" dataDxfId="156" totalsRowDxfId="439"/>
    <tableColumn id="12" xr3:uid="{00000000-0010-0000-0000-00000C000000}" name="Nov" totalsRowFunction="sum" dataDxfId="155" totalsRowDxfId="438"/>
    <tableColumn id="13" xr3:uid="{00000000-0010-0000-0000-00000D000000}" name="Déc" totalsRowFunction="sum" dataDxfId="154" totalsRowDxfId="437"/>
    <tableColumn id="14" xr3:uid="{00000000-0010-0000-0000-00000E000000}" name="ANNÉE" totalsRowFunction="sum" dataDxfId="153" totalsRowDxfId="436">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Entrez les coûts bureau mensuels prévus dans cette table. Le total est automatiquement calculé à la fi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DépensesRéelles" displayName="TotalDépensesRéelles" ref="B35:O37" totalsRowShown="0" headerRowDxfId="264" dataDxfId="263" tableBorderDxfId="262">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des dépenses prévues" dataDxfId="261"/>
    <tableColumn id="2" xr3:uid="{ED08B701-BD0B-43EA-B6B5-8B23D583D505}" name="Jan" dataDxfId="86">
      <calculatedColumnFormula>SUM($C35:C$36)</calculatedColumnFormula>
    </tableColumn>
    <tableColumn id="3" xr3:uid="{953C450B-5235-4234-924F-53796609C439}" name="Fév" dataDxfId="85">
      <calculatedColumnFormula>SUM($C35:D$36)</calculatedColumnFormula>
    </tableColumn>
    <tableColumn id="4" xr3:uid="{A434CE91-3696-411F-8418-02228D13F12E}" name="Mar" dataDxfId="84">
      <calculatedColumnFormula>SUM($C35:E$36)</calculatedColumnFormula>
    </tableColumn>
    <tableColumn id="5" xr3:uid="{1E74C645-B91F-4CDB-9F55-6FEC8EAB0A64}" name="Avr" dataDxfId="83">
      <calculatedColumnFormula>SUM($C35:F$36)</calculatedColumnFormula>
    </tableColumn>
    <tableColumn id="6" xr3:uid="{A3B698F1-9EF3-489A-A70E-8E760D6B713B}" name="Mai" dataDxfId="82">
      <calculatedColumnFormula>SUM($C35:G$36)</calculatedColumnFormula>
    </tableColumn>
    <tableColumn id="7" xr3:uid="{6CEDC80B-5635-47E7-AA54-EBD827095F7C}" name="Juin" dataDxfId="81">
      <calculatedColumnFormula>SUM($C35:H$36)</calculatedColumnFormula>
    </tableColumn>
    <tableColumn id="8" xr3:uid="{A73C88FE-0ABF-4134-B6B0-043ECC9295D4}" name="Juil" dataDxfId="80">
      <calculatedColumnFormula>SUM($C35:I$36)</calculatedColumnFormula>
    </tableColumn>
    <tableColumn id="9" xr3:uid="{62119987-B16F-44A1-B80E-29460A9513CD}" name="Août" dataDxfId="79">
      <calculatedColumnFormula>SUM($C35:J$36)</calculatedColumnFormula>
    </tableColumn>
    <tableColumn id="10" xr3:uid="{C84A40CE-DC4A-442E-883F-891CA5A9A166}" name="Sept" dataDxfId="78">
      <calculatedColumnFormula>SUM($C35:K$36)</calculatedColumnFormula>
    </tableColumn>
    <tableColumn id="11" xr3:uid="{4DB975F1-C294-416D-81FB-A8070CC2C3BC}" name="Oct" dataDxfId="77">
      <calculatedColumnFormula>SUM($C35:L$36)</calculatedColumnFormula>
    </tableColumn>
    <tableColumn id="12" xr3:uid="{BC57DA11-9B5C-452D-8026-EF863D07E32E}" name="Nov" dataDxfId="76">
      <calculatedColumnFormula>SUM($C35:M$36)</calculatedColumnFormula>
    </tableColumn>
    <tableColumn id="13" xr3:uid="{904E02FB-FEA8-49B0-ABA0-9B659A7720D8}" name="Déc" dataDxfId="75">
      <calculatedColumnFormula>SUM($C35:N$36)</calculatedColumnFormula>
    </tableColumn>
    <tableColumn id="14" xr3:uid="{8C10E0BB-4735-4718-9538-C4AFB616D92A}" name="Année" dataDxfId="74"/>
  </tableColumns>
  <tableStyleInfo name="TableStyleMedium1" showFirstColumn="1" showLastColumn="0" showRowStripes="0" showColumnStripes="0"/>
  <extLst>
    <ext xmlns:x14="http://schemas.microsoft.com/office/spreadsheetml/2009/9/main" uri="{504A1905-F514-4f6f-8877-14C23A59335A}">
      <x14:table altTextSummary="Les dépenses réelles mensuelles et totales sont automatiquement calculées dans cette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ÉcartsEmployés" displayName="ÉcartsEmployés" ref="B5:O8" totalsRowCount="1" headerRowDxfId="260" totalsRowDxfId="257" headerRowBorderDxfId="259" tableBorderDxfId="258" totalsRowBorderDxfId="256">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Coûts employés" totalsRowLabel="Sous-total" dataDxfId="255" totalsRowDxfId="254"/>
    <tableColumn id="2" xr3:uid="{00000000-0010-0000-0800-000002000000}" name="Jan" totalsRowFunction="sum" dataDxfId="73" totalsRowDxfId="253">
      <calculatedColumnFormula>INDEX(PrévisionsEmployés[],MATCH(INDEX(ÉcartsEmployés[],ROW()-ROW(ÉcartsEmployés[[#Headers],[Jan]]),1),INDEX(PrévisionsEmployés[],,1),0),MATCH(ÉcartsEmployés[[#Headers],[Jan]],PrévisionsEmployés[#Headers],0))-INDEX(DépensesRéellesEmployés[],MATCH(INDEX(ÉcartsEmployés[],ROW()-ROW(ÉcartsEmployés[[#Headers],[Jan]]),1),INDEX(PrévisionsEmployés[],,1),0),MATCH(ÉcartsEmployés[[#Headers],[Jan]],DépensesRéellesEmployés[#Headers],0))</calculatedColumnFormula>
    </tableColumn>
    <tableColumn id="3" xr3:uid="{00000000-0010-0000-0800-000003000000}" name="Fév" totalsRowFunction="sum" dataDxfId="72" totalsRowDxfId="252">
      <calculatedColumnFormula>INDEX(PrévisionsEmployés[],MATCH(INDEX(ÉcartsEmployés[],ROW()-ROW(ÉcartsEmployés[[#Headers],[Fév]]),1),INDEX(PrévisionsEmployés[],,1),0),MATCH(ÉcartsEmployés[[#Headers],[Fév]],PrévisionsEmployés[#Headers],0))-INDEX(DépensesRéellesEmployés[],MATCH(INDEX(ÉcartsEmployés[],ROW()-ROW(ÉcartsEmployés[[#Headers],[Fév]]),1),INDEX(PrévisionsEmployés[],,1),0),MATCH(ÉcartsEmployés[[#Headers],[Fév]],DépensesRéellesEmployés[#Headers],0))</calculatedColumnFormula>
    </tableColumn>
    <tableColumn id="4" xr3:uid="{00000000-0010-0000-0800-000004000000}" name="Mar" totalsRowFunction="sum" dataDxfId="71" totalsRowDxfId="251">
      <calculatedColumnFormula>INDEX(PrévisionsEmployés[],MATCH(INDEX(ÉcartsEmployés[],ROW()-ROW(ÉcartsEmployés[[#Headers],[Mar]]),1),INDEX(PrévisionsEmployés[],,1),0),MATCH(ÉcartsEmployés[[#Headers],[Mar]],PrévisionsEmployés[#Headers],0))-INDEX(DépensesRéellesEmployés[],MATCH(INDEX(ÉcartsEmployés[],ROW()-ROW(ÉcartsEmployés[[#Headers],[Mar]]),1),INDEX(PrévisionsEmployés[],,1),0),MATCH(ÉcartsEmployés[[#Headers],[Mar]],DépensesRéellesEmployés[#Headers],0))</calculatedColumnFormula>
    </tableColumn>
    <tableColumn id="5" xr3:uid="{00000000-0010-0000-0800-000005000000}" name="Avr" totalsRowFunction="sum" dataDxfId="70" totalsRowDxfId="250">
      <calculatedColumnFormula>INDEX(PrévisionsEmployés[],MATCH(INDEX(ÉcartsEmployés[],ROW()-ROW(ÉcartsEmployés[[#Headers],[Avr]]),1),INDEX(PrévisionsEmployés[],,1),0),MATCH(ÉcartsEmployés[[#Headers],[Avr]],PrévisionsEmployés[#Headers],0))-INDEX(DépensesRéellesEmployés[],MATCH(INDEX(ÉcartsEmployés[],ROW()-ROW(ÉcartsEmployés[[#Headers],[Avr]]),1),INDEX(PrévisionsEmployés[],,1),0),MATCH(ÉcartsEmployés[[#Headers],[Avr]],DépensesRéellesEmployés[#Headers],0))</calculatedColumnFormula>
    </tableColumn>
    <tableColumn id="6" xr3:uid="{00000000-0010-0000-0800-000006000000}" name="Mai" totalsRowFunction="sum" dataDxfId="69" totalsRowDxfId="249">
      <calculatedColumnFormula>INDEX(PrévisionsEmployés[],MATCH(INDEX(ÉcartsEmployés[],ROW()-ROW(ÉcartsEmployés[[#Headers],[Mai]]),1),INDEX(PrévisionsEmployés[],,1),0),MATCH(ÉcartsEmployés[[#Headers],[Mai]],PrévisionsEmployés[#Headers],0))-INDEX(DépensesRéellesEmployés[],MATCH(INDEX(ÉcartsEmployés[],ROW()-ROW(ÉcartsEmployés[[#Headers],[Mai]]),1),INDEX(PrévisionsEmployés[],,1),0),MATCH(ÉcartsEmployés[[#Headers],[Mai]],DépensesRéellesEmployés[#Headers],0))</calculatedColumnFormula>
    </tableColumn>
    <tableColumn id="7" xr3:uid="{00000000-0010-0000-0800-000007000000}" name="Juin" totalsRowFunction="sum" dataDxfId="68" totalsRowDxfId="248">
      <calculatedColumnFormula>INDEX(PrévisionsEmployés[],MATCH(INDEX(ÉcartsEmployés[],ROW()-ROW(ÉcartsEmployés[[#Headers],[Juin]]),1),INDEX(PrévisionsEmployés[],,1),0),MATCH(ÉcartsEmployés[[#Headers],[Juin]],PrévisionsEmployés[#Headers],0))-INDEX(DépensesRéellesEmployés[],MATCH(INDEX(ÉcartsEmployés[],ROW()-ROW(ÉcartsEmployés[[#Headers],[Juin]]),1),INDEX(PrévisionsEmployés[],,1),0),MATCH(ÉcartsEmployés[[#Headers],[Juin]],DépensesRéellesEmployés[#Headers],0))</calculatedColumnFormula>
    </tableColumn>
    <tableColumn id="8" xr3:uid="{00000000-0010-0000-0800-000008000000}" name="Juil" totalsRowFunction="sum" dataDxfId="67" totalsRowDxfId="247">
      <calculatedColumnFormula>INDEX(PrévisionsEmployés[],MATCH(INDEX(ÉcartsEmployés[],ROW()-ROW(ÉcartsEmployés[[#Headers],[Juil]]),1),INDEX(PrévisionsEmployés[],,1),0),MATCH(ÉcartsEmployés[[#Headers],[Juil]],PrévisionsEmployés[#Headers],0))-INDEX(DépensesRéellesEmployés[],MATCH(INDEX(ÉcartsEmployés[],ROW()-ROW(ÉcartsEmployés[[#Headers],[Juil]]),1),INDEX(PrévisionsEmployés[],,1),0),MATCH(ÉcartsEmployés[[#Headers],[Juil]],DépensesRéellesEmployés[#Headers],0))</calculatedColumnFormula>
    </tableColumn>
    <tableColumn id="9" xr3:uid="{00000000-0010-0000-0800-000009000000}" name="Août" totalsRowFunction="sum" dataDxfId="66" totalsRowDxfId="246">
      <calculatedColumnFormula>INDEX(PrévisionsEmployés[],MATCH(INDEX(ÉcartsEmployés[],ROW()-ROW(ÉcartsEmployés[[#Headers],[Août]]),1),INDEX(PrévisionsEmployés[],,1),0),MATCH(ÉcartsEmployés[[#Headers],[Août]],PrévisionsEmployés[#Headers],0))-INDEX(DépensesRéellesEmployés[],MATCH(INDEX(ÉcartsEmployés[],ROW()-ROW(ÉcartsEmployés[[#Headers],[Août]]),1),INDEX(PrévisionsEmployés[],,1),0),MATCH(ÉcartsEmployés[[#Headers],[Août]],DépensesRéellesEmployés[#Headers],0))</calculatedColumnFormula>
    </tableColumn>
    <tableColumn id="10" xr3:uid="{00000000-0010-0000-0800-00000A000000}" name="Sept" totalsRowFunction="sum" dataDxfId="65" totalsRowDxfId="245">
      <calculatedColumnFormula>INDEX(PrévisionsEmployés[],MATCH(INDEX(ÉcartsEmployés[],ROW()-ROW(ÉcartsEmployés[[#Headers],[Sept]]),1),INDEX(PrévisionsEmployés[],,1),0),MATCH(ÉcartsEmployés[[#Headers],[Sept]],PrévisionsEmployés[#Headers],0))-INDEX(DépensesRéellesEmployés[],MATCH(INDEX(ÉcartsEmployés[],ROW()-ROW(ÉcartsEmployés[[#Headers],[Sept]]),1),INDEX(PrévisionsEmployés[],,1),0),MATCH(ÉcartsEmployés[[#Headers],[Sept]],DépensesRéellesEmployés[#Headers],0))</calculatedColumnFormula>
    </tableColumn>
    <tableColumn id="11" xr3:uid="{00000000-0010-0000-0800-00000B000000}" name="Oct" totalsRowFunction="sum" dataDxfId="64" totalsRowDxfId="244">
      <calculatedColumnFormula>INDEX(PrévisionsEmployés[],MATCH(INDEX(ÉcartsEmployés[],ROW()-ROW(ÉcartsEmployés[[#Headers],[Oct]]),1),INDEX(PrévisionsEmployés[],,1),0),MATCH(ÉcartsEmployés[[#Headers],[Oct]],PrévisionsEmployés[#Headers],0))-INDEX(DépensesRéellesEmployés[],MATCH(INDEX(ÉcartsEmployés[],ROW()-ROW(ÉcartsEmployés[[#Headers],[Oct]]),1),INDEX(PrévisionsEmployés[],,1),0),MATCH(ÉcartsEmployés[[#Headers],[Oct]],DépensesRéellesEmployés[#Headers],0))</calculatedColumnFormula>
    </tableColumn>
    <tableColumn id="12" xr3:uid="{00000000-0010-0000-0800-00000C000000}" name="Nov" totalsRowFunction="sum" dataDxfId="63" totalsRowDxfId="243">
      <calculatedColumnFormula>INDEX(PrévisionsEmployés[],MATCH(INDEX(ÉcartsEmployés[],ROW()-ROW(ÉcartsEmployés[[#Headers],[Nov]]),1),INDEX(PrévisionsEmployés[],,1),0),MATCH(ÉcartsEmployés[[#Headers],[Nov]],PrévisionsEmployés[#Headers],0))-INDEX(DépensesRéellesEmployés[],MATCH(INDEX(ÉcartsEmployés[],ROW()-ROW(ÉcartsEmployés[[#Headers],[Nov]]),1),INDEX(PrévisionsEmployés[],,1),0),MATCH(ÉcartsEmployés[[#Headers],[Nov]],DépensesRéellesEmployés[#Headers],0))</calculatedColumnFormula>
    </tableColumn>
    <tableColumn id="13" xr3:uid="{00000000-0010-0000-0800-00000D000000}" name="Déc" totalsRowFunction="sum" dataDxfId="62" totalsRowDxfId="242">
      <calculatedColumnFormula>INDEX(PrévisionsEmployés[],MATCH(INDEX(ÉcartsEmployés[],ROW()-ROW(ÉcartsEmployés[[#Headers],[Déc]]),1),INDEX(PrévisionsEmployés[],,1),0),MATCH(ÉcartsEmployés[[#Headers],[Déc]],PrévisionsEmployés[#Headers],0))-INDEX(DépensesRéellesEmployés[],MATCH(INDEX(ÉcartsEmployés[],ROW()-ROW(ÉcartsEmployés[[#Headers],[Déc]]),1),INDEX(PrévisionsEmployés[],,1),0),MATCH(ÉcartsEmployés[[#Headers],[Déc]],DépensesRéellesEmployés[#Headers],0))</calculatedColumnFormula>
    </tableColumn>
    <tableColumn id="14" xr3:uid="{00000000-0010-0000-0800-00000E000000}" name="ANNÉE" totalsRowFunction="sum" dataDxfId="61" totalsRowDxfId="241">
      <calculatedColumnFormula>SUM(ÉcartsEmployés[[#This Row],[Jan]:[Déc]])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L’écart en termes de coûts employés par mois est automatiquement calculé dans cette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ÉcartsBureau" displayName="ÉcartsBureau" ref="B10:O19" totalsRowCount="1" headerRowDxfId="240" totalsRowDxfId="237" headerRowBorderDxfId="239" tableBorderDxfId="238" totalsRowBorderDxfId="236">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Coûts bureau" totalsRowLabel="Sous-total" dataDxfId="60" totalsRowDxfId="235"/>
    <tableColumn id="2" xr3:uid="{00000000-0010-0000-0900-000002000000}" name="Jan" totalsRowFunction="sum" dataDxfId="59" totalsRowDxfId="234">
      <calculatedColumnFormula>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calculatedColumnFormula>
    </tableColumn>
    <tableColumn id="3" xr3:uid="{00000000-0010-0000-0900-000003000000}" name="Fév" totalsRowFunction="sum" dataDxfId="58" totalsRowDxfId="233">
      <calculatedColumnFormula>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calculatedColumnFormula>
    </tableColumn>
    <tableColumn id="4" xr3:uid="{00000000-0010-0000-0900-000004000000}" name="Mar" totalsRowFunction="sum" dataDxfId="57" totalsRowDxfId="232">
      <calculatedColumnFormula>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calculatedColumnFormula>
    </tableColumn>
    <tableColumn id="5" xr3:uid="{00000000-0010-0000-0900-000005000000}" name="Avr" totalsRowFunction="sum" dataDxfId="56" totalsRowDxfId="231">
      <calculatedColumnFormula>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calculatedColumnFormula>
    </tableColumn>
    <tableColumn id="6" xr3:uid="{00000000-0010-0000-0900-000006000000}" name="Mai" totalsRowFunction="sum" dataDxfId="55" totalsRowDxfId="230">
      <calculatedColumnFormula>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calculatedColumnFormula>
    </tableColumn>
    <tableColumn id="7" xr3:uid="{00000000-0010-0000-0900-000007000000}" name="Juin" totalsRowFunction="sum" dataDxfId="54" totalsRowDxfId="229">
      <calculatedColumnFormula>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calculatedColumnFormula>
    </tableColumn>
    <tableColumn id="8" xr3:uid="{00000000-0010-0000-0900-000008000000}" name="Juil" totalsRowFunction="sum" dataDxfId="53" totalsRowDxfId="228">
      <calculatedColumnFormula>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calculatedColumnFormula>
    </tableColumn>
    <tableColumn id="9" xr3:uid="{00000000-0010-0000-0900-000009000000}" name="Août" totalsRowFunction="sum" dataDxfId="52" totalsRowDxfId="227">
      <calculatedColumnFormula>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calculatedColumnFormula>
    </tableColumn>
    <tableColumn id="10" xr3:uid="{00000000-0010-0000-0900-00000A000000}" name="Sept" totalsRowFunction="sum" dataDxfId="51" totalsRowDxfId="226">
      <calculatedColumnFormula>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calculatedColumnFormula>
    </tableColumn>
    <tableColumn id="11" xr3:uid="{00000000-0010-0000-0900-00000B000000}" name="Oct" totalsRowFunction="sum" dataDxfId="50" totalsRowDxfId="225">
      <calculatedColumnFormula>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calculatedColumnFormula>
    </tableColumn>
    <tableColumn id="12" xr3:uid="{00000000-0010-0000-0900-00000C000000}" name="Nov" totalsRowFunction="sum" dataDxfId="49" totalsRowDxfId="224">
      <calculatedColumnFormula>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calculatedColumnFormula>
    </tableColumn>
    <tableColumn id="13" xr3:uid="{00000000-0010-0000-0900-00000D000000}" name="Déc" totalsRowFunction="sum" dataDxfId="48" totalsRowDxfId="223">
      <calculatedColumnFormula>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calculatedColumnFormula>
    </tableColumn>
    <tableColumn id="14" xr3:uid="{00000000-0010-0000-0900-00000E000000}" name="ANNÉE" totalsRowFunction="sum" dataDxfId="47" totalsRowDxfId="222">
      <calculatedColumnFormula>SUM(ÉcartsBureau[[#This Row],[Jan]:[Déc]])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L’écart en termes de coûts de bureau par mois est automatiquement calculé dans cette 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ÉcartsMarketing" displayName="ÉcartsMarketing" ref="B21:O28" totalsRowCount="1" headerRowDxfId="221" totalsRowDxfId="218" headerRowBorderDxfId="220" tableBorderDxfId="219" totalsRowBorderDxfId="217">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Coûts marketing" totalsRowLabel="Sous-total" dataDxfId="46" totalsRowDxfId="216"/>
    <tableColumn id="2" xr3:uid="{00000000-0010-0000-0A00-000002000000}" name="Jan" totalsRowFunction="sum" dataDxfId="45" totalsRowDxfId="215">
      <calculatedColumnFormula>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calculatedColumnFormula>
    </tableColumn>
    <tableColumn id="3" xr3:uid="{00000000-0010-0000-0A00-000003000000}" name="Fév" totalsRowFunction="sum" dataDxfId="44" totalsRowDxfId="214">
      <calculatedColumnFormula>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calculatedColumnFormula>
    </tableColumn>
    <tableColumn id="4" xr3:uid="{00000000-0010-0000-0A00-000004000000}" name="Mar" totalsRowFunction="sum" dataDxfId="43" totalsRowDxfId="213">
      <calculatedColumnFormula>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calculatedColumnFormula>
    </tableColumn>
    <tableColumn id="5" xr3:uid="{00000000-0010-0000-0A00-000005000000}" name="Avr" totalsRowFunction="sum" dataDxfId="42" totalsRowDxfId="212">
      <calculatedColumnFormula>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calculatedColumnFormula>
    </tableColumn>
    <tableColumn id="6" xr3:uid="{00000000-0010-0000-0A00-000006000000}" name="Mai" totalsRowFunction="sum" dataDxfId="41" totalsRowDxfId="211">
      <calculatedColumnFormula>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calculatedColumnFormula>
    </tableColumn>
    <tableColumn id="7" xr3:uid="{00000000-0010-0000-0A00-000007000000}" name="Juin" totalsRowFunction="sum" dataDxfId="40" totalsRowDxfId="210">
      <calculatedColumnFormula>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calculatedColumnFormula>
    </tableColumn>
    <tableColumn id="8" xr3:uid="{00000000-0010-0000-0A00-000008000000}" name="Juil" totalsRowFunction="sum" dataDxfId="39" totalsRowDxfId="209">
      <calculatedColumnFormula>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calculatedColumnFormula>
    </tableColumn>
    <tableColumn id="9" xr3:uid="{00000000-0010-0000-0A00-000009000000}" name="Août" totalsRowFunction="sum" dataDxfId="38" totalsRowDxfId="208">
      <calculatedColumnFormula>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calculatedColumnFormula>
    </tableColumn>
    <tableColumn id="10" xr3:uid="{00000000-0010-0000-0A00-00000A000000}" name="Sept" totalsRowFunction="sum" dataDxfId="37" totalsRowDxfId="207">
      <calculatedColumnFormula>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calculatedColumnFormula>
    </tableColumn>
    <tableColumn id="11" xr3:uid="{00000000-0010-0000-0A00-00000B000000}" name="Oct" totalsRowFunction="sum" dataDxfId="36" totalsRowDxfId="206">
      <calculatedColumnFormula>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calculatedColumnFormula>
    </tableColumn>
    <tableColumn id="12" xr3:uid="{00000000-0010-0000-0A00-00000C000000}" name="Nov" totalsRowFunction="sum" dataDxfId="35" totalsRowDxfId="205">
      <calculatedColumnFormula>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calculatedColumnFormula>
    </tableColumn>
    <tableColumn id="13" xr3:uid="{00000000-0010-0000-0A00-00000D000000}" name="Déc" totalsRowFunction="sum" dataDxfId="34" totalsRowDxfId="204">
      <calculatedColumnFormula>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calculatedColumnFormula>
    </tableColumn>
    <tableColumn id="14" xr3:uid="{00000000-0010-0000-0A00-00000E000000}" name="ANNÉE" totalsRowFunction="sum" dataDxfId="33" totalsRowDxfId="203">
      <calculatedColumnFormula>SUM(ÉcartsMarketing[[#This Row],[Jan]:[Déc]])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L’écart en termes de coûts marketing par mois est automatiquement calculé dans cette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ÉcartsFormationEtDéplacements" displayName="ÉcartsFormationEtDéplacements" ref="B30:O33" totalsRowCount="1" headerRowDxfId="202" totalsRowDxfId="199" headerRowBorderDxfId="201" tableBorderDxfId="200" totalsRowBorderDxfId="198">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Formation/Déplacements" totalsRowLabel="Sous-total" dataDxfId="32" totalsRowDxfId="197"/>
    <tableColumn id="2" xr3:uid="{00000000-0010-0000-0B00-000002000000}" name="Jan" totalsRowFunction="sum" dataDxfId="31" totalsRowDxfId="196">
      <calculatedColumnFormula>INDEX(PrévisionsFormationEtDéplacements[],MATCH(INDEX(ÉcartsFormationEtDéplacements[],ROW()-ROW(ÉcartsFormationEtDéplacements[[#Headers],[Jan]]),1),INDEX(PrévisionsFormationEtDéplacements[],,1),0),MATCH(ÉcartsFormationEtDéplacements[[#Headers],[Jan]],PrévisionsFormationEtDéplacements[#Headers],0))-INDEX(DépensesRéellesFormationEtDéplacements[],MATCH(INDEX(ÉcartsFormationEtDéplacements[],ROW()-ROW(ÉcartsFormationEtDéplacements[[#Headers],[Jan]]),1),INDEX(PrévisionsFormationEtDéplacements[],,1),0),MATCH(ÉcartsFormationEtDéplacements[[#Headers],[Jan]],DépensesRéellesFormationEtDéplacements[#Headers],0))</calculatedColumnFormula>
    </tableColumn>
    <tableColumn id="3" xr3:uid="{00000000-0010-0000-0B00-000003000000}" name="Fév" totalsRowFunction="sum" dataDxfId="30" totalsRowDxfId="195">
      <calculatedColumnFormula>INDEX(PrévisionsFormationEtDéplacements[],MATCH(INDEX(ÉcartsFormationEtDéplacements[],ROW()-ROW(ÉcartsFormationEtDéplacements[[#Headers],[Fév]]),1),INDEX(PrévisionsFormationEtDéplacements[],,1),0),MATCH(ÉcartsFormationEtDéplacements[[#Headers],[Fév]],PrévisionsFormationEtDéplacements[#Headers],0))-INDEX(DépensesRéellesFormationEtDéplacements[],MATCH(INDEX(ÉcartsFormationEtDéplacements[],ROW()-ROW(ÉcartsFormationEtDéplacements[[#Headers],[Fév]]),1),INDEX(PrévisionsFormationEtDéplacements[],,1),0),MATCH(ÉcartsFormationEtDéplacements[[#Headers],[Fév]],DépensesRéellesFormationEtDéplacements[#Headers],0))</calculatedColumnFormula>
    </tableColumn>
    <tableColumn id="4" xr3:uid="{00000000-0010-0000-0B00-000004000000}" name="Mar" totalsRowFunction="sum" dataDxfId="29" totalsRowDxfId="194">
      <calculatedColumnFormula>INDEX(PrévisionsFormationEtDéplacements[],MATCH(INDEX(ÉcartsFormationEtDéplacements[],ROW()-ROW(ÉcartsFormationEtDéplacements[[#Headers],[Mar]]),1),INDEX(PrévisionsFormationEtDéplacements[],,1),0),MATCH(ÉcartsFormationEtDéplacements[[#Headers],[Mar]],PrévisionsFormationEtDéplacements[#Headers],0))-INDEX(DépensesRéellesFormationEtDéplacements[],MATCH(INDEX(ÉcartsFormationEtDéplacements[],ROW()-ROW(ÉcartsFormationEtDéplacements[[#Headers],[Mar]]),1),INDEX(PrévisionsFormationEtDéplacements[],,1),0),MATCH(ÉcartsFormationEtDéplacements[[#Headers],[Mar]],DépensesRéellesFormationEtDéplacements[#Headers],0))</calculatedColumnFormula>
    </tableColumn>
    <tableColumn id="5" xr3:uid="{00000000-0010-0000-0B00-000005000000}" name="Avr" totalsRowFunction="sum" dataDxfId="28" totalsRowDxfId="193">
      <calculatedColumnFormula>INDEX(PrévisionsFormationEtDéplacements[],MATCH(INDEX(ÉcartsFormationEtDéplacements[],ROW()-ROW(ÉcartsFormationEtDéplacements[[#Headers],[Avr]]),1),INDEX(PrévisionsFormationEtDéplacements[],,1),0),MATCH(ÉcartsFormationEtDéplacements[[#Headers],[Avr]],PrévisionsFormationEtDéplacements[#Headers],0))-INDEX(DépensesRéellesFormationEtDéplacements[],MATCH(INDEX(ÉcartsFormationEtDéplacements[],ROW()-ROW(ÉcartsFormationEtDéplacements[[#Headers],[Avr]]),1),INDEX(PrévisionsFormationEtDéplacements[],,1),0),MATCH(ÉcartsFormationEtDéplacements[[#Headers],[Avr]],DépensesRéellesFormationEtDéplacements[#Headers],0))</calculatedColumnFormula>
    </tableColumn>
    <tableColumn id="6" xr3:uid="{00000000-0010-0000-0B00-000006000000}" name="Mai" totalsRowFunction="sum" dataDxfId="27" totalsRowDxfId="192">
      <calculatedColumnFormula>INDEX(PrévisionsFormationEtDéplacements[],MATCH(INDEX(ÉcartsFormationEtDéplacements[],ROW()-ROW(ÉcartsFormationEtDéplacements[[#Headers],[Mai]]),1),INDEX(PrévisionsFormationEtDéplacements[],,1),0),MATCH(ÉcartsFormationEtDéplacements[[#Headers],[Mai]],PrévisionsFormationEtDéplacements[#Headers],0))-INDEX(DépensesRéellesFormationEtDéplacements[],MATCH(INDEX(ÉcartsFormationEtDéplacements[],ROW()-ROW(ÉcartsFormationEtDéplacements[[#Headers],[Mai]]),1),INDEX(PrévisionsFormationEtDéplacements[],,1),0),MATCH(ÉcartsFormationEtDéplacements[[#Headers],[Mai]],DépensesRéellesFormationEtDéplacements[#Headers],0))</calculatedColumnFormula>
    </tableColumn>
    <tableColumn id="7" xr3:uid="{00000000-0010-0000-0B00-000007000000}" name="Juin" totalsRowFunction="sum" dataDxfId="26" totalsRowDxfId="191">
      <calculatedColumnFormula>INDEX(PrévisionsFormationEtDéplacements[],MATCH(INDEX(ÉcartsFormationEtDéplacements[],ROW()-ROW(ÉcartsFormationEtDéplacements[[#Headers],[Juin]]),1),INDEX(PrévisionsFormationEtDéplacements[],,1),0),MATCH(ÉcartsFormationEtDéplacements[[#Headers],[Juin]],PrévisionsFormationEtDéplacements[#Headers],0))-INDEX(DépensesRéellesFormationEtDéplacements[],MATCH(INDEX(ÉcartsFormationEtDéplacements[],ROW()-ROW(ÉcartsFormationEtDéplacements[[#Headers],[Juin]]),1),INDEX(PrévisionsFormationEtDéplacements[],,1),0),MATCH(ÉcartsFormationEtDéplacements[[#Headers],[Juin]],DépensesRéellesFormationEtDéplacements[#Headers],0))</calculatedColumnFormula>
    </tableColumn>
    <tableColumn id="8" xr3:uid="{00000000-0010-0000-0B00-000008000000}" name="Juil" totalsRowFunction="sum" dataDxfId="25" totalsRowDxfId="190">
      <calculatedColumnFormula>INDEX(PrévisionsFormationEtDéplacements[],MATCH(INDEX(ÉcartsFormationEtDéplacements[],ROW()-ROW(ÉcartsFormationEtDéplacements[[#Headers],[Juil]]),1),INDEX(PrévisionsFormationEtDéplacements[],,1),0),MATCH(ÉcartsFormationEtDéplacements[[#Headers],[Juil]],PrévisionsFormationEtDéplacements[#Headers],0))-INDEX(DépensesRéellesFormationEtDéplacements[],MATCH(INDEX(ÉcartsFormationEtDéplacements[],ROW()-ROW(ÉcartsFormationEtDéplacements[[#Headers],[Juil]]),1),INDEX(PrévisionsFormationEtDéplacements[],,1),0),MATCH(ÉcartsFormationEtDéplacements[[#Headers],[Juil]],DépensesRéellesFormationEtDéplacements[#Headers],0))</calculatedColumnFormula>
    </tableColumn>
    <tableColumn id="9" xr3:uid="{00000000-0010-0000-0B00-000009000000}" name="Août" totalsRowFunction="sum" dataDxfId="24" totalsRowDxfId="189">
      <calculatedColumnFormula>INDEX(PrévisionsFormationEtDéplacements[],MATCH(INDEX(ÉcartsFormationEtDéplacements[],ROW()-ROW(ÉcartsFormationEtDéplacements[[#Headers],[Août]]),1),INDEX(PrévisionsFormationEtDéplacements[],,1),0),MATCH(ÉcartsFormationEtDéplacements[[#Headers],[Août]],PrévisionsFormationEtDéplacements[#Headers],0))-INDEX(DépensesRéellesFormationEtDéplacements[],MATCH(INDEX(ÉcartsFormationEtDéplacements[],ROW()-ROW(ÉcartsFormationEtDéplacements[[#Headers],[Août]]),1),INDEX(PrévisionsFormationEtDéplacements[],,1),0),MATCH(ÉcartsFormationEtDéplacements[[#Headers],[Août]],DépensesRéellesFormationEtDéplacements[#Headers],0))</calculatedColumnFormula>
    </tableColumn>
    <tableColumn id="10" xr3:uid="{00000000-0010-0000-0B00-00000A000000}" name="Sept" totalsRowFunction="sum" dataDxfId="23" totalsRowDxfId="188">
      <calculatedColumnFormula>INDEX(PrévisionsFormationEtDéplacements[],MATCH(INDEX(ÉcartsFormationEtDéplacements[],ROW()-ROW(ÉcartsFormationEtDéplacements[[#Headers],[Sept]]),1),INDEX(PrévisionsFormationEtDéplacements[],,1),0),MATCH(ÉcartsFormationEtDéplacements[[#Headers],[Sept]],PrévisionsFormationEtDéplacements[#Headers],0))-INDEX(DépensesRéellesFormationEtDéplacements[],MATCH(INDEX(ÉcartsFormationEtDéplacements[],ROW()-ROW(ÉcartsFormationEtDéplacements[[#Headers],[Sept]]),1),INDEX(PrévisionsFormationEtDéplacements[],,1),0),MATCH(ÉcartsFormationEtDéplacements[[#Headers],[Sept]],DépensesRéellesFormationEtDéplacements[#Headers],0))</calculatedColumnFormula>
    </tableColumn>
    <tableColumn id="11" xr3:uid="{00000000-0010-0000-0B00-00000B000000}" name="Oct" totalsRowFunction="sum" dataDxfId="22" totalsRowDxfId="187">
      <calculatedColumnFormula>INDEX(PrévisionsFormationEtDéplacements[],MATCH(INDEX(ÉcartsFormationEtDéplacements[],ROW()-ROW(ÉcartsFormationEtDéplacements[[#Headers],[Oct]]),1),INDEX(PrévisionsFormationEtDéplacements[],,1),0),MATCH(ÉcartsFormationEtDéplacements[[#Headers],[Oct]],PrévisionsFormationEtDéplacements[#Headers],0))-INDEX(DépensesRéellesFormationEtDéplacements[],MATCH(INDEX(ÉcartsFormationEtDéplacements[],ROW()-ROW(ÉcartsFormationEtDéplacements[[#Headers],[Oct]]),1),INDEX(PrévisionsFormationEtDéplacements[],,1),0),MATCH(ÉcartsFormationEtDéplacements[[#Headers],[Oct]],DépensesRéellesFormationEtDéplacements[#Headers],0))</calculatedColumnFormula>
    </tableColumn>
    <tableColumn id="12" xr3:uid="{00000000-0010-0000-0B00-00000C000000}" name="Nov" totalsRowFunction="sum" dataDxfId="21" totalsRowDxfId="186">
      <calculatedColumnFormula>INDEX(PrévisionsFormationEtDéplacements[],MATCH(INDEX(ÉcartsFormationEtDéplacements[],ROW()-ROW(ÉcartsFormationEtDéplacements[[#Headers],[Nov]]),1),INDEX(PrévisionsFormationEtDéplacements[],,1),0),MATCH(ÉcartsFormationEtDéplacements[[#Headers],[Nov]],PrévisionsFormationEtDéplacements[#Headers],0))-INDEX(DépensesRéellesFormationEtDéplacements[],MATCH(INDEX(ÉcartsFormationEtDéplacements[],ROW()-ROW(ÉcartsFormationEtDéplacements[[#Headers],[Nov]]),1),INDEX(PrévisionsFormationEtDéplacements[],,1),0),MATCH(ÉcartsFormationEtDéplacements[[#Headers],[Nov]],DépensesRéellesFormationEtDéplacements[#Headers],0))</calculatedColumnFormula>
    </tableColumn>
    <tableColumn id="13" xr3:uid="{00000000-0010-0000-0B00-00000D000000}" name="Déc" totalsRowFunction="sum" dataDxfId="20" totalsRowDxfId="185">
      <calculatedColumnFormula>INDEX(PrévisionsFormationEtDéplacements[],MATCH(INDEX(ÉcartsFormationEtDéplacements[],ROW()-ROW(ÉcartsFormationEtDéplacements[[#Headers],[Déc]]),1),INDEX(PrévisionsFormationEtDéplacements[],,1),0),MATCH(ÉcartsFormationEtDéplacements[[#Headers],[Déc]],PrévisionsFormationEtDéplacements[#Headers],0))-INDEX(DépensesRéellesFormationEtDéplacements[],MATCH(INDEX(ÉcartsFormationEtDéplacements[],ROW()-ROW(ÉcartsFormationEtDéplacements[[#Headers],[Déc]]),1),INDEX(PrévisionsFormationEtDéplacements[],,1),0),MATCH(ÉcartsFormationEtDéplacements[[#Headers],[Déc]],DépensesRéellesFormationEtDéplacements[#Headers],0))</calculatedColumnFormula>
    </tableColumn>
    <tableColumn id="14" xr3:uid="{00000000-0010-0000-0B00-00000E000000}" name="ANNÉE" totalsRowFunction="sum" dataDxfId="19" totalsRowDxfId="184">
      <calculatedColumnFormula>SUM(ÉcartsFormationEtDéplacements[[#This Row],[Jan]:[Déc]])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L’écart en termes de coûts de formation et de déplacements par mois est automatiquement calculé dans cette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Écarts" displayName="TotalÉcarts" ref="B35:O37" totalsRowShown="0" headerRowDxfId="183" dataDxfId="182" tableBorderDxfId="181">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UX" dataDxfId="18"/>
    <tableColumn id="2" xr3:uid="{AE0C21A5-398B-42DE-950D-8AE4AD1A8551}" name="Jan" dataDxfId="17">
      <calculatedColumnFormula>SUM($C35:C$36)</calculatedColumnFormula>
    </tableColumn>
    <tableColumn id="3" xr3:uid="{A43B0B0E-F35F-4E04-8A0D-11BB7356D5F1}" name="Fév" dataDxfId="16">
      <calculatedColumnFormula>SUM($C35:D$36)</calculatedColumnFormula>
    </tableColumn>
    <tableColumn id="4" xr3:uid="{F14459A4-8E61-4E04-9A53-A7DA16CE366A}" name="Mar" dataDxfId="15">
      <calculatedColumnFormula>SUM($C35:E$36)</calculatedColumnFormula>
    </tableColumn>
    <tableColumn id="5" xr3:uid="{1C90C974-8801-4A11-B3AF-1DC144BB0C14}" name="Avr" dataDxfId="14">
      <calculatedColumnFormula>SUM($C35:F$36)</calculatedColumnFormula>
    </tableColumn>
    <tableColumn id="6" xr3:uid="{C8E3F4F6-5F27-4CC7-9916-6D86833782C1}" name="Mai" dataDxfId="13">
      <calculatedColumnFormula>SUM($C35:G$36)</calculatedColumnFormula>
    </tableColumn>
    <tableColumn id="7" xr3:uid="{AF75D92B-7578-4087-BB78-DD5AD8165117}" name="Juin" dataDxfId="12">
      <calculatedColumnFormula>SUM($C35:H$36)</calculatedColumnFormula>
    </tableColumn>
    <tableColumn id="8" xr3:uid="{35F61ABA-09FB-4695-B0F5-A2C6B6580A2E}" name="Juil" dataDxfId="11">
      <calculatedColumnFormula>SUM($C35:I$36)</calculatedColumnFormula>
    </tableColumn>
    <tableColumn id="9" xr3:uid="{59F62437-45DC-439F-945A-D0E79C444E8E}" name="Août" dataDxfId="10">
      <calculatedColumnFormula>SUM($C35:J$36)</calculatedColumnFormula>
    </tableColumn>
    <tableColumn id="10" xr3:uid="{2BF9DCC5-B211-44A6-BD40-E91602CDA85C}" name="Sept" dataDxfId="9">
      <calculatedColumnFormula>SUM($C35:K$36)</calculatedColumnFormula>
    </tableColumn>
    <tableColumn id="11" xr3:uid="{4280684A-CD23-4103-8664-029757D0A2A2}" name="Oct" dataDxfId="8">
      <calculatedColumnFormula>SUM($C35:L$36)</calculatedColumnFormula>
    </tableColumn>
    <tableColumn id="12" xr3:uid="{07DED434-EC8F-4DAF-83E3-E350A33F2EAE}" name="Nov" dataDxfId="7">
      <calculatedColumnFormula>SUM($C35:M$36)</calculatedColumnFormula>
    </tableColumn>
    <tableColumn id="13" xr3:uid="{32BA0102-0F05-43CF-91BA-724F1FE01DAA}" name="Déc" dataDxfId="6">
      <calculatedColumnFormula>SUM($C35:N$36)</calculatedColumnFormula>
    </tableColumn>
    <tableColumn id="14" xr3:uid="{57A0D710-AEB8-4057-928D-010058E02081}" name="Année" dataDxfId="5"/>
  </tableColumns>
  <tableStyleInfo showFirstColumn="1" showLastColumn="0" showRowStripes="0" showColumnStripes="0"/>
  <extLst>
    <ext xmlns:x14="http://schemas.microsoft.com/office/spreadsheetml/2009/9/main" uri="{504A1905-F514-4f6f-8877-14C23A59335A}">
      <x14:table altTextSummary="Les écarts de dépenses mensuel et total sont automatiquement calculés dans cette 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e" displayName="Analyse" ref="B5:F10" totalsRowShown="0" dataDxfId="180" tableBorderDxfId="179">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Catégorie de dépenses" dataDxfId="4"/>
    <tableColumn id="2" xr3:uid="{71038352-BC76-49DD-9F6C-B394E5F033ED}" name="Dépenses prévues" dataDxfId="3"/>
    <tableColumn id="3" xr3:uid="{19ED3EBC-BC10-47F6-9800-62129A32BC8E}" name="Dépenses réelles" dataDxfId="2"/>
    <tableColumn id="4" xr3:uid="{E8D5E1DD-7CB1-4A1A-8F42-EFBF70790FE7}" name="Écarts de dépenses" dataDxfId="0">
      <calculatedColumnFormula>C6-D6</calculatedColumnFormula>
    </tableColumn>
    <tableColumn id="5" xr3:uid="{47E1881E-12A2-4F0E-8364-B79F2DC5D0B1}" name="Pourcentage d’écart" dataDxfId="1">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évisionsMarketing" displayName="PrévisionsMarketing" ref="B21:O28" totalsRowCount="1" headerRowDxfId="435" totalsRowDxfId="432" headerRowBorderDxfId="434" tableBorderDxfId="433" totalsRowBorderDxfId="431">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oûts marketing" totalsRowLabel="Sous-total" dataDxfId="430" totalsRowDxfId="429"/>
    <tableColumn id="2" xr3:uid="{00000000-0010-0000-0100-000002000000}" name="Jan" totalsRowFunction="sum" dataDxfId="152" totalsRowDxfId="428"/>
    <tableColumn id="3" xr3:uid="{00000000-0010-0000-0100-000003000000}" name="Fév" totalsRowFunction="sum" dataDxfId="151" totalsRowDxfId="427"/>
    <tableColumn id="4" xr3:uid="{00000000-0010-0000-0100-000004000000}" name="Mar" totalsRowFunction="sum" dataDxfId="150" totalsRowDxfId="426"/>
    <tableColumn id="5" xr3:uid="{00000000-0010-0000-0100-000005000000}" name="Avr" totalsRowFunction="sum" dataDxfId="149" totalsRowDxfId="425"/>
    <tableColumn id="6" xr3:uid="{00000000-0010-0000-0100-000006000000}" name="Mai" totalsRowFunction="sum" dataDxfId="148" totalsRowDxfId="424"/>
    <tableColumn id="7" xr3:uid="{00000000-0010-0000-0100-000007000000}" name="Juin" totalsRowFunction="sum" dataDxfId="147" totalsRowDxfId="423"/>
    <tableColumn id="8" xr3:uid="{00000000-0010-0000-0100-000008000000}" name="Juil" totalsRowFunction="sum" dataDxfId="146" totalsRowDxfId="422"/>
    <tableColumn id="9" xr3:uid="{00000000-0010-0000-0100-000009000000}" name="Août" totalsRowFunction="sum" dataDxfId="145" totalsRowDxfId="421"/>
    <tableColumn id="10" xr3:uid="{00000000-0010-0000-0100-00000A000000}" name="Sept" totalsRowFunction="sum" dataDxfId="144" totalsRowDxfId="420"/>
    <tableColumn id="11" xr3:uid="{00000000-0010-0000-0100-00000B000000}" name="Oct" totalsRowFunction="sum" dataDxfId="143" totalsRowDxfId="419"/>
    <tableColumn id="12" xr3:uid="{00000000-0010-0000-0100-00000C000000}" name="Nov" totalsRowFunction="sum" dataDxfId="142" totalsRowDxfId="418"/>
    <tableColumn id="13" xr3:uid="{00000000-0010-0000-0100-00000D000000}" name="Déc" totalsRowFunction="sum" dataDxfId="141" totalsRowDxfId="417"/>
    <tableColumn id="14" xr3:uid="{00000000-0010-0000-0100-00000E000000}" name="ANNÉE" totalsRowFunction="sum" dataDxfId="140" totalsRowDxfId="416">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rez les coûts marketing mensuels prévus dans cette table. Le total est automatiquement calculé à la f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évisionsFormationEtDéplacements" displayName="PrévisionsFormationEtDéplacements" ref="B30:O33" totalsRowCount="1" headerRowDxfId="415" totalsRowDxfId="412" headerRowBorderDxfId="414" tableBorderDxfId="413" totalsRowBorderDxfId="411">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Formation/Déplacements" totalsRowLabel="Sous-total" dataDxfId="410" totalsRowDxfId="409"/>
    <tableColumn id="2" xr3:uid="{00000000-0010-0000-0200-000002000000}" name="Jan" totalsRowFunction="sum" dataDxfId="408" totalsRowDxfId="407"/>
    <tableColumn id="3" xr3:uid="{00000000-0010-0000-0200-000003000000}" name="Fév" totalsRowFunction="sum" dataDxfId="406" totalsRowDxfId="405"/>
    <tableColumn id="4" xr3:uid="{00000000-0010-0000-0200-000004000000}" name="Mar" totalsRowFunction="sum" dataDxfId="404" totalsRowDxfId="403"/>
    <tableColumn id="5" xr3:uid="{00000000-0010-0000-0200-000005000000}" name="Avr" totalsRowFunction="sum" dataDxfId="402" totalsRowDxfId="401"/>
    <tableColumn id="6" xr3:uid="{00000000-0010-0000-0200-000006000000}" name="Mai" totalsRowFunction="sum" dataDxfId="400" totalsRowDxfId="399"/>
    <tableColumn id="7" xr3:uid="{00000000-0010-0000-0200-000007000000}" name="Juin" totalsRowFunction="sum" dataDxfId="398" totalsRowDxfId="397"/>
    <tableColumn id="8" xr3:uid="{00000000-0010-0000-0200-000008000000}" name="Juil" totalsRowFunction="sum" dataDxfId="396" totalsRowDxfId="395"/>
    <tableColumn id="9" xr3:uid="{00000000-0010-0000-0200-000009000000}" name="Août" totalsRowFunction="sum" dataDxfId="394" totalsRowDxfId="393"/>
    <tableColumn id="10" xr3:uid="{00000000-0010-0000-0200-00000A000000}" name="Sept" totalsRowFunction="sum" dataDxfId="392" totalsRowDxfId="391"/>
    <tableColumn id="11" xr3:uid="{00000000-0010-0000-0200-00000B000000}" name="Oct" totalsRowFunction="sum" dataDxfId="390" totalsRowDxfId="389"/>
    <tableColumn id="12" xr3:uid="{00000000-0010-0000-0200-00000C000000}" name="Nov" totalsRowFunction="sum" dataDxfId="388" totalsRowDxfId="387"/>
    <tableColumn id="13" xr3:uid="{00000000-0010-0000-0200-00000D000000}" name="Déc" totalsRowFunction="sum" dataDxfId="386" totalsRowDxfId="385"/>
    <tableColumn id="14" xr3:uid="{00000000-0010-0000-0200-00000E000000}" name="ANNÉE" totalsRowFunction="sum" dataDxfId="384" totalsRowDxfId="383">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rez les coûts de formation et de déplacements mensuels prévus dans cette table. Le total est automatiquement calculé à la f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révisionsEmployés" displayName="PrévisionsEmployés" ref="B5:O8" totalsRowCount="1" headerRowDxfId="382" totalsRowDxfId="379" headerRowBorderDxfId="381" tableBorderDxfId="380" totalsRowBorderDxfId="378">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Coûts employés" totalsRowLabel="Sous-total" dataDxfId="377" totalsRowDxfId="376"/>
    <tableColumn id="2" xr3:uid="{00000000-0010-0000-0300-000002000000}" name="Jan" totalsRowFunction="sum" dataDxfId="178" totalsRowDxfId="375">
      <calculatedColumnFormula>C5*0.27</calculatedColumnFormula>
    </tableColumn>
    <tableColumn id="3" xr3:uid="{00000000-0010-0000-0300-000003000000}" name="Fév" totalsRowFunction="sum" dataDxfId="177" totalsRowDxfId="374">
      <calculatedColumnFormula>D5*0.27</calculatedColumnFormula>
    </tableColumn>
    <tableColumn id="4" xr3:uid="{00000000-0010-0000-0300-000004000000}" name="Mar" totalsRowFunction="sum" dataDxfId="176" totalsRowDxfId="373">
      <calculatedColumnFormula>E5*0.27</calculatedColumnFormula>
    </tableColumn>
    <tableColumn id="5" xr3:uid="{00000000-0010-0000-0300-000005000000}" name="Avr" totalsRowFunction="sum" dataDxfId="175" totalsRowDxfId="372">
      <calculatedColumnFormula>F5*0.27</calculatedColumnFormula>
    </tableColumn>
    <tableColumn id="6" xr3:uid="{00000000-0010-0000-0300-000006000000}" name="Mai" totalsRowFunction="sum" dataDxfId="174" totalsRowDxfId="371">
      <calculatedColumnFormula>G5*0.27</calculatedColumnFormula>
    </tableColumn>
    <tableColumn id="7" xr3:uid="{00000000-0010-0000-0300-000007000000}" name="Juin" totalsRowFunction="sum" dataDxfId="173" totalsRowDxfId="370">
      <calculatedColumnFormula>H5*0.27</calculatedColumnFormula>
    </tableColumn>
    <tableColumn id="8" xr3:uid="{00000000-0010-0000-0300-000008000000}" name="Juil" totalsRowFunction="sum" dataDxfId="172" totalsRowDxfId="369">
      <calculatedColumnFormula>I5*0.27</calculatedColumnFormula>
    </tableColumn>
    <tableColumn id="9" xr3:uid="{00000000-0010-0000-0300-000009000000}" name="Août" totalsRowFunction="sum" dataDxfId="171" totalsRowDxfId="368">
      <calculatedColumnFormula>J5*0.27</calculatedColumnFormula>
    </tableColumn>
    <tableColumn id="10" xr3:uid="{00000000-0010-0000-0300-00000A000000}" name="Sept" totalsRowFunction="sum" dataDxfId="170" totalsRowDxfId="367">
      <calculatedColumnFormula>K5*0.27</calculatedColumnFormula>
    </tableColumn>
    <tableColumn id="11" xr3:uid="{00000000-0010-0000-0300-00000B000000}" name="Oct" totalsRowFunction="sum" dataDxfId="169" totalsRowDxfId="366">
      <calculatedColumnFormula>L5*0.27</calculatedColumnFormula>
    </tableColumn>
    <tableColumn id="12" xr3:uid="{00000000-0010-0000-0300-00000C000000}" name="Nov" totalsRowFunction="sum" dataDxfId="168" totalsRowDxfId="365">
      <calculatedColumnFormula>M5*0.27</calculatedColumnFormula>
    </tableColumn>
    <tableColumn id="13" xr3:uid="{00000000-0010-0000-0300-00000D000000}" name="Déc" totalsRowFunction="sum" dataDxfId="167" totalsRowDxfId="364">
      <calculatedColumnFormula>N5*0.27</calculatedColumnFormula>
    </tableColumn>
    <tableColumn id="14" xr3:uid="{00000000-0010-0000-0300-00000E000000}" name="ANNÉE" totalsRowFunction="sum" dataDxfId="166" totalsRowDxfId="363">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Entrez les coûts employés mensuels prévus dans cette table. Le total est automatiquement calculé à la f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TotalDépensesPrévues" displayName="TotalDépensesPrévues" ref="B35:O37" totalsRowShown="0" headerRowDxfId="362" dataDxfId="360" headerRowBorderDxfId="361" tableBorderDxfId="359" totalsRowBorderDxfId="358">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UX" dataDxfId="357"/>
    <tableColumn id="2" xr3:uid="{3CBCAAC6-5850-43CE-8A4B-7299FADFEA94}" name="Jan" dataDxfId="356">
      <calculatedColumnFormula>SUM($C35:C$36)</calculatedColumnFormula>
    </tableColumn>
    <tableColumn id="3" xr3:uid="{E78EAAAB-F732-4079-94F1-D17531764B41}" name="Fév" dataDxfId="355">
      <calculatedColumnFormula>SUM($C35:D$36)</calculatedColumnFormula>
    </tableColumn>
    <tableColumn id="4" xr3:uid="{7E178853-B334-4E02-A0B5-9E8AC39D6929}" name="Mar" dataDxfId="354">
      <calculatedColumnFormula>SUM($C35:E$36)</calculatedColumnFormula>
    </tableColumn>
    <tableColumn id="5" xr3:uid="{901BCAA1-7C45-46E6-9DAA-C055B5CC4D9E}" name="Avr" dataDxfId="353">
      <calculatedColumnFormula>SUM($C35:F$36)</calculatedColumnFormula>
    </tableColumn>
    <tableColumn id="6" xr3:uid="{FDC62F5A-FCA8-49DA-AFE4-FBDA22CB588C}" name="Mai" dataDxfId="352">
      <calculatedColumnFormula>SUM($C35:G$36)</calculatedColumnFormula>
    </tableColumn>
    <tableColumn id="7" xr3:uid="{6B7E4F62-6387-4545-9593-FCFE8EB0E87B}" name="Juin" dataDxfId="351">
      <calculatedColumnFormula>SUM($C35:H$36)</calculatedColumnFormula>
    </tableColumn>
    <tableColumn id="8" xr3:uid="{29C96D76-82C3-4C86-A866-135D2B5F6766}" name="Juil" dataDxfId="350">
      <calculatedColumnFormula>SUM($C35:I$36)</calculatedColumnFormula>
    </tableColumn>
    <tableColumn id="9" xr3:uid="{8EAF7A8A-BCFD-4A07-ADFE-7B3A8A367BB3}" name="Août" dataDxfId="349">
      <calculatedColumnFormula>SUM($C35:J$36)</calculatedColumnFormula>
    </tableColumn>
    <tableColumn id="10" xr3:uid="{F40CD844-EFB4-4B82-8FEA-F130D1DDE9B6}" name="Sept" dataDxfId="348">
      <calculatedColumnFormula>SUM($C35:K$36)</calculatedColumnFormula>
    </tableColumn>
    <tableColumn id="11" xr3:uid="{42E3BDAF-1274-4A42-93E1-A70D8EFF4D76}" name="Oct" dataDxfId="347">
      <calculatedColumnFormula>SUM($C35:L$36)</calculatedColumnFormula>
    </tableColumn>
    <tableColumn id="12" xr3:uid="{4F7ADDB3-3705-4D5F-B56D-EBBC8E7DFAFB}" name="Nov" dataDxfId="346">
      <calculatedColumnFormula>SUM($C35:M$36)</calculatedColumnFormula>
    </tableColumn>
    <tableColumn id="13" xr3:uid="{56789314-1137-4ED4-BA2B-969187ADECB2}" name="Déc" dataDxfId="345">
      <calculatedColumnFormula>SUM($C35:N$36)</calculatedColumnFormula>
    </tableColumn>
    <tableColumn id="14" xr3:uid="{284F34B8-8D32-4E44-96FD-25CE69A931D2}" name="Année" dataDxfId="344"/>
  </tableColumns>
  <tableStyleInfo showFirstColumn="1" showLastColumn="0" showRowStripes="0" showColumnStripes="0"/>
  <extLst>
    <ext xmlns:x14="http://schemas.microsoft.com/office/spreadsheetml/2009/9/main" uri="{504A1905-F514-4f6f-8877-14C23A59335A}">
      <x14:table altTextSummary="Les dépenses prévues mensuelles et totales sont automatiquement calculées dans cette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épensesRéellesBureau" displayName="DépensesRéellesBureau" ref="B10:O19" totalsRowCount="1" headerRowDxfId="343" totalsRowDxfId="340" headerRowBorderDxfId="342" tableBorderDxfId="341" totalsRowBorderDxfId="339">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Coûts bureau" totalsRowLabel="Sous-total" dataDxfId="338" totalsRowDxfId="337"/>
    <tableColumn id="2" xr3:uid="{00000000-0010-0000-0400-000002000000}" name="Jan" totalsRowFunction="sum" dataDxfId="126" totalsRowDxfId="336"/>
    <tableColumn id="3" xr3:uid="{00000000-0010-0000-0400-000003000000}" name="Fév" totalsRowFunction="sum" dataDxfId="125" totalsRowDxfId="335"/>
    <tableColumn id="4" xr3:uid="{00000000-0010-0000-0400-000004000000}" name="Mar" totalsRowFunction="sum" dataDxfId="124" totalsRowDxfId="334"/>
    <tableColumn id="5" xr3:uid="{00000000-0010-0000-0400-000005000000}" name="Avr" totalsRowFunction="sum" dataDxfId="123" totalsRowDxfId="333"/>
    <tableColumn id="6" xr3:uid="{00000000-0010-0000-0400-000006000000}" name="Mai" totalsRowFunction="sum" dataDxfId="122" totalsRowDxfId="332"/>
    <tableColumn id="7" xr3:uid="{00000000-0010-0000-0400-000007000000}" name="Juin" totalsRowFunction="sum" dataDxfId="121" totalsRowDxfId="331"/>
    <tableColumn id="8" xr3:uid="{00000000-0010-0000-0400-000008000000}" name="Juil" totalsRowFunction="sum" dataDxfId="120" totalsRowDxfId="330"/>
    <tableColumn id="9" xr3:uid="{00000000-0010-0000-0400-000009000000}" name="Août" totalsRowFunction="sum" dataDxfId="119" totalsRowDxfId="329"/>
    <tableColumn id="10" xr3:uid="{00000000-0010-0000-0400-00000A000000}" name="Sept" totalsRowFunction="sum" dataDxfId="118" totalsRowDxfId="328"/>
    <tableColumn id="11" xr3:uid="{00000000-0010-0000-0400-00000B000000}" name="Oct" totalsRowFunction="sum" dataDxfId="117" totalsRowDxfId="327"/>
    <tableColumn id="12" xr3:uid="{00000000-0010-0000-0400-00000C000000}" name="Nov" totalsRowFunction="sum" dataDxfId="116" totalsRowDxfId="326"/>
    <tableColumn id="13" xr3:uid="{00000000-0010-0000-0400-00000D000000}" name="Déc" totalsRowFunction="sum" dataDxfId="115" totalsRowDxfId="325"/>
    <tableColumn id="14" xr3:uid="{00000000-0010-0000-0400-00000E000000}" name="ANNÉE" totalsRowFunction="sum" dataDxfId="114" totalsRowDxfId="324">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rez les coûts de bureau mensuels réels dans cette table. Le total est automatiquement calculé à la fi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DépensesRéellesMarketing" displayName="DépensesRéellesMarketing" ref="B21:O28" totalsRowCount="1" headerRowDxfId="323" totalsRowDxfId="320" headerRowBorderDxfId="322" tableBorderDxfId="321" totalsRowBorderDxfId="319">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Coûts marketing" totalsRowLabel="Sous-total" dataDxfId="318" totalsRowDxfId="317"/>
    <tableColumn id="2" xr3:uid="{00000000-0010-0000-0500-000002000000}" name="Jan" totalsRowFunction="sum" dataDxfId="113" totalsRowDxfId="316"/>
    <tableColumn id="3" xr3:uid="{00000000-0010-0000-0500-000003000000}" name="Fév" totalsRowFunction="sum" dataDxfId="112" totalsRowDxfId="315"/>
    <tableColumn id="4" xr3:uid="{00000000-0010-0000-0500-000004000000}" name="Mar" totalsRowFunction="sum" dataDxfId="111" totalsRowDxfId="314"/>
    <tableColumn id="5" xr3:uid="{00000000-0010-0000-0500-000005000000}" name="Avr" totalsRowFunction="sum" dataDxfId="110" totalsRowDxfId="313"/>
    <tableColumn id="6" xr3:uid="{00000000-0010-0000-0500-000006000000}" name="Mai" totalsRowFunction="sum" dataDxfId="109" totalsRowDxfId="312"/>
    <tableColumn id="7" xr3:uid="{00000000-0010-0000-0500-000007000000}" name="Juin" totalsRowFunction="sum" dataDxfId="108" totalsRowDxfId="311"/>
    <tableColumn id="8" xr3:uid="{00000000-0010-0000-0500-000008000000}" name="Juil" totalsRowFunction="sum" dataDxfId="107" totalsRowDxfId="310"/>
    <tableColumn id="9" xr3:uid="{00000000-0010-0000-0500-000009000000}" name="Août" totalsRowFunction="sum" dataDxfId="106" totalsRowDxfId="309"/>
    <tableColumn id="10" xr3:uid="{00000000-0010-0000-0500-00000A000000}" name="Sept" totalsRowFunction="sum" dataDxfId="105" totalsRowDxfId="308"/>
    <tableColumn id="11" xr3:uid="{00000000-0010-0000-0500-00000B000000}" name="Oct" totalsRowFunction="sum" dataDxfId="104" totalsRowDxfId="307"/>
    <tableColumn id="12" xr3:uid="{00000000-0010-0000-0500-00000C000000}" name="Nov" totalsRowFunction="sum" dataDxfId="103" totalsRowDxfId="306"/>
    <tableColumn id="13" xr3:uid="{00000000-0010-0000-0500-00000D000000}" name="Déc" totalsRowFunction="sum" dataDxfId="102" totalsRowDxfId="305"/>
    <tableColumn id="14" xr3:uid="{00000000-0010-0000-0500-00000E000000}" name="ANNÉE" totalsRowFunction="sum" dataDxfId="101" totalsRowDxfId="304">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rez les coûts marketing mensuels réels dans cette table. Le total est automatiquement calculé à la fi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DépensesRéellesFormationEtDéplacements" displayName="DépensesRéellesFormationEtDéplacements" ref="B30:O33" totalsRowCount="1" headerRowDxfId="303" totalsRowDxfId="300" headerRowBorderDxfId="302" tableBorderDxfId="301" totalsRowBorderDxfId="299">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Formation/Déplacements" totalsRowLabel="Sous-total" dataDxfId="100" totalsRowDxfId="298"/>
    <tableColumn id="2" xr3:uid="{00000000-0010-0000-0600-000002000000}" name="Jan" totalsRowFunction="sum" dataDxfId="99" totalsRowDxfId="297"/>
    <tableColumn id="3" xr3:uid="{00000000-0010-0000-0600-000003000000}" name="Fév" totalsRowFunction="sum" dataDxfId="98" totalsRowDxfId="296"/>
    <tableColumn id="4" xr3:uid="{00000000-0010-0000-0600-000004000000}" name="Mar" totalsRowFunction="sum" dataDxfId="97" totalsRowDxfId="295"/>
    <tableColumn id="5" xr3:uid="{00000000-0010-0000-0600-000005000000}" name="Avr" totalsRowFunction="sum" dataDxfId="96" totalsRowDxfId="294"/>
    <tableColumn id="6" xr3:uid="{00000000-0010-0000-0600-000006000000}" name="Mai" totalsRowFunction="sum" dataDxfId="95" totalsRowDxfId="293"/>
    <tableColumn id="7" xr3:uid="{00000000-0010-0000-0600-000007000000}" name="Juin" totalsRowFunction="sum" dataDxfId="94" totalsRowDxfId="292"/>
    <tableColumn id="8" xr3:uid="{00000000-0010-0000-0600-000008000000}" name="Juil" totalsRowFunction="sum" dataDxfId="93" totalsRowDxfId="291"/>
    <tableColumn id="9" xr3:uid="{00000000-0010-0000-0600-000009000000}" name="Août" totalsRowFunction="sum" dataDxfId="92" totalsRowDxfId="290"/>
    <tableColumn id="10" xr3:uid="{00000000-0010-0000-0600-00000A000000}" name="Sept" totalsRowFunction="sum" dataDxfId="91" totalsRowDxfId="289"/>
    <tableColumn id="11" xr3:uid="{00000000-0010-0000-0600-00000B000000}" name="Oct" totalsRowFunction="sum" dataDxfId="90" totalsRowDxfId="288"/>
    <tableColumn id="12" xr3:uid="{00000000-0010-0000-0600-00000C000000}" name="Nov" totalsRowFunction="sum" dataDxfId="89" totalsRowDxfId="287"/>
    <tableColumn id="13" xr3:uid="{00000000-0010-0000-0600-00000D000000}" name="Déc" totalsRowFunction="sum" dataDxfId="88" totalsRowDxfId="286"/>
    <tableColumn id="14" xr3:uid="{00000000-0010-0000-0600-00000E000000}" name="ANNÉE" totalsRowFunction="sum" dataDxfId="87" totalsRowDxfId="285">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rez les coûts de formation et de déplacements mensuels réels dans cette table. Le total est automatiquement calculé à la fi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épensesRéellesEmployés" displayName="DépensesRéellesEmployés" ref="B5:O8" totalsRowCount="1" headerRowDxfId="284" totalsRowDxfId="281" headerRowBorderDxfId="283" tableBorderDxfId="282" totalsRowBorderDxfId="280">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oûts employés" totalsRowLabel="Sous-total" dataDxfId="279" totalsRowDxfId="278"/>
    <tableColumn id="2" xr3:uid="{00000000-0010-0000-0700-000002000000}" name="Jan" totalsRowFunction="sum" dataDxfId="139" totalsRowDxfId="277">
      <calculatedColumnFormula>C5*0.27</calculatedColumnFormula>
    </tableColumn>
    <tableColumn id="3" xr3:uid="{00000000-0010-0000-0700-000003000000}" name="Fév" totalsRowFunction="sum" dataDxfId="138" totalsRowDxfId="276">
      <calculatedColumnFormula>D5*0.27</calculatedColumnFormula>
    </tableColumn>
    <tableColumn id="4" xr3:uid="{00000000-0010-0000-0700-000004000000}" name="Mar" totalsRowFunction="sum" dataDxfId="137" totalsRowDxfId="275">
      <calculatedColumnFormula>E5*0.27</calculatedColumnFormula>
    </tableColumn>
    <tableColumn id="5" xr3:uid="{00000000-0010-0000-0700-000005000000}" name="Avr" totalsRowFunction="sum" dataDxfId="136" totalsRowDxfId="274">
      <calculatedColumnFormula>F5*0.27</calculatedColumnFormula>
    </tableColumn>
    <tableColumn id="6" xr3:uid="{00000000-0010-0000-0700-000006000000}" name="Mai" totalsRowFunction="sum" dataDxfId="135" totalsRowDxfId="273">
      <calculatedColumnFormula>G5*0.27</calculatedColumnFormula>
    </tableColumn>
    <tableColumn id="7" xr3:uid="{00000000-0010-0000-0700-000007000000}" name="Juin" totalsRowFunction="sum" dataDxfId="134" totalsRowDxfId="272">
      <calculatedColumnFormula>H5*0.27</calculatedColumnFormula>
    </tableColumn>
    <tableColumn id="8" xr3:uid="{00000000-0010-0000-0700-000008000000}" name="Juil" totalsRowFunction="sum" dataDxfId="133" totalsRowDxfId="271"/>
    <tableColumn id="9" xr3:uid="{00000000-0010-0000-0700-000009000000}" name="Août" totalsRowFunction="sum" dataDxfId="132" totalsRowDxfId="270"/>
    <tableColumn id="10" xr3:uid="{00000000-0010-0000-0700-00000A000000}" name="Sept" totalsRowFunction="sum" dataDxfId="131" totalsRowDxfId="269"/>
    <tableColumn id="11" xr3:uid="{00000000-0010-0000-0700-00000B000000}" name="Oct" totalsRowFunction="sum" dataDxfId="130" totalsRowDxfId="268"/>
    <tableColumn id="12" xr3:uid="{00000000-0010-0000-0700-00000C000000}" name="Nov" totalsRowFunction="sum" dataDxfId="129" totalsRowDxfId="267"/>
    <tableColumn id="13" xr3:uid="{00000000-0010-0000-0700-00000D000000}" name="Déc" totalsRowFunction="sum" dataDxfId="128" totalsRowDxfId="266"/>
    <tableColumn id="14" xr3:uid="{00000000-0010-0000-0700-00000E000000}" name="ANNÉE" totalsRowFunction="sum" dataDxfId="127" totalsRowDxfId="265">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rez les coûts employés mensuels réels dans cette table. Le total est automatiquement calculé à la fin"/>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ColWidth="9.140625" defaultRowHeight="12.75" x14ac:dyDescent="0.2"/>
  <cols>
    <col min="1" max="1" width="2.7109375" customWidth="1"/>
    <col min="2" max="2" width="75.42578125" customWidth="1"/>
    <col min="3" max="3" width="2.7109375" customWidth="1"/>
  </cols>
  <sheetData>
    <row r="1" spans="2:2" s="30" customFormat="1" ht="30" customHeight="1" x14ac:dyDescent="0.2">
      <c r="B1" s="31" t="s">
        <v>0</v>
      </c>
    </row>
    <row r="2" spans="2:2" ht="36.75" customHeight="1" x14ac:dyDescent="0.2">
      <c r="B2" s="43" t="s">
        <v>1</v>
      </c>
    </row>
    <row r="3" spans="2:2" ht="30" customHeight="1" x14ac:dyDescent="0.2">
      <c r="B3" s="43" t="s">
        <v>2</v>
      </c>
    </row>
    <row r="4" spans="2:2" ht="40.5" customHeight="1" x14ac:dyDescent="0.2">
      <c r="B4" s="43" t="s">
        <v>3</v>
      </c>
    </row>
    <row r="5" spans="2:2" ht="36" customHeight="1" x14ac:dyDescent="0.2">
      <c r="B5" s="43" t="s">
        <v>4</v>
      </c>
    </row>
    <row r="6" spans="2:2" ht="36" customHeight="1" x14ac:dyDescent="0.2">
      <c r="B6" s="45" t="s">
        <v>5</v>
      </c>
    </row>
    <row r="7" spans="2:2" ht="65.25" customHeight="1" x14ac:dyDescent="0.2">
      <c r="B7" s="43" t="s">
        <v>6</v>
      </c>
    </row>
    <row r="8" spans="2:2" ht="40.5" customHeight="1" x14ac:dyDescent="0.25">
      <c r="B8" s="4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zoomScaleNormal="100" workbookViewId="0"/>
  </sheetViews>
  <sheetFormatPr defaultColWidth="9.140625" defaultRowHeight="21" customHeight="1" x14ac:dyDescent="0.3"/>
  <cols>
    <col min="1" max="1" width="4.7109375" style="1" customWidth="1"/>
    <col min="2" max="2" width="43.7109375" style="1" customWidth="1"/>
    <col min="3" max="14" width="16.710937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34" t="s">
        <v>8</v>
      </c>
      <c r="B1" s="10"/>
      <c r="C1" s="10"/>
      <c r="D1" s="10"/>
      <c r="E1" s="93"/>
      <c r="F1" s="7"/>
      <c r="G1" s="7"/>
      <c r="H1" s="7"/>
      <c r="I1" s="7"/>
      <c r="J1" s="7"/>
      <c r="K1" s="7"/>
      <c r="L1" s="7"/>
      <c r="M1" s="7"/>
      <c r="N1" s="7"/>
      <c r="O1" s="7"/>
      <c r="P1" s="65" t="s">
        <v>68</v>
      </c>
    </row>
    <row r="2" spans="1:20" ht="45" customHeight="1" x14ac:dyDescent="0.35">
      <c r="A2" s="32" t="s">
        <v>9</v>
      </c>
      <c r="B2" s="112" t="s">
        <v>14</v>
      </c>
      <c r="C2" s="112"/>
      <c r="D2" s="112"/>
      <c r="E2" s="94"/>
      <c r="F2" s="8"/>
      <c r="G2" s="8"/>
      <c r="H2" s="8"/>
      <c r="I2" s="8"/>
      <c r="J2" s="8"/>
      <c r="K2" s="109" t="s">
        <v>55</v>
      </c>
      <c r="L2" s="109"/>
      <c r="M2" s="109"/>
      <c r="N2" s="108" t="s">
        <v>63</v>
      </c>
      <c r="O2" s="108"/>
      <c r="P2" s="7"/>
    </row>
    <row r="3" spans="1:20" ht="30" customHeight="1" x14ac:dyDescent="0.3">
      <c r="A3" s="32" t="s">
        <v>10</v>
      </c>
      <c r="B3" s="112"/>
      <c r="C3" s="112"/>
      <c r="D3" s="112"/>
      <c r="E3" s="95"/>
      <c r="F3" s="9"/>
      <c r="G3" s="9"/>
      <c r="H3" s="9"/>
      <c r="I3" s="9"/>
      <c r="J3" s="9"/>
      <c r="K3" s="113" t="s">
        <v>56</v>
      </c>
      <c r="L3" s="113"/>
      <c r="M3" s="113"/>
      <c r="N3" s="108"/>
      <c r="O3" s="108"/>
      <c r="P3" s="7"/>
    </row>
    <row r="4" spans="1:20" s="21" customFormat="1" ht="49.5" customHeight="1" x14ac:dyDescent="0.3">
      <c r="A4" s="35" t="s">
        <v>11</v>
      </c>
      <c r="B4" s="22" t="s">
        <v>15</v>
      </c>
      <c r="C4" s="23" t="s">
        <v>39</v>
      </c>
      <c r="D4" s="23" t="s">
        <v>41</v>
      </c>
      <c r="E4" s="23" t="s">
        <v>43</v>
      </c>
      <c r="F4" s="23" t="s">
        <v>45</v>
      </c>
      <c r="G4" s="23" t="s">
        <v>47</v>
      </c>
      <c r="H4" s="23" t="s">
        <v>49</v>
      </c>
      <c r="I4" s="23" t="s">
        <v>51</v>
      </c>
      <c r="J4" s="23" t="s">
        <v>53</v>
      </c>
      <c r="K4" s="23" t="s">
        <v>57</v>
      </c>
      <c r="L4" s="23" t="s">
        <v>59</v>
      </c>
      <c r="M4" s="23" t="s">
        <v>61</v>
      </c>
      <c r="N4" s="23" t="s">
        <v>64</v>
      </c>
      <c r="O4" s="23" t="s">
        <v>66</v>
      </c>
      <c r="R4" s="106" t="s">
        <v>69</v>
      </c>
      <c r="S4" s="107"/>
      <c r="T4" s="107"/>
    </row>
    <row r="5" spans="1:20" s="3" customFormat="1" ht="24.95" customHeight="1" thickBot="1" x14ac:dyDescent="0.35">
      <c r="A5" s="41" t="s">
        <v>97</v>
      </c>
      <c r="B5" s="46" t="s">
        <v>16</v>
      </c>
      <c r="C5" s="63" t="s">
        <v>40</v>
      </c>
      <c r="D5" s="61" t="s">
        <v>42</v>
      </c>
      <c r="E5" s="61" t="s">
        <v>44</v>
      </c>
      <c r="F5" s="61" t="s">
        <v>46</v>
      </c>
      <c r="G5" s="61" t="s">
        <v>48</v>
      </c>
      <c r="H5" s="61" t="s">
        <v>50</v>
      </c>
      <c r="I5" s="61" t="s">
        <v>52</v>
      </c>
      <c r="J5" s="61" t="s">
        <v>54</v>
      </c>
      <c r="K5" s="61" t="s">
        <v>58</v>
      </c>
      <c r="L5" s="61" t="s">
        <v>60</v>
      </c>
      <c r="M5" s="61" t="s">
        <v>62</v>
      </c>
      <c r="N5" s="61" t="s">
        <v>65</v>
      </c>
      <c r="O5" s="62" t="s">
        <v>66</v>
      </c>
      <c r="R5" s="107"/>
      <c r="S5" s="107"/>
      <c r="T5" s="107"/>
    </row>
    <row r="6" spans="1:20" ht="24.95" customHeight="1" thickBot="1" x14ac:dyDescent="0.35">
      <c r="A6" s="33"/>
      <c r="B6" s="47" t="s">
        <v>17</v>
      </c>
      <c r="C6" s="124">
        <v>85000</v>
      </c>
      <c r="D6" s="125">
        <v>85000</v>
      </c>
      <c r="E6" s="125">
        <v>85000</v>
      </c>
      <c r="F6" s="125">
        <v>87500</v>
      </c>
      <c r="G6" s="125">
        <v>87500</v>
      </c>
      <c r="H6" s="125">
        <v>87500</v>
      </c>
      <c r="I6" s="125">
        <v>87500</v>
      </c>
      <c r="J6" s="125">
        <v>92400</v>
      </c>
      <c r="K6" s="125">
        <v>92400</v>
      </c>
      <c r="L6" s="125">
        <v>92400</v>
      </c>
      <c r="M6" s="125">
        <v>92400</v>
      </c>
      <c r="N6" s="125">
        <v>92400</v>
      </c>
      <c r="O6" s="126">
        <f>SUM(C6:N6)</f>
        <v>1067000</v>
      </c>
      <c r="R6" s="107"/>
      <c r="S6" s="107"/>
      <c r="T6" s="107"/>
    </row>
    <row r="7" spans="1:20" ht="24.95" customHeight="1" thickBot="1" x14ac:dyDescent="0.35">
      <c r="A7" s="33"/>
      <c r="B7" s="47" t="s">
        <v>105</v>
      </c>
      <c r="C7" s="124">
        <f t="shared" ref="C7:N7" si="0">C6*0.27</f>
        <v>22950</v>
      </c>
      <c r="D7" s="125">
        <f t="shared" si="0"/>
        <v>22950</v>
      </c>
      <c r="E7" s="125">
        <f t="shared" si="0"/>
        <v>22950</v>
      </c>
      <c r="F7" s="125">
        <f t="shared" si="0"/>
        <v>23625</v>
      </c>
      <c r="G7" s="125">
        <f t="shared" si="0"/>
        <v>23625</v>
      </c>
      <c r="H7" s="125">
        <f t="shared" si="0"/>
        <v>23625</v>
      </c>
      <c r="I7" s="125">
        <f t="shared" si="0"/>
        <v>23625</v>
      </c>
      <c r="J7" s="125">
        <f t="shared" si="0"/>
        <v>24948</v>
      </c>
      <c r="K7" s="125">
        <f t="shared" si="0"/>
        <v>24948</v>
      </c>
      <c r="L7" s="125">
        <f t="shared" si="0"/>
        <v>24948</v>
      </c>
      <c r="M7" s="125">
        <f t="shared" si="0"/>
        <v>24948</v>
      </c>
      <c r="N7" s="125">
        <f t="shared" si="0"/>
        <v>24948</v>
      </c>
      <c r="O7" s="126">
        <f>SUM(C7:N7)</f>
        <v>288090</v>
      </c>
      <c r="R7" s="107"/>
      <c r="S7" s="107"/>
      <c r="T7" s="107"/>
    </row>
    <row r="8" spans="1:20" ht="24.95" customHeight="1" x14ac:dyDescent="0.3">
      <c r="A8" s="33"/>
      <c r="B8" s="48" t="s">
        <v>18</v>
      </c>
      <c r="C8" s="127">
        <f>SUBTOTAL(109,PrévisionsEmployés[Jan])</f>
        <v>107950</v>
      </c>
      <c r="D8" s="128">
        <f>SUBTOTAL(109,PrévisionsEmployés[Fév])</f>
        <v>107950</v>
      </c>
      <c r="E8" s="128">
        <f>SUBTOTAL(109,PrévisionsEmployés[Mar])</f>
        <v>107950</v>
      </c>
      <c r="F8" s="128">
        <f>SUBTOTAL(109,PrévisionsEmployés[Avr])</f>
        <v>111125</v>
      </c>
      <c r="G8" s="128">
        <f>SUBTOTAL(109,PrévisionsEmployés[Mai])</f>
        <v>111125</v>
      </c>
      <c r="H8" s="128">
        <f>SUBTOTAL(109,PrévisionsEmployés[Juin])</f>
        <v>111125</v>
      </c>
      <c r="I8" s="128">
        <f>SUBTOTAL(109,PrévisionsEmployés[Juil])</f>
        <v>111125</v>
      </c>
      <c r="J8" s="128">
        <f>SUBTOTAL(109,PrévisionsEmployés[Août])</f>
        <v>117348</v>
      </c>
      <c r="K8" s="128">
        <f>SUBTOTAL(109,PrévisionsEmployés[Sept])</f>
        <v>117348</v>
      </c>
      <c r="L8" s="128">
        <f>SUBTOTAL(109,PrévisionsEmployés[Oct])</f>
        <v>117348</v>
      </c>
      <c r="M8" s="128">
        <f>SUBTOTAL(109,PrévisionsEmployés[Nov])</f>
        <v>117348</v>
      </c>
      <c r="N8" s="128">
        <f>SUBTOTAL(109,PrévisionsEmployés[Déc])</f>
        <v>117348</v>
      </c>
      <c r="O8" s="129">
        <f>SUBTOTAL(109,PrévisionsEmployés[ANNÉE])</f>
        <v>1355090</v>
      </c>
      <c r="R8" s="107"/>
      <c r="S8" s="107"/>
      <c r="T8" s="107"/>
    </row>
    <row r="9" spans="1:20" ht="21" customHeight="1" thickBot="1" x14ac:dyDescent="0.35">
      <c r="A9" s="33"/>
      <c r="B9" s="110"/>
      <c r="C9" s="110"/>
      <c r="D9" s="90"/>
      <c r="E9" s="90"/>
      <c r="F9" s="90"/>
      <c r="G9" s="90"/>
      <c r="H9" s="90"/>
      <c r="I9" s="90"/>
      <c r="J9" s="90"/>
      <c r="K9" s="90"/>
      <c r="L9" s="90"/>
      <c r="M9" s="90"/>
      <c r="N9" s="90"/>
      <c r="O9" s="91"/>
      <c r="R9" s="107"/>
      <c r="S9" s="107"/>
      <c r="T9" s="107"/>
    </row>
    <row r="10" spans="1:20" ht="24.95" customHeight="1" thickBot="1" x14ac:dyDescent="0.35">
      <c r="A10" s="33" t="s">
        <v>98</v>
      </c>
      <c r="B10" s="57" t="s">
        <v>19</v>
      </c>
      <c r="C10" s="54" t="s">
        <v>40</v>
      </c>
      <c r="D10" s="55" t="s">
        <v>42</v>
      </c>
      <c r="E10" s="86" t="s">
        <v>44</v>
      </c>
      <c r="F10" s="55" t="s">
        <v>46</v>
      </c>
      <c r="G10" s="55" t="s">
        <v>48</v>
      </c>
      <c r="H10" s="55" t="s">
        <v>50</v>
      </c>
      <c r="I10" s="55" t="s">
        <v>52</v>
      </c>
      <c r="J10" s="55" t="s">
        <v>54</v>
      </c>
      <c r="K10" s="55" t="s">
        <v>58</v>
      </c>
      <c r="L10" s="55" t="s">
        <v>60</v>
      </c>
      <c r="M10" s="55" t="s">
        <v>62</v>
      </c>
      <c r="N10" s="55" t="s">
        <v>65</v>
      </c>
      <c r="O10" s="56" t="s">
        <v>66</v>
      </c>
      <c r="R10" s="107"/>
      <c r="S10" s="107"/>
      <c r="T10" s="107"/>
    </row>
    <row r="11" spans="1:20" ht="24.95" customHeight="1" thickBot="1" x14ac:dyDescent="0.35">
      <c r="A11" s="33"/>
      <c r="B11" s="83" t="s">
        <v>20</v>
      </c>
      <c r="C11" s="124">
        <v>9800</v>
      </c>
      <c r="D11" s="125">
        <v>9800</v>
      </c>
      <c r="E11" s="125">
        <v>9800</v>
      </c>
      <c r="F11" s="125">
        <v>9800</v>
      </c>
      <c r="G11" s="125">
        <v>9800</v>
      </c>
      <c r="H11" s="125">
        <v>9800</v>
      </c>
      <c r="I11" s="125">
        <v>9800</v>
      </c>
      <c r="J11" s="125">
        <v>9800</v>
      </c>
      <c r="K11" s="125">
        <v>9800</v>
      </c>
      <c r="L11" s="125">
        <v>9800</v>
      </c>
      <c r="M11" s="125">
        <v>9800</v>
      </c>
      <c r="N11" s="125">
        <v>9800</v>
      </c>
      <c r="O11" s="126">
        <f t="shared" ref="O11:O18" si="1">SUM(C11:N11)</f>
        <v>117600</v>
      </c>
      <c r="R11" s="107"/>
      <c r="S11" s="107"/>
      <c r="T11" s="107"/>
    </row>
    <row r="12" spans="1:20" ht="24.95" customHeight="1" thickBot="1" x14ac:dyDescent="0.35">
      <c r="A12" s="33"/>
      <c r="B12" s="83" t="s">
        <v>21</v>
      </c>
      <c r="C12" s="124"/>
      <c r="D12" s="125">
        <v>400</v>
      </c>
      <c r="E12" s="125">
        <v>400</v>
      </c>
      <c r="F12" s="125">
        <v>100</v>
      </c>
      <c r="G12" s="125">
        <v>100</v>
      </c>
      <c r="H12" s="125">
        <v>100</v>
      </c>
      <c r="I12" s="125">
        <v>100</v>
      </c>
      <c r="J12" s="125">
        <v>100</v>
      </c>
      <c r="K12" s="125">
        <v>100</v>
      </c>
      <c r="L12" s="125">
        <v>100</v>
      </c>
      <c r="M12" s="125">
        <v>400</v>
      </c>
      <c r="N12" s="125">
        <v>400</v>
      </c>
      <c r="O12" s="126">
        <f t="shared" si="1"/>
        <v>2300</v>
      </c>
      <c r="R12" s="107"/>
      <c r="S12" s="107"/>
      <c r="T12" s="107"/>
    </row>
    <row r="13" spans="1:20" ht="24.95" customHeight="1" thickBot="1" x14ac:dyDescent="0.35">
      <c r="A13" s="33"/>
      <c r="B13" s="83" t="s">
        <v>22</v>
      </c>
      <c r="C13" s="124">
        <v>300</v>
      </c>
      <c r="D13" s="125">
        <v>300</v>
      </c>
      <c r="E13" s="125">
        <v>300</v>
      </c>
      <c r="F13" s="125">
        <v>300</v>
      </c>
      <c r="G13" s="125">
        <v>300</v>
      </c>
      <c r="H13" s="125">
        <v>300</v>
      </c>
      <c r="I13" s="125">
        <v>300</v>
      </c>
      <c r="J13" s="125">
        <v>300</v>
      </c>
      <c r="K13" s="125">
        <v>300</v>
      </c>
      <c r="L13" s="125">
        <v>300</v>
      </c>
      <c r="M13" s="125">
        <v>300</v>
      </c>
      <c r="N13" s="125">
        <v>300</v>
      </c>
      <c r="O13" s="126">
        <f t="shared" si="1"/>
        <v>3600</v>
      </c>
      <c r="R13" s="107"/>
      <c r="S13" s="107"/>
      <c r="T13" s="107"/>
    </row>
    <row r="14" spans="1:20" ht="24.95" customHeight="1" thickBot="1" x14ac:dyDescent="0.35">
      <c r="A14" s="33"/>
      <c r="B14" s="83" t="s">
        <v>23</v>
      </c>
      <c r="C14" s="124">
        <v>40</v>
      </c>
      <c r="D14" s="125">
        <v>40</v>
      </c>
      <c r="E14" s="125">
        <v>40</v>
      </c>
      <c r="F14" s="125">
        <v>40</v>
      </c>
      <c r="G14" s="125">
        <v>40</v>
      </c>
      <c r="H14" s="125">
        <v>40</v>
      </c>
      <c r="I14" s="125">
        <v>40</v>
      </c>
      <c r="J14" s="125">
        <v>40</v>
      </c>
      <c r="K14" s="125">
        <v>40</v>
      </c>
      <c r="L14" s="125">
        <v>40</v>
      </c>
      <c r="M14" s="125">
        <v>40</v>
      </c>
      <c r="N14" s="125">
        <v>40</v>
      </c>
      <c r="O14" s="126">
        <f t="shared" si="1"/>
        <v>480</v>
      </c>
    </row>
    <row r="15" spans="1:20" ht="24.95" customHeight="1" thickBot="1" x14ac:dyDescent="0.35">
      <c r="A15" s="33"/>
      <c r="B15" s="83" t="s">
        <v>24</v>
      </c>
      <c r="C15" s="124">
        <v>250</v>
      </c>
      <c r="D15" s="125">
        <v>250</v>
      </c>
      <c r="E15" s="125">
        <v>250</v>
      </c>
      <c r="F15" s="125">
        <v>250</v>
      </c>
      <c r="G15" s="125">
        <v>250</v>
      </c>
      <c r="H15" s="125">
        <v>250</v>
      </c>
      <c r="I15" s="125">
        <v>250</v>
      </c>
      <c r="J15" s="125">
        <v>250</v>
      </c>
      <c r="K15" s="125">
        <v>250</v>
      </c>
      <c r="L15" s="125">
        <v>250</v>
      </c>
      <c r="M15" s="125">
        <v>250</v>
      </c>
      <c r="N15" s="125">
        <v>250</v>
      </c>
      <c r="O15" s="126">
        <f t="shared" si="1"/>
        <v>3000</v>
      </c>
    </row>
    <row r="16" spans="1:20" ht="24.95" customHeight="1" thickBot="1" x14ac:dyDescent="0.35">
      <c r="A16" s="33"/>
      <c r="B16" s="83" t="s">
        <v>25</v>
      </c>
      <c r="C16" s="124">
        <v>180</v>
      </c>
      <c r="D16" s="125">
        <v>180</v>
      </c>
      <c r="E16" s="125">
        <v>180</v>
      </c>
      <c r="F16" s="125">
        <v>180</v>
      </c>
      <c r="G16" s="125">
        <v>180</v>
      </c>
      <c r="H16" s="125">
        <v>180</v>
      </c>
      <c r="I16" s="125">
        <v>180</v>
      </c>
      <c r="J16" s="125">
        <v>180</v>
      </c>
      <c r="K16" s="125">
        <v>180</v>
      </c>
      <c r="L16" s="125">
        <v>180</v>
      </c>
      <c r="M16" s="125">
        <v>180</v>
      </c>
      <c r="N16" s="125">
        <v>180</v>
      </c>
      <c r="O16" s="126">
        <f t="shared" si="1"/>
        <v>2160</v>
      </c>
    </row>
    <row r="17" spans="1:15" ht="24.95" customHeight="1" thickBot="1" x14ac:dyDescent="0.35">
      <c r="A17" s="33"/>
      <c r="B17" s="83" t="s">
        <v>26</v>
      </c>
      <c r="C17" s="124">
        <v>200</v>
      </c>
      <c r="D17" s="125">
        <v>200</v>
      </c>
      <c r="E17" s="125">
        <v>200</v>
      </c>
      <c r="F17" s="125">
        <v>200</v>
      </c>
      <c r="G17" s="125">
        <v>200</v>
      </c>
      <c r="H17" s="125">
        <v>200</v>
      </c>
      <c r="I17" s="125">
        <v>200</v>
      </c>
      <c r="J17" s="125">
        <v>200</v>
      </c>
      <c r="K17" s="125">
        <v>200</v>
      </c>
      <c r="L17" s="125">
        <v>200</v>
      </c>
      <c r="M17" s="125">
        <v>200</v>
      </c>
      <c r="N17" s="125">
        <v>200</v>
      </c>
      <c r="O17" s="126">
        <f t="shared" si="1"/>
        <v>2400</v>
      </c>
    </row>
    <row r="18" spans="1:15" ht="24.95" customHeight="1" thickBot="1" x14ac:dyDescent="0.35">
      <c r="A18" s="33"/>
      <c r="B18" s="83" t="s">
        <v>27</v>
      </c>
      <c r="C18" s="124">
        <v>600</v>
      </c>
      <c r="D18" s="125">
        <v>600</v>
      </c>
      <c r="E18" s="125">
        <v>600</v>
      </c>
      <c r="F18" s="125">
        <v>600</v>
      </c>
      <c r="G18" s="125">
        <v>600</v>
      </c>
      <c r="H18" s="125">
        <v>600</v>
      </c>
      <c r="I18" s="125">
        <v>600</v>
      </c>
      <c r="J18" s="125">
        <v>600</v>
      </c>
      <c r="K18" s="125">
        <v>600</v>
      </c>
      <c r="L18" s="125">
        <v>600</v>
      </c>
      <c r="M18" s="125">
        <v>600</v>
      </c>
      <c r="N18" s="125">
        <v>600</v>
      </c>
      <c r="O18" s="126">
        <f t="shared" si="1"/>
        <v>7200</v>
      </c>
    </row>
    <row r="19" spans="1:15" ht="24.95" customHeight="1" thickBot="1" x14ac:dyDescent="0.35">
      <c r="A19" s="33"/>
      <c r="B19" s="64" t="s">
        <v>18</v>
      </c>
      <c r="C19" s="130">
        <f>SUBTOTAL(109,PrévisionsBureau[Jan])</f>
        <v>11370</v>
      </c>
      <c r="D19" s="131">
        <f>SUBTOTAL(109,PrévisionsBureau[Fév])</f>
        <v>11770</v>
      </c>
      <c r="E19" s="131">
        <f>SUBTOTAL(109,PrévisionsBureau[Mar])</f>
        <v>11770</v>
      </c>
      <c r="F19" s="131">
        <f>SUBTOTAL(109,PrévisionsBureau[Avr])</f>
        <v>11470</v>
      </c>
      <c r="G19" s="131">
        <f>SUBTOTAL(109,PrévisionsBureau[Mai])</f>
        <v>11470</v>
      </c>
      <c r="H19" s="131">
        <f>SUBTOTAL(109,PrévisionsBureau[Juin])</f>
        <v>11470</v>
      </c>
      <c r="I19" s="131">
        <f>SUBTOTAL(109,PrévisionsBureau[Juil])</f>
        <v>11470</v>
      </c>
      <c r="J19" s="131">
        <f>SUBTOTAL(109,PrévisionsBureau[Août])</f>
        <v>11470</v>
      </c>
      <c r="K19" s="131">
        <f>SUBTOTAL(109,PrévisionsBureau[Sept])</f>
        <v>11470</v>
      </c>
      <c r="L19" s="131">
        <f>SUBTOTAL(109,PrévisionsBureau[Oct])</f>
        <v>11470</v>
      </c>
      <c r="M19" s="131">
        <f>SUBTOTAL(109,PrévisionsBureau[Nov])</f>
        <v>11770</v>
      </c>
      <c r="N19" s="131">
        <f>SUBTOTAL(109,PrévisionsBureau[Déc])</f>
        <v>11770</v>
      </c>
      <c r="O19" s="132">
        <f>SUBTOTAL(109,PrévisionsBureau[ANNÉE])</f>
        <v>138740</v>
      </c>
    </row>
    <row r="20" spans="1:15" ht="21" customHeight="1" x14ac:dyDescent="0.3">
      <c r="A20" s="33"/>
      <c r="B20" s="111"/>
      <c r="C20" s="111"/>
      <c r="D20" s="90"/>
      <c r="E20" s="90"/>
      <c r="F20" s="92"/>
      <c r="G20" s="92"/>
      <c r="H20" s="92"/>
      <c r="I20" s="92"/>
      <c r="J20" s="92"/>
      <c r="K20" s="92"/>
      <c r="L20" s="92"/>
      <c r="M20" s="92"/>
      <c r="N20" s="92"/>
      <c r="O20" s="91"/>
    </row>
    <row r="21" spans="1:15" ht="24.95" customHeight="1" thickBot="1" x14ac:dyDescent="0.35">
      <c r="A21" s="33" t="s">
        <v>12</v>
      </c>
      <c r="B21" s="58" t="s">
        <v>28</v>
      </c>
      <c r="C21" s="51" t="s">
        <v>40</v>
      </c>
      <c r="D21" s="51" t="s">
        <v>42</v>
      </c>
      <c r="E21" s="87" t="s">
        <v>44</v>
      </c>
      <c r="F21" s="51" t="s">
        <v>46</v>
      </c>
      <c r="G21" s="51" t="s">
        <v>48</v>
      </c>
      <c r="H21" s="51" t="s">
        <v>50</v>
      </c>
      <c r="I21" s="51" t="s">
        <v>52</v>
      </c>
      <c r="J21" s="51" t="s">
        <v>54</v>
      </c>
      <c r="K21" s="51" t="s">
        <v>58</v>
      </c>
      <c r="L21" s="51" t="s">
        <v>60</v>
      </c>
      <c r="M21" s="51" t="s">
        <v>62</v>
      </c>
      <c r="N21" s="51" t="s">
        <v>65</v>
      </c>
      <c r="O21" s="52" t="s">
        <v>66</v>
      </c>
    </row>
    <row r="22" spans="1:15" ht="24.95" customHeight="1" thickBot="1" x14ac:dyDescent="0.35">
      <c r="A22" s="33"/>
      <c r="B22" s="47" t="s">
        <v>106</v>
      </c>
      <c r="C22" s="133">
        <v>500</v>
      </c>
      <c r="D22" s="134">
        <v>500</v>
      </c>
      <c r="E22" s="134">
        <v>500</v>
      </c>
      <c r="F22" s="134">
        <v>500</v>
      </c>
      <c r="G22" s="134">
        <v>500</v>
      </c>
      <c r="H22" s="134">
        <v>500</v>
      </c>
      <c r="I22" s="134">
        <v>500</v>
      </c>
      <c r="J22" s="134">
        <v>500</v>
      </c>
      <c r="K22" s="134">
        <v>500</v>
      </c>
      <c r="L22" s="134">
        <v>500</v>
      </c>
      <c r="M22" s="134">
        <v>500</v>
      </c>
      <c r="N22" s="134">
        <v>500</v>
      </c>
      <c r="O22" s="126">
        <f t="shared" ref="O22:O27" si="2">SUM(C22:N22)</f>
        <v>6000</v>
      </c>
    </row>
    <row r="23" spans="1:15" ht="24.95" customHeight="1" thickBot="1" x14ac:dyDescent="0.35">
      <c r="A23" s="33"/>
      <c r="B23" s="47" t="s">
        <v>107</v>
      </c>
      <c r="C23" s="133">
        <v>200</v>
      </c>
      <c r="D23" s="134">
        <v>200</v>
      </c>
      <c r="E23" s="134">
        <v>200</v>
      </c>
      <c r="F23" s="134">
        <v>200</v>
      </c>
      <c r="G23" s="134">
        <v>200</v>
      </c>
      <c r="H23" s="134">
        <v>1000</v>
      </c>
      <c r="I23" s="134">
        <v>200</v>
      </c>
      <c r="J23" s="134">
        <v>200</v>
      </c>
      <c r="K23" s="134">
        <v>200</v>
      </c>
      <c r="L23" s="134">
        <v>200</v>
      </c>
      <c r="M23" s="134">
        <v>200</v>
      </c>
      <c r="N23" s="134">
        <v>1000</v>
      </c>
      <c r="O23" s="126">
        <f t="shared" si="2"/>
        <v>4000</v>
      </c>
    </row>
    <row r="24" spans="1:15" ht="24.95" customHeight="1" thickBot="1" x14ac:dyDescent="0.35">
      <c r="A24" s="33"/>
      <c r="B24" s="47" t="s">
        <v>29</v>
      </c>
      <c r="C24" s="133">
        <v>5000</v>
      </c>
      <c r="D24" s="134">
        <v>0</v>
      </c>
      <c r="E24" s="134">
        <v>0</v>
      </c>
      <c r="F24" s="134">
        <v>5000</v>
      </c>
      <c r="G24" s="134">
        <v>0</v>
      </c>
      <c r="H24" s="134">
        <v>0</v>
      </c>
      <c r="I24" s="134">
        <v>5000</v>
      </c>
      <c r="J24" s="134">
        <v>0</v>
      </c>
      <c r="K24" s="134">
        <v>0</v>
      </c>
      <c r="L24" s="134">
        <v>5000</v>
      </c>
      <c r="M24" s="134">
        <v>0</v>
      </c>
      <c r="N24" s="134">
        <v>0</v>
      </c>
      <c r="O24" s="126">
        <f t="shared" si="2"/>
        <v>20000</v>
      </c>
    </row>
    <row r="25" spans="1:15" ht="24.95" customHeight="1" thickBot="1" x14ac:dyDescent="0.35">
      <c r="A25" s="33"/>
      <c r="B25" s="47" t="s">
        <v>30</v>
      </c>
      <c r="C25" s="133">
        <v>200</v>
      </c>
      <c r="D25" s="134">
        <v>200</v>
      </c>
      <c r="E25" s="134">
        <v>200</v>
      </c>
      <c r="F25" s="134">
        <v>200</v>
      </c>
      <c r="G25" s="134">
        <v>200</v>
      </c>
      <c r="H25" s="134">
        <v>200</v>
      </c>
      <c r="I25" s="134">
        <v>200</v>
      </c>
      <c r="J25" s="134">
        <v>200</v>
      </c>
      <c r="K25" s="134">
        <v>200</v>
      </c>
      <c r="L25" s="134">
        <v>200</v>
      </c>
      <c r="M25" s="134">
        <v>200</v>
      </c>
      <c r="N25" s="134">
        <v>200</v>
      </c>
      <c r="O25" s="126">
        <f t="shared" si="2"/>
        <v>2400</v>
      </c>
    </row>
    <row r="26" spans="1:15" ht="24.95" customHeight="1" thickBot="1" x14ac:dyDescent="0.35">
      <c r="A26" s="33"/>
      <c r="B26" s="47" t="s">
        <v>31</v>
      </c>
      <c r="C26" s="133">
        <v>2000</v>
      </c>
      <c r="D26" s="134">
        <v>2000</v>
      </c>
      <c r="E26" s="134">
        <v>2000</v>
      </c>
      <c r="F26" s="134">
        <v>5000</v>
      </c>
      <c r="G26" s="134">
        <v>2000</v>
      </c>
      <c r="H26" s="134">
        <v>2000</v>
      </c>
      <c r="I26" s="134">
        <v>2000</v>
      </c>
      <c r="J26" s="134">
        <v>5000</v>
      </c>
      <c r="K26" s="134">
        <v>2000</v>
      </c>
      <c r="L26" s="134">
        <v>2000</v>
      </c>
      <c r="M26" s="134">
        <v>2000</v>
      </c>
      <c r="N26" s="134">
        <v>5000</v>
      </c>
      <c r="O26" s="126">
        <f t="shared" si="2"/>
        <v>33000</v>
      </c>
    </row>
    <row r="27" spans="1:15" ht="24.95" customHeight="1" thickBot="1" x14ac:dyDescent="0.35">
      <c r="A27" s="33"/>
      <c r="B27" s="47" t="s">
        <v>32</v>
      </c>
      <c r="C27" s="133">
        <v>200</v>
      </c>
      <c r="D27" s="134">
        <v>200</v>
      </c>
      <c r="E27" s="134">
        <v>200</v>
      </c>
      <c r="F27" s="134">
        <v>200</v>
      </c>
      <c r="G27" s="134">
        <v>200</v>
      </c>
      <c r="H27" s="134">
        <v>200</v>
      </c>
      <c r="I27" s="134">
        <v>200</v>
      </c>
      <c r="J27" s="134">
        <v>200</v>
      </c>
      <c r="K27" s="134">
        <v>200</v>
      </c>
      <c r="L27" s="134">
        <v>200</v>
      </c>
      <c r="M27" s="134">
        <v>200</v>
      </c>
      <c r="N27" s="134">
        <v>200</v>
      </c>
      <c r="O27" s="126">
        <f t="shared" si="2"/>
        <v>2400</v>
      </c>
    </row>
    <row r="28" spans="1:15" ht="24.95" customHeight="1" x14ac:dyDescent="0.3">
      <c r="A28" s="33"/>
      <c r="B28" s="49" t="s">
        <v>18</v>
      </c>
      <c r="C28" s="127">
        <f>SUBTOTAL(109,PrévisionsMarketing[Jan])</f>
        <v>8100</v>
      </c>
      <c r="D28" s="128">
        <f>SUBTOTAL(109,PrévisionsMarketing[Fév])</f>
        <v>3100</v>
      </c>
      <c r="E28" s="128">
        <f>SUBTOTAL(109,PrévisionsMarketing[Mar])</f>
        <v>3100</v>
      </c>
      <c r="F28" s="128">
        <f>SUBTOTAL(109,PrévisionsMarketing[Avr])</f>
        <v>11100</v>
      </c>
      <c r="G28" s="128">
        <f>SUBTOTAL(109,PrévisionsMarketing[Mai])</f>
        <v>3100</v>
      </c>
      <c r="H28" s="128">
        <f>SUBTOTAL(109,PrévisionsMarketing[Juin])</f>
        <v>3900</v>
      </c>
      <c r="I28" s="128">
        <f>SUBTOTAL(109,PrévisionsMarketing[Juil])</f>
        <v>8100</v>
      </c>
      <c r="J28" s="128">
        <f>SUBTOTAL(109,PrévisionsMarketing[Août])</f>
        <v>6100</v>
      </c>
      <c r="K28" s="128">
        <f>SUBTOTAL(109,PrévisionsMarketing[Sept])</f>
        <v>3100</v>
      </c>
      <c r="L28" s="128">
        <f>SUBTOTAL(109,PrévisionsMarketing[Oct])</f>
        <v>8100</v>
      </c>
      <c r="M28" s="128">
        <f>SUBTOTAL(109,PrévisionsMarketing[Nov])</f>
        <v>3100</v>
      </c>
      <c r="N28" s="128">
        <f>SUBTOTAL(109,PrévisionsMarketing[Déc])</f>
        <v>6900</v>
      </c>
      <c r="O28" s="129">
        <f>SUBTOTAL(109,PrévisionsMarketing[ANNÉE])</f>
        <v>67800</v>
      </c>
    </row>
    <row r="29" spans="1:15" ht="21" customHeight="1" x14ac:dyDescent="0.3">
      <c r="A29" s="33"/>
      <c r="B29" s="110"/>
      <c r="C29" s="110"/>
      <c r="D29" s="92"/>
      <c r="E29" s="92"/>
      <c r="F29" s="92"/>
      <c r="G29" s="92"/>
      <c r="H29" s="92"/>
      <c r="I29" s="92"/>
      <c r="J29" s="92"/>
      <c r="K29" s="92"/>
      <c r="L29" s="92"/>
      <c r="M29" s="92"/>
      <c r="N29" s="92"/>
      <c r="O29" s="91"/>
    </row>
    <row r="30" spans="1:15" ht="21" customHeight="1" thickBot="1" x14ac:dyDescent="0.35">
      <c r="A30" s="33" t="s">
        <v>13</v>
      </c>
      <c r="B30" s="59" t="s">
        <v>33</v>
      </c>
      <c r="C30" s="51" t="s">
        <v>40</v>
      </c>
      <c r="D30" s="51" t="s">
        <v>42</v>
      </c>
      <c r="E30" s="87" t="s">
        <v>44</v>
      </c>
      <c r="F30" s="51" t="s">
        <v>46</v>
      </c>
      <c r="G30" s="51" t="s">
        <v>48</v>
      </c>
      <c r="H30" s="51" t="s">
        <v>50</v>
      </c>
      <c r="I30" s="51" t="s">
        <v>52</v>
      </c>
      <c r="J30" s="51" t="s">
        <v>54</v>
      </c>
      <c r="K30" s="51" t="s">
        <v>58</v>
      </c>
      <c r="L30" s="51" t="s">
        <v>60</v>
      </c>
      <c r="M30" s="51" t="s">
        <v>62</v>
      </c>
      <c r="N30" s="51" t="s">
        <v>65</v>
      </c>
      <c r="O30" s="52" t="s">
        <v>66</v>
      </c>
    </row>
    <row r="31" spans="1:15" ht="21" customHeight="1" thickBot="1" x14ac:dyDescent="0.35">
      <c r="A31" s="33"/>
      <c r="B31" s="47" t="s">
        <v>34</v>
      </c>
      <c r="C31" s="96">
        <v>2000</v>
      </c>
      <c r="D31" s="97">
        <v>2000</v>
      </c>
      <c r="E31" s="97">
        <v>2000</v>
      </c>
      <c r="F31" s="97">
        <v>2000</v>
      </c>
      <c r="G31" s="97">
        <v>2000</v>
      </c>
      <c r="H31" s="97">
        <v>2000</v>
      </c>
      <c r="I31" s="97">
        <v>2000</v>
      </c>
      <c r="J31" s="97">
        <v>2000</v>
      </c>
      <c r="K31" s="97">
        <v>2000</v>
      </c>
      <c r="L31" s="97">
        <v>2000</v>
      </c>
      <c r="M31" s="97">
        <v>2000</v>
      </c>
      <c r="N31" s="97">
        <v>2000</v>
      </c>
      <c r="O31" s="98">
        <f>SUM(C31:N31)</f>
        <v>24000</v>
      </c>
    </row>
    <row r="32" spans="1:15" ht="21" customHeight="1" thickBot="1" x14ac:dyDescent="0.35">
      <c r="A32" s="33"/>
      <c r="B32" s="47" t="s">
        <v>35</v>
      </c>
      <c r="C32" s="96">
        <v>2000</v>
      </c>
      <c r="D32" s="97">
        <v>2000</v>
      </c>
      <c r="E32" s="97">
        <v>2000</v>
      </c>
      <c r="F32" s="97">
        <v>2000</v>
      </c>
      <c r="G32" s="97">
        <v>2000</v>
      </c>
      <c r="H32" s="97">
        <v>2000</v>
      </c>
      <c r="I32" s="97">
        <v>2000</v>
      </c>
      <c r="J32" s="97">
        <v>2000</v>
      </c>
      <c r="K32" s="97">
        <v>2000</v>
      </c>
      <c r="L32" s="97">
        <v>2000</v>
      </c>
      <c r="M32" s="97">
        <v>2000</v>
      </c>
      <c r="N32" s="97">
        <v>2000</v>
      </c>
      <c r="O32" s="98">
        <f>SUM(C32:N32)</f>
        <v>24000</v>
      </c>
    </row>
    <row r="33" spans="1:15" ht="21" customHeight="1" x14ac:dyDescent="0.3">
      <c r="A33" s="33"/>
      <c r="B33" s="49" t="s">
        <v>18</v>
      </c>
      <c r="C33" s="99">
        <f>SUBTOTAL(109,PrévisionsFormationEtDéplacements[Jan])</f>
        <v>4000</v>
      </c>
      <c r="D33" s="100">
        <f>SUBTOTAL(109,PrévisionsFormationEtDéplacements[Fév])</f>
        <v>4000</v>
      </c>
      <c r="E33" s="100">
        <f>SUBTOTAL(109,PrévisionsFormationEtDéplacements[Mar])</f>
        <v>4000</v>
      </c>
      <c r="F33" s="100">
        <f>SUBTOTAL(109,PrévisionsFormationEtDéplacements[Avr])</f>
        <v>4000</v>
      </c>
      <c r="G33" s="100">
        <f>SUBTOTAL(109,PrévisionsFormationEtDéplacements[Mai])</f>
        <v>4000</v>
      </c>
      <c r="H33" s="100">
        <f>SUBTOTAL(109,PrévisionsFormationEtDéplacements[Juin])</f>
        <v>4000</v>
      </c>
      <c r="I33" s="100">
        <f>SUBTOTAL(109,PrévisionsFormationEtDéplacements[Juil])</f>
        <v>4000</v>
      </c>
      <c r="J33" s="100">
        <f>SUBTOTAL(109,PrévisionsFormationEtDéplacements[Août])</f>
        <v>4000</v>
      </c>
      <c r="K33" s="100">
        <f>SUBTOTAL(109,PrévisionsFormationEtDéplacements[Sept])</f>
        <v>4000</v>
      </c>
      <c r="L33" s="100">
        <f>SUBTOTAL(109,PrévisionsFormationEtDéplacements[Oct])</f>
        <v>4000</v>
      </c>
      <c r="M33" s="100">
        <f>SUBTOTAL(109,PrévisionsFormationEtDéplacements[Nov])</f>
        <v>4000</v>
      </c>
      <c r="N33" s="100">
        <f>SUBTOTAL(109,PrévisionsFormationEtDéplacements[Déc])</f>
        <v>4000</v>
      </c>
      <c r="O33" s="101">
        <f>SUBTOTAL(109,PrévisionsFormationEtDéplacements[ANNÉE])</f>
        <v>48000</v>
      </c>
    </row>
    <row r="34" spans="1:15" ht="21" customHeight="1" x14ac:dyDescent="0.3">
      <c r="A34" s="33"/>
      <c r="B34" s="110"/>
      <c r="C34" s="110"/>
      <c r="D34" s="91"/>
      <c r="E34" s="91"/>
      <c r="F34" s="91"/>
      <c r="G34" s="91"/>
      <c r="H34" s="91"/>
      <c r="I34" s="91"/>
      <c r="J34" s="91"/>
      <c r="K34" s="91"/>
      <c r="L34" s="91"/>
      <c r="M34" s="91"/>
      <c r="N34" s="91"/>
      <c r="O34" s="91"/>
    </row>
    <row r="35" spans="1:15" ht="24.95" customHeight="1" thickBot="1" x14ac:dyDescent="0.35">
      <c r="A35" s="33" t="s">
        <v>99</v>
      </c>
      <c r="B35" s="24" t="s">
        <v>36</v>
      </c>
      <c r="C35" s="26" t="s">
        <v>40</v>
      </c>
      <c r="D35" s="26" t="s">
        <v>42</v>
      </c>
      <c r="E35" s="26" t="s">
        <v>44</v>
      </c>
      <c r="F35" s="26" t="s">
        <v>46</v>
      </c>
      <c r="G35" s="26" t="s">
        <v>48</v>
      </c>
      <c r="H35" s="26" t="s">
        <v>50</v>
      </c>
      <c r="I35" s="26" t="s">
        <v>52</v>
      </c>
      <c r="J35" s="26" t="s">
        <v>54</v>
      </c>
      <c r="K35" s="26" t="s">
        <v>58</v>
      </c>
      <c r="L35" s="26" t="s">
        <v>60</v>
      </c>
      <c r="M35" s="26" t="s">
        <v>62</v>
      </c>
      <c r="N35" s="26" t="s">
        <v>65</v>
      </c>
      <c r="O35" s="26" t="s">
        <v>67</v>
      </c>
    </row>
    <row r="36" spans="1:15" ht="24.95" customHeight="1" thickBot="1" x14ac:dyDescent="0.35">
      <c r="A36" s="33"/>
      <c r="B36" s="25" t="s">
        <v>37</v>
      </c>
      <c r="C36" s="102">
        <f>PrévisionsFormationEtDéplacements[[#Totals],[Jan]]+PrévisionsMarketing[[#Totals],[Jan]]+PrévisionsBureau[[#Totals],[Jan]]+PrévisionsEmployés[[#Totals],[Jan]]</f>
        <v>131420</v>
      </c>
      <c r="D36" s="102">
        <f>PrévisionsFormationEtDéplacements[[#Totals],[Fév]]+PrévisionsMarketing[[#Totals],[Fév]]+PrévisionsBureau[[#Totals],[Fév]]+PrévisionsEmployés[[#Totals],[Fév]]</f>
        <v>126820</v>
      </c>
      <c r="E36" s="102">
        <f>PrévisionsFormationEtDéplacements[[#Totals],[Mar]]+PrévisionsMarketing[[#Totals],[Mar]]+PrévisionsBureau[[#Totals],[Mar]]+PrévisionsEmployés[[#Totals],[Mar]]</f>
        <v>126820</v>
      </c>
      <c r="F36" s="102">
        <f>PrévisionsFormationEtDéplacements[[#Totals],[Avr]]+PrévisionsMarketing[[#Totals],[Avr]]+PrévisionsBureau[[#Totals],[Avr]]+PrévisionsEmployés[[#Totals],[Avr]]</f>
        <v>137695</v>
      </c>
      <c r="G36" s="102">
        <f>PrévisionsFormationEtDéplacements[[#Totals],[Mai]]+PrévisionsMarketing[[#Totals],[Mai]]+PrévisionsBureau[[#Totals],[Mai]]+PrévisionsEmployés[[#Totals],[Mai]]</f>
        <v>129695</v>
      </c>
      <c r="H36" s="102">
        <f>PrévisionsFormationEtDéplacements[[#Totals],[Juin]]+PrévisionsMarketing[[#Totals],[Juin]]+PrévisionsBureau[[#Totals],[Juin]]+PrévisionsEmployés[[#Totals],[Juin]]</f>
        <v>130495</v>
      </c>
      <c r="I36" s="103">
        <f>PrévisionsFormationEtDéplacements[[#Totals],[Juil]]+PrévisionsMarketing[[#Totals],[Juil]]+PrévisionsBureau[[#Totals],[Juil]]+PrévisionsEmployés[[#Totals],[Juil]]</f>
        <v>134695</v>
      </c>
      <c r="J36" s="102">
        <f>PrévisionsFormationEtDéplacements[[#Totals],[Août]]+PrévisionsMarketing[[#Totals],[Août]]+PrévisionsBureau[[#Totals],[Août]]+PrévisionsEmployés[[#Totals],[Août]]</f>
        <v>138918</v>
      </c>
      <c r="K36" s="102">
        <f>PrévisionsFormationEtDéplacements[[#Totals],[Sept]]+PrévisionsMarketing[[#Totals],[Sept]]+PrévisionsBureau[[#Totals],[Sept]]+PrévisionsEmployés[[#Totals],[Sept]]</f>
        <v>135918</v>
      </c>
      <c r="L36" s="102">
        <f>PrévisionsFormationEtDéplacements[[#Totals],[Oct]]+PrévisionsMarketing[[#Totals],[Oct]]+PrévisionsBureau[[#Totals],[Oct]]+PrévisionsEmployés[[#Totals],[Oct]]</f>
        <v>140918</v>
      </c>
      <c r="M36" s="102">
        <f>PrévisionsFormationEtDéplacements[[#Totals],[Nov]]+PrévisionsMarketing[[#Totals],[Nov]]+PrévisionsBureau[[#Totals],[Nov]]+PrévisionsEmployés[[#Totals],[Nov]]</f>
        <v>136218</v>
      </c>
      <c r="N36" s="102">
        <f>PrévisionsFormationEtDéplacements[[#Totals],[Déc]]+PrévisionsMarketing[[#Totals],[Déc]]+PrévisionsBureau[[#Totals],[Déc]]+PrévisionsEmployés[[#Totals],[Déc]]</f>
        <v>140018</v>
      </c>
      <c r="O36" s="102">
        <f>PrévisionsFormationEtDéplacements[[#Totals],[ANNÉE]]+PrévisionsMarketing[[#Totals],[ANNÉE]]+PrévisionsBureau[[#Totals],[ANNÉE]]+PrévisionsEmployés[[#Totals],[ANNÉE]]</f>
        <v>1609630</v>
      </c>
    </row>
    <row r="37" spans="1:15" ht="24.95" customHeight="1" x14ac:dyDescent="0.3">
      <c r="A37" s="33"/>
      <c r="B37" s="25" t="s">
        <v>38</v>
      </c>
      <c r="C37" s="102">
        <f>SUM($C$36:C36)</f>
        <v>131420</v>
      </c>
      <c r="D37" s="102">
        <f>SUM($C$36:D36)</f>
        <v>258240</v>
      </c>
      <c r="E37" s="102">
        <f>SUM($C$36:E36)</f>
        <v>385060</v>
      </c>
      <c r="F37" s="102">
        <f>SUM($C$36:F36)</f>
        <v>522755</v>
      </c>
      <c r="G37" s="102">
        <f>SUM($C$36:G36)</f>
        <v>652450</v>
      </c>
      <c r="H37" s="102">
        <f>SUM($C$36:H36)</f>
        <v>782945</v>
      </c>
      <c r="I37" s="102">
        <f>SUM($C$36:I36)</f>
        <v>917640</v>
      </c>
      <c r="J37" s="102">
        <f>SUM($C$36:J36)</f>
        <v>1056558</v>
      </c>
      <c r="K37" s="102">
        <f>SUM($C$36:K36)</f>
        <v>1192476</v>
      </c>
      <c r="L37" s="102">
        <f>SUM($C$36:L36)</f>
        <v>1333394</v>
      </c>
      <c r="M37" s="102">
        <f>SUM($C$36:M36)</f>
        <v>1469612</v>
      </c>
      <c r="N37" s="102">
        <f>SUM($C$36:N36)</f>
        <v>1609630</v>
      </c>
      <c r="O37" s="102"/>
    </row>
    <row r="38" spans="1:15" ht="21" customHeight="1" x14ac:dyDescent="0.3">
      <c r="A38" s="33"/>
      <c r="N38" s="3"/>
      <c r="O38" s="3"/>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defaultColWidth="9.140625" defaultRowHeight="21" customHeight="1" x14ac:dyDescent="0.3"/>
  <cols>
    <col min="1" max="1" width="4.7109375" style="1" customWidth="1"/>
    <col min="2" max="2" width="43.7109375" style="4" customWidth="1"/>
    <col min="3" max="14" width="16.7109375" style="4" customWidth="1"/>
    <col min="15" max="15" width="16.28515625" style="4" customWidth="1"/>
    <col min="16" max="16" width="4.7109375" style="1" customWidth="1"/>
    <col min="17" max="16384" width="9.140625" style="4"/>
  </cols>
  <sheetData>
    <row r="1" spans="1:16" s="1" customFormat="1" ht="24" customHeight="1" x14ac:dyDescent="0.3">
      <c r="A1" s="34" t="s">
        <v>70</v>
      </c>
      <c r="B1" s="10"/>
      <c r="C1" s="10"/>
      <c r="D1" s="10"/>
      <c r="E1" s="93"/>
      <c r="F1" s="7"/>
      <c r="G1" s="7"/>
      <c r="H1" s="7"/>
      <c r="I1" s="7"/>
      <c r="J1" s="7"/>
      <c r="K1" s="7"/>
      <c r="L1" s="7"/>
      <c r="M1" s="7"/>
      <c r="N1" s="7"/>
      <c r="O1" s="7"/>
      <c r="P1" s="65" t="s">
        <v>68</v>
      </c>
    </row>
    <row r="2" spans="1:16" s="1" customFormat="1" ht="45" customHeight="1" x14ac:dyDescent="0.35">
      <c r="A2" s="32" t="s">
        <v>71</v>
      </c>
      <c r="B2" s="112" t="str">
        <f>'DÉPENSES PRÉVUES'!B2:D3</f>
        <v>Nom de la société</v>
      </c>
      <c r="C2" s="112"/>
      <c r="D2" s="112"/>
      <c r="E2" s="94"/>
      <c r="F2" s="8"/>
      <c r="G2" s="8"/>
      <c r="H2" s="8"/>
      <c r="I2" s="8"/>
      <c r="J2" s="8"/>
      <c r="K2" s="109" t="str">
        <f>titre_feuille_de_calcul</f>
        <v>Détail des dépenses prévues</v>
      </c>
      <c r="L2" s="109"/>
      <c r="M2" s="109"/>
      <c r="N2" s="108" t="s">
        <v>63</v>
      </c>
      <c r="O2" s="108"/>
      <c r="P2" s="7"/>
    </row>
    <row r="3" spans="1:16" s="1" customFormat="1" ht="30" customHeight="1" x14ac:dyDescent="0.3">
      <c r="A3" s="32" t="s">
        <v>10</v>
      </c>
      <c r="B3" s="112"/>
      <c r="C3" s="112"/>
      <c r="D3" s="112"/>
      <c r="E3" s="95"/>
      <c r="F3" s="9"/>
      <c r="G3" s="9"/>
      <c r="H3" s="9"/>
      <c r="I3" s="9"/>
      <c r="J3" s="9"/>
      <c r="K3" s="114" t="s">
        <v>56</v>
      </c>
      <c r="L3" s="114"/>
      <c r="M3" s="114"/>
      <c r="N3" s="108"/>
      <c r="O3" s="108"/>
      <c r="P3" s="7"/>
    </row>
    <row r="4" spans="1:16" s="21" customFormat="1" ht="49.5" customHeight="1" x14ac:dyDescent="0.3">
      <c r="A4" s="35" t="s">
        <v>72</v>
      </c>
      <c r="B4" s="22" t="s">
        <v>75</v>
      </c>
      <c r="C4" s="23" t="s">
        <v>39</v>
      </c>
      <c r="D4" s="23" t="s">
        <v>41</v>
      </c>
      <c r="E4" s="23" t="s">
        <v>43</v>
      </c>
      <c r="F4" s="23" t="s">
        <v>45</v>
      </c>
      <c r="G4" s="23" t="s">
        <v>47</v>
      </c>
      <c r="H4" s="23" t="s">
        <v>49</v>
      </c>
      <c r="I4" s="23" t="s">
        <v>51</v>
      </c>
      <c r="J4" s="23" t="s">
        <v>53</v>
      </c>
      <c r="K4" s="23" t="s">
        <v>57</v>
      </c>
      <c r="L4" s="23" t="s">
        <v>59</v>
      </c>
      <c r="M4" s="23" t="s">
        <v>61</v>
      </c>
      <c r="N4" s="23" t="s">
        <v>64</v>
      </c>
      <c r="O4" s="23" t="s">
        <v>66</v>
      </c>
    </row>
    <row r="5" spans="1:16" s="5" customFormat="1" ht="24.95" customHeight="1" thickBot="1" x14ac:dyDescent="0.35">
      <c r="A5" s="41" t="s">
        <v>100</v>
      </c>
      <c r="B5" s="46" t="s">
        <v>16</v>
      </c>
      <c r="C5" s="70" t="s">
        <v>40</v>
      </c>
      <c r="D5" s="66" t="s">
        <v>42</v>
      </c>
      <c r="E5" s="66" t="s">
        <v>44</v>
      </c>
      <c r="F5" s="66" t="s">
        <v>46</v>
      </c>
      <c r="G5" s="66" t="s">
        <v>48</v>
      </c>
      <c r="H5" s="66" t="s">
        <v>50</v>
      </c>
      <c r="I5" s="66" t="s">
        <v>52</v>
      </c>
      <c r="J5" s="66" t="s">
        <v>54</v>
      </c>
      <c r="K5" s="66" t="s">
        <v>58</v>
      </c>
      <c r="L5" s="66" t="s">
        <v>60</v>
      </c>
      <c r="M5" s="66" t="s">
        <v>62</v>
      </c>
      <c r="N5" s="66" t="s">
        <v>65</v>
      </c>
      <c r="O5" s="67" t="s">
        <v>66</v>
      </c>
      <c r="P5" s="3"/>
    </row>
    <row r="6" spans="1:16" s="5" customFormat="1" ht="24.95" customHeight="1" thickBot="1" x14ac:dyDescent="0.35">
      <c r="A6" s="33"/>
      <c r="B6" s="47" t="s">
        <v>17</v>
      </c>
      <c r="C6" s="133">
        <v>85000</v>
      </c>
      <c r="D6" s="134">
        <v>85000</v>
      </c>
      <c r="E6" s="134">
        <v>85000</v>
      </c>
      <c r="F6" s="134">
        <v>88000</v>
      </c>
      <c r="G6" s="134">
        <v>88000</v>
      </c>
      <c r="H6" s="134">
        <v>88000</v>
      </c>
      <c r="I6" s="134"/>
      <c r="J6" s="134"/>
      <c r="K6" s="134"/>
      <c r="L6" s="134"/>
      <c r="M6" s="134"/>
      <c r="N6" s="134"/>
      <c r="O6" s="135">
        <f>SUM(C6:N6)</f>
        <v>519000</v>
      </c>
      <c r="P6" s="1"/>
    </row>
    <row r="7" spans="1:16" s="5" customFormat="1" ht="24.95" customHeight="1" thickBot="1" x14ac:dyDescent="0.35">
      <c r="A7" s="33"/>
      <c r="B7" s="47" t="s">
        <v>105</v>
      </c>
      <c r="C7" s="133">
        <f t="shared" ref="C7:N7" si="0">C6*0.27</f>
        <v>22950</v>
      </c>
      <c r="D7" s="134">
        <f t="shared" si="0"/>
        <v>22950</v>
      </c>
      <c r="E7" s="134">
        <f t="shared" si="0"/>
        <v>22950</v>
      </c>
      <c r="F7" s="134">
        <f t="shared" si="0"/>
        <v>23760</v>
      </c>
      <c r="G7" s="134">
        <f t="shared" si="0"/>
        <v>23760</v>
      </c>
      <c r="H7" s="134">
        <f t="shared" si="0"/>
        <v>23760</v>
      </c>
      <c r="I7" s="134">
        <f t="shared" si="0"/>
        <v>0</v>
      </c>
      <c r="J7" s="134">
        <f t="shared" si="0"/>
        <v>0</v>
      </c>
      <c r="K7" s="134">
        <f t="shared" si="0"/>
        <v>0</v>
      </c>
      <c r="L7" s="134">
        <f t="shared" si="0"/>
        <v>0</v>
      </c>
      <c r="M7" s="134">
        <f t="shared" si="0"/>
        <v>0</v>
      </c>
      <c r="N7" s="134">
        <f t="shared" si="0"/>
        <v>0</v>
      </c>
      <c r="O7" s="135">
        <f>SUM(C7:N7)</f>
        <v>140130</v>
      </c>
      <c r="P7" s="1"/>
    </row>
    <row r="8" spans="1:16" ht="24.95" customHeight="1" x14ac:dyDescent="0.3">
      <c r="A8" s="33"/>
      <c r="B8" s="71" t="s">
        <v>18</v>
      </c>
      <c r="C8" s="136">
        <f>SUBTOTAL(109,DépensesRéellesEmployés[Jan])</f>
        <v>107950</v>
      </c>
      <c r="D8" s="137">
        <f>SUBTOTAL(109,DépensesRéellesEmployés[Fév])</f>
        <v>107950</v>
      </c>
      <c r="E8" s="137">
        <f>SUBTOTAL(109,DépensesRéellesEmployés[Mar])</f>
        <v>107950</v>
      </c>
      <c r="F8" s="137">
        <f>SUBTOTAL(109,DépensesRéellesEmployés[Avr])</f>
        <v>111760</v>
      </c>
      <c r="G8" s="137">
        <f>SUBTOTAL(109,DépensesRéellesEmployés[Mai])</f>
        <v>111760</v>
      </c>
      <c r="H8" s="137">
        <f>SUBTOTAL(109,DépensesRéellesEmployés[Juin])</f>
        <v>111760</v>
      </c>
      <c r="I8" s="137">
        <f>SUBTOTAL(109,DépensesRéellesEmployés[Juil])</f>
        <v>0</v>
      </c>
      <c r="J8" s="137">
        <f>SUBTOTAL(109,DépensesRéellesEmployés[Août])</f>
        <v>0</v>
      </c>
      <c r="K8" s="137">
        <f>SUBTOTAL(109,DépensesRéellesEmployés[Sept])</f>
        <v>0</v>
      </c>
      <c r="L8" s="137">
        <f>SUBTOTAL(109,DépensesRéellesEmployés[Oct])</f>
        <v>0</v>
      </c>
      <c r="M8" s="137">
        <f>SUBTOTAL(109,DépensesRéellesEmployés[Nov])</f>
        <v>0</v>
      </c>
      <c r="N8" s="137">
        <f>SUBTOTAL(109,DépensesRéellesEmployés[Déc])</f>
        <v>0</v>
      </c>
      <c r="O8" s="138">
        <f>SUBTOTAL(109,DépensesRéellesEmployés[ANNÉE])</f>
        <v>659130</v>
      </c>
    </row>
    <row r="9" spans="1:16" s="1" customFormat="1" ht="21" customHeight="1" x14ac:dyDescent="0.3">
      <c r="A9" s="33"/>
      <c r="B9" s="110"/>
      <c r="C9" s="110"/>
      <c r="D9" s="90"/>
      <c r="E9" s="90"/>
      <c r="F9" s="90"/>
      <c r="G9" s="90"/>
      <c r="H9" s="90"/>
      <c r="I9" s="90"/>
      <c r="J9" s="90"/>
      <c r="K9" s="90"/>
      <c r="L9" s="90"/>
      <c r="M9" s="90"/>
      <c r="N9" s="90"/>
      <c r="O9" s="91"/>
    </row>
    <row r="10" spans="1:16" ht="24.95" customHeight="1" thickBot="1" x14ac:dyDescent="0.35">
      <c r="A10" s="33" t="s">
        <v>101</v>
      </c>
      <c r="B10" s="53" t="s">
        <v>19</v>
      </c>
      <c r="C10" s="70" t="s">
        <v>40</v>
      </c>
      <c r="D10" s="66" t="s">
        <v>42</v>
      </c>
      <c r="E10" s="88" t="s">
        <v>44</v>
      </c>
      <c r="F10" s="66" t="s">
        <v>46</v>
      </c>
      <c r="G10" s="66" t="s">
        <v>48</v>
      </c>
      <c r="H10" s="66" t="s">
        <v>50</v>
      </c>
      <c r="I10" s="66" t="s">
        <v>52</v>
      </c>
      <c r="J10" s="66" t="s">
        <v>54</v>
      </c>
      <c r="K10" s="66" t="s">
        <v>58</v>
      </c>
      <c r="L10" s="66" t="s">
        <v>60</v>
      </c>
      <c r="M10" s="66" t="s">
        <v>62</v>
      </c>
      <c r="N10" s="66" t="s">
        <v>65</v>
      </c>
      <c r="O10" s="67" t="s">
        <v>66</v>
      </c>
    </row>
    <row r="11" spans="1:16" ht="24.95" customHeight="1" thickBot="1" x14ac:dyDescent="0.35">
      <c r="A11" s="33"/>
      <c r="B11" s="47" t="s">
        <v>20</v>
      </c>
      <c r="C11" s="133">
        <v>9800</v>
      </c>
      <c r="D11" s="134">
        <v>9800</v>
      </c>
      <c r="E11" s="134">
        <v>9800</v>
      </c>
      <c r="F11" s="134">
        <v>9800</v>
      </c>
      <c r="G11" s="134">
        <v>9800</v>
      </c>
      <c r="H11" s="134">
        <v>9800</v>
      </c>
      <c r="I11" s="134"/>
      <c r="J11" s="134"/>
      <c r="K11" s="134"/>
      <c r="L11" s="134"/>
      <c r="M11" s="134"/>
      <c r="N11" s="134"/>
      <c r="O11" s="135">
        <f t="shared" ref="O11:O18" si="1">SUM(C11:N11)</f>
        <v>58800</v>
      </c>
    </row>
    <row r="12" spans="1:16" ht="24.95" customHeight="1" thickBot="1" x14ac:dyDescent="0.35">
      <c r="A12" s="33"/>
      <c r="B12" s="47" t="s">
        <v>21</v>
      </c>
      <c r="C12" s="133">
        <v>4</v>
      </c>
      <c r="D12" s="134">
        <v>430</v>
      </c>
      <c r="E12" s="134">
        <v>385</v>
      </c>
      <c r="F12" s="134">
        <v>230</v>
      </c>
      <c r="G12" s="134">
        <v>87</v>
      </c>
      <c r="H12" s="134">
        <v>88</v>
      </c>
      <c r="I12" s="134"/>
      <c r="J12" s="134"/>
      <c r="K12" s="134"/>
      <c r="L12" s="134"/>
      <c r="M12" s="134"/>
      <c r="N12" s="134"/>
      <c r="O12" s="135">
        <f t="shared" si="1"/>
        <v>1224</v>
      </c>
    </row>
    <row r="13" spans="1:16" ht="24.95" customHeight="1" thickBot="1" x14ac:dyDescent="0.35">
      <c r="A13" s="33"/>
      <c r="B13" s="47" t="s">
        <v>22</v>
      </c>
      <c r="C13" s="133">
        <v>288</v>
      </c>
      <c r="D13" s="134">
        <v>278</v>
      </c>
      <c r="E13" s="134">
        <v>268</v>
      </c>
      <c r="F13" s="134">
        <v>299</v>
      </c>
      <c r="G13" s="134">
        <v>306</v>
      </c>
      <c r="H13" s="134">
        <v>290</v>
      </c>
      <c r="I13" s="134"/>
      <c r="J13" s="134"/>
      <c r="K13" s="134"/>
      <c r="L13" s="134"/>
      <c r="M13" s="134"/>
      <c r="N13" s="134"/>
      <c r="O13" s="135">
        <f t="shared" si="1"/>
        <v>1729</v>
      </c>
    </row>
    <row r="14" spans="1:16" ht="24.95" customHeight="1" thickBot="1" x14ac:dyDescent="0.35">
      <c r="A14" s="33"/>
      <c r="B14" s="47" t="s">
        <v>23</v>
      </c>
      <c r="C14" s="133">
        <v>35</v>
      </c>
      <c r="D14" s="134">
        <v>33</v>
      </c>
      <c r="E14" s="134">
        <v>34</v>
      </c>
      <c r="F14" s="134">
        <v>36</v>
      </c>
      <c r="G14" s="134">
        <v>34</v>
      </c>
      <c r="H14" s="134">
        <v>36</v>
      </c>
      <c r="I14" s="134"/>
      <c r="J14" s="134"/>
      <c r="K14" s="134"/>
      <c r="L14" s="134"/>
      <c r="M14" s="134"/>
      <c r="N14" s="134"/>
      <c r="O14" s="135">
        <f t="shared" si="1"/>
        <v>208</v>
      </c>
    </row>
    <row r="15" spans="1:16" ht="24.95" customHeight="1" thickBot="1" x14ac:dyDescent="0.35">
      <c r="A15" s="33"/>
      <c r="B15" s="47" t="s">
        <v>24</v>
      </c>
      <c r="C15" s="133">
        <v>224</v>
      </c>
      <c r="D15" s="134">
        <v>235</v>
      </c>
      <c r="E15" s="134">
        <v>265</v>
      </c>
      <c r="F15" s="134">
        <v>245</v>
      </c>
      <c r="G15" s="134">
        <v>245</v>
      </c>
      <c r="H15" s="134">
        <v>220</v>
      </c>
      <c r="I15" s="134"/>
      <c r="J15" s="134"/>
      <c r="K15" s="134"/>
      <c r="L15" s="134"/>
      <c r="M15" s="134"/>
      <c r="N15" s="134"/>
      <c r="O15" s="135">
        <f t="shared" si="1"/>
        <v>1434</v>
      </c>
    </row>
    <row r="16" spans="1:16" ht="24.95" customHeight="1" thickBot="1" x14ac:dyDescent="0.35">
      <c r="A16" s="33"/>
      <c r="B16" s="47" t="s">
        <v>25</v>
      </c>
      <c r="C16" s="133">
        <v>180</v>
      </c>
      <c r="D16" s="134">
        <v>180</v>
      </c>
      <c r="E16" s="134">
        <v>180</v>
      </c>
      <c r="F16" s="134">
        <v>180</v>
      </c>
      <c r="G16" s="134">
        <v>180</v>
      </c>
      <c r="H16" s="134">
        <v>180</v>
      </c>
      <c r="I16" s="134"/>
      <c r="J16" s="134"/>
      <c r="K16" s="134"/>
      <c r="L16" s="134"/>
      <c r="M16" s="134"/>
      <c r="N16" s="134"/>
      <c r="O16" s="135">
        <f t="shared" si="1"/>
        <v>1080</v>
      </c>
    </row>
    <row r="17" spans="1:15" ht="24.95" customHeight="1" thickBot="1" x14ac:dyDescent="0.35">
      <c r="A17" s="33"/>
      <c r="B17" s="47" t="s">
        <v>26</v>
      </c>
      <c r="C17" s="133">
        <v>256</v>
      </c>
      <c r="D17" s="134">
        <v>142</v>
      </c>
      <c r="E17" s="134">
        <v>160</v>
      </c>
      <c r="F17" s="134">
        <v>221</v>
      </c>
      <c r="G17" s="134">
        <v>256</v>
      </c>
      <c r="H17" s="134">
        <v>240</v>
      </c>
      <c r="I17" s="134"/>
      <c r="J17" s="134"/>
      <c r="K17" s="134"/>
      <c r="L17" s="134"/>
      <c r="M17" s="134"/>
      <c r="N17" s="134"/>
      <c r="O17" s="135">
        <f t="shared" si="1"/>
        <v>1275</v>
      </c>
    </row>
    <row r="18" spans="1:15" ht="24.95" customHeight="1" thickBot="1" x14ac:dyDescent="0.35">
      <c r="A18" s="33"/>
      <c r="B18" s="47" t="s">
        <v>27</v>
      </c>
      <c r="C18" s="133">
        <v>600</v>
      </c>
      <c r="D18" s="134">
        <v>600</v>
      </c>
      <c r="E18" s="134">
        <v>600</v>
      </c>
      <c r="F18" s="134">
        <v>600</v>
      </c>
      <c r="G18" s="134">
        <v>600</v>
      </c>
      <c r="H18" s="134">
        <v>600</v>
      </c>
      <c r="I18" s="134"/>
      <c r="J18" s="134"/>
      <c r="K18" s="134"/>
      <c r="L18" s="134"/>
      <c r="M18" s="134"/>
      <c r="N18" s="134"/>
      <c r="O18" s="135">
        <f t="shared" si="1"/>
        <v>3600</v>
      </c>
    </row>
    <row r="19" spans="1:15" ht="24.95" customHeight="1" x14ac:dyDescent="0.3">
      <c r="A19" s="33"/>
      <c r="B19" s="72" t="s">
        <v>18</v>
      </c>
      <c r="C19" s="139">
        <f>SUBTOTAL(109,DépensesRéellesBureau[Jan])</f>
        <v>11387</v>
      </c>
      <c r="D19" s="139">
        <f>SUBTOTAL(109,DépensesRéellesBureau[Fév])</f>
        <v>11698</v>
      </c>
      <c r="E19" s="139">
        <f>SUBTOTAL(109,DépensesRéellesBureau[Mar])</f>
        <v>11692</v>
      </c>
      <c r="F19" s="139">
        <f>SUBTOTAL(109,DépensesRéellesBureau[Avr])</f>
        <v>11611</v>
      </c>
      <c r="G19" s="139">
        <f>SUBTOTAL(109,DépensesRéellesBureau[Mai])</f>
        <v>11508</v>
      </c>
      <c r="H19" s="139">
        <f>SUBTOTAL(109,DépensesRéellesBureau[Juin])</f>
        <v>11454</v>
      </c>
      <c r="I19" s="139">
        <f>SUBTOTAL(109,DépensesRéellesBureau[Juil])</f>
        <v>0</v>
      </c>
      <c r="J19" s="139">
        <f>SUBTOTAL(109,DépensesRéellesBureau[Août])</f>
        <v>0</v>
      </c>
      <c r="K19" s="139">
        <f>SUBTOTAL(109,DépensesRéellesBureau[Sept])</f>
        <v>0</v>
      </c>
      <c r="L19" s="139">
        <f>SUBTOTAL(109,DépensesRéellesBureau[Oct])</f>
        <v>0</v>
      </c>
      <c r="M19" s="139">
        <f>SUBTOTAL(109,DépensesRéellesBureau[Nov])</f>
        <v>0</v>
      </c>
      <c r="N19" s="139">
        <f>SUBTOTAL(109,DépensesRéellesBureau[Déc])</f>
        <v>0</v>
      </c>
      <c r="O19" s="140">
        <f>SUBTOTAL(109,DépensesRéellesBureau[ANNÉE])</f>
        <v>69350</v>
      </c>
    </row>
    <row r="20" spans="1:15" ht="21" customHeight="1" x14ac:dyDescent="0.3">
      <c r="A20" s="33"/>
      <c r="B20" s="111"/>
      <c r="C20" s="111"/>
      <c r="D20" s="90"/>
      <c r="E20" s="90"/>
      <c r="F20" s="92"/>
      <c r="G20" s="92"/>
      <c r="H20" s="92"/>
      <c r="I20" s="92"/>
      <c r="J20" s="92"/>
      <c r="K20" s="92"/>
      <c r="L20" s="92"/>
      <c r="M20" s="92"/>
      <c r="N20" s="92"/>
      <c r="O20" s="91"/>
    </row>
    <row r="21" spans="1:15" ht="24.95" customHeight="1" thickBot="1" x14ac:dyDescent="0.35">
      <c r="A21" s="33" t="s">
        <v>73</v>
      </c>
      <c r="B21" s="73" t="s">
        <v>28</v>
      </c>
      <c r="C21" s="70" t="s">
        <v>40</v>
      </c>
      <c r="D21" s="66" t="s">
        <v>42</v>
      </c>
      <c r="E21" s="88" t="s">
        <v>44</v>
      </c>
      <c r="F21" s="66" t="s">
        <v>46</v>
      </c>
      <c r="G21" s="66" t="s">
        <v>48</v>
      </c>
      <c r="H21" s="66" t="s">
        <v>50</v>
      </c>
      <c r="I21" s="66" t="s">
        <v>52</v>
      </c>
      <c r="J21" s="66" t="s">
        <v>54</v>
      </c>
      <c r="K21" s="66" t="s">
        <v>58</v>
      </c>
      <c r="L21" s="66" t="s">
        <v>60</v>
      </c>
      <c r="M21" s="66" t="s">
        <v>62</v>
      </c>
      <c r="N21" s="66" t="s">
        <v>65</v>
      </c>
      <c r="O21" s="67" t="s">
        <v>66</v>
      </c>
    </row>
    <row r="22" spans="1:15" ht="24.95" customHeight="1" thickBot="1" x14ac:dyDescent="0.35">
      <c r="A22" s="33"/>
      <c r="B22" s="47" t="s">
        <v>106</v>
      </c>
      <c r="C22" s="133">
        <v>500</v>
      </c>
      <c r="D22" s="134">
        <v>500</v>
      </c>
      <c r="E22" s="134">
        <v>500</v>
      </c>
      <c r="F22" s="134">
        <v>500</v>
      </c>
      <c r="G22" s="134">
        <v>500</v>
      </c>
      <c r="H22" s="134">
        <v>500</v>
      </c>
      <c r="I22" s="134"/>
      <c r="J22" s="134"/>
      <c r="K22" s="134"/>
      <c r="L22" s="134"/>
      <c r="M22" s="134"/>
      <c r="N22" s="134"/>
      <c r="O22" s="135">
        <f t="shared" ref="O22:O27" si="2">SUM(C22:N22)</f>
        <v>3000</v>
      </c>
    </row>
    <row r="23" spans="1:15" ht="24.95" customHeight="1" thickBot="1" x14ac:dyDescent="0.35">
      <c r="A23" s="33"/>
      <c r="B23" s="47" t="s">
        <v>107</v>
      </c>
      <c r="C23" s="133">
        <v>200</v>
      </c>
      <c r="D23" s="134">
        <v>200</v>
      </c>
      <c r="E23" s="134">
        <v>200</v>
      </c>
      <c r="F23" s="134">
        <v>200</v>
      </c>
      <c r="G23" s="134">
        <v>200</v>
      </c>
      <c r="H23" s="134">
        <v>1500</v>
      </c>
      <c r="I23" s="134"/>
      <c r="J23" s="134"/>
      <c r="K23" s="134"/>
      <c r="L23" s="134"/>
      <c r="M23" s="134"/>
      <c r="N23" s="134"/>
      <c r="O23" s="135">
        <f t="shared" si="2"/>
        <v>2500</v>
      </c>
    </row>
    <row r="24" spans="1:15" ht="24.95" customHeight="1" thickBot="1" x14ac:dyDescent="0.35">
      <c r="A24" s="33"/>
      <c r="B24" s="47" t="s">
        <v>29</v>
      </c>
      <c r="C24" s="133">
        <v>4800</v>
      </c>
      <c r="D24" s="134">
        <v>0</v>
      </c>
      <c r="E24" s="134">
        <v>0</v>
      </c>
      <c r="F24" s="134">
        <v>5500</v>
      </c>
      <c r="G24" s="134">
        <v>0</v>
      </c>
      <c r="H24" s="134">
        <v>0</v>
      </c>
      <c r="I24" s="134"/>
      <c r="J24" s="134"/>
      <c r="K24" s="134"/>
      <c r="L24" s="134"/>
      <c r="M24" s="134"/>
      <c r="N24" s="134"/>
      <c r="O24" s="135">
        <f t="shared" si="2"/>
        <v>10300</v>
      </c>
    </row>
    <row r="25" spans="1:15" ht="24.95" customHeight="1" thickBot="1" x14ac:dyDescent="0.35">
      <c r="A25" s="33"/>
      <c r="B25" s="47" t="s">
        <v>30</v>
      </c>
      <c r="C25" s="133">
        <v>100</v>
      </c>
      <c r="D25" s="134">
        <v>500</v>
      </c>
      <c r="E25" s="134">
        <v>100</v>
      </c>
      <c r="F25" s="134">
        <v>100</v>
      </c>
      <c r="G25" s="134">
        <v>600</v>
      </c>
      <c r="H25" s="134">
        <v>180</v>
      </c>
      <c r="I25" s="134"/>
      <c r="J25" s="134"/>
      <c r="K25" s="134"/>
      <c r="L25" s="134"/>
      <c r="M25" s="134"/>
      <c r="N25" s="134"/>
      <c r="O25" s="135">
        <f t="shared" si="2"/>
        <v>1580</v>
      </c>
    </row>
    <row r="26" spans="1:15" ht="24.95" customHeight="1" thickBot="1" x14ac:dyDescent="0.35">
      <c r="A26" s="33"/>
      <c r="B26" s="47" t="s">
        <v>31</v>
      </c>
      <c r="C26" s="133">
        <v>1800</v>
      </c>
      <c r="D26" s="134">
        <v>2200</v>
      </c>
      <c r="E26" s="134">
        <v>2200</v>
      </c>
      <c r="F26" s="134">
        <v>4700</v>
      </c>
      <c r="G26" s="134">
        <v>1500</v>
      </c>
      <c r="H26" s="134">
        <v>2300</v>
      </c>
      <c r="I26" s="134"/>
      <c r="J26" s="134"/>
      <c r="K26" s="134"/>
      <c r="L26" s="134"/>
      <c r="M26" s="134"/>
      <c r="N26" s="134"/>
      <c r="O26" s="135">
        <f t="shared" si="2"/>
        <v>14700</v>
      </c>
    </row>
    <row r="27" spans="1:15" ht="24.95" customHeight="1" thickBot="1" x14ac:dyDescent="0.35">
      <c r="A27" s="33"/>
      <c r="B27" s="47" t="s">
        <v>32</v>
      </c>
      <c r="C27" s="133">
        <v>145</v>
      </c>
      <c r="D27" s="134">
        <v>156</v>
      </c>
      <c r="E27" s="134">
        <v>123</v>
      </c>
      <c r="F27" s="134">
        <v>223</v>
      </c>
      <c r="G27" s="134">
        <v>187</v>
      </c>
      <c r="H27" s="134">
        <v>245</v>
      </c>
      <c r="I27" s="134"/>
      <c r="J27" s="134"/>
      <c r="K27" s="134"/>
      <c r="L27" s="134"/>
      <c r="M27" s="134"/>
      <c r="N27" s="134"/>
      <c r="O27" s="135">
        <f t="shared" si="2"/>
        <v>1079</v>
      </c>
    </row>
    <row r="28" spans="1:15" ht="24.95" customHeight="1" x14ac:dyDescent="0.3">
      <c r="A28" s="33"/>
      <c r="B28" s="69" t="s">
        <v>18</v>
      </c>
      <c r="C28" s="141">
        <f>SUBTOTAL(109,DépensesRéellesMarketing[Jan])</f>
        <v>7545</v>
      </c>
      <c r="D28" s="139">
        <f>SUBTOTAL(109,DépensesRéellesMarketing[Fév])</f>
        <v>3556</v>
      </c>
      <c r="E28" s="139">
        <f>SUBTOTAL(109,DépensesRéellesMarketing[Mar])</f>
        <v>3123</v>
      </c>
      <c r="F28" s="139">
        <f>SUBTOTAL(109,DépensesRéellesMarketing[Avr])</f>
        <v>11223</v>
      </c>
      <c r="G28" s="139">
        <f>SUBTOTAL(109,DépensesRéellesMarketing[Mai])</f>
        <v>2987</v>
      </c>
      <c r="H28" s="139">
        <f>SUBTOTAL(109,DépensesRéellesMarketing[Juin])</f>
        <v>4725</v>
      </c>
      <c r="I28" s="139">
        <f>SUBTOTAL(109,DépensesRéellesMarketing[Juil])</f>
        <v>0</v>
      </c>
      <c r="J28" s="139">
        <f>SUBTOTAL(109,DépensesRéellesMarketing[Août])</f>
        <v>0</v>
      </c>
      <c r="K28" s="139">
        <f>SUBTOTAL(109,DépensesRéellesMarketing[Sept])</f>
        <v>0</v>
      </c>
      <c r="L28" s="139">
        <f>SUBTOTAL(109,DépensesRéellesMarketing[Oct])</f>
        <v>0</v>
      </c>
      <c r="M28" s="139">
        <f>SUBTOTAL(109,DépensesRéellesMarketing[Nov])</f>
        <v>0</v>
      </c>
      <c r="N28" s="139">
        <f>SUBTOTAL(109,DépensesRéellesMarketing[Déc])</f>
        <v>0</v>
      </c>
      <c r="O28" s="140">
        <f>SUBTOTAL(109,DépensesRéellesMarketing[ANNÉE])</f>
        <v>33159</v>
      </c>
    </row>
    <row r="29" spans="1:15" ht="21" customHeight="1" x14ac:dyDescent="0.3">
      <c r="A29" s="33"/>
      <c r="B29" s="110"/>
      <c r="C29" s="110"/>
      <c r="D29" s="92"/>
      <c r="E29" s="92"/>
      <c r="F29" s="92"/>
      <c r="G29" s="92"/>
      <c r="H29" s="92"/>
      <c r="I29" s="92"/>
      <c r="J29" s="92"/>
      <c r="K29" s="92"/>
      <c r="L29" s="92"/>
      <c r="M29" s="92"/>
      <c r="N29" s="92"/>
      <c r="O29" s="91"/>
    </row>
    <row r="30" spans="1:15" ht="24.95" customHeight="1" thickBot="1" x14ac:dyDescent="0.35">
      <c r="A30" s="33" t="s">
        <v>74</v>
      </c>
      <c r="B30" s="60" t="s">
        <v>33</v>
      </c>
      <c r="C30" s="66" t="s">
        <v>40</v>
      </c>
      <c r="D30" s="66" t="s">
        <v>42</v>
      </c>
      <c r="E30" s="88" t="s">
        <v>44</v>
      </c>
      <c r="F30" s="66" t="s">
        <v>46</v>
      </c>
      <c r="G30" s="66" t="s">
        <v>48</v>
      </c>
      <c r="H30" s="66" t="s">
        <v>50</v>
      </c>
      <c r="I30" s="66" t="s">
        <v>52</v>
      </c>
      <c r="J30" s="66" t="s">
        <v>54</v>
      </c>
      <c r="K30" s="66" t="s">
        <v>58</v>
      </c>
      <c r="L30" s="66" t="s">
        <v>60</v>
      </c>
      <c r="M30" s="66" t="s">
        <v>62</v>
      </c>
      <c r="N30" s="66" t="s">
        <v>65</v>
      </c>
      <c r="O30" s="67" t="s">
        <v>66</v>
      </c>
    </row>
    <row r="31" spans="1:15" ht="24.95" customHeight="1" thickBot="1" x14ac:dyDescent="0.35">
      <c r="A31" s="33"/>
      <c r="B31" s="68" t="s">
        <v>34</v>
      </c>
      <c r="C31" s="134">
        <v>1600</v>
      </c>
      <c r="D31" s="134">
        <v>2400</v>
      </c>
      <c r="E31" s="134">
        <v>1400</v>
      </c>
      <c r="F31" s="134">
        <v>1600</v>
      </c>
      <c r="G31" s="134">
        <v>1200</v>
      </c>
      <c r="H31" s="134">
        <v>2800</v>
      </c>
      <c r="I31" s="134"/>
      <c r="J31" s="134"/>
      <c r="K31" s="134"/>
      <c r="L31" s="134"/>
      <c r="M31" s="134"/>
      <c r="N31" s="134"/>
      <c r="O31" s="135">
        <f>SUM(C31:N31)</f>
        <v>11000</v>
      </c>
    </row>
    <row r="32" spans="1:15" ht="24.95" customHeight="1" thickBot="1" x14ac:dyDescent="0.35">
      <c r="A32" s="33"/>
      <c r="B32" s="68" t="s">
        <v>35</v>
      </c>
      <c r="C32" s="134">
        <v>1200</v>
      </c>
      <c r="D32" s="134">
        <v>2200</v>
      </c>
      <c r="E32" s="134">
        <v>1400</v>
      </c>
      <c r="F32" s="134">
        <v>1200</v>
      </c>
      <c r="G32" s="134">
        <v>800</v>
      </c>
      <c r="H32" s="134">
        <v>3500</v>
      </c>
      <c r="I32" s="134"/>
      <c r="J32" s="134"/>
      <c r="K32" s="134"/>
      <c r="L32" s="134"/>
      <c r="M32" s="134"/>
      <c r="N32" s="134"/>
      <c r="O32" s="135">
        <f>SUM(C32:N32)</f>
        <v>10300</v>
      </c>
    </row>
    <row r="33" spans="1:16" ht="24.95" customHeight="1" x14ac:dyDescent="0.3">
      <c r="A33" s="33"/>
      <c r="B33" s="72" t="s">
        <v>18</v>
      </c>
      <c r="C33" s="139">
        <f>SUBTOTAL(109,DépensesRéellesFormationEtDéplacements[Jan])</f>
        <v>2800</v>
      </c>
      <c r="D33" s="139">
        <f>SUBTOTAL(109,DépensesRéellesFormationEtDéplacements[Fév])</f>
        <v>4600</v>
      </c>
      <c r="E33" s="139">
        <f>SUBTOTAL(109,DépensesRéellesFormationEtDéplacements[Mar])</f>
        <v>2800</v>
      </c>
      <c r="F33" s="139">
        <f>SUBTOTAL(109,DépensesRéellesFormationEtDéplacements[Avr])</f>
        <v>2800</v>
      </c>
      <c r="G33" s="139">
        <f>SUBTOTAL(109,DépensesRéellesFormationEtDéplacements[Mai])</f>
        <v>2000</v>
      </c>
      <c r="H33" s="139">
        <f>SUBTOTAL(109,DépensesRéellesFormationEtDéplacements[Juin])</f>
        <v>6300</v>
      </c>
      <c r="I33" s="139">
        <f>SUBTOTAL(109,DépensesRéellesFormationEtDéplacements[Juil])</f>
        <v>0</v>
      </c>
      <c r="J33" s="139">
        <f>SUBTOTAL(109,DépensesRéellesFormationEtDéplacements[Août])</f>
        <v>0</v>
      </c>
      <c r="K33" s="139">
        <f>SUBTOTAL(109,DépensesRéellesFormationEtDéplacements[Sept])</f>
        <v>0</v>
      </c>
      <c r="L33" s="139">
        <f>SUBTOTAL(109,DépensesRéellesFormationEtDéplacements[Oct])</f>
        <v>0</v>
      </c>
      <c r="M33" s="139">
        <f>SUBTOTAL(109,DépensesRéellesFormationEtDéplacements[Nov])</f>
        <v>0</v>
      </c>
      <c r="N33" s="139">
        <f>SUBTOTAL(109,DépensesRéellesFormationEtDéplacements[Déc])</f>
        <v>0</v>
      </c>
      <c r="O33" s="140">
        <f>SUBTOTAL(109,DépensesRéellesFormationEtDéplacements[ANNÉE])</f>
        <v>21300</v>
      </c>
    </row>
    <row r="34" spans="1:16" ht="21" customHeight="1" x14ac:dyDescent="0.3">
      <c r="A34" s="33"/>
      <c r="B34" s="110"/>
      <c r="C34" s="110"/>
      <c r="D34" s="91"/>
      <c r="E34" s="91"/>
      <c r="F34" s="91"/>
      <c r="G34" s="91"/>
      <c r="H34" s="91"/>
      <c r="I34" s="91"/>
      <c r="J34" s="91"/>
      <c r="K34" s="91"/>
      <c r="L34" s="91"/>
      <c r="M34" s="91"/>
      <c r="N34" s="91"/>
      <c r="O34" s="91"/>
    </row>
    <row r="35" spans="1:16" ht="24.95" customHeight="1" thickBot="1" x14ac:dyDescent="0.35">
      <c r="A35" s="33" t="s">
        <v>102</v>
      </c>
      <c r="B35" s="28" t="s">
        <v>38</v>
      </c>
      <c r="C35" s="29" t="s">
        <v>40</v>
      </c>
      <c r="D35" s="29" t="s">
        <v>42</v>
      </c>
      <c r="E35" s="29" t="s">
        <v>44</v>
      </c>
      <c r="F35" s="29" t="s">
        <v>46</v>
      </c>
      <c r="G35" s="29" t="s">
        <v>48</v>
      </c>
      <c r="H35" s="29" t="s">
        <v>50</v>
      </c>
      <c r="I35" s="29" t="s">
        <v>52</v>
      </c>
      <c r="J35" s="29" t="s">
        <v>54</v>
      </c>
      <c r="K35" s="29" t="s">
        <v>58</v>
      </c>
      <c r="L35" s="29" t="s">
        <v>60</v>
      </c>
      <c r="M35" s="29" t="s">
        <v>62</v>
      </c>
      <c r="N35" s="29" t="s">
        <v>65</v>
      </c>
      <c r="O35" s="75" t="s">
        <v>67</v>
      </c>
    </row>
    <row r="36" spans="1:16" ht="24.95" customHeight="1" thickBot="1" x14ac:dyDescent="0.35">
      <c r="A36" s="33"/>
      <c r="B36" s="74" t="s">
        <v>76</v>
      </c>
      <c r="C36" s="142">
        <f>DépensesRéellesFormationEtDéplacements[[#Totals],[Jan]]+DépensesRéellesMarketing[[#Totals],[Jan]]+DépensesRéellesBureau[[#Totals],[Jan]]+DépensesRéellesEmployés[[#Totals],[Jan]]</f>
        <v>129682</v>
      </c>
      <c r="D36" s="143">
        <f>DépensesRéellesFormationEtDéplacements[[#Totals],[Fév]]+DépensesRéellesMarketing[[#Totals],[Fév]]+DépensesRéellesBureau[[#Totals],[Fév]]+DépensesRéellesEmployés[[#Totals],[Fév]]</f>
        <v>127804</v>
      </c>
      <c r="E36" s="143">
        <f>DépensesRéellesFormationEtDéplacements[[#Totals],[Mar]]+DépensesRéellesMarketing[[#Totals],[Mar]]+DépensesRéellesBureau[[#Totals],[Mar]]+DépensesRéellesEmployés[[#Totals],[Mar]]</f>
        <v>125565</v>
      </c>
      <c r="F36" s="143">
        <f>DépensesRéellesFormationEtDéplacements[[#Totals],[Avr]]+DépensesRéellesMarketing[[#Totals],[Avr]]+DépensesRéellesBureau[[#Totals],[Avr]]+DépensesRéellesEmployés[[#Totals],[Avr]]</f>
        <v>137394</v>
      </c>
      <c r="G36" s="143">
        <f>DépensesRéellesFormationEtDéplacements[[#Totals],[Mai]]+DépensesRéellesMarketing[[#Totals],[Mai]]+DépensesRéellesBureau[[#Totals],[Mai]]+DépensesRéellesEmployés[[#Totals],[Mai]]</f>
        <v>128255</v>
      </c>
      <c r="H36" s="143">
        <f>DépensesRéellesFormationEtDéplacements[[#Totals],[Juin]]+DépensesRéellesMarketing[[#Totals],[Juin]]+DépensesRéellesBureau[[#Totals],[Juin]]+DépensesRéellesEmployés[[#Totals],[Juin]]</f>
        <v>134239</v>
      </c>
      <c r="I36" s="143">
        <f>DépensesRéellesFormationEtDéplacements[[#Totals],[Juil]]+DépensesRéellesMarketing[[#Totals],[Juil]]+DépensesRéellesBureau[[#Totals],[Juil]]+DépensesRéellesEmployés[[#Totals],[Juil]]</f>
        <v>0</v>
      </c>
      <c r="J36" s="143">
        <f>DépensesRéellesFormationEtDéplacements[[#Totals],[Août]]+DépensesRéellesMarketing[[#Totals],[Août]]+DépensesRéellesBureau[[#Totals],[Août]]+DépensesRéellesEmployés[[#Totals],[Août]]</f>
        <v>0</v>
      </c>
      <c r="K36" s="143">
        <f>DépensesRéellesFormationEtDéplacements[[#Totals],[Sept]]+DépensesRéellesMarketing[[#Totals],[Sept]]+DépensesRéellesBureau[[#Totals],[Sept]]+DépensesRéellesEmployés[[#Totals],[Sept]]</f>
        <v>0</v>
      </c>
      <c r="L36" s="143">
        <f>DépensesRéellesFormationEtDéplacements[[#Totals],[Oct]]+DépensesRéellesMarketing[[#Totals],[Oct]]+DépensesRéellesBureau[[#Totals],[Oct]]+DépensesRéellesEmployés[[#Totals],[Oct]]</f>
        <v>0</v>
      </c>
      <c r="M36" s="143">
        <f>DépensesRéellesFormationEtDéplacements[[#Totals],[Nov]]+DépensesRéellesMarketing[[#Totals],[Nov]]+DépensesRéellesBureau[[#Totals],[Nov]]+DépensesRéellesEmployés[[#Totals],[Nov]]</f>
        <v>0</v>
      </c>
      <c r="N36" s="143">
        <f>DépensesRéellesFormationEtDéplacements[[#Totals],[Déc]]+DépensesRéellesMarketing[[#Totals],[Déc]]+DépensesRéellesBureau[[#Totals],[Déc]]+DépensesRéellesEmployés[[#Totals],[Déc]]</f>
        <v>0</v>
      </c>
      <c r="O36" s="143">
        <f>DépensesRéellesFormationEtDéplacements[[#Totals],[ANNÉE]]+DépensesRéellesMarketing[[#Totals],[ANNÉE]]+DépensesRéellesBureau[[#Totals],[ANNÉE]]+DépensesRéellesEmployés[[#Totals],[ANNÉE]]</f>
        <v>782939</v>
      </c>
      <c r="P36"/>
    </row>
    <row r="37" spans="1:16" ht="24.95" customHeight="1" thickBot="1" x14ac:dyDescent="0.35">
      <c r="A37" s="33"/>
      <c r="B37" s="74" t="s">
        <v>77</v>
      </c>
      <c r="C37" s="144">
        <f>SUM($C$36:C36)</f>
        <v>129682</v>
      </c>
      <c r="D37" s="145">
        <f>SUM($C$36:D36)</f>
        <v>257486</v>
      </c>
      <c r="E37" s="145">
        <f>SUM($C$36:E36)</f>
        <v>383051</v>
      </c>
      <c r="F37" s="145">
        <f>SUM($C$36:F36)</f>
        <v>520445</v>
      </c>
      <c r="G37" s="145">
        <f>SUM($C$36:G36)</f>
        <v>648700</v>
      </c>
      <c r="H37" s="146">
        <f>SUM($C$36:H36)</f>
        <v>782939</v>
      </c>
      <c r="I37" s="145">
        <f>SUM($C$36:I36)</f>
        <v>782939</v>
      </c>
      <c r="J37" s="145">
        <f>SUM($C$36:J36)</f>
        <v>782939</v>
      </c>
      <c r="K37" s="145">
        <f>SUM($C$36:K36)</f>
        <v>782939</v>
      </c>
      <c r="L37" s="145">
        <f>SUM($C$36:L36)</f>
        <v>782939</v>
      </c>
      <c r="M37" s="146">
        <f>SUM($C$36:M36)</f>
        <v>782939</v>
      </c>
      <c r="N37" s="145">
        <f>SUM($C$36:N36)</f>
        <v>782939</v>
      </c>
      <c r="O37" s="146"/>
      <c r="P37"/>
    </row>
    <row r="38" spans="1:16" ht="21" customHeight="1" x14ac:dyDescent="0.3">
      <c r="B38" s="2"/>
      <c r="C38" s="2"/>
      <c r="D38" s="2"/>
      <c r="E38" s="2"/>
      <c r="F38" s="2"/>
      <c r="G38" s="2"/>
      <c r="H38" s="2"/>
      <c r="I38" s="2"/>
      <c r="J38" s="2"/>
      <c r="K38" s="2"/>
      <c r="L38" s="14"/>
      <c r="M38" s="14"/>
      <c r="N38" s="14"/>
      <c r="O38" s="14"/>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43.7109375" style="4" bestFit="1" customWidth="1"/>
    <col min="3" max="14" width="16.7109375" style="4" customWidth="1"/>
    <col min="15" max="15" width="16.28515625" style="4" customWidth="1"/>
    <col min="16" max="16" width="4.7109375" style="1" customWidth="1"/>
    <col min="17" max="16384" width="9.140625" style="4"/>
  </cols>
  <sheetData>
    <row r="1" spans="1:16" s="1" customFormat="1" ht="24" customHeight="1" x14ac:dyDescent="0.3">
      <c r="A1" s="34" t="s">
        <v>78</v>
      </c>
      <c r="B1" s="10"/>
      <c r="C1" s="10"/>
      <c r="D1" s="10"/>
      <c r="E1" s="93"/>
      <c r="F1" s="7"/>
      <c r="G1" s="7"/>
      <c r="H1" s="7"/>
      <c r="I1" s="7"/>
      <c r="J1" s="7"/>
      <c r="K1" s="7"/>
      <c r="L1" s="7"/>
      <c r="M1" s="7"/>
      <c r="N1" s="7"/>
      <c r="O1" s="7"/>
      <c r="P1" s="65" t="s">
        <v>68</v>
      </c>
    </row>
    <row r="2" spans="1:16" s="1" customFormat="1" ht="45" customHeight="1" x14ac:dyDescent="0.35">
      <c r="A2" s="32" t="s">
        <v>71</v>
      </c>
      <c r="B2" s="112" t="str">
        <f>'DÉPENSES PRÉVUES'!B2:D3</f>
        <v>Nom de la société</v>
      </c>
      <c r="C2" s="112"/>
      <c r="D2" s="112"/>
      <c r="E2" s="94"/>
      <c r="F2" s="8"/>
      <c r="G2" s="8"/>
      <c r="H2" s="8"/>
      <c r="I2" s="8"/>
      <c r="J2" s="8"/>
      <c r="K2" s="109" t="str">
        <f>titre_feuille_de_calcul</f>
        <v>Détail des dépenses prévues</v>
      </c>
      <c r="L2" s="109"/>
      <c r="M2" s="109"/>
      <c r="N2" s="108" t="s">
        <v>63</v>
      </c>
      <c r="O2" s="108"/>
      <c r="P2" s="7"/>
    </row>
    <row r="3" spans="1:16" s="1" customFormat="1" ht="30" customHeight="1" x14ac:dyDescent="0.3">
      <c r="A3" s="32" t="s">
        <v>10</v>
      </c>
      <c r="B3" s="112"/>
      <c r="C3" s="112"/>
      <c r="D3" s="112"/>
      <c r="E3" s="95"/>
      <c r="F3" s="9"/>
      <c r="G3" s="9"/>
      <c r="H3" s="9"/>
      <c r="I3" s="9"/>
      <c r="J3" s="9"/>
      <c r="K3" s="114" t="s">
        <v>56</v>
      </c>
      <c r="L3" s="114"/>
      <c r="M3" s="114"/>
      <c r="N3" s="108"/>
      <c r="O3" s="108"/>
      <c r="P3" s="7"/>
    </row>
    <row r="4" spans="1:16" s="21" customFormat="1" ht="49.5" customHeight="1" x14ac:dyDescent="0.3">
      <c r="A4" s="35" t="s">
        <v>79</v>
      </c>
      <c r="B4" s="22" t="s">
        <v>83</v>
      </c>
      <c r="C4" s="23" t="s">
        <v>39</v>
      </c>
      <c r="D4" s="23" t="s">
        <v>41</v>
      </c>
      <c r="E4" s="23" t="s">
        <v>43</v>
      </c>
      <c r="F4" s="23" t="s">
        <v>45</v>
      </c>
      <c r="G4" s="23" t="s">
        <v>47</v>
      </c>
      <c r="H4" s="23" t="s">
        <v>49</v>
      </c>
      <c r="I4" s="23" t="s">
        <v>51</v>
      </c>
      <c r="J4" s="23" t="s">
        <v>53</v>
      </c>
      <c r="K4" s="23" t="s">
        <v>57</v>
      </c>
      <c r="L4" s="23" t="s">
        <v>59</v>
      </c>
      <c r="M4" s="23" t="s">
        <v>61</v>
      </c>
      <c r="N4" s="23" t="s">
        <v>64</v>
      </c>
      <c r="O4" s="23" t="s">
        <v>66</v>
      </c>
    </row>
    <row r="5" spans="1:16" s="5" customFormat="1" ht="24.95" customHeight="1" thickBot="1" x14ac:dyDescent="0.35">
      <c r="A5" s="41" t="s">
        <v>80</v>
      </c>
      <c r="B5" s="60" t="s">
        <v>16</v>
      </c>
      <c r="C5" s="76" t="s">
        <v>40</v>
      </c>
      <c r="D5" s="76" t="s">
        <v>42</v>
      </c>
      <c r="E5" s="76" t="s">
        <v>44</v>
      </c>
      <c r="F5" s="76" t="s">
        <v>46</v>
      </c>
      <c r="G5" s="76" t="s">
        <v>48</v>
      </c>
      <c r="H5" s="76" t="s">
        <v>50</v>
      </c>
      <c r="I5" s="76" t="s">
        <v>52</v>
      </c>
      <c r="J5" s="76" t="s">
        <v>54</v>
      </c>
      <c r="K5" s="76" t="s">
        <v>58</v>
      </c>
      <c r="L5" s="76" t="s">
        <v>60</v>
      </c>
      <c r="M5" s="76" t="s">
        <v>62</v>
      </c>
      <c r="N5" s="76" t="s">
        <v>65</v>
      </c>
      <c r="O5" s="77" t="s">
        <v>66</v>
      </c>
      <c r="P5" s="3"/>
    </row>
    <row r="6" spans="1:16" ht="24.95" customHeight="1" thickBot="1" x14ac:dyDescent="0.35">
      <c r="A6" s="33"/>
      <c r="B6" s="47" t="s">
        <v>17</v>
      </c>
      <c r="C6" s="133">
        <f>INDEX(PrévisionsEmployés[],MATCH(INDEX(ÉcartsEmployés[],ROW()-ROW(ÉcartsEmployés[[#Headers],[Jan]]),1),INDEX(PrévisionsEmployés[],,1),0),MATCH(ÉcartsEmployés[[#Headers],[Jan]],PrévisionsEmployés[#Headers],0))-INDEX(DépensesRéellesEmployés[],MATCH(INDEX(ÉcartsEmployés[],ROW()-ROW(ÉcartsEmployés[[#Headers],[Jan]]),1),INDEX(PrévisionsEmployés[],,1),0),MATCH(ÉcartsEmployés[[#Headers],[Jan]],DépensesRéellesEmployés[#Headers],0))</f>
        <v>0</v>
      </c>
      <c r="D6" s="134">
        <f>INDEX(PrévisionsEmployés[],MATCH(INDEX(ÉcartsEmployés[],ROW()-ROW(ÉcartsEmployés[[#Headers],[Fév]]),1),INDEX(PrévisionsEmployés[],,1),0),MATCH(ÉcartsEmployés[[#Headers],[Fév]],PrévisionsEmployés[#Headers],0))-INDEX(DépensesRéellesEmployés[],MATCH(INDEX(ÉcartsEmployés[],ROW()-ROW(ÉcartsEmployés[[#Headers],[Fév]]),1),INDEX(PrévisionsEmployés[],,1),0),MATCH(ÉcartsEmployés[[#Headers],[Fév]],DépensesRéellesEmployés[#Headers],0))</f>
        <v>0</v>
      </c>
      <c r="E6" s="134">
        <f>INDEX(PrévisionsEmployés[],MATCH(INDEX(ÉcartsEmployés[],ROW()-ROW(ÉcartsEmployés[[#Headers],[Mar]]),1),INDEX(PrévisionsEmployés[],,1),0),MATCH(ÉcartsEmployés[[#Headers],[Mar]],PrévisionsEmployés[#Headers],0))-INDEX(DépensesRéellesEmployés[],MATCH(INDEX(ÉcartsEmployés[],ROW()-ROW(ÉcartsEmployés[[#Headers],[Mar]]),1),INDEX(PrévisionsEmployés[],,1),0),MATCH(ÉcartsEmployés[[#Headers],[Mar]],DépensesRéellesEmployés[#Headers],0))</f>
        <v>0</v>
      </c>
      <c r="F6" s="134">
        <f>INDEX(PrévisionsEmployés[],MATCH(INDEX(ÉcartsEmployés[],ROW()-ROW(ÉcartsEmployés[[#Headers],[Avr]]),1),INDEX(PrévisionsEmployés[],,1),0),MATCH(ÉcartsEmployés[[#Headers],[Avr]],PrévisionsEmployés[#Headers],0))-INDEX(DépensesRéellesEmployés[],MATCH(INDEX(ÉcartsEmployés[],ROW()-ROW(ÉcartsEmployés[[#Headers],[Avr]]),1),INDEX(PrévisionsEmployés[],,1),0),MATCH(ÉcartsEmployés[[#Headers],[Avr]],DépensesRéellesEmployés[#Headers],0))</f>
        <v>-500</v>
      </c>
      <c r="G6" s="134">
        <f>INDEX(PrévisionsEmployés[],MATCH(INDEX(ÉcartsEmployés[],ROW()-ROW(ÉcartsEmployés[[#Headers],[Mai]]),1),INDEX(PrévisionsEmployés[],,1),0),MATCH(ÉcartsEmployés[[#Headers],[Mai]],PrévisionsEmployés[#Headers],0))-INDEX(DépensesRéellesEmployés[],MATCH(INDEX(ÉcartsEmployés[],ROW()-ROW(ÉcartsEmployés[[#Headers],[Mai]]),1),INDEX(PrévisionsEmployés[],,1),0),MATCH(ÉcartsEmployés[[#Headers],[Mai]],DépensesRéellesEmployés[#Headers],0))</f>
        <v>-500</v>
      </c>
      <c r="H6" s="134">
        <f>INDEX(PrévisionsEmployés[],MATCH(INDEX(ÉcartsEmployés[],ROW()-ROW(ÉcartsEmployés[[#Headers],[Juin]]),1),INDEX(PrévisionsEmployés[],,1),0),MATCH(ÉcartsEmployés[[#Headers],[Juin]],PrévisionsEmployés[#Headers],0))-INDEX(DépensesRéellesEmployés[],MATCH(INDEX(ÉcartsEmployés[],ROW()-ROW(ÉcartsEmployés[[#Headers],[Juin]]),1),INDEX(PrévisionsEmployés[],,1),0),MATCH(ÉcartsEmployés[[#Headers],[Juin]],DépensesRéellesEmployés[#Headers],0))</f>
        <v>-500</v>
      </c>
      <c r="I6" s="134">
        <f>INDEX(PrévisionsEmployés[],MATCH(INDEX(ÉcartsEmployés[],ROW()-ROW(ÉcartsEmployés[[#Headers],[Juil]]),1),INDEX(PrévisionsEmployés[],,1),0),MATCH(ÉcartsEmployés[[#Headers],[Juil]],PrévisionsEmployés[#Headers],0))-INDEX(DépensesRéellesEmployés[],MATCH(INDEX(ÉcartsEmployés[],ROW()-ROW(ÉcartsEmployés[[#Headers],[Juil]]),1),INDEX(PrévisionsEmployés[],,1),0),MATCH(ÉcartsEmployés[[#Headers],[Juil]],DépensesRéellesEmployés[#Headers],0))</f>
        <v>87500</v>
      </c>
      <c r="J6" s="134">
        <f>INDEX(PrévisionsEmployés[],MATCH(INDEX(ÉcartsEmployés[],ROW()-ROW(ÉcartsEmployés[[#Headers],[Août]]),1),INDEX(PrévisionsEmployés[],,1),0),MATCH(ÉcartsEmployés[[#Headers],[Août]],PrévisionsEmployés[#Headers],0))-INDEX(DépensesRéellesEmployés[],MATCH(INDEX(ÉcartsEmployés[],ROW()-ROW(ÉcartsEmployés[[#Headers],[Août]]),1),INDEX(PrévisionsEmployés[],,1),0),MATCH(ÉcartsEmployés[[#Headers],[Août]],DépensesRéellesEmployés[#Headers],0))</f>
        <v>92400</v>
      </c>
      <c r="K6" s="134">
        <f>INDEX(PrévisionsEmployés[],MATCH(INDEX(ÉcartsEmployés[],ROW()-ROW(ÉcartsEmployés[[#Headers],[Sept]]),1),INDEX(PrévisionsEmployés[],,1),0),MATCH(ÉcartsEmployés[[#Headers],[Sept]],PrévisionsEmployés[#Headers],0))-INDEX(DépensesRéellesEmployés[],MATCH(INDEX(ÉcartsEmployés[],ROW()-ROW(ÉcartsEmployés[[#Headers],[Sept]]),1),INDEX(PrévisionsEmployés[],,1),0),MATCH(ÉcartsEmployés[[#Headers],[Sept]],DépensesRéellesEmployés[#Headers],0))</f>
        <v>92400</v>
      </c>
      <c r="L6" s="134">
        <f>INDEX(PrévisionsEmployés[],MATCH(INDEX(ÉcartsEmployés[],ROW()-ROW(ÉcartsEmployés[[#Headers],[Oct]]),1),INDEX(PrévisionsEmployés[],,1),0),MATCH(ÉcartsEmployés[[#Headers],[Oct]],PrévisionsEmployés[#Headers],0))-INDEX(DépensesRéellesEmployés[],MATCH(INDEX(ÉcartsEmployés[],ROW()-ROW(ÉcartsEmployés[[#Headers],[Oct]]),1),INDEX(PrévisionsEmployés[],,1),0),MATCH(ÉcartsEmployés[[#Headers],[Oct]],DépensesRéellesEmployés[#Headers],0))</f>
        <v>92400</v>
      </c>
      <c r="M6" s="134">
        <f>INDEX(PrévisionsEmployés[],MATCH(INDEX(ÉcartsEmployés[],ROW()-ROW(ÉcartsEmployés[[#Headers],[Nov]]),1),INDEX(PrévisionsEmployés[],,1),0),MATCH(ÉcartsEmployés[[#Headers],[Nov]],PrévisionsEmployés[#Headers],0))-INDEX(DépensesRéellesEmployés[],MATCH(INDEX(ÉcartsEmployés[],ROW()-ROW(ÉcartsEmployés[[#Headers],[Nov]]),1),INDEX(PrévisionsEmployés[],,1),0),MATCH(ÉcartsEmployés[[#Headers],[Nov]],DépensesRéellesEmployés[#Headers],0))</f>
        <v>92400</v>
      </c>
      <c r="N6" s="134">
        <f>INDEX(PrévisionsEmployés[],MATCH(INDEX(ÉcartsEmployés[],ROW()-ROW(ÉcartsEmployés[[#Headers],[Déc]]),1),INDEX(PrévisionsEmployés[],,1),0),MATCH(ÉcartsEmployés[[#Headers],[Déc]],PrévisionsEmployés[#Headers],0))-INDEX(DépensesRéellesEmployés[],MATCH(INDEX(ÉcartsEmployés[],ROW()-ROW(ÉcartsEmployés[[#Headers],[Déc]]),1),INDEX(PrévisionsEmployés[],,1),0),MATCH(ÉcartsEmployés[[#Headers],[Déc]],DépensesRéellesEmployés[#Headers],0))</f>
        <v>92400</v>
      </c>
      <c r="O6" s="135">
        <f>SUM(ÉcartsEmployés[[#This Row],[Jan]:[Déc]])</f>
        <v>548000</v>
      </c>
    </row>
    <row r="7" spans="1:16" ht="24.95" customHeight="1" thickBot="1" x14ac:dyDescent="0.35">
      <c r="A7" s="33"/>
      <c r="B7" s="47" t="s">
        <v>105</v>
      </c>
      <c r="C7" s="133">
        <f>INDEX(PrévisionsEmployés[],MATCH(INDEX(ÉcartsEmployés[],ROW()-ROW(ÉcartsEmployés[[#Headers],[Jan]]),1),INDEX(PrévisionsEmployés[],,1),0),MATCH(ÉcartsEmployés[[#Headers],[Jan]],PrévisionsEmployés[#Headers],0))-INDEX(DépensesRéellesEmployés[],MATCH(INDEX(ÉcartsEmployés[],ROW()-ROW(ÉcartsEmployés[[#Headers],[Jan]]),1),INDEX(PrévisionsEmployés[],,1),0),MATCH(ÉcartsEmployés[[#Headers],[Jan]],DépensesRéellesEmployés[#Headers],0))</f>
        <v>0</v>
      </c>
      <c r="D7" s="134">
        <f>INDEX(PrévisionsEmployés[],MATCH(INDEX(ÉcartsEmployés[],ROW()-ROW(ÉcartsEmployés[[#Headers],[Fév]]),1),INDEX(PrévisionsEmployés[],,1),0),MATCH(ÉcartsEmployés[[#Headers],[Fév]],PrévisionsEmployés[#Headers],0))-INDEX(DépensesRéellesEmployés[],MATCH(INDEX(ÉcartsEmployés[],ROW()-ROW(ÉcartsEmployés[[#Headers],[Fév]]),1),INDEX(PrévisionsEmployés[],,1),0),MATCH(ÉcartsEmployés[[#Headers],[Fév]],DépensesRéellesEmployés[#Headers],0))</f>
        <v>0</v>
      </c>
      <c r="E7" s="134">
        <f>INDEX(PrévisionsEmployés[],MATCH(INDEX(ÉcartsEmployés[],ROW()-ROW(ÉcartsEmployés[[#Headers],[Mar]]),1),INDEX(PrévisionsEmployés[],,1),0),MATCH(ÉcartsEmployés[[#Headers],[Mar]],PrévisionsEmployés[#Headers],0))-INDEX(DépensesRéellesEmployés[],MATCH(INDEX(ÉcartsEmployés[],ROW()-ROW(ÉcartsEmployés[[#Headers],[Mar]]),1),INDEX(PrévisionsEmployés[],,1),0),MATCH(ÉcartsEmployés[[#Headers],[Mar]],DépensesRéellesEmployés[#Headers],0))</f>
        <v>0</v>
      </c>
      <c r="F7" s="134">
        <f>INDEX(PrévisionsEmployés[],MATCH(INDEX(ÉcartsEmployés[],ROW()-ROW(ÉcartsEmployés[[#Headers],[Avr]]),1),INDEX(PrévisionsEmployés[],,1),0),MATCH(ÉcartsEmployés[[#Headers],[Avr]],PrévisionsEmployés[#Headers],0))-INDEX(DépensesRéellesEmployés[],MATCH(INDEX(ÉcartsEmployés[],ROW()-ROW(ÉcartsEmployés[[#Headers],[Avr]]),1),INDEX(PrévisionsEmployés[],,1),0),MATCH(ÉcartsEmployés[[#Headers],[Avr]],DépensesRéellesEmployés[#Headers],0))</f>
        <v>-135</v>
      </c>
      <c r="G7" s="134">
        <f>INDEX(PrévisionsEmployés[],MATCH(INDEX(ÉcartsEmployés[],ROW()-ROW(ÉcartsEmployés[[#Headers],[Mai]]),1),INDEX(PrévisionsEmployés[],,1),0),MATCH(ÉcartsEmployés[[#Headers],[Mai]],PrévisionsEmployés[#Headers],0))-INDEX(DépensesRéellesEmployés[],MATCH(INDEX(ÉcartsEmployés[],ROW()-ROW(ÉcartsEmployés[[#Headers],[Mai]]),1),INDEX(PrévisionsEmployés[],,1),0),MATCH(ÉcartsEmployés[[#Headers],[Mai]],DépensesRéellesEmployés[#Headers],0))</f>
        <v>-135</v>
      </c>
      <c r="H7" s="134">
        <f>INDEX(PrévisionsEmployés[],MATCH(INDEX(ÉcartsEmployés[],ROW()-ROW(ÉcartsEmployés[[#Headers],[Juin]]),1),INDEX(PrévisionsEmployés[],,1),0),MATCH(ÉcartsEmployés[[#Headers],[Juin]],PrévisionsEmployés[#Headers],0))-INDEX(DépensesRéellesEmployés[],MATCH(INDEX(ÉcartsEmployés[],ROW()-ROW(ÉcartsEmployés[[#Headers],[Juin]]),1),INDEX(PrévisionsEmployés[],,1),0),MATCH(ÉcartsEmployés[[#Headers],[Juin]],DépensesRéellesEmployés[#Headers],0))</f>
        <v>-135</v>
      </c>
      <c r="I7" s="134">
        <f>INDEX(PrévisionsEmployés[],MATCH(INDEX(ÉcartsEmployés[],ROW()-ROW(ÉcartsEmployés[[#Headers],[Juil]]),1),INDEX(PrévisionsEmployés[],,1),0),MATCH(ÉcartsEmployés[[#Headers],[Juil]],PrévisionsEmployés[#Headers],0))-INDEX(DépensesRéellesEmployés[],MATCH(INDEX(ÉcartsEmployés[],ROW()-ROW(ÉcartsEmployés[[#Headers],[Juil]]),1),INDEX(PrévisionsEmployés[],,1),0),MATCH(ÉcartsEmployés[[#Headers],[Juil]],DépensesRéellesEmployés[#Headers],0))</f>
        <v>23625</v>
      </c>
      <c r="J7" s="134">
        <f>INDEX(PrévisionsEmployés[],MATCH(INDEX(ÉcartsEmployés[],ROW()-ROW(ÉcartsEmployés[[#Headers],[Août]]),1),INDEX(PrévisionsEmployés[],,1),0),MATCH(ÉcartsEmployés[[#Headers],[Août]],PrévisionsEmployés[#Headers],0))-INDEX(DépensesRéellesEmployés[],MATCH(INDEX(ÉcartsEmployés[],ROW()-ROW(ÉcartsEmployés[[#Headers],[Août]]),1),INDEX(PrévisionsEmployés[],,1),0),MATCH(ÉcartsEmployés[[#Headers],[Août]],DépensesRéellesEmployés[#Headers],0))</f>
        <v>24948</v>
      </c>
      <c r="K7" s="134">
        <f>INDEX(PrévisionsEmployés[],MATCH(INDEX(ÉcartsEmployés[],ROW()-ROW(ÉcartsEmployés[[#Headers],[Sept]]),1),INDEX(PrévisionsEmployés[],,1),0),MATCH(ÉcartsEmployés[[#Headers],[Sept]],PrévisionsEmployés[#Headers],0))-INDEX(DépensesRéellesEmployés[],MATCH(INDEX(ÉcartsEmployés[],ROW()-ROW(ÉcartsEmployés[[#Headers],[Sept]]),1),INDEX(PrévisionsEmployés[],,1),0),MATCH(ÉcartsEmployés[[#Headers],[Sept]],DépensesRéellesEmployés[#Headers],0))</f>
        <v>24948</v>
      </c>
      <c r="L7" s="134">
        <f>INDEX(PrévisionsEmployés[],MATCH(INDEX(ÉcartsEmployés[],ROW()-ROW(ÉcartsEmployés[[#Headers],[Oct]]),1),INDEX(PrévisionsEmployés[],,1),0),MATCH(ÉcartsEmployés[[#Headers],[Oct]],PrévisionsEmployés[#Headers],0))-INDEX(DépensesRéellesEmployés[],MATCH(INDEX(ÉcartsEmployés[],ROW()-ROW(ÉcartsEmployés[[#Headers],[Oct]]),1),INDEX(PrévisionsEmployés[],,1),0),MATCH(ÉcartsEmployés[[#Headers],[Oct]],DépensesRéellesEmployés[#Headers],0))</f>
        <v>24948</v>
      </c>
      <c r="M7" s="134">
        <f>INDEX(PrévisionsEmployés[],MATCH(INDEX(ÉcartsEmployés[],ROW()-ROW(ÉcartsEmployés[[#Headers],[Nov]]),1),INDEX(PrévisionsEmployés[],,1),0),MATCH(ÉcartsEmployés[[#Headers],[Nov]],PrévisionsEmployés[#Headers],0))-INDEX(DépensesRéellesEmployés[],MATCH(INDEX(ÉcartsEmployés[],ROW()-ROW(ÉcartsEmployés[[#Headers],[Nov]]),1),INDEX(PrévisionsEmployés[],,1),0),MATCH(ÉcartsEmployés[[#Headers],[Nov]],DépensesRéellesEmployés[#Headers],0))</f>
        <v>24948</v>
      </c>
      <c r="N7" s="134">
        <f>INDEX(PrévisionsEmployés[],MATCH(INDEX(ÉcartsEmployés[],ROW()-ROW(ÉcartsEmployés[[#Headers],[Déc]]),1),INDEX(PrévisionsEmployés[],,1),0),MATCH(ÉcartsEmployés[[#Headers],[Déc]],PrévisionsEmployés[#Headers],0))-INDEX(DépensesRéellesEmployés[],MATCH(INDEX(ÉcartsEmployés[],ROW()-ROW(ÉcartsEmployés[[#Headers],[Déc]]),1),INDEX(PrévisionsEmployés[],,1),0),MATCH(ÉcartsEmployés[[#Headers],[Déc]],DépensesRéellesEmployés[#Headers],0))</f>
        <v>24948</v>
      </c>
      <c r="O7" s="135">
        <f>SUM(ÉcartsEmployés[[#This Row],[Jan]:[Déc]])</f>
        <v>147960</v>
      </c>
    </row>
    <row r="8" spans="1:16" ht="24.95" customHeight="1" x14ac:dyDescent="0.3">
      <c r="A8" s="33"/>
      <c r="B8" s="78" t="s">
        <v>18</v>
      </c>
      <c r="C8" s="137">
        <f>SUBTOTAL(109,ÉcartsEmployés[Jan])</f>
        <v>0</v>
      </c>
      <c r="D8" s="137">
        <f>SUBTOTAL(109,ÉcartsEmployés[Fév])</f>
        <v>0</v>
      </c>
      <c r="E8" s="137">
        <f>SUBTOTAL(109,ÉcartsEmployés[Mar])</f>
        <v>0</v>
      </c>
      <c r="F8" s="137">
        <f>SUBTOTAL(109,ÉcartsEmployés[Avr])</f>
        <v>-635</v>
      </c>
      <c r="G8" s="137">
        <f>SUBTOTAL(109,ÉcartsEmployés[Mai])</f>
        <v>-635</v>
      </c>
      <c r="H8" s="137">
        <f>SUBTOTAL(109,ÉcartsEmployés[Juin])</f>
        <v>-635</v>
      </c>
      <c r="I8" s="137">
        <f>SUBTOTAL(109,ÉcartsEmployés[Juil])</f>
        <v>111125</v>
      </c>
      <c r="J8" s="137">
        <f>SUBTOTAL(109,ÉcartsEmployés[Août])</f>
        <v>117348</v>
      </c>
      <c r="K8" s="137">
        <f>SUBTOTAL(109,ÉcartsEmployés[Sept])</f>
        <v>117348</v>
      </c>
      <c r="L8" s="137">
        <f>SUBTOTAL(109,ÉcartsEmployés[Oct])</f>
        <v>117348</v>
      </c>
      <c r="M8" s="137">
        <f>SUBTOTAL(109,ÉcartsEmployés[Nov])</f>
        <v>117348</v>
      </c>
      <c r="N8" s="137">
        <f>SUBTOTAL(109,ÉcartsEmployés[Déc])</f>
        <v>117348</v>
      </c>
      <c r="O8" s="138">
        <f>SUBTOTAL(109,ÉcartsEmployés[ANNÉE])</f>
        <v>695960</v>
      </c>
    </row>
    <row r="9" spans="1:16" ht="21" customHeight="1" x14ac:dyDescent="0.3">
      <c r="A9" s="33"/>
      <c r="B9" s="115"/>
      <c r="C9" s="115"/>
      <c r="D9" s="90"/>
      <c r="E9" s="90"/>
      <c r="F9" s="90"/>
      <c r="G9" s="90"/>
      <c r="H9" s="90"/>
      <c r="I9" s="90"/>
      <c r="J9" s="90"/>
      <c r="K9" s="90"/>
      <c r="L9" s="90"/>
      <c r="M9" s="90"/>
      <c r="N9" s="90"/>
      <c r="O9" s="91"/>
    </row>
    <row r="10" spans="1:16" ht="24.95" customHeight="1" thickBot="1" x14ac:dyDescent="0.35">
      <c r="A10" s="33" t="s">
        <v>81</v>
      </c>
      <c r="B10" s="50" t="s">
        <v>19</v>
      </c>
      <c r="C10" s="66" t="s">
        <v>40</v>
      </c>
      <c r="D10" s="66" t="s">
        <v>42</v>
      </c>
      <c r="E10" s="88" t="s">
        <v>44</v>
      </c>
      <c r="F10" s="66" t="s">
        <v>46</v>
      </c>
      <c r="G10" s="66" t="s">
        <v>48</v>
      </c>
      <c r="H10" s="66" t="s">
        <v>50</v>
      </c>
      <c r="I10" s="66" t="s">
        <v>52</v>
      </c>
      <c r="J10" s="66" t="s">
        <v>54</v>
      </c>
      <c r="K10" s="66" t="s">
        <v>58</v>
      </c>
      <c r="L10" s="66" t="s">
        <v>60</v>
      </c>
      <c r="M10" s="66" t="s">
        <v>62</v>
      </c>
      <c r="N10" s="66" t="s">
        <v>65</v>
      </c>
      <c r="O10" s="67" t="s">
        <v>66</v>
      </c>
    </row>
    <row r="11" spans="1:16" ht="24.95" customHeight="1" thickBot="1" x14ac:dyDescent="0.35">
      <c r="A11" s="33"/>
      <c r="B11" s="68" t="s">
        <v>20</v>
      </c>
      <c r="C11"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0</v>
      </c>
      <c r="D11"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0</v>
      </c>
      <c r="E11"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0</v>
      </c>
      <c r="F11"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0</v>
      </c>
      <c r="G11"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0</v>
      </c>
      <c r="H11"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0</v>
      </c>
      <c r="I11"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9800</v>
      </c>
      <c r="J11"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9800</v>
      </c>
      <c r="K11"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9800</v>
      </c>
      <c r="L11"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9800</v>
      </c>
      <c r="M11"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9800</v>
      </c>
      <c r="N11"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9800</v>
      </c>
      <c r="O11" s="135">
        <f>SUM(ÉcartsBureau[[#This Row],[Jan]:[Déc]])</f>
        <v>58800</v>
      </c>
    </row>
    <row r="12" spans="1:16" ht="24.95" customHeight="1" thickBot="1" x14ac:dyDescent="0.35">
      <c r="A12" s="33"/>
      <c r="B12" s="68" t="s">
        <v>21</v>
      </c>
      <c r="C12"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-4</v>
      </c>
      <c r="D12"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-30</v>
      </c>
      <c r="E12"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15</v>
      </c>
      <c r="F12"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-130</v>
      </c>
      <c r="G12"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13</v>
      </c>
      <c r="H12"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12</v>
      </c>
      <c r="I12"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100</v>
      </c>
      <c r="J12"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100</v>
      </c>
      <c r="K12"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100</v>
      </c>
      <c r="L12"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100</v>
      </c>
      <c r="M12"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400</v>
      </c>
      <c r="N12"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400</v>
      </c>
      <c r="O12" s="135">
        <f>SUM(ÉcartsBureau[[#This Row],[Jan]:[Déc]])</f>
        <v>1076</v>
      </c>
    </row>
    <row r="13" spans="1:16" ht="24.95" customHeight="1" thickBot="1" x14ac:dyDescent="0.35">
      <c r="A13" s="33"/>
      <c r="B13" s="68" t="s">
        <v>22</v>
      </c>
      <c r="C13"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12</v>
      </c>
      <c r="D13"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22</v>
      </c>
      <c r="E13"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32</v>
      </c>
      <c r="F13"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1</v>
      </c>
      <c r="G13"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-6</v>
      </c>
      <c r="H13"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10</v>
      </c>
      <c r="I13"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300</v>
      </c>
      <c r="J13"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300</v>
      </c>
      <c r="K13"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300</v>
      </c>
      <c r="L13"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300</v>
      </c>
      <c r="M13"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300</v>
      </c>
      <c r="N13"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300</v>
      </c>
      <c r="O13" s="135">
        <f>SUM(ÉcartsBureau[[#This Row],[Jan]:[Déc]])</f>
        <v>1871</v>
      </c>
    </row>
    <row r="14" spans="1:16" ht="24.95" customHeight="1" thickBot="1" x14ac:dyDescent="0.35">
      <c r="A14" s="33"/>
      <c r="B14" s="68" t="s">
        <v>23</v>
      </c>
      <c r="C14"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5</v>
      </c>
      <c r="D14"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7</v>
      </c>
      <c r="E14"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6</v>
      </c>
      <c r="F14"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4</v>
      </c>
      <c r="G14"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6</v>
      </c>
      <c r="H14"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4</v>
      </c>
      <c r="I14"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40</v>
      </c>
      <c r="J14"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40</v>
      </c>
      <c r="K14"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40</v>
      </c>
      <c r="L14"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40</v>
      </c>
      <c r="M14"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40</v>
      </c>
      <c r="N14"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40</v>
      </c>
      <c r="O14" s="135">
        <f>SUM(ÉcartsBureau[[#This Row],[Jan]:[Déc]])</f>
        <v>272</v>
      </c>
    </row>
    <row r="15" spans="1:16" ht="24.95" customHeight="1" thickBot="1" x14ac:dyDescent="0.35">
      <c r="A15" s="33"/>
      <c r="B15" s="68" t="s">
        <v>24</v>
      </c>
      <c r="C15"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26</v>
      </c>
      <c r="D15"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15</v>
      </c>
      <c r="E15"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-15</v>
      </c>
      <c r="F15"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5</v>
      </c>
      <c r="G15"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5</v>
      </c>
      <c r="H15"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30</v>
      </c>
      <c r="I15"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250</v>
      </c>
      <c r="J15"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250</v>
      </c>
      <c r="K15"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250</v>
      </c>
      <c r="L15"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250</v>
      </c>
      <c r="M15"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250</v>
      </c>
      <c r="N15"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250</v>
      </c>
      <c r="O15" s="135">
        <f>SUM(ÉcartsBureau[[#This Row],[Jan]:[Déc]])</f>
        <v>1566</v>
      </c>
    </row>
    <row r="16" spans="1:16" ht="24.95" customHeight="1" thickBot="1" x14ac:dyDescent="0.35">
      <c r="A16" s="33"/>
      <c r="B16" s="68" t="s">
        <v>25</v>
      </c>
      <c r="C16"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0</v>
      </c>
      <c r="D16"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0</v>
      </c>
      <c r="E16"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0</v>
      </c>
      <c r="F16"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0</v>
      </c>
      <c r="G16"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0</v>
      </c>
      <c r="H16"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0</v>
      </c>
      <c r="I16"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180</v>
      </c>
      <c r="J16"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180</v>
      </c>
      <c r="K16"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180</v>
      </c>
      <c r="L16"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180</v>
      </c>
      <c r="M16"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180</v>
      </c>
      <c r="N16"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180</v>
      </c>
      <c r="O16" s="135">
        <f>SUM(ÉcartsBureau[[#This Row],[Jan]:[Déc]])</f>
        <v>1080</v>
      </c>
    </row>
    <row r="17" spans="1:15" ht="24.95" customHeight="1" thickBot="1" x14ac:dyDescent="0.35">
      <c r="A17" s="33"/>
      <c r="B17" s="68" t="s">
        <v>26</v>
      </c>
      <c r="C17"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-56</v>
      </c>
      <c r="D17"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58</v>
      </c>
      <c r="E17"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40</v>
      </c>
      <c r="F17"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-21</v>
      </c>
      <c r="G17"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-56</v>
      </c>
      <c r="H17"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-40</v>
      </c>
      <c r="I17"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200</v>
      </c>
      <c r="J17"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200</v>
      </c>
      <c r="K17"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200</v>
      </c>
      <c r="L17"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200</v>
      </c>
      <c r="M17"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200</v>
      </c>
      <c r="N17"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200</v>
      </c>
      <c r="O17" s="135">
        <f>SUM(ÉcartsBureau[[#This Row],[Jan]:[Déc]])</f>
        <v>1125</v>
      </c>
    </row>
    <row r="18" spans="1:15" ht="24.95" customHeight="1" thickBot="1" x14ac:dyDescent="0.35">
      <c r="A18" s="33"/>
      <c r="B18" s="68" t="s">
        <v>27</v>
      </c>
      <c r="C18" s="134">
        <f>INDEX(PrévisionsBureau[],MATCH(INDEX(ÉcartsBureau[],ROW()-ROW(ÉcartsBureau[[#Headers],[Jan]]),1),INDEX(PrévisionsBureau[],,1),0),MATCH(ÉcartsBureau[[#Headers],[Jan]],PrévisionsBureau[#Headers],0))-INDEX(DépensesRéellesBureau[],MATCH(INDEX(ÉcartsBureau[],ROW()-ROW(ÉcartsBureau[[#Headers],[Jan]]),1),INDEX(PrévisionsBureau[],,1),0),MATCH(ÉcartsBureau[[#Headers],[Jan]],DépensesRéellesBureau[#Headers],0))</f>
        <v>0</v>
      </c>
      <c r="D18" s="134">
        <f>INDEX(PrévisionsBureau[],MATCH(INDEX(ÉcartsBureau[],ROW()-ROW(ÉcartsBureau[[#Headers],[Fév]]),1),INDEX(PrévisionsBureau[],,1),0),MATCH(ÉcartsBureau[[#Headers],[Fév]],PrévisionsBureau[#Headers],0))-INDEX(DépensesRéellesBureau[],MATCH(INDEX(ÉcartsBureau[],ROW()-ROW(ÉcartsBureau[[#Headers],[Fév]]),1),INDEX(PrévisionsBureau[],,1),0),MATCH(ÉcartsBureau[[#Headers],[Fév]],DépensesRéellesBureau[#Headers],0))</f>
        <v>0</v>
      </c>
      <c r="E18" s="134">
        <f>INDEX(PrévisionsBureau[],MATCH(INDEX(ÉcartsBureau[],ROW()-ROW(ÉcartsBureau[[#Headers],[Mar]]),1),INDEX(PrévisionsBureau[],,1),0),MATCH(ÉcartsBureau[[#Headers],[Mar]],PrévisionsBureau[#Headers],0))-INDEX(DépensesRéellesBureau[],MATCH(INDEX(ÉcartsBureau[],ROW()-ROW(ÉcartsBureau[[#Headers],[Mar]]),1),INDEX(PrévisionsBureau[],,1),0),MATCH(ÉcartsBureau[[#Headers],[Mar]],DépensesRéellesBureau[#Headers],0))</f>
        <v>0</v>
      </c>
      <c r="F18" s="134">
        <f>INDEX(PrévisionsBureau[],MATCH(INDEX(ÉcartsBureau[],ROW()-ROW(ÉcartsBureau[[#Headers],[Avr]]),1),INDEX(PrévisionsBureau[],,1),0),MATCH(ÉcartsBureau[[#Headers],[Avr]],PrévisionsBureau[#Headers],0))-INDEX(DépensesRéellesBureau[],MATCH(INDEX(ÉcartsBureau[],ROW()-ROW(ÉcartsBureau[[#Headers],[Avr]]),1),INDEX(PrévisionsBureau[],,1),0),MATCH(ÉcartsBureau[[#Headers],[Avr]],DépensesRéellesBureau[#Headers],0))</f>
        <v>0</v>
      </c>
      <c r="G18" s="134">
        <f>INDEX(PrévisionsBureau[],MATCH(INDEX(ÉcartsBureau[],ROW()-ROW(ÉcartsBureau[[#Headers],[Mai]]),1),INDEX(PrévisionsBureau[],,1),0),MATCH(ÉcartsBureau[[#Headers],[Mai]],PrévisionsBureau[#Headers],0))-INDEX(DépensesRéellesBureau[],MATCH(INDEX(ÉcartsBureau[],ROW()-ROW(ÉcartsBureau[[#Headers],[Mai]]),1),INDEX(PrévisionsBureau[],,1),0),MATCH(ÉcartsBureau[[#Headers],[Mai]],DépensesRéellesBureau[#Headers],0))</f>
        <v>0</v>
      </c>
      <c r="H18" s="134">
        <f>INDEX(PrévisionsBureau[],MATCH(INDEX(ÉcartsBureau[],ROW()-ROW(ÉcartsBureau[[#Headers],[Juin]]),1),INDEX(PrévisionsBureau[],,1),0),MATCH(ÉcartsBureau[[#Headers],[Juin]],PrévisionsBureau[#Headers],0))-INDEX(DépensesRéellesBureau[],MATCH(INDEX(ÉcartsBureau[],ROW()-ROW(ÉcartsBureau[[#Headers],[Juin]]),1),INDEX(PrévisionsBureau[],,1),0),MATCH(ÉcartsBureau[[#Headers],[Juin]],DépensesRéellesBureau[#Headers],0))</f>
        <v>0</v>
      </c>
      <c r="I18" s="134">
        <f>INDEX(PrévisionsBureau[],MATCH(INDEX(ÉcartsBureau[],ROW()-ROW(ÉcartsBureau[[#Headers],[Juil]]),1),INDEX(PrévisionsBureau[],,1),0),MATCH(ÉcartsBureau[[#Headers],[Juil]],PrévisionsBureau[#Headers],0))-INDEX(DépensesRéellesBureau[],MATCH(INDEX(ÉcartsBureau[],ROW()-ROW(ÉcartsBureau[[#Headers],[Juil]]),1),INDEX(PrévisionsBureau[],,1),0),MATCH(ÉcartsBureau[[#Headers],[Juil]],DépensesRéellesBureau[#Headers],0))</f>
        <v>600</v>
      </c>
      <c r="J18" s="134">
        <f>INDEX(PrévisionsBureau[],MATCH(INDEX(ÉcartsBureau[],ROW()-ROW(ÉcartsBureau[[#Headers],[Août]]),1),INDEX(PrévisionsBureau[],,1),0),MATCH(ÉcartsBureau[[#Headers],[Août]],PrévisionsBureau[#Headers],0))-INDEX(DépensesRéellesBureau[],MATCH(INDEX(ÉcartsBureau[],ROW()-ROW(ÉcartsBureau[[#Headers],[Août]]),1),INDEX(PrévisionsBureau[],,1),0),MATCH(ÉcartsBureau[[#Headers],[Août]],DépensesRéellesBureau[#Headers],0))</f>
        <v>600</v>
      </c>
      <c r="K18" s="134">
        <f>INDEX(PrévisionsBureau[],MATCH(INDEX(ÉcartsBureau[],ROW()-ROW(ÉcartsBureau[[#Headers],[Sept]]),1),INDEX(PrévisionsBureau[],,1),0),MATCH(ÉcartsBureau[[#Headers],[Sept]],PrévisionsBureau[#Headers],0))-INDEX(DépensesRéellesBureau[],MATCH(INDEX(ÉcartsBureau[],ROW()-ROW(ÉcartsBureau[[#Headers],[Sept]]),1),INDEX(PrévisionsBureau[],,1),0),MATCH(ÉcartsBureau[[#Headers],[Sept]],DépensesRéellesBureau[#Headers],0))</f>
        <v>600</v>
      </c>
      <c r="L18" s="134">
        <f>INDEX(PrévisionsBureau[],MATCH(INDEX(ÉcartsBureau[],ROW()-ROW(ÉcartsBureau[[#Headers],[Oct]]),1),INDEX(PrévisionsBureau[],,1),0),MATCH(ÉcartsBureau[[#Headers],[Oct]],PrévisionsBureau[#Headers],0))-INDEX(DépensesRéellesBureau[],MATCH(INDEX(ÉcartsBureau[],ROW()-ROW(ÉcartsBureau[[#Headers],[Oct]]),1),INDEX(PrévisionsBureau[],,1),0),MATCH(ÉcartsBureau[[#Headers],[Oct]],DépensesRéellesBureau[#Headers],0))</f>
        <v>600</v>
      </c>
      <c r="M18" s="134">
        <f>INDEX(PrévisionsBureau[],MATCH(INDEX(ÉcartsBureau[],ROW()-ROW(ÉcartsBureau[[#Headers],[Nov]]),1),INDEX(PrévisionsBureau[],,1),0),MATCH(ÉcartsBureau[[#Headers],[Nov]],PrévisionsBureau[#Headers],0))-INDEX(DépensesRéellesBureau[],MATCH(INDEX(ÉcartsBureau[],ROW()-ROW(ÉcartsBureau[[#Headers],[Nov]]),1),INDEX(PrévisionsBureau[],,1),0),MATCH(ÉcartsBureau[[#Headers],[Nov]],DépensesRéellesBureau[#Headers],0))</f>
        <v>600</v>
      </c>
      <c r="N18" s="134">
        <f>INDEX(PrévisionsBureau[],MATCH(INDEX(ÉcartsBureau[],ROW()-ROW(ÉcartsBureau[[#Headers],[Déc]]),1),INDEX(PrévisionsBureau[],,1),0),MATCH(ÉcartsBureau[[#Headers],[Déc]],PrévisionsBureau[#Headers],0))-INDEX(DépensesRéellesBureau[],MATCH(INDEX(ÉcartsBureau[],ROW()-ROW(ÉcartsBureau[[#Headers],[Déc]]),1),INDEX(PrévisionsBureau[],,1),0),MATCH(ÉcartsBureau[[#Headers],[Déc]],DépensesRéellesBureau[#Headers],0))</f>
        <v>600</v>
      </c>
      <c r="O18" s="135">
        <f>SUM(ÉcartsBureau[[#This Row],[Jan]:[Déc]])</f>
        <v>3600</v>
      </c>
    </row>
    <row r="19" spans="1:15" ht="24.95" customHeight="1" x14ac:dyDescent="0.3">
      <c r="A19" s="33"/>
      <c r="B19" s="80" t="s">
        <v>18</v>
      </c>
      <c r="C19" s="147">
        <f>SUBTOTAL(109,ÉcartsBureau[Jan])</f>
        <v>-17</v>
      </c>
      <c r="D19" s="137">
        <f>SUBTOTAL(109,ÉcartsBureau[Fév])</f>
        <v>72</v>
      </c>
      <c r="E19" s="137">
        <f>SUBTOTAL(109,ÉcartsBureau[Mar])</f>
        <v>78</v>
      </c>
      <c r="F19" s="137">
        <f>SUBTOTAL(109,ÉcartsBureau[Avr])</f>
        <v>-141</v>
      </c>
      <c r="G19" s="137">
        <f>SUBTOTAL(109,ÉcartsBureau[Mai])</f>
        <v>-38</v>
      </c>
      <c r="H19" s="137">
        <f>SUBTOTAL(109,ÉcartsBureau[Juin])</f>
        <v>16</v>
      </c>
      <c r="I19" s="137">
        <f>SUBTOTAL(109,ÉcartsBureau[Juil])</f>
        <v>11470</v>
      </c>
      <c r="J19" s="137">
        <f>SUBTOTAL(109,ÉcartsBureau[Août])</f>
        <v>11470</v>
      </c>
      <c r="K19" s="137">
        <f>SUBTOTAL(109,ÉcartsBureau[Sept])</f>
        <v>11470</v>
      </c>
      <c r="L19" s="137">
        <f>SUBTOTAL(109,ÉcartsBureau[Oct])</f>
        <v>11470</v>
      </c>
      <c r="M19" s="137">
        <f>SUBTOTAL(109,ÉcartsBureau[Nov])</f>
        <v>11770</v>
      </c>
      <c r="N19" s="137">
        <f>SUBTOTAL(109,ÉcartsBureau[Déc])</f>
        <v>11770</v>
      </c>
      <c r="O19" s="138">
        <f>SUBTOTAL(109,ÉcartsBureau[ANNÉE])</f>
        <v>69390</v>
      </c>
    </row>
    <row r="20" spans="1:15" ht="21" customHeight="1" x14ac:dyDescent="0.3">
      <c r="A20" s="33"/>
      <c r="B20" s="116"/>
      <c r="C20" s="116"/>
      <c r="D20" s="90"/>
      <c r="E20" s="90"/>
      <c r="F20" s="92"/>
      <c r="G20" s="92"/>
      <c r="H20" s="92"/>
      <c r="I20" s="92"/>
      <c r="J20" s="92"/>
      <c r="K20" s="92"/>
      <c r="L20" s="92"/>
      <c r="M20" s="92"/>
      <c r="N20" s="92"/>
      <c r="O20" s="91"/>
    </row>
    <row r="21" spans="1:15" ht="24.95" customHeight="1" thickBot="1" x14ac:dyDescent="0.35">
      <c r="A21" s="33" t="s">
        <v>82</v>
      </c>
      <c r="B21" s="58" t="s">
        <v>28</v>
      </c>
      <c r="C21" s="66" t="s">
        <v>40</v>
      </c>
      <c r="D21" s="66" t="s">
        <v>42</v>
      </c>
      <c r="E21" s="88" t="s">
        <v>44</v>
      </c>
      <c r="F21" s="66" t="s">
        <v>46</v>
      </c>
      <c r="G21" s="66" t="s">
        <v>48</v>
      </c>
      <c r="H21" s="66" t="s">
        <v>50</v>
      </c>
      <c r="I21" s="66" t="s">
        <v>52</v>
      </c>
      <c r="J21" s="66" t="s">
        <v>54</v>
      </c>
      <c r="K21" s="66" t="s">
        <v>58</v>
      </c>
      <c r="L21" s="66" t="s">
        <v>60</v>
      </c>
      <c r="M21" s="66" t="s">
        <v>62</v>
      </c>
      <c r="N21" s="66" t="s">
        <v>65</v>
      </c>
      <c r="O21" s="67" t="s">
        <v>66</v>
      </c>
    </row>
    <row r="22" spans="1:15" ht="24.95" customHeight="1" thickBot="1" x14ac:dyDescent="0.35">
      <c r="A22" s="33"/>
      <c r="B22" s="68" t="s">
        <v>106</v>
      </c>
      <c r="C22" s="134">
        <f>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f>
        <v>0</v>
      </c>
      <c r="D22" s="134">
        <f>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f>
        <v>0</v>
      </c>
      <c r="E22" s="134">
        <f>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f>
        <v>0</v>
      </c>
      <c r="F22" s="134">
        <f>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f>
        <v>0</v>
      </c>
      <c r="G22" s="134">
        <f>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f>
        <v>0</v>
      </c>
      <c r="H22" s="134">
        <f>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f>
        <v>0</v>
      </c>
      <c r="I22" s="134">
        <f>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f>
        <v>500</v>
      </c>
      <c r="J22" s="134">
        <f>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f>
        <v>500</v>
      </c>
      <c r="K22" s="134">
        <f>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f>
        <v>500</v>
      </c>
      <c r="L22" s="134">
        <f>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f>
        <v>500</v>
      </c>
      <c r="M22" s="134">
        <f>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f>
        <v>500</v>
      </c>
      <c r="N22" s="134">
        <f>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f>
        <v>500</v>
      </c>
      <c r="O22" s="135">
        <f>SUM(ÉcartsMarketing[[#This Row],[Jan]:[Déc]])</f>
        <v>3000</v>
      </c>
    </row>
    <row r="23" spans="1:15" ht="24.95" customHeight="1" thickBot="1" x14ac:dyDescent="0.35">
      <c r="A23" s="33"/>
      <c r="B23" s="68" t="s">
        <v>107</v>
      </c>
      <c r="C23" s="134">
        <f>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f>
        <v>0</v>
      </c>
      <c r="D23" s="134">
        <f>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f>
        <v>0</v>
      </c>
      <c r="E23" s="134">
        <f>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f>
        <v>0</v>
      </c>
      <c r="F23" s="134">
        <f>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f>
        <v>0</v>
      </c>
      <c r="G23" s="134">
        <f>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f>
        <v>0</v>
      </c>
      <c r="H23" s="134">
        <f>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f>
        <v>-500</v>
      </c>
      <c r="I23" s="134">
        <f>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f>
        <v>200</v>
      </c>
      <c r="J23" s="134">
        <f>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f>
        <v>200</v>
      </c>
      <c r="K23" s="134">
        <f>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f>
        <v>200</v>
      </c>
      <c r="L23" s="134">
        <f>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f>
        <v>200</v>
      </c>
      <c r="M23" s="134">
        <f>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f>
        <v>200</v>
      </c>
      <c r="N23" s="134">
        <f>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f>
        <v>1000</v>
      </c>
      <c r="O23" s="135">
        <f>SUM(ÉcartsMarketing[[#This Row],[Jan]:[Déc]])</f>
        <v>1500</v>
      </c>
    </row>
    <row r="24" spans="1:15" ht="24.95" customHeight="1" thickBot="1" x14ac:dyDescent="0.35">
      <c r="A24" s="33"/>
      <c r="B24" s="68" t="s">
        <v>29</v>
      </c>
      <c r="C24" s="134">
        <f>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f>
        <v>200</v>
      </c>
      <c r="D24" s="134">
        <f>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f>
        <v>0</v>
      </c>
      <c r="E24" s="134">
        <f>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f>
        <v>0</v>
      </c>
      <c r="F24" s="134">
        <f>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f>
        <v>-500</v>
      </c>
      <c r="G24" s="134">
        <f>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f>
        <v>0</v>
      </c>
      <c r="H24" s="134">
        <f>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f>
        <v>0</v>
      </c>
      <c r="I24" s="134">
        <f>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f>
        <v>5000</v>
      </c>
      <c r="J24" s="134">
        <f>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f>
        <v>0</v>
      </c>
      <c r="K24" s="134">
        <f>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f>
        <v>0</v>
      </c>
      <c r="L24" s="134">
        <f>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f>
        <v>5000</v>
      </c>
      <c r="M24" s="134">
        <f>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f>
        <v>0</v>
      </c>
      <c r="N24" s="134">
        <f>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f>
        <v>0</v>
      </c>
      <c r="O24" s="135">
        <f>SUM(ÉcartsMarketing[[#This Row],[Jan]:[Déc]])</f>
        <v>9700</v>
      </c>
    </row>
    <row r="25" spans="1:15" ht="24.95" customHeight="1" thickBot="1" x14ac:dyDescent="0.35">
      <c r="A25" s="33"/>
      <c r="B25" s="68" t="s">
        <v>30</v>
      </c>
      <c r="C25" s="134">
        <f>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f>
        <v>100</v>
      </c>
      <c r="D25" s="134">
        <f>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f>
        <v>-300</v>
      </c>
      <c r="E25" s="134">
        <f>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f>
        <v>100</v>
      </c>
      <c r="F25" s="134">
        <f>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f>
        <v>100</v>
      </c>
      <c r="G25" s="134">
        <f>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f>
        <v>-400</v>
      </c>
      <c r="H25" s="134">
        <f>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f>
        <v>20</v>
      </c>
      <c r="I25" s="134">
        <f>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f>
        <v>200</v>
      </c>
      <c r="J25" s="134">
        <f>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f>
        <v>200</v>
      </c>
      <c r="K25" s="134">
        <f>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f>
        <v>200</v>
      </c>
      <c r="L25" s="134">
        <f>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f>
        <v>200</v>
      </c>
      <c r="M25" s="134">
        <f>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f>
        <v>200</v>
      </c>
      <c r="N25" s="134">
        <f>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f>
        <v>200</v>
      </c>
      <c r="O25" s="135">
        <f>SUM(ÉcartsMarketing[[#This Row],[Jan]:[Déc]])</f>
        <v>820</v>
      </c>
    </row>
    <row r="26" spans="1:15" ht="24.95" customHeight="1" thickBot="1" x14ac:dyDescent="0.35">
      <c r="A26" s="33"/>
      <c r="B26" s="68" t="s">
        <v>31</v>
      </c>
      <c r="C26" s="134">
        <f>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f>
        <v>200</v>
      </c>
      <c r="D26" s="134">
        <f>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f>
        <v>-200</v>
      </c>
      <c r="E26" s="134">
        <f>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f>
        <v>-200</v>
      </c>
      <c r="F26" s="134">
        <f>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f>
        <v>300</v>
      </c>
      <c r="G26" s="134">
        <f>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f>
        <v>500</v>
      </c>
      <c r="H26" s="134">
        <f>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f>
        <v>-300</v>
      </c>
      <c r="I26" s="134">
        <f>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f>
        <v>2000</v>
      </c>
      <c r="J26" s="134">
        <f>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f>
        <v>5000</v>
      </c>
      <c r="K26" s="134">
        <f>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f>
        <v>2000</v>
      </c>
      <c r="L26" s="134">
        <f>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f>
        <v>2000</v>
      </c>
      <c r="M26" s="134">
        <f>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f>
        <v>2000</v>
      </c>
      <c r="N26" s="134">
        <f>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f>
        <v>5000</v>
      </c>
      <c r="O26" s="135">
        <f>SUM(ÉcartsMarketing[[#This Row],[Jan]:[Déc]])</f>
        <v>18300</v>
      </c>
    </row>
    <row r="27" spans="1:15" ht="24.95" customHeight="1" thickBot="1" x14ac:dyDescent="0.35">
      <c r="A27" s="33"/>
      <c r="B27" s="68" t="s">
        <v>32</v>
      </c>
      <c r="C27" s="134">
        <f>INDEX(PrévisionsMarketing[],MATCH(INDEX(ÉcartsMarketing[],ROW()-ROW(ÉcartsMarketing[[#Headers],[Jan]]),1),INDEX(PrévisionsMarketing[],,1),0),MATCH(ÉcartsMarketing[[#Headers],[Jan]],PrévisionsMarketing[#Headers],0))-INDEX(DépensesRéellesMarketing[],MATCH(INDEX(ÉcartsMarketing[],ROW()-ROW(ÉcartsMarketing[[#Headers],[Jan]]),1),INDEX(PrévisionsMarketing[],,1),0),MATCH(ÉcartsMarketing[[#Headers],[Jan]],DépensesRéellesMarketing[#Headers],0))</f>
        <v>55</v>
      </c>
      <c r="D27" s="134">
        <f>INDEX(PrévisionsMarketing[],MATCH(INDEX(ÉcartsMarketing[],ROW()-ROW(ÉcartsMarketing[[#Headers],[Fév]]),1),INDEX(PrévisionsMarketing[],,1),0),MATCH(ÉcartsMarketing[[#Headers],[Fév]],PrévisionsMarketing[#Headers],0))-INDEX(DépensesRéellesMarketing[],MATCH(INDEX(ÉcartsMarketing[],ROW()-ROW(ÉcartsMarketing[[#Headers],[Fév]]),1),INDEX(PrévisionsMarketing[],,1),0),MATCH(ÉcartsMarketing[[#Headers],[Fév]],DépensesRéellesMarketing[#Headers],0))</f>
        <v>44</v>
      </c>
      <c r="E27" s="134">
        <f>INDEX(PrévisionsMarketing[],MATCH(INDEX(ÉcartsMarketing[],ROW()-ROW(ÉcartsMarketing[[#Headers],[Mar]]),1),INDEX(PrévisionsMarketing[],,1),0),MATCH(ÉcartsMarketing[[#Headers],[Mar]],PrévisionsMarketing[#Headers],0))-INDEX(DépensesRéellesMarketing[],MATCH(INDEX(ÉcartsMarketing[],ROW()-ROW(ÉcartsMarketing[[#Headers],[Mar]]),1),INDEX(PrévisionsMarketing[],,1),0),MATCH(ÉcartsMarketing[[#Headers],[Mar]],DépensesRéellesMarketing[#Headers],0))</f>
        <v>77</v>
      </c>
      <c r="F27" s="134">
        <f>INDEX(PrévisionsMarketing[],MATCH(INDEX(ÉcartsMarketing[],ROW()-ROW(ÉcartsMarketing[[#Headers],[Avr]]),1),INDEX(PrévisionsMarketing[],,1),0),MATCH(ÉcartsMarketing[[#Headers],[Avr]],PrévisionsMarketing[#Headers],0))-INDEX(DépensesRéellesMarketing[],MATCH(INDEX(ÉcartsMarketing[],ROW()-ROW(ÉcartsMarketing[[#Headers],[Avr]]),1),INDEX(PrévisionsMarketing[],,1),0),MATCH(ÉcartsMarketing[[#Headers],[Avr]],DépensesRéellesMarketing[#Headers],0))</f>
        <v>-23</v>
      </c>
      <c r="G27" s="134">
        <f>INDEX(PrévisionsMarketing[],MATCH(INDEX(ÉcartsMarketing[],ROW()-ROW(ÉcartsMarketing[[#Headers],[Mai]]),1),INDEX(PrévisionsMarketing[],,1),0),MATCH(ÉcartsMarketing[[#Headers],[Mai]],PrévisionsMarketing[#Headers],0))-INDEX(DépensesRéellesMarketing[],MATCH(INDEX(ÉcartsMarketing[],ROW()-ROW(ÉcartsMarketing[[#Headers],[Mai]]),1),INDEX(PrévisionsMarketing[],,1),0),MATCH(ÉcartsMarketing[[#Headers],[Mai]],DépensesRéellesMarketing[#Headers],0))</f>
        <v>13</v>
      </c>
      <c r="H27" s="134">
        <f>INDEX(PrévisionsMarketing[],MATCH(INDEX(ÉcartsMarketing[],ROW()-ROW(ÉcartsMarketing[[#Headers],[Juin]]),1),INDEX(PrévisionsMarketing[],,1),0),MATCH(ÉcartsMarketing[[#Headers],[Juin]],PrévisionsMarketing[#Headers],0))-INDEX(DépensesRéellesMarketing[],MATCH(INDEX(ÉcartsMarketing[],ROW()-ROW(ÉcartsMarketing[[#Headers],[Juin]]),1),INDEX(PrévisionsMarketing[],,1),0),MATCH(ÉcartsMarketing[[#Headers],[Juin]],DépensesRéellesMarketing[#Headers],0))</f>
        <v>-45</v>
      </c>
      <c r="I27" s="134">
        <f>INDEX(PrévisionsMarketing[],MATCH(INDEX(ÉcartsMarketing[],ROW()-ROW(ÉcartsMarketing[[#Headers],[Juil]]),1),INDEX(PrévisionsMarketing[],,1),0),MATCH(ÉcartsMarketing[[#Headers],[Juil]],PrévisionsMarketing[#Headers],0))-INDEX(DépensesRéellesMarketing[],MATCH(INDEX(ÉcartsMarketing[],ROW()-ROW(ÉcartsMarketing[[#Headers],[Juil]]),1),INDEX(PrévisionsMarketing[],,1),0),MATCH(ÉcartsMarketing[[#Headers],[Juil]],DépensesRéellesMarketing[#Headers],0))</f>
        <v>200</v>
      </c>
      <c r="J27" s="134">
        <f>INDEX(PrévisionsMarketing[],MATCH(INDEX(ÉcartsMarketing[],ROW()-ROW(ÉcartsMarketing[[#Headers],[Août]]),1),INDEX(PrévisionsMarketing[],,1),0),MATCH(ÉcartsMarketing[[#Headers],[Août]],PrévisionsMarketing[#Headers],0))-INDEX(DépensesRéellesMarketing[],MATCH(INDEX(ÉcartsMarketing[],ROW()-ROW(ÉcartsMarketing[[#Headers],[Août]]),1),INDEX(PrévisionsMarketing[],,1),0),MATCH(ÉcartsMarketing[[#Headers],[Août]],DépensesRéellesMarketing[#Headers],0))</f>
        <v>200</v>
      </c>
      <c r="K27" s="134">
        <f>INDEX(PrévisionsMarketing[],MATCH(INDEX(ÉcartsMarketing[],ROW()-ROW(ÉcartsMarketing[[#Headers],[Sept]]),1),INDEX(PrévisionsMarketing[],,1),0),MATCH(ÉcartsMarketing[[#Headers],[Sept]],PrévisionsMarketing[#Headers],0))-INDEX(DépensesRéellesMarketing[],MATCH(INDEX(ÉcartsMarketing[],ROW()-ROW(ÉcartsMarketing[[#Headers],[Sept]]),1),INDEX(PrévisionsMarketing[],,1),0),MATCH(ÉcartsMarketing[[#Headers],[Sept]],DépensesRéellesMarketing[#Headers],0))</f>
        <v>200</v>
      </c>
      <c r="L27" s="134">
        <f>INDEX(PrévisionsMarketing[],MATCH(INDEX(ÉcartsMarketing[],ROW()-ROW(ÉcartsMarketing[[#Headers],[Oct]]),1),INDEX(PrévisionsMarketing[],,1),0),MATCH(ÉcartsMarketing[[#Headers],[Oct]],PrévisionsMarketing[#Headers],0))-INDEX(DépensesRéellesMarketing[],MATCH(INDEX(ÉcartsMarketing[],ROW()-ROW(ÉcartsMarketing[[#Headers],[Oct]]),1),INDEX(PrévisionsMarketing[],,1),0),MATCH(ÉcartsMarketing[[#Headers],[Oct]],DépensesRéellesMarketing[#Headers],0))</f>
        <v>200</v>
      </c>
      <c r="M27" s="134">
        <f>INDEX(PrévisionsMarketing[],MATCH(INDEX(ÉcartsMarketing[],ROW()-ROW(ÉcartsMarketing[[#Headers],[Nov]]),1),INDEX(PrévisionsMarketing[],,1),0),MATCH(ÉcartsMarketing[[#Headers],[Nov]],PrévisionsMarketing[#Headers],0))-INDEX(DépensesRéellesMarketing[],MATCH(INDEX(ÉcartsMarketing[],ROW()-ROW(ÉcartsMarketing[[#Headers],[Nov]]),1),INDEX(PrévisionsMarketing[],,1),0),MATCH(ÉcartsMarketing[[#Headers],[Nov]],DépensesRéellesMarketing[#Headers],0))</f>
        <v>200</v>
      </c>
      <c r="N27" s="134">
        <f>INDEX(PrévisionsMarketing[],MATCH(INDEX(ÉcartsMarketing[],ROW()-ROW(ÉcartsMarketing[[#Headers],[Déc]]),1),INDEX(PrévisionsMarketing[],,1),0),MATCH(ÉcartsMarketing[[#Headers],[Déc]],PrévisionsMarketing[#Headers],0))-INDEX(DépensesRéellesMarketing[],MATCH(INDEX(ÉcartsMarketing[],ROW()-ROW(ÉcartsMarketing[[#Headers],[Déc]]),1),INDEX(PrévisionsMarketing[],,1),0),MATCH(ÉcartsMarketing[[#Headers],[Déc]],DépensesRéellesMarketing[#Headers],0))</f>
        <v>200</v>
      </c>
      <c r="O27" s="135">
        <f>SUM(ÉcartsMarketing[[#This Row],[Jan]:[Déc]])</f>
        <v>1321</v>
      </c>
    </row>
    <row r="28" spans="1:15" ht="24.95" customHeight="1" x14ac:dyDescent="0.3">
      <c r="A28" s="33"/>
      <c r="B28" s="79" t="s">
        <v>18</v>
      </c>
      <c r="C28" s="137">
        <f>SUBTOTAL(109,ÉcartsMarketing[Jan])</f>
        <v>555</v>
      </c>
      <c r="D28" s="137">
        <f>SUBTOTAL(109,ÉcartsMarketing[Fév])</f>
        <v>-456</v>
      </c>
      <c r="E28" s="137">
        <f>SUBTOTAL(109,ÉcartsMarketing[Mar])</f>
        <v>-23</v>
      </c>
      <c r="F28" s="137">
        <f>SUBTOTAL(109,ÉcartsMarketing[Avr])</f>
        <v>-123</v>
      </c>
      <c r="G28" s="137">
        <f>SUBTOTAL(109,ÉcartsMarketing[Mai])</f>
        <v>113</v>
      </c>
      <c r="H28" s="137">
        <f>SUBTOTAL(109,ÉcartsMarketing[Juin])</f>
        <v>-825</v>
      </c>
      <c r="I28" s="137">
        <f>SUBTOTAL(109,ÉcartsMarketing[Juil])</f>
        <v>8100</v>
      </c>
      <c r="J28" s="137">
        <f>SUBTOTAL(109,ÉcartsMarketing[Août])</f>
        <v>6100</v>
      </c>
      <c r="K28" s="137">
        <f>SUBTOTAL(109,ÉcartsMarketing[Sept])</f>
        <v>3100</v>
      </c>
      <c r="L28" s="137">
        <f>SUBTOTAL(109,ÉcartsMarketing[Oct])</f>
        <v>8100</v>
      </c>
      <c r="M28" s="137">
        <f>SUBTOTAL(109,ÉcartsMarketing[Nov])</f>
        <v>3100</v>
      </c>
      <c r="N28" s="137">
        <f>SUBTOTAL(109,ÉcartsMarketing[Déc])</f>
        <v>6900</v>
      </c>
      <c r="O28" s="138">
        <f>SUBTOTAL(109,ÉcartsMarketing[ANNÉE])</f>
        <v>34641</v>
      </c>
    </row>
    <row r="29" spans="1:15" ht="21" customHeight="1" x14ac:dyDescent="0.3">
      <c r="A29" s="33"/>
      <c r="B29" s="115"/>
      <c r="C29" s="115"/>
      <c r="D29" s="92"/>
      <c r="E29" s="92"/>
      <c r="F29" s="92"/>
      <c r="G29" s="92"/>
      <c r="H29" s="92"/>
      <c r="I29" s="92"/>
      <c r="J29" s="92"/>
      <c r="K29" s="92"/>
      <c r="L29" s="92"/>
      <c r="M29" s="92"/>
      <c r="N29" s="92"/>
      <c r="O29" s="91"/>
    </row>
    <row r="30" spans="1:15" ht="24.95" customHeight="1" thickBot="1" x14ac:dyDescent="0.35">
      <c r="A30" s="33" t="s">
        <v>103</v>
      </c>
      <c r="B30" s="59" t="s">
        <v>33</v>
      </c>
      <c r="C30" s="66" t="s">
        <v>40</v>
      </c>
      <c r="D30" s="66" t="s">
        <v>42</v>
      </c>
      <c r="E30" s="88" t="s">
        <v>44</v>
      </c>
      <c r="F30" s="66" t="s">
        <v>46</v>
      </c>
      <c r="G30" s="66" t="s">
        <v>48</v>
      </c>
      <c r="H30" s="66" t="s">
        <v>50</v>
      </c>
      <c r="I30" s="66" t="s">
        <v>52</v>
      </c>
      <c r="J30" s="66" t="s">
        <v>54</v>
      </c>
      <c r="K30" s="66" t="s">
        <v>58</v>
      </c>
      <c r="L30" s="66" t="s">
        <v>60</v>
      </c>
      <c r="M30" s="66" t="s">
        <v>62</v>
      </c>
      <c r="N30" s="66" t="s">
        <v>65</v>
      </c>
      <c r="O30" s="67" t="s">
        <v>66</v>
      </c>
    </row>
    <row r="31" spans="1:15" ht="24.95" customHeight="1" thickBot="1" x14ac:dyDescent="0.35">
      <c r="A31" s="33"/>
      <c r="B31" s="68" t="s">
        <v>34</v>
      </c>
      <c r="C31" s="134">
        <f>INDEX(PrévisionsFormationEtDéplacements[],MATCH(INDEX(ÉcartsFormationEtDéplacements[],ROW()-ROW(ÉcartsFormationEtDéplacements[[#Headers],[Jan]]),1),INDEX(PrévisionsFormationEtDéplacements[],,1),0),MATCH(ÉcartsFormationEtDéplacements[[#Headers],[Jan]],PrévisionsFormationEtDéplacements[#Headers],0))-INDEX(DépensesRéellesFormationEtDéplacements[],MATCH(INDEX(ÉcartsFormationEtDéplacements[],ROW()-ROW(ÉcartsFormationEtDéplacements[[#Headers],[Jan]]),1),INDEX(PrévisionsFormationEtDéplacements[],,1),0),MATCH(ÉcartsFormationEtDéplacements[[#Headers],[Jan]],DépensesRéellesFormationEtDéplacements[#Headers],0))</f>
        <v>400</v>
      </c>
      <c r="D31" s="134">
        <f>INDEX(PrévisionsFormationEtDéplacements[],MATCH(INDEX(ÉcartsFormationEtDéplacements[],ROW()-ROW(ÉcartsFormationEtDéplacements[[#Headers],[Fév]]),1),INDEX(PrévisionsFormationEtDéplacements[],,1),0),MATCH(ÉcartsFormationEtDéplacements[[#Headers],[Fév]],PrévisionsFormationEtDéplacements[#Headers],0))-INDEX(DépensesRéellesFormationEtDéplacements[],MATCH(INDEX(ÉcartsFormationEtDéplacements[],ROW()-ROW(ÉcartsFormationEtDéplacements[[#Headers],[Fév]]),1),INDEX(PrévisionsFormationEtDéplacements[],,1),0),MATCH(ÉcartsFormationEtDéplacements[[#Headers],[Fév]],DépensesRéellesFormationEtDéplacements[#Headers],0))</f>
        <v>-400</v>
      </c>
      <c r="E31" s="134">
        <f>INDEX(PrévisionsFormationEtDéplacements[],MATCH(INDEX(ÉcartsFormationEtDéplacements[],ROW()-ROW(ÉcartsFormationEtDéplacements[[#Headers],[Mar]]),1),INDEX(PrévisionsFormationEtDéplacements[],,1),0),MATCH(ÉcartsFormationEtDéplacements[[#Headers],[Mar]],PrévisionsFormationEtDéplacements[#Headers],0))-INDEX(DépensesRéellesFormationEtDéplacements[],MATCH(INDEX(ÉcartsFormationEtDéplacements[],ROW()-ROW(ÉcartsFormationEtDéplacements[[#Headers],[Mar]]),1),INDEX(PrévisionsFormationEtDéplacements[],,1),0),MATCH(ÉcartsFormationEtDéplacements[[#Headers],[Mar]],DépensesRéellesFormationEtDéplacements[#Headers],0))</f>
        <v>600</v>
      </c>
      <c r="F31" s="134">
        <f>INDEX(PrévisionsFormationEtDéplacements[],MATCH(INDEX(ÉcartsFormationEtDéplacements[],ROW()-ROW(ÉcartsFormationEtDéplacements[[#Headers],[Avr]]),1),INDEX(PrévisionsFormationEtDéplacements[],,1),0),MATCH(ÉcartsFormationEtDéplacements[[#Headers],[Avr]],PrévisionsFormationEtDéplacements[#Headers],0))-INDEX(DépensesRéellesFormationEtDéplacements[],MATCH(INDEX(ÉcartsFormationEtDéplacements[],ROW()-ROW(ÉcartsFormationEtDéplacements[[#Headers],[Avr]]),1),INDEX(PrévisionsFormationEtDéplacements[],,1),0),MATCH(ÉcartsFormationEtDéplacements[[#Headers],[Avr]],DépensesRéellesFormationEtDéplacements[#Headers],0))</f>
        <v>400</v>
      </c>
      <c r="G31" s="134">
        <f>INDEX(PrévisionsFormationEtDéplacements[],MATCH(INDEX(ÉcartsFormationEtDéplacements[],ROW()-ROW(ÉcartsFormationEtDéplacements[[#Headers],[Mai]]),1),INDEX(PrévisionsFormationEtDéplacements[],,1),0),MATCH(ÉcartsFormationEtDéplacements[[#Headers],[Mai]],PrévisionsFormationEtDéplacements[#Headers],0))-INDEX(DépensesRéellesFormationEtDéplacements[],MATCH(INDEX(ÉcartsFormationEtDéplacements[],ROW()-ROW(ÉcartsFormationEtDéplacements[[#Headers],[Mai]]),1),INDEX(PrévisionsFormationEtDéplacements[],,1),0),MATCH(ÉcartsFormationEtDéplacements[[#Headers],[Mai]],DépensesRéellesFormationEtDéplacements[#Headers],0))</f>
        <v>800</v>
      </c>
      <c r="H31" s="134">
        <f>INDEX(PrévisionsFormationEtDéplacements[],MATCH(INDEX(ÉcartsFormationEtDéplacements[],ROW()-ROW(ÉcartsFormationEtDéplacements[[#Headers],[Juin]]),1),INDEX(PrévisionsFormationEtDéplacements[],,1),0),MATCH(ÉcartsFormationEtDéplacements[[#Headers],[Juin]],PrévisionsFormationEtDéplacements[#Headers],0))-INDEX(DépensesRéellesFormationEtDéplacements[],MATCH(INDEX(ÉcartsFormationEtDéplacements[],ROW()-ROW(ÉcartsFormationEtDéplacements[[#Headers],[Juin]]),1),INDEX(PrévisionsFormationEtDéplacements[],,1),0),MATCH(ÉcartsFormationEtDéplacements[[#Headers],[Juin]],DépensesRéellesFormationEtDéplacements[#Headers],0))</f>
        <v>-800</v>
      </c>
      <c r="I31" s="134">
        <f>INDEX(PrévisionsFormationEtDéplacements[],MATCH(INDEX(ÉcartsFormationEtDéplacements[],ROW()-ROW(ÉcartsFormationEtDéplacements[[#Headers],[Juil]]),1),INDEX(PrévisionsFormationEtDéplacements[],,1),0),MATCH(ÉcartsFormationEtDéplacements[[#Headers],[Juil]],PrévisionsFormationEtDéplacements[#Headers],0))-INDEX(DépensesRéellesFormationEtDéplacements[],MATCH(INDEX(ÉcartsFormationEtDéplacements[],ROW()-ROW(ÉcartsFormationEtDéplacements[[#Headers],[Juil]]),1),INDEX(PrévisionsFormationEtDéplacements[],,1),0),MATCH(ÉcartsFormationEtDéplacements[[#Headers],[Juil]],DépensesRéellesFormationEtDéplacements[#Headers],0))</f>
        <v>2000</v>
      </c>
      <c r="J31" s="134">
        <f>INDEX(PrévisionsFormationEtDéplacements[],MATCH(INDEX(ÉcartsFormationEtDéplacements[],ROW()-ROW(ÉcartsFormationEtDéplacements[[#Headers],[Août]]),1),INDEX(PrévisionsFormationEtDéplacements[],,1),0),MATCH(ÉcartsFormationEtDéplacements[[#Headers],[Août]],PrévisionsFormationEtDéplacements[#Headers],0))-INDEX(DépensesRéellesFormationEtDéplacements[],MATCH(INDEX(ÉcartsFormationEtDéplacements[],ROW()-ROW(ÉcartsFormationEtDéplacements[[#Headers],[Août]]),1),INDEX(PrévisionsFormationEtDéplacements[],,1),0),MATCH(ÉcartsFormationEtDéplacements[[#Headers],[Août]],DépensesRéellesFormationEtDéplacements[#Headers],0))</f>
        <v>2000</v>
      </c>
      <c r="K31" s="134">
        <f>INDEX(PrévisionsFormationEtDéplacements[],MATCH(INDEX(ÉcartsFormationEtDéplacements[],ROW()-ROW(ÉcartsFormationEtDéplacements[[#Headers],[Sept]]),1),INDEX(PrévisionsFormationEtDéplacements[],,1),0),MATCH(ÉcartsFormationEtDéplacements[[#Headers],[Sept]],PrévisionsFormationEtDéplacements[#Headers],0))-INDEX(DépensesRéellesFormationEtDéplacements[],MATCH(INDEX(ÉcartsFormationEtDéplacements[],ROW()-ROW(ÉcartsFormationEtDéplacements[[#Headers],[Sept]]),1),INDEX(PrévisionsFormationEtDéplacements[],,1),0),MATCH(ÉcartsFormationEtDéplacements[[#Headers],[Sept]],DépensesRéellesFormationEtDéplacements[#Headers],0))</f>
        <v>2000</v>
      </c>
      <c r="L31" s="134">
        <f>INDEX(PrévisionsFormationEtDéplacements[],MATCH(INDEX(ÉcartsFormationEtDéplacements[],ROW()-ROW(ÉcartsFormationEtDéplacements[[#Headers],[Oct]]),1),INDEX(PrévisionsFormationEtDéplacements[],,1),0),MATCH(ÉcartsFormationEtDéplacements[[#Headers],[Oct]],PrévisionsFormationEtDéplacements[#Headers],0))-INDEX(DépensesRéellesFormationEtDéplacements[],MATCH(INDEX(ÉcartsFormationEtDéplacements[],ROW()-ROW(ÉcartsFormationEtDéplacements[[#Headers],[Oct]]),1),INDEX(PrévisionsFormationEtDéplacements[],,1),0),MATCH(ÉcartsFormationEtDéplacements[[#Headers],[Oct]],DépensesRéellesFormationEtDéplacements[#Headers],0))</f>
        <v>2000</v>
      </c>
      <c r="M31" s="134">
        <f>INDEX(PrévisionsFormationEtDéplacements[],MATCH(INDEX(ÉcartsFormationEtDéplacements[],ROW()-ROW(ÉcartsFormationEtDéplacements[[#Headers],[Nov]]),1),INDEX(PrévisionsFormationEtDéplacements[],,1),0),MATCH(ÉcartsFormationEtDéplacements[[#Headers],[Nov]],PrévisionsFormationEtDéplacements[#Headers],0))-INDEX(DépensesRéellesFormationEtDéplacements[],MATCH(INDEX(ÉcartsFormationEtDéplacements[],ROW()-ROW(ÉcartsFormationEtDéplacements[[#Headers],[Nov]]),1),INDEX(PrévisionsFormationEtDéplacements[],,1),0),MATCH(ÉcartsFormationEtDéplacements[[#Headers],[Nov]],DépensesRéellesFormationEtDéplacements[#Headers],0))</f>
        <v>2000</v>
      </c>
      <c r="N31" s="134">
        <f>INDEX(PrévisionsFormationEtDéplacements[],MATCH(INDEX(ÉcartsFormationEtDéplacements[],ROW()-ROW(ÉcartsFormationEtDéplacements[[#Headers],[Déc]]),1),INDEX(PrévisionsFormationEtDéplacements[],,1),0),MATCH(ÉcartsFormationEtDéplacements[[#Headers],[Déc]],PrévisionsFormationEtDéplacements[#Headers],0))-INDEX(DépensesRéellesFormationEtDéplacements[],MATCH(INDEX(ÉcartsFormationEtDéplacements[],ROW()-ROW(ÉcartsFormationEtDéplacements[[#Headers],[Déc]]),1),INDEX(PrévisionsFormationEtDéplacements[],,1),0),MATCH(ÉcartsFormationEtDéplacements[[#Headers],[Déc]],DépensesRéellesFormationEtDéplacements[#Headers],0))</f>
        <v>2000</v>
      </c>
      <c r="O31" s="135">
        <f>SUM(ÉcartsFormationEtDéplacements[[#This Row],[Jan]:[Déc]])</f>
        <v>13000</v>
      </c>
    </row>
    <row r="32" spans="1:15" ht="24.95" customHeight="1" thickBot="1" x14ac:dyDescent="0.35">
      <c r="A32" s="33"/>
      <c r="B32" s="68" t="s">
        <v>35</v>
      </c>
      <c r="C32" s="134">
        <f>INDEX(PrévisionsFormationEtDéplacements[],MATCH(INDEX(ÉcartsFormationEtDéplacements[],ROW()-ROW(ÉcartsFormationEtDéplacements[[#Headers],[Jan]]),1),INDEX(PrévisionsFormationEtDéplacements[],,1),0),MATCH(ÉcartsFormationEtDéplacements[[#Headers],[Jan]],PrévisionsFormationEtDéplacements[#Headers],0))-INDEX(DépensesRéellesFormationEtDéplacements[],MATCH(INDEX(ÉcartsFormationEtDéplacements[],ROW()-ROW(ÉcartsFormationEtDéplacements[[#Headers],[Jan]]),1),INDEX(PrévisionsFormationEtDéplacements[],,1),0),MATCH(ÉcartsFormationEtDéplacements[[#Headers],[Jan]],DépensesRéellesFormationEtDéplacements[#Headers],0))</f>
        <v>800</v>
      </c>
      <c r="D32" s="134">
        <f>INDEX(PrévisionsFormationEtDéplacements[],MATCH(INDEX(ÉcartsFormationEtDéplacements[],ROW()-ROW(ÉcartsFormationEtDéplacements[[#Headers],[Fév]]),1),INDEX(PrévisionsFormationEtDéplacements[],,1),0),MATCH(ÉcartsFormationEtDéplacements[[#Headers],[Fév]],PrévisionsFormationEtDéplacements[#Headers],0))-INDEX(DépensesRéellesFormationEtDéplacements[],MATCH(INDEX(ÉcartsFormationEtDéplacements[],ROW()-ROW(ÉcartsFormationEtDéplacements[[#Headers],[Fév]]),1),INDEX(PrévisionsFormationEtDéplacements[],,1),0),MATCH(ÉcartsFormationEtDéplacements[[#Headers],[Fév]],DépensesRéellesFormationEtDéplacements[#Headers],0))</f>
        <v>-200</v>
      </c>
      <c r="E32" s="134">
        <f>INDEX(PrévisionsFormationEtDéplacements[],MATCH(INDEX(ÉcartsFormationEtDéplacements[],ROW()-ROW(ÉcartsFormationEtDéplacements[[#Headers],[Mar]]),1),INDEX(PrévisionsFormationEtDéplacements[],,1),0),MATCH(ÉcartsFormationEtDéplacements[[#Headers],[Mar]],PrévisionsFormationEtDéplacements[#Headers],0))-INDEX(DépensesRéellesFormationEtDéplacements[],MATCH(INDEX(ÉcartsFormationEtDéplacements[],ROW()-ROW(ÉcartsFormationEtDéplacements[[#Headers],[Mar]]),1),INDEX(PrévisionsFormationEtDéplacements[],,1),0),MATCH(ÉcartsFormationEtDéplacements[[#Headers],[Mar]],DépensesRéellesFormationEtDéplacements[#Headers],0))</f>
        <v>600</v>
      </c>
      <c r="F32" s="134">
        <f>INDEX(PrévisionsFormationEtDéplacements[],MATCH(INDEX(ÉcartsFormationEtDéplacements[],ROW()-ROW(ÉcartsFormationEtDéplacements[[#Headers],[Avr]]),1),INDEX(PrévisionsFormationEtDéplacements[],,1),0),MATCH(ÉcartsFormationEtDéplacements[[#Headers],[Avr]],PrévisionsFormationEtDéplacements[#Headers],0))-INDEX(DépensesRéellesFormationEtDéplacements[],MATCH(INDEX(ÉcartsFormationEtDéplacements[],ROW()-ROW(ÉcartsFormationEtDéplacements[[#Headers],[Avr]]),1),INDEX(PrévisionsFormationEtDéplacements[],,1),0),MATCH(ÉcartsFormationEtDéplacements[[#Headers],[Avr]],DépensesRéellesFormationEtDéplacements[#Headers],0))</f>
        <v>800</v>
      </c>
      <c r="G32" s="134">
        <f>INDEX(PrévisionsFormationEtDéplacements[],MATCH(INDEX(ÉcartsFormationEtDéplacements[],ROW()-ROW(ÉcartsFormationEtDéplacements[[#Headers],[Mai]]),1),INDEX(PrévisionsFormationEtDéplacements[],,1),0),MATCH(ÉcartsFormationEtDéplacements[[#Headers],[Mai]],PrévisionsFormationEtDéplacements[#Headers],0))-INDEX(DépensesRéellesFormationEtDéplacements[],MATCH(INDEX(ÉcartsFormationEtDéplacements[],ROW()-ROW(ÉcartsFormationEtDéplacements[[#Headers],[Mai]]),1),INDEX(PrévisionsFormationEtDéplacements[],,1),0),MATCH(ÉcartsFormationEtDéplacements[[#Headers],[Mai]],DépensesRéellesFormationEtDéplacements[#Headers],0))</f>
        <v>1200</v>
      </c>
      <c r="H32" s="134">
        <f>INDEX(PrévisionsFormationEtDéplacements[],MATCH(INDEX(ÉcartsFormationEtDéplacements[],ROW()-ROW(ÉcartsFormationEtDéplacements[[#Headers],[Juin]]),1),INDEX(PrévisionsFormationEtDéplacements[],,1),0),MATCH(ÉcartsFormationEtDéplacements[[#Headers],[Juin]],PrévisionsFormationEtDéplacements[#Headers],0))-INDEX(DépensesRéellesFormationEtDéplacements[],MATCH(INDEX(ÉcartsFormationEtDéplacements[],ROW()-ROW(ÉcartsFormationEtDéplacements[[#Headers],[Juin]]),1),INDEX(PrévisionsFormationEtDéplacements[],,1),0),MATCH(ÉcartsFormationEtDéplacements[[#Headers],[Juin]],DépensesRéellesFormationEtDéplacements[#Headers],0))</f>
        <v>-1500</v>
      </c>
      <c r="I32" s="134">
        <f>INDEX(PrévisionsFormationEtDéplacements[],MATCH(INDEX(ÉcartsFormationEtDéplacements[],ROW()-ROW(ÉcartsFormationEtDéplacements[[#Headers],[Juil]]),1),INDEX(PrévisionsFormationEtDéplacements[],,1),0),MATCH(ÉcartsFormationEtDéplacements[[#Headers],[Juil]],PrévisionsFormationEtDéplacements[#Headers],0))-INDEX(DépensesRéellesFormationEtDéplacements[],MATCH(INDEX(ÉcartsFormationEtDéplacements[],ROW()-ROW(ÉcartsFormationEtDéplacements[[#Headers],[Juil]]),1),INDEX(PrévisionsFormationEtDéplacements[],,1),0),MATCH(ÉcartsFormationEtDéplacements[[#Headers],[Juil]],DépensesRéellesFormationEtDéplacements[#Headers],0))</f>
        <v>2000</v>
      </c>
      <c r="J32" s="134">
        <f>INDEX(PrévisionsFormationEtDéplacements[],MATCH(INDEX(ÉcartsFormationEtDéplacements[],ROW()-ROW(ÉcartsFormationEtDéplacements[[#Headers],[Août]]),1),INDEX(PrévisionsFormationEtDéplacements[],,1),0),MATCH(ÉcartsFormationEtDéplacements[[#Headers],[Août]],PrévisionsFormationEtDéplacements[#Headers],0))-INDEX(DépensesRéellesFormationEtDéplacements[],MATCH(INDEX(ÉcartsFormationEtDéplacements[],ROW()-ROW(ÉcartsFormationEtDéplacements[[#Headers],[Août]]),1),INDEX(PrévisionsFormationEtDéplacements[],,1),0),MATCH(ÉcartsFormationEtDéplacements[[#Headers],[Août]],DépensesRéellesFormationEtDéplacements[#Headers],0))</f>
        <v>2000</v>
      </c>
      <c r="K32" s="134">
        <f>INDEX(PrévisionsFormationEtDéplacements[],MATCH(INDEX(ÉcartsFormationEtDéplacements[],ROW()-ROW(ÉcartsFormationEtDéplacements[[#Headers],[Sept]]),1),INDEX(PrévisionsFormationEtDéplacements[],,1),0),MATCH(ÉcartsFormationEtDéplacements[[#Headers],[Sept]],PrévisionsFormationEtDéplacements[#Headers],0))-INDEX(DépensesRéellesFormationEtDéplacements[],MATCH(INDEX(ÉcartsFormationEtDéplacements[],ROW()-ROW(ÉcartsFormationEtDéplacements[[#Headers],[Sept]]),1),INDEX(PrévisionsFormationEtDéplacements[],,1),0),MATCH(ÉcartsFormationEtDéplacements[[#Headers],[Sept]],DépensesRéellesFormationEtDéplacements[#Headers],0))</f>
        <v>2000</v>
      </c>
      <c r="L32" s="134">
        <f>INDEX(PrévisionsFormationEtDéplacements[],MATCH(INDEX(ÉcartsFormationEtDéplacements[],ROW()-ROW(ÉcartsFormationEtDéplacements[[#Headers],[Oct]]),1),INDEX(PrévisionsFormationEtDéplacements[],,1),0),MATCH(ÉcartsFormationEtDéplacements[[#Headers],[Oct]],PrévisionsFormationEtDéplacements[#Headers],0))-INDEX(DépensesRéellesFormationEtDéplacements[],MATCH(INDEX(ÉcartsFormationEtDéplacements[],ROW()-ROW(ÉcartsFormationEtDéplacements[[#Headers],[Oct]]),1),INDEX(PrévisionsFormationEtDéplacements[],,1),0),MATCH(ÉcartsFormationEtDéplacements[[#Headers],[Oct]],DépensesRéellesFormationEtDéplacements[#Headers],0))</f>
        <v>2000</v>
      </c>
      <c r="M32" s="134">
        <f>INDEX(PrévisionsFormationEtDéplacements[],MATCH(INDEX(ÉcartsFormationEtDéplacements[],ROW()-ROW(ÉcartsFormationEtDéplacements[[#Headers],[Nov]]),1),INDEX(PrévisionsFormationEtDéplacements[],,1),0),MATCH(ÉcartsFormationEtDéplacements[[#Headers],[Nov]],PrévisionsFormationEtDéplacements[#Headers],0))-INDEX(DépensesRéellesFormationEtDéplacements[],MATCH(INDEX(ÉcartsFormationEtDéplacements[],ROW()-ROW(ÉcartsFormationEtDéplacements[[#Headers],[Nov]]),1),INDEX(PrévisionsFormationEtDéplacements[],,1),0),MATCH(ÉcartsFormationEtDéplacements[[#Headers],[Nov]],DépensesRéellesFormationEtDéplacements[#Headers],0))</f>
        <v>2000</v>
      </c>
      <c r="N32" s="134">
        <f>INDEX(PrévisionsFormationEtDéplacements[],MATCH(INDEX(ÉcartsFormationEtDéplacements[],ROW()-ROW(ÉcartsFormationEtDéplacements[[#Headers],[Déc]]),1),INDEX(PrévisionsFormationEtDéplacements[],,1),0),MATCH(ÉcartsFormationEtDéplacements[[#Headers],[Déc]],PrévisionsFormationEtDéplacements[#Headers],0))-INDEX(DépensesRéellesFormationEtDéplacements[],MATCH(INDEX(ÉcartsFormationEtDéplacements[],ROW()-ROW(ÉcartsFormationEtDéplacements[[#Headers],[Déc]]),1),INDEX(PrévisionsFormationEtDéplacements[],,1),0),MATCH(ÉcartsFormationEtDéplacements[[#Headers],[Déc]],DépensesRéellesFormationEtDéplacements[#Headers],0))</f>
        <v>2000</v>
      </c>
      <c r="O32" s="135">
        <f>SUM(ÉcartsFormationEtDéplacements[[#This Row],[Jan]:[Déc]])</f>
        <v>13700</v>
      </c>
    </row>
    <row r="33" spans="1:15" ht="24.95" customHeight="1" x14ac:dyDescent="0.3">
      <c r="A33" s="33"/>
      <c r="B33" s="81" t="s">
        <v>18</v>
      </c>
      <c r="C33" s="137">
        <f>SUBTOTAL(109,ÉcartsFormationEtDéplacements[Jan])</f>
        <v>1200</v>
      </c>
      <c r="D33" s="137">
        <f>SUBTOTAL(109,ÉcartsFormationEtDéplacements[Fév])</f>
        <v>-600</v>
      </c>
      <c r="E33" s="137">
        <f>SUBTOTAL(109,ÉcartsFormationEtDéplacements[Mar])</f>
        <v>1200</v>
      </c>
      <c r="F33" s="137">
        <f>SUBTOTAL(109,ÉcartsFormationEtDéplacements[Avr])</f>
        <v>1200</v>
      </c>
      <c r="G33" s="137">
        <f>SUBTOTAL(109,ÉcartsFormationEtDéplacements[Mai])</f>
        <v>2000</v>
      </c>
      <c r="H33" s="137">
        <f>SUBTOTAL(109,ÉcartsFormationEtDéplacements[Juin])</f>
        <v>-2300</v>
      </c>
      <c r="I33" s="137">
        <f>SUBTOTAL(109,ÉcartsFormationEtDéplacements[Juil])</f>
        <v>4000</v>
      </c>
      <c r="J33" s="137">
        <f>SUBTOTAL(109,ÉcartsFormationEtDéplacements[Août])</f>
        <v>4000</v>
      </c>
      <c r="K33" s="137">
        <f>SUBTOTAL(109,ÉcartsFormationEtDéplacements[Sept])</f>
        <v>4000</v>
      </c>
      <c r="L33" s="137">
        <f>SUBTOTAL(109,ÉcartsFormationEtDéplacements[Oct])</f>
        <v>4000</v>
      </c>
      <c r="M33" s="137">
        <f>SUBTOTAL(109,ÉcartsFormationEtDéplacements[Nov])</f>
        <v>4000</v>
      </c>
      <c r="N33" s="137">
        <f>SUBTOTAL(109,ÉcartsFormationEtDéplacements[Déc])</f>
        <v>4000</v>
      </c>
      <c r="O33" s="138">
        <f>SUBTOTAL(109,ÉcartsFormationEtDéplacements[ANNÉE])</f>
        <v>26700</v>
      </c>
    </row>
    <row r="34" spans="1:15" ht="21" customHeight="1" x14ac:dyDescent="0.3">
      <c r="A34" s="33"/>
      <c r="B34" s="115"/>
      <c r="C34" s="115"/>
      <c r="D34" s="91"/>
      <c r="E34" s="91"/>
      <c r="F34" s="91"/>
      <c r="G34" s="91"/>
      <c r="H34" s="91"/>
      <c r="I34" s="91"/>
      <c r="J34" s="91"/>
      <c r="K34" s="91"/>
      <c r="L34" s="91"/>
      <c r="M34" s="91"/>
      <c r="N34" s="91"/>
      <c r="O34" s="91"/>
    </row>
    <row r="35" spans="1:15" ht="24.95" customHeight="1" thickBot="1" x14ac:dyDescent="0.35">
      <c r="A35" s="42" t="s">
        <v>104</v>
      </c>
      <c r="B35" s="12" t="s">
        <v>36</v>
      </c>
      <c r="C35" s="29" t="s">
        <v>40</v>
      </c>
      <c r="D35" s="29" t="s">
        <v>42</v>
      </c>
      <c r="E35" s="29" t="s">
        <v>44</v>
      </c>
      <c r="F35" s="29" t="s">
        <v>46</v>
      </c>
      <c r="G35" s="29" t="s">
        <v>48</v>
      </c>
      <c r="H35" s="29" t="s">
        <v>50</v>
      </c>
      <c r="I35" s="29" t="s">
        <v>52</v>
      </c>
      <c r="J35" s="29" t="s">
        <v>54</v>
      </c>
      <c r="K35" s="29" t="s">
        <v>58</v>
      </c>
      <c r="L35" s="29" t="s">
        <v>60</v>
      </c>
      <c r="M35" s="29" t="s">
        <v>62</v>
      </c>
      <c r="N35" s="29" t="s">
        <v>65</v>
      </c>
      <c r="O35" s="29" t="s">
        <v>67</v>
      </c>
    </row>
    <row r="36" spans="1:15" ht="24.95" customHeight="1" thickBot="1" x14ac:dyDescent="0.35">
      <c r="A36" s="33"/>
      <c r="B36" s="13" t="s">
        <v>76</v>
      </c>
      <c r="C36" s="148">
        <f>ÉcartsFormationEtDéplacements[[#Totals],[Jan]]+ÉcartsMarketing[[#Totals],[Jan]]+ÉcartsBureau[[#Totals],[Jan]]+ÉcartsEmployés[[#Totals],[Jan]]</f>
        <v>1738</v>
      </c>
      <c r="D36" s="148">
        <f>ÉcartsFormationEtDéplacements[[#Totals],[Fév]]+ÉcartsMarketing[[#Totals],[Fév]]+ÉcartsBureau[[#Totals],[Fév]]+ÉcartsEmployés[[#Totals],[Fév]]</f>
        <v>-984</v>
      </c>
      <c r="E36" s="148">
        <f>ÉcartsFormationEtDéplacements[[#Totals],[Mar]]+ÉcartsMarketing[[#Totals],[Mar]]+ÉcartsBureau[[#Totals],[Mar]]+ÉcartsEmployés[[#Totals],[Mar]]</f>
        <v>1255</v>
      </c>
      <c r="F36" s="148">
        <f>ÉcartsFormationEtDéplacements[[#Totals],[Avr]]+ÉcartsMarketing[[#Totals],[Avr]]+ÉcartsBureau[[#Totals],[Avr]]+ÉcartsEmployés[[#Totals],[Avr]]</f>
        <v>301</v>
      </c>
      <c r="G36" s="148">
        <f>ÉcartsFormationEtDéplacements[[#Totals],[Mai]]+ÉcartsMarketing[[#Totals],[Mai]]+ÉcartsBureau[[#Totals],[Mai]]+ÉcartsEmployés[[#Totals],[Mai]]</f>
        <v>1440</v>
      </c>
      <c r="H36" s="148">
        <f>ÉcartsFormationEtDéplacements[[#Totals],[Juin]]+ÉcartsMarketing[[#Totals],[Juin]]+ÉcartsBureau[[#Totals],[Juin]]+ÉcartsEmployés[[#Totals],[Juin]]</f>
        <v>-3744</v>
      </c>
      <c r="I36" s="148">
        <f>ÉcartsFormationEtDéplacements[[#Totals],[Juil]]+ÉcartsMarketing[[#Totals],[Juil]]+ÉcartsBureau[[#Totals],[Juil]]+ÉcartsEmployés[[#Totals],[Juil]]</f>
        <v>134695</v>
      </c>
      <c r="J36" s="148">
        <f>ÉcartsFormationEtDéplacements[[#Totals],[Août]]+ÉcartsMarketing[[#Totals],[Août]]+ÉcartsBureau[[#Totals],[Août]]+ÉcartsEmployés[[#Totals],[Août]]</f>
        <v>138918</v>
      </c>
      <c r="K36" s="148">
        <f>ÉcartsFormationEtDéplacements[[#Totals],[Sept]]+ÉcartsMarketing[[#Totals],[Sept]]+ÉcartsBureau[[#Totals],[Sept]]+ÉcartsEmployés[[#Totals],[Sept]]</f>
        <v>135918</v>
      </c>
      <c r="L36" s="148">
        <f>ÉcartsFormationEtDéplacements[[#Totals],[Oct]]+ÉcartsMarketing[[#Totals],[Oct]]+ÉcartsBureau[[#Totals],[Oct]]+ÉcartsEmployés[[#Totals],[Oct]]</f>
        <v>140918</v>
      </c>
      <c r="M36" s="148">
        <f>ÉcartsFormationEtDéplacements[[#Totals],[Nov]]+ÉcartsMarketing[[#Totals],[Nov]]+ÉcartsBureau[[#Totals],[Nov]]+ÉcartsEmployés[[#Totals],[Nov]]</f>
        <v>136218</v>
      </c>
      <c r="N36" s="148">
        <f>ÉcartsFormationEtDéplacements[[#Totals],[Déc]]+ÉcartsMarketing[[#Totals],[Déc]]+ÉcartsBureau[[#Totals],[Déc]]+ÉcartsEmployés[[#Totals],[Déc]]</f>
        <v>140018</v>
      </c>
      <c r="O36" s="148">
        <f>ÉcartsFormationEtDéplacements[[#Totals],[ANNÉE]]+ÉcartsMarketing[[#Totals],[ANNÉE]]+ÉcartsBureau[[#Totals],[ANNÉE]]+ÉcartsEmployés[[#Totals],[ANNÉE]]</f>
        <v>826691</v>
      </c>
    </row>
    <row r="37" spans="1:15" ht="24.95" customHeight="1" thickBot="1" x14ac:dyDescent="0.35">
      <c r="A37" s="33"/>
      <c r="B37" s="13" t="s">
        <v>77</v>
      </c>
      <c r="C37" s="149">
        <f>SUM($C$36:C36)</f>
        <v>1738</v>
      </c>
      <c r="D37" s="149">
        <f>SUM($C$36:D36)</f>
        <v>754</v>
      </c>
      <c r="E37" s="149">
        <f>SUM($C$36:E36)</f>
        <v>2009</v>
      </c>
      <c r="F37" s="149">
        <f>SUM($C$36:F36)</f>
        <v>2310</v>
      </c>
      <c r="G37" s="149">
        <f>SUM($C$36:G36)</f>
        <v>3750</v>
      </c>
      <c r="H37" s="149">
        <f>SUM($C$36:H36)</f>
        <v>6</v>
      </c>
      <c r="I37" s="149">
        <f>SUM($C$36:I36)</f>
        <v>134701</v>
      </c>
      <c r="J37" s="149">
        <f>SUM($C$36:J36)</f>
        <v>273619</v>
      </c>
      <c r="K37" s="149">
        <f>SUM($C$36:K36)</f>
        <v>409537</v>
      </c>
      <c r="L37" s="149">
        <f>SUM($C$36:L36)</f>
        <v>550455</v>
      </c>
      <c r="M37" s="149">
        <f>SUM($C$36:M36)</f>
        <v>686673</v>
      </c>
      <c r="N37" s="149">
        <f>SUM($C$36:N36)</f>
        <v>826691</v>
      </c>
      <c r="O37" s="149"/>
    </row>
    <row r="38" spans="1:15" ht="21" customHeight="1" x14ac:dyDescent="0.3">
      <c r="A38" s="33"/>
      <c r="B38" s="2"/>
      <c r="C38" s="2"/>
      <c r="D38" s="14"/>
      <c r="E38" s="2"/>
      <c r="F38" s="2"/>
      <c r="G38" s="2"/>
      <c r="H38" s="2"/>
      <c r="I38" s="2"/>
      <c r="J38" s="2"/>
      <c r="K38" s="2"/>
      <c r="L38" s="2"/>
      <c r="M38" s="2"/>
      <c r="N38" s="2"/>
      <c r="O38"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defaultColWidth="9.140625" defaultRowHeight="18.75" x14ac:dyDescent="0.3"/>
  <cols>
    <col min="1" max="1" width="4.7109375" style="39" customWidth="1"/>
    <col min="2" max="2" width="26.28515625" style="4" customWidth="1"/>
    <col min="3" max="3" width="23.28515625" style="4" customWidth="1"/>
    <col min="4" max="4" width="24.28515625" style="4" customWidth="1"/>
    <col min="5" max="5" width="23" style="4" customWidth="1"/>
    <col min="6" max="6" width="24.5703125" style="4" customWidth="1"/>
    <col min="7" max="7" width="4.7109375" style="1" customWidth="1"/>
    <col min="8" max="8" width="8.85546875" customWidth="1"/>
    <col min="9" max="16384" width="9.140625" style="4"/>
  </cols>
  <sheetData>
    <row r="1" spans="1:16" s="1" customFormat="1" ht="24" customHeight="1" x14ac:dyDescent="0.3">
      <c r="A1" s="36" t="s">
        <v>84</v>
      </c>
      <c r="B1" s="10"/>
      <c r="C1" s="10"/>
      <c r="D1" s="10"/>
      <c r="E1" s="7"/>
      <c r="F1" s="7"/>
      <c r="G1" s="65" t="s">
        <v>68</v>
      </c>
      <c r="I1"/>
      <c r="J1"/>
      <c r="K1"/>
      <c r="L1"/>
      <c r="M1"/>
      <c r="N1"/>
      <c r="O1"/>
      <c r="P1" t="s">
        <v>68</v>
      </c>
    </row>
    <row r="2" spans="1:16" s="1" customFormat="1" ht="45" customHeight="1" x14ac:dyDescent="0.35">
      <c r="A2" s="36" t="s">
        <v>85</v>
      </c>
      <c r="B2" s="112" t="str">
        <f>'DÉPENSES PRÉVUES'!B2:D3</f>
        <v>Nom de la société</v>
      </c>
      <c r="C2" s="112"/>
      <c r="D2" s="112"/>
      <c r="E2" s="15"/>
      <c r="F2" s="123" t="s">
        <v>63</v>
      </c>
      <c r="G2" s="123"/>
      <c r="I2"/>
      <c r="J2"/>
      <c r="K2"/>
      <c r="L2"/>
      <c r="M2"/>
      <c r="N2"/>
      <c r="O2"/>
      <c r="P2"/>
    </row>
    <row r="3" spans="1:16" s="1" customFormat="1" ht="30" customHeight="1" x14ac:dyDescent="0.3">
      <c r="A3" s="36" t="s">
        <v>86</v>
      </c>
      <c r="B3" s="112"/>
      <c r="C3" s="112"/>
      <c r="D3" s="112"/>
      <c r="E3" s="122" t="str">
        <f>titre_feuille_de_calcul</f>
        <v>Détail des dépenses prévues</v>
      </c>
      <c r="F3" s="122"/>
      <c r="G3" s="122"/>
      <c r="I3"/>
      <c r="J3"/>
      <c r="K3"/>
      <c r="L3"/>
      <c r="M3"/>
      <c r="N3"/>
      <c r="O3"/>
      <c r="P3"/>
    </row>
    <row r="4" spans="1:16" customFormat="1" ht="18.75" customHeight="1" x14ac:dyDescent="0.2">
      <c r="A4" s="27"/>
    </row>
    <row r="5" spans="1:16" ht="24.95" customHeight="1" thickBot="1" x14ac:dyDescent="0.35">
      <c r="A5" s="37" t="s">
        <v>87</v>
      </c>
      <c r="B5" s="16" t="s">
        <v>90</v>
      </c>
      <c r="C5" s="17" t="s">
        <v>92</v>
      </c>
      <c r="D5" s="18" t="s">
        <v>93</v>
      </c>
      <c r="E5" s="16" t="s">
        <v>95</v>
      </c>
      <c r="F5" s="19" t="s">
        <v>96</v>
      </c>
      <c r="G5" s="11"/>
      <c r="I5"/>
      <c r="J5"/>
      <c r="K5"/>
      <c r="L5"/>
      <c r="M5"/>
      <c r="N5"/>
      <c r="O5"/>
      <c r="P5"/>
    </row>
    <row r="6" spans="1:16" ht="24.95" customHeight="1" thickBot="1" x14ac:dyDescent="0.35">
      <c r="A6" s="38"/>
      <c r="B6" s="82" t="s">
        <v>16</v>
      </c>
      <c r="C6" s="150">
        <f>PrévisionsEmployés[[#Totals],[ANNÉE]]</f>
        <v>1355090</v>
      </c>
      <c r="D6" s="150">
        <f>DépensesRéellesEmployés[[#Totals],[ANNÉE]]</f>
        <v>659130</v>
      </c>
      <c r="E6" s="150">
        <f>C6-D6</f>
        <v>695960</v>
      </c>
      <c r="F6" s="104">
        <f>E6/C6</f>
        <v>0.5135895032802249</v>
      </c>
      <c r="G6" s="3"/>
    </row>
    <row r="7" spans="1:16" ht="24.95" customHeight="1" thickBot="1" x14ac:dyDescent="0.35">
      <c r="A7" s="37"/>
      <c r="B7" s="82" t="str">
        <f>'DÉPENSES PRÉVUES'!B10</f>
        <v>Coûts bureau</v>
      </c>
      <c r="C7" s="150">
        <f>PrévisionsBureau[[#Totals],[ANNÉE]]</f>
        <v>138740</v>
      </c>
      <c r="D7" s="150">
        <f>DépensesRéellesBureau[[#Totals],[ANNÉE]]</f>
        <v>69350</v>
      </c>
      <c r="E7" s="150">
        <f>C7-D7</f>
        <v>69390</v>
      </c>
      <c r="F7" s="104">
        <f>E7/C7</f>
        <v>0.50014415453366012</v>
      </c>
    </row>
    <row r="8" spans="1:16" ht="24.95" customHeight="1" thickBot="1" x14ac:dyDescent="0.35">
      <c r="A8" s="37"/>
      <c r="B8" s="20" t="str">
        <f>'DÉPENSES PRÉVUES'!B21</f>
        <v>Coûts marketing</v>
      </c>
      <c r="C8" s="150">
        <f>PrévisionsMarketing[[#Totals],[ANNÉE]]</f>
        <v>67800</v>
      </c>
      <c r="D8" s="150">
        <f>DépensesRéellesMarketing[[#Totals],[ANNÉE]]</f>
        <v>33159</v>
      </c>
      <c r="E8" s="150">
        <f>C8-D8</f>
        <v>34641</v>
      </c>
      <c r="F8" s="104">
        <f>E8/C8</f>
        <v>0.51092920353982296</v>
      </c>
    </row>
    <row r="9" spans="1:16" ht="24.95" customHeight="1" thickBot="1" x14ac:dyDescent="0.35">
      <c r="A9" s="37"/>
      <c r="B9" s="20" t="str">
        <f>'DÉPENSES PRÉVUES'!B30</f>
        <v>Formation/Déplacements</v>
      </c>
      <c r="C9" s="150">
        <f>PrévisionsFormationEtDéplacements[[#Totals],[ANNÉE]]</f>
        <v>48000</v>
      </c>
      <c r="D9" s="150">
        <f>DépensesRéellesFormationEtDéplacements[[#Totals],[ANNÉE]]</f>
        <v>21300</v>
      </c>
      <c r="E9" s="150">
        <f>C9-D9</f>
        <v>26700</v>
      </c>
      <c r="F9" s="104">
        <f>E9/C9</f>
        <v>0.55625000000000002</v>
      </c>
    </row>
    <row r="10" spans="1:16" ht="24.95" customHeight="1" x14ac:dyDescent="0.3">
      <c r="A10" s="37"/>
      <c r="B10" s="40" t="str">
        <f>'DÉPENSES PRÉVUES'!B35</f>
        <v>TOTAUX</v>
      </c>
      <c r="C10" s="151">
        <f>'DÉPENSES PRÉVUES'!O36</f>
        <v>1609630</v>
      </c>
      <c r="D10" s="151">
        <f>'DÉPENSES RÉELLES'!O36</f>
        <v>782939</v>
      </c>
      <c r="E10" s="151">
        <f>C10-D10</f>
        <v>826691</v>
      </c>
      <c r="F10" s="105">
        <f>E10/C10</f>
        <v>0.51359070096854553</v>
      </c>
    </row>
    <row r="11" spans="1:16" x14ac:dyDescent="0.3">
      <c r="A11" s="37"/>
      <c r="B11" s="84"/>
      <c r="C11" s="89"/>
      <c r="D11" s="89"/>
      <c r="E11" s="89"/>
      <c r="F11" s="6"/>
    </row>
    <row r="12" spans="1:16" ht="300" customHeight="1" x14ac:dyDescent="0.3">
      <c r="A12" s="37" t="s">
        <v>88</v>
      </c>
      <c r="B12" s="118" t="s">
        <v>91</v>
      </c>
      <c r="C12" s="117"/>
      <c r="D12" s="117" t="s">
        <v>94</v>
      </c>
      <c r="E12" s="117"/>
      <c r="F12" s="117"/>
      <c r="G12"/>
    </row>
    <row r="13" spans="1:16" ht="18.75" customHeight="1" x14ac:dyDescent="0.3">
      <c r="A13" s="37"/>
      <c r="B13" s="85"/>
    </row>
    <row r="14" spans="1:16" ht="409.5" x14ac:dyDescent="0.3">
      <c r="A14" s="37" t="s">
        <v>89</v>
      </c>
      <c r="B14" s="119"/>
      <c r="C14" s="120"/>
      <c r="D14" s="120"/>
      <c r="E14" s="120"/>
      <c r="F14" s="120"/>
    </row>
    <row r="15" spans="1:16" x14ac:dyDescent="0.3">
      <c r="A15" s="37"/>
      <c r="B15" s="119"/>
      <c r="C15" s="120"/>
      <c r="D15" s="120"/>
      <c r="E15" s="120"/>
      <c r="F15" s="120"/>
    </row>
    <row r="16" spans="1:16" x14ac:dyDescent="0.3">
      <c r="A16" s="37"/>
      <c r="B16" s="119"/>
      <c r="C16" s="120"/>
      <c r="D16" s="120"/>
      <c r="E16" s="120"/>
      <c r="F16" s="120"/>
    </row>
    <row r="17" spans="1:6" x14ac:dyDescent="0.3">
      <c r="A17" s="37"/>
      <c r="B17" s="119"/>
      <c r="C17" s="120"/>
      <c r="D17" s="120"/>
      <c r="E17" s="120"/>
      <c r="F17" s="120"/>
    </row>
    <row r="18" spans="1:6" x14ac:dyDescent="0.3">
      <c r="A18" s="37"/>
      <c r="B18" s="119"/>
      <c r="C18" s="120"/>
      <c r="D18" s="120"/>
      <c r="E18" s="120"/>
      <c r="F18" s="120"/>
    </row>
    <row r="19" spans="1:6" x14ac:dyDescent="0.3">
      <c r="A19" s="37"/>
      <c r="B19" s="120"/>
      <c r="C19" s="120"/>
      <c r="D19" s="120"/>
      <c r="E19" s="120"/>
      <c r="F19" s="120"/>
    </row>
    <row r="20" spans="1:6" x14ac:dyDescent="0.3">
      <c r="A20" s="37"/>
      <c r="B20" s="120"/>
      <c r="C20" s="120"/>
      <c r="D20" s="120"/>
      <c r="E20" s="120"/>
      <c r="F20" s="120"/>
    </row>
    <row r="21" spans="1:6" x14ac:dyDescent="0.3">
      <c r="A21" s="37"/>
      <c r="B21" s="120"/>
      <c r="C21" s="120"/>
      <c r="D21" s="120"/>
      <c r="E21" s="120"/>
      <c r="F21" s="120"/>
    </row>
    <row r="22" spans="1:6" x14ac:dyDescent="0.3">
      <c r="A22" s="37"/>
      <c r="B22" s="119"/>
      <c r="C22" s="120"/>
      <c r="D22" s="120"/>
      <c r="E22" s="120"/>
      <c r="F22" s="120"/>
    </row>
    <row r="23" spans="1:6" x14ac:dyDescent="0.3">
      <c r="A23" s="37"/>
      <c r="B23" s="119"/>
      <c r="C23" s="120"/>
      <c r="D23" s="120"/>
      <c r="E23" s="120"/>
      <c r="F23" s="120"/>
    </row>
    <row r="24" spans="1:6" x14ac:dyDescent="0.3">
      <c r="A24" s="37"/>
      <c r="B24" s="119"/>
      <c r="C24" s="120"/>
      <c r="D24" s="120"/>
      <c r="E24" s="120"/>
      <c r="F24" s="120"/>
    </row>
    <row r="25" spans="1:6" x14ac:dyDescent="0.3">
      <c r="A25" s="37"/>
      <c r="B25" s="119"/>
      <c r="C25" s="120"/>
      <c r="D25" s="120"/>
      <c r="E25" s="120"/>
      <c r="F25" s="120"/>
    </row>
    <row r="26" spans="1:6" x14ac:dyDescent="0.3">
      <c r="A26" s="37"/>
      <c r="B26" s="119"/>
      <c r="C26" s="120"/>
      <c r="D26" s="120"/>
      <c r="E26" s="120"/>
      <c r="F26" s="120"/>
    </row>
    <row r="27" spans="1:6" x14ac:dyDescent="0.3">
      <c r="A27" s="37"/>
      <c r="B27" s="119"/>
      <c r="C27" s="120"/>
      <c r="D27" s="120"/>
      <c r="E27" s="120"/>
      <c r="F27" s="120"/>
    </row>
    <row r="28" spans="1:6" x14ac:dyDescent="0.3">
      <c r="A28" s="37"/>
      <c r="B28" s="120"/>
      <c r="C28" s="120"/>
      <c r="D28" s="120"/>
      <c r="E28" s="120"/>
      <c r="F28" s="120"/>
    </row>
    <row r="29" spans="1:6" x14ac:dyDescent="0.3">
      <c r="A29" s="37"/>
      <c r="B29" s="120"/>
      <c r="C29" s="120"/>
      <c r="D29" s="120"/>
      <c r="E29" s="120"/>
      <c r="F29" s="120"/>
    </row>
    <row r="30" spans="1:6" x14ac:dyDescent="0.3">
      <c r="A30" s="37"/>
      <c r="B30" s="120"/>
      <c r="C30" s="120"/>
      <c r="D30" s="120"/>
      <c r="E30" s="120"/>
      <c r="F30" s="120"/>
    </row>
    <row r="31" spans="1:6" x14ac:dyDescent="0.3">
      <c r="A31" s="37"/>
      <c r="B31" s="119"/>
      <c r="C31" s="120"/>
      <c r="D31" s="120"/>
      <c r="E31" s="120"/>
      <c r="F31" s="120"/>
    </row>
    <row r="32" spans="1:6" x14ac:dyDescent="0.3">
      <c r="A32" s="37"/>
      <c r="B32" s="119"/>
      <c r="C32" s="120"/>
      <c r="D32" s="120"/>
      <c r="E32" s="120"/>
      <c r="F32" s="120"/>
    </row>
    <row r="33" spans="1:6" x14ac:dyDescent="0.3">
      <c r="A33" s="37"/>
      <c r="B33" s="120"/>
      <c r="C33" s="120"/>
      <c r="D33" s="120"/>
      <c r="E33" s="120"/>
      <c r="F33" s="120"/>
    </row>
    <row r="34" spans="1:6" x14ac:dyDescent="0.3">
      <c r="A34" s="37"/>
      <c r="B34" s="120"/>
      <c r="C34" s="120"/>
      <c r="D34" s="120"/>
      <c r="E34" s="120"/>
      <c r="F34" s="120"/>
    </row>
    <row r="35" spans="1:6" x14ac:dyDescent="0.3">
      <c r="A35" s="37"/>
      <c r="B35" s="120"/>
      <c r="C35" s="120"/>
      <c r="D35" s="120"/>
      <c r="E35" s="120"/>
      <c r="F35" s="120"/>
    </row>
    <row r="36" spans="1:6" x14ac:dyDescent="0.3">
      <c r="A36" s="37"/>
      <c r="B36" s="121"/>
      <c r="C36" s="120"/>
      <c r="D36" s="120"/>
      <c r="E36" s="120"/>
      <c r="F36" s="120"/>
    </row>
    <row r="37" spans="1:6" x14ac:dyDescent="0.3">
      <c r="A37" s="37"/>
      <c r="B37" s="121"/>
      <c r="C37" s="120"/>
      <c r="D37" s="120"/>
      <c r="E37" s="120"/>
      <c r="F37" s="120"/>
    </row>
    <row r="38" spans="1:6" x14ac:dyDescent="0.3">
      <c r="A38" s="37"/>
    </row>
    <row r="39" spans="1:6" x14ac:dyDescent="0.3">
      <c r="A39" s="37"/>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COMMENCER</vt:lpstr>
      <vt:lpstr>DÉPENSES PRÉVUES</vt:lpstr>
      <vt:lpstr>DÉPENSES RÉELLES</vt:lpstr>
      <vt:lpstr>ÉCARTS DE DÉPENSES</vt:lpstr>
      <vt:lpstr>ANALYSE DES DÉPENSES</vt:lpstr>
      <vt:lpstr>titre_feuille_de_calcul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Zakia Lu (Moravia IT)</cp:lastModifiedBy>
  <dcterms:created xsi:type="dcterms:W3CDTF">2018-05-30T05:56:59Z</dcterms:created>
  <dcterms:modified xsi:type="dcterms:W3CDTF">2018-11-01T09:50:57Z</dcterms:modified>
</cp:coreProperties>
</file>

<file path=docProps/custom.xml><?xml version="1.0" encoding="utf-8"?>
<Properties xmlns="http://schemas.openxmlformats.org/officeDocument/2006/custom-properties" xmlns:vt="http://schemas.openxmlformats.org/officeDocument/2006/docPropsVTypes"/>
</file>