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90902\Bug 3600095\fi-FI\target\"/>
    </mc:Choice>
  </mc:AlternateContent>
  <xr:revisionPtr revIDLastSave="0" documentId="13_ncr:1_{B4C333BE-4F8D-460A-B837-CFEED1C1CA71}" xr6:coauthVersionLast="44" xr6:coauthVersionMax="44" xr10:uidLastSave="{00000000-0000-0000-0000-000000000000}"/>
  <bookViews>
    <workbookView xWindow="-120" yWindow="-120" windowWidth="29040" windowHeight="17640" tabRatio="686" xr2:uid="{00000000-000D-0000-FFFF-FFFF00000000}"/>
  </bookViews>
  <sheets>
    <sheet name="Tammikuu" sheetId="4" r:id="rId1"/>
    <sheet name="Helmikuu" sheetId="5" r:id="rId2"/>
    <sheet name="Maaliskuu" sheetId="17" r:id="rId3"/>
    <sheet name="Huhtikuu" sheetId="18" r:id="rId4"/>
    <sheet name="Toukokuu" sheetId="19" r:id="rId5"/>
    <sheet name="Kesäkuu" sheetId="20" r:id="rId6"/>
    <sheet name="Heinäkuu" sheetId="21" r:id="rId7"/>
    <sheet name="Elokuu" sheetId="22" r:id="rId8"/>
    <sheet name="Syyskuu" sheetId="23" r:id="rId9"/>
    <sheet name="Lokakuu" sheetId="24" r:id="rId10"/>
    <sheet name="Marraskuu" sheetId="25" r:id="rId11"/>
    <sheet name="Joulukuu" sheetId="15" r:id="rId12"/>
    <sheet name="Työntekijöiden nimet" sheetId="16" r:id="rId13"/>
  </sheets>
  <definedNames>
    <definedName name="Avaimen_nimi">Tammikuu!$B$2</definedName>
    <definedName name="Avain_henkilökohtainen">Tammikuu!$F$2</definedName>
    <definedName name="Avain_henkilökohtainen_otsikko">Tammikuu!$G$2</definedName>
    <definedName name="Avain_loma">Tammikuu!$C$2</definedName>
    <definedName name="Avain_loma_otsikko">Tammikuu!$D$2</definedName>
    <definedName name="Avain_mukautettu_1">Tammikuu!$N$2</definedName>
    <definedName name="Avain_mukautettu_1_otsikko">Tammikuu!$O$2</definedName>
    <definedName name="Avain_mukautettu_2">Tammikuu!$R$2</definedName>
    <definedName name="Avain_mukautettu_2_otsikko">Tammikuu!$S$2</definedName>
    <definedName name="Avain_sairaus">Tammikuu!$K$2</definedName>
    <definedName name="Avain_sairaus_otsikko">Tammikuu!$L$2</definedName>
    <definedName name="Kalenterivuosi">Tammikuu!$AH$4</definedName>
    <definedName name="Kuukauden_nimi" localSheetId="7">Elokuu!$B$4</definedName>
    <definedName name="Kuukauden_nimi" localSheetId="6">Heinäkuu!$B$4</definedName>
    <definedName name="Kuukauden_nimi" localSheetId="1">Helmikuu!$B$4</definedName>
    <definedName name="Kuukauden_nimi" localSheetId="3">Huhtikuu!$B$4</definedName>
    <definedName name="Kuukauden_nimi" localSheetId="11">Joulukuu!$B$4</definedName>
    <definedName name="Kuukauden_nimi" localSheetId="5">Kesäkuu!$B$4</definedName>
    <definedName name="Kuukauden_nimi" localSheetId="9">Lokakuu!$B$4</definedName>
    <definedName name="Kuukauden_nimi" localSheetId="2">Maaliskuu!$B$4</definedName>
    <definedName name="Kuukauden_nimi" localSheetId="10">Marraskuu!$B$4</definedName>
    <definedName name="Kuukauden_nimi" localSheetId="8">Syyskuu!$B$4</definedName>
    <definedName name="Kuukauden_nimi" localSheetId="0">Tammikuu!$B$4</definedName>
    <definedName name="Kuukauden_nimi" localSheetId="4">Toukokuu!$B$4</definedName>
    <definedName name="Otsikko_1">Tammikuu[[#Headers],[Työntekijän nimi]]</definedName>
    <definedName name="Otsikko_10">Lokakuu[[#Headers],[Työntekijän nimi]]</definedName>
    <definedName name="Otsikko_11">Marraskuu[[#Headers],[Työntekijän nimi]]</definedName>
    <definedName name="Otsikko_12">Joulukuu[[#Headers],[Työntekijän nimi]]</definedName>
    <definedName name="Otsikko_2">Helmikuu[[#Headers],[Työntekijän nimi]]</definedName>
    <definedName name="Otsikko_3">Maaliskuu[[#Headers],[Työntekijän nimi]]</definedName>
    <definedName name="Otsikko_4">Huhtikuu[[#Headers],[Työntekijän nimi]]</definedName>
    <definedName name="Otsikko_5">Toukokuu[[#Headers],[Työntekijän nimi]]</definedName>
    <definedName name="Otsikko_6">Kesäkuu[[#Headers],[Työntekijän nimi]]</definedName>
    <definedName name="Otsikko_7">Heinäkuu[[#Headers],[Työntekijän nimi]]</definedName>
    <definedName name="Otsikko_8">Elokuu[[#Headers],[Työntekijän nimi]]</definedName>
    <definedName name="Otsikko_9">Syyskuu[[#Headers],[Työntekijän nimi]]</definedName>
    <definedName name="_xlnm.Print_Titles" localSheetId="7">Elokuu!$4:$6</definedName>
    <definedName name="_xlnm.Print_Titles" localSheetId="6">Heinäkuu!$4:$6</definedName>
    <definedName name="_xlnm.Print_Titles" localSheetId="1">Helmikuu!$4:$6</definedName>
    <definedName name="_xlnm.Print_Titles" localSheetId="3">Huhtikuu!$4:$6</definedName>
    <definedName name="_xlnm.Print_Titles" localSheetId="11">Joulukuu!$4:$6</definedName>
    <definedName name="_xlnm.Print_Titles" localSheetId="5">Kesäkuu!$4:$6</definedName>
    <definedName name="_xlnm.Print_Titles" localSheetId="9">Lokakuu!$4:$6</definedName>
    <definedName name="_xlnm.Print_Titles" localSheetId="2">Maaliskuu!$4:$6</definedName>
    <definedName name="_xlnm.Print_Titles" localSheetId="10">Marraskuu!$4:$6</definedName>
    <definedName name="_xlnm.Print_Titles" localSheetId="8">Syyskuu!$4:$6</definedName>
    <definedName name="_xlnm.Print_Titles" localSheetId="0">Tammikuu!$4:$6</definedName>
    <definedName name="_xlnm.Print_Titles" localSheetId="4">Toukokuu!$4:$6</definedName>
    <definedName name="Sarakeotsikko13">Työntekijän_nimi[[#Headers],[Työntekijöiden nimet]]</definedName>
    <definedName name="Työntekijöiden_poissaolon_otsikko">Tammikuu!$B$1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5" l="1"/>
  <c r="B12" i="25"/>
  <c r="B12" i="24"/>
  <c r="B12" i="23"/>
  <c r="B12" i="22"/>
  <c r="B12" i="21"/>
  <c r="B12" i="20"/>
  <c r="B12" i="19"/>
  <c r="B12" i="18"/>
  <c r="B12" i="17"/>
  <c r="B12" i="5"/>
  <c r="B12" i="4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21" l="1"/>
  <c r="AH12" i="17"/>
  <c r="AH12" i="22"/>
  <c r="AH12" i="25"/>
  <c r="AH12" i="20"/>
  <c r="AH12" i="19"/>
  <c r="AH12" i="24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12" i="5" l="1"/>
  <c r="AH7" i="4"/>
  <c r="AH8" i="4"/>
  <c r="AH12" i="4" l="1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<sst xmlns="http://schemas.openxmlformats.org/spreadsheetml/2006/main" count="643" uniqueCount="65">
  <si>
    <t>Poissaolotyypin avain</t>
  </si>
  <si>
    <t>Tammikuu</t>
  </si>
  <si>
    <t>Työntekijän nimi</t>
  </si>
  <si>
    <t>Työntekijä 1</t>
  </si>
  <si>
    <t>Työntekijä 2</t>
  </si>
  <si>
    <t>Työntekijä 3</t>
  </si>
  <si>
    <t>Työntekijä 4</t>
  </si>
  <si>
    <t>Työntekijä 5</t>
  </si>
  <si>
    <t>L</t>
  </si>
  <si>
    <t>Poissaolopäivät</t>
  </si>
  <si>
    <t>1</t>
  </si>
  <si>
    <t>Lomalla</t>
  </si>
  <si>
    <t>2</t>
  </si>
  <si>
    <t>3</t>
  </si>
  <si>
    <t>H</t>
  </si>
  <si>
    <t>4</t>
  </si>
  <si>
    <t>S</t>
  </si>
  <si>
    <t>5</t>
  </si>
  <si>
    <t>Henkilökohtainen</t>
  </si>
  <si>
    <t>6</t>
  </si>
  <si>
    <t>7</t>
  </si>
  <si>
    <t>8</t>
  </si>
  <si>
    <t>9</t>
  </si>
  <si>
    <t>Sairaana</t>
  </si>
  <si>
    <t>10</t>
  </si>
  <si>
    <t>11</t>
  </si>
  <si>
    <t>12</t>
  </si>
  <si>
    <t>Mukautettu 1</t>
  </si>
  <si>
    <t>13</t>
  </si>
  <si>
    <t>14</t>
  </si>
  <si>
    <t>15</t>
  </si>
  <si>
    <t>16</t>
  </si>
  <si>
    <t>Mukautettu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</si>
  <si>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</si>
  <si>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</si>
  <si>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</si>
  <si>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</si>
  <si>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</si>
  <si>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</si>
  <si>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</si>
  <si>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</si>
  <si>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</si>
  <si>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</si>
  <si>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</si>
  <si>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</si>
  <si>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</si>
  <si>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</si>
  <si>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</si>
  <si>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Anna vuosi:</t>
  </si>
  <si>
    <t>Päiviä yhteensä</t>
  </si>
  <si>
    <t>Helmikuu</t>
  </si>
  <si>
    <t xml:space="preserve"> </t>
  </si>
  <si>
    <t xml:space="preserve">  </t>
  </si>
  <si>
    <t>Maaliskuu</t>
  </si>
  <si>
    <t>Huhtikuu</t>
  </si>
  <si>
    <t>Kesäkuu</t>
  </si>
  <si>
    <t>Heinäkuu</t>
  </si>
  <si>
    <t>Elokuu</t>
  </si>
  <si>
    <t>Syyskuu</t>
  </si>
  <si>
    <t>Lokakuu</t>
  </si>
  <si>
    <t>Marraskuu</t>
  </si>
  <si>
    <t>Joulukuu</t>
  </si>
  <si>
    <t>Työntekijöiden nimet</t>
  </si>
  <si>
    <t>Työntekijöiden Poissaoloaikataulu</t>
  </si>
  <si>
    <t>Toukokuu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</si>
</sst>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;0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libri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vertical="center"/>
    </xf>
    <xf numFmtId="0" fontId="6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5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2"/>
    </xf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3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1" applyNumberFormat="0" applyAlignment="0" applyProtection="0"/>
    <xf numFmtId="0" fontId="13" fillId="25" borderId="2" applyNumberFormat="0" applyAlignment="0" applyProtection="0"/>
    <xf numFmtId="0" fontId="14" fillId="25" borderId="1" applyNumberFormat="0" applyAlignment="0" applyProtection="0"/>
    <xf numFmtId="0" fontId="15" fillId="0" borderId="3" applyNumberFormat="0" applyFill="0" applyAlignment="0" applyProtection="0"/>
    <xf numFmtId="0" fontId="16" fillId="26" borderId="4" applyNumberFormat="0" applyAlignment="0" applyProtection="0"/>
    <xf numFmtId="0" fontId="17" fillId="0" borderId="0" applyNumberFormat="0" applyFill="0" applyBorder="0" applyAlignment="0" applyProtection="0"/>
    <xf numFmtId="0" fontId="1" fillId="27" borderId="5" applyNumberFormat="0" applyFont="0" applyAlignment="0" applyProtection="0"/>
    <xf numFmtId="0" fontId="18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>
      <alignment horizontal="left" vertical="center"/>
    </xf>
    <xf numFmtId="0" fontId="1" fillId="0" borderId="0" xfId="26">
      <alignment horizontal="left" vertical="center" wrapText="1" indent="2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15" borderId="0" xfId="12" applyAlignment="1" applyProtection="1">
      <alignment horizontal="center" vertical="center"/>
    </xf>
    <xf numFmtId="0" fontId="2" fillId="10" borderId="0" xfId="19" applyAlignment="1" applyProtection="1">
      <alignment horizontal="center" vertical="center"/>
    </xf>
    <xf numFmtId="0" fontId="2" fillId="13" borderId="0" xfId="23" applyFont="1" applyAlignment="1" applyProtection="1">
      <alignment horizontal="center" vertical="center"/>
    </xf>
    <xf numFmtId="166" fontId="2" fillId="9" borderId="0" xfId="8" applyNumberFormat="1" applyFont="1" applyAlignment="1" applyProtection="1">
      <alignment horizontal="center" vertical="center"/>
    </xf>
    <xf numFmtId="166" fontId="2" fillId="14" borderId="0" xfId="24" applyNumberFormat="1" applyFont="1" applyAlignment="1" applyProtection="1">
      <alignment horizontal="center" vertical="center"/>
    </xf>
    <xf numFmtId="0" fontId="1" fillId="0" borderId="0" xfId="26" applyFill="1" applyBorder="1">
      <alignment horizontal="left" vertical="center" wrapText="1" indent="2"/>
    </xf>
    <xf numFmtId="1" fontId="1" fillId="0" borderId="0" xfId="25" applyFill="1" applyBorder="1" applyProtection="1">
      <alignment horizontal="center" vertical="center"/>
    </xf>
    <xf numFmtId="0" fontId="0" fillId="0" borderId="0" xfId="0" applyProtection="1">
      <alignment horizontal="left" vertical="center"/>
    </xf>
    <xf numFmtId="0" fontId="5" fillId="2" borderId="0" xfId="3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1" applyAlignment="1" applyProtection="1">
      <alignment vertical="top"/>
    </xf>
    <xf numFmtId="0" fontId="1" fillId="2" borderId="0" xfId="21" applyBorder="1" applyAlignment="1" applyProtection="1">
      <alignment horizontal="left" vertical="center" indent="1"/>
    </xf>
    <xf numFmtId="0" fontId="0" fillId="0" borderId="0" xfId="21" applyFont="1" applyFill="1" applyBorder="1" applyAlignment="1" applyProtection="1">
      <alignment horizontal="center" vertical="center"/>
    </xf>
    <xf numFmtId="0" fontId="1" fillId="0" borderId="0" xfId="26" applyFill="1" applyBorder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0" fontId="2" fillId="20" borderId="0" xfId="4" applyProtection="1">
      <alignment horizontal="right" vertical="center" indent="1"/>
    </xf>
    <xf numFmtId="0" fontId="7" fillId="0" borderId="0" xfId="1" applyFont="1" applyAlignment="1">
      <alignment horizontal="center"/>
    </xf>
    <xf numFmtId="0" fontId="0" fillId="0" borderId="0" xfId="0" applyFont="1" applyFill="1" applyBorder="1" applyAlignment="1" applyProtection="1">
      <alignment horizontal="left" vertical="center" indent="1"/>
    </xf>
    <xf numFmtId="0" fontId="6" fillId="0" borderId="0" xfId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5" fillId="2" borderId="0" xfId="3" applyProtection="1">
      <alignment horizontal="center" vertical="center"/>
    </xf>
    <xf numFmtId="0" fontId="1" fillId="2" borderId="0" xfId="21" applyAlignment="1" applyProtection="1">
      <alignment horizontal="left" vertical="center"/>
    </xf>
  </cellXfs>
  <cellStyles count="48">
    <cellStyle name="20% - Accent1" xfId="15" builtinId="30" customBuiltin="1"/>
    <cellStyle name="20% - Accent2" xfId="43" builtinId="34" customBuiltin="1"/>
    <cellStyle name="20% - Accent3" xfId="21" builtinId="38" customBuiltin="1"/>
    <cellStyle name="20% - Accent4" xfId="7" builtinId="42" customBuiltin="1"/>
    <cellStyle name="20% - Accent5" xfId="46" builtinId="46" customBuiltin="1"/>
    <cellStyle name="20% - Accent6" xfId="11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8" builtinId="43" customBuiltin="1"/>
    <cellStyle name="40% - Accent5" xfId="24" builtinId="47" customBuiltin="1"/>
    <cellStyle name="40% - Accent6" xfId="12" builtinId="51" customBuiltin="1"/>
    <cellStyle name="60% - Accent1" xfId="17" builtinId="32" customBuiltin="1"/>
    <cellStyle name="60% - Accent2" xfId="44" builtinId="36" customBuiltin="1"/>
    <cellStyle name="60% - Accent3" xfId="23" builtinId="40" customBuiltin="1"/>
    <cellStyle name="60% - Accent4" xfId="9" builtinId="44" customBuiltin="1"/>
    <cellStyle name="60% - Accent5" xfId="47" builtinId="48" customBuiltin="1"/>
    <cellStyle name="60% - Accent6" xfId="13" builtinId="52" customBuiltin="1"/>
    <cellStyle name="Accent1" xfId="14" builtinId="29" customBuiltin="1"/>
    <cellStyle name="Accent2" xfId="18" builtinId="33" customBuiltin="1"/>
    <cellStyle name="Accent3" xfId="20" builtinId="37" customBuiltin="1"/>
    <cellStyle name="Accent4" xfId="6" builtinId="41" customBuiltin="1"/>
    <cellStyle name="Accent5" xfId="45" builtinId="45" customBuiltin="1"/>
    <cellStyle name="Accent6" xfId="10" builtinId="49" customBuiltin="1"/>
    <cellStyle name="Bad" xfId="33" builtinId="27" customBuiltin="1"/>
    <cellStyle name="Calculation" xfId="37" builtinId="22" customBuiltin="1"/>
    <cellStyle name="Check Cell" xfId="39" builtinId="23" customBuiltin="1"/>
    <cellStyle name="Comma" xfId="27" builtinId="3" customBuiltin="1"/>
    <cellStyle name="Comma [0]" xfId="28" builtinId="6" customBuiltin="1"/>
    <cellStyle name="Currency" xfId="29" builtinId="4" customBuiltin="1"/>
    <cellStyle name="Currency [0]" xfId="30" builtinId="7" customBuiltin="1"/>
    <cellStyle name="Explanatory Text" xfId="42" builtinId="53" customBuiltin="1"/>
    <cellStyle name="Good" xfId="3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35" builtinId="20" customBuiltin="1"/>
    <cellStyle name="Linked Cell" xfId="38" builtinId="24" customBuiltin="1"/>
    <cellStyle name="Neutral" xfId="34" builtinId="28" customBuiltin="1"/>
    <cellStyle name="Normal" xfId="0" builtinId="0" customBuiltin="1"/>
    <cellStyle name="Note" xfId="41" builtinId="10" customBuiltin="1"/>
    <cellStyle name="Otsikko" xfId="1" xr:uid="{00000000-0005-0000-0000-000018000000}"/>
    <cellStyle name="Output" xfId="36" builtinId="21" customBuiltin="1"/>
    <cellStyle name="Percent" xfId="31" builtinId="5" customBuiltin="1"/>
    <cellStyle name="Total" xfId="25" builtinId="25" customBuiltin="1"/>
    <cellStyle name="Työntekijä" xfId="26" xr:uid="{00000000-0005-0000-0000-000013000000}"/>
    <cellStyle name="Warning Text" xfId="40" builtinId="11" customBuiltin="1"/>
  </cellStyles>
  <dxfs count="9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Työntekijöiden poissaolotaulukko" pivot="0" count="13" xr9:uid="{00000000-0011-0000-FFFF-FFFF00000000}">
      <tableStyleElement type="wholeTable" dxfId="901"/>
      <tableStyleElement type="headerRow" dxfId="900"/>
      <tableStyleElement type="totalRow" dxfId="899"/>
      <tableStyleElement type="firstColumn" dxfId="898"/>
      <tableStyleElement type="lastColumn" dxfId="897"/>
      <tableStyleElement type="firstRowStripe" dxfId="896"/>
      <tableStyleElement type="secondRowStripe" dxfId="895"/>
      <tableStyleElement type="firstColumnStripe" dxfId="894"/>
      <tableStyleElement type="secondColumnStripe" dxfId="893"/>
      <tableStyleElement type="firstHeaderCell" dxfId="892"/>
      <tableStyleElement type="lastHeaderCell" dxfId="891"/>
      <tableStyleElement type="firstTotalCell" dxfId="890"/>
      <tableStyleElement type="lastTotalCell" dxfId="8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mmikuu" displayName="Tammikuu" ref="B6:AH12" totalsRowCount="1" headerRowDxfId="883" dataDxfId="882" totalsRowDxfId="881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Työntekijän nimi" totalsRowFunction="custom" dataDxfId="880" totalsRowDxfId="879" dataCellStyle="Työntekijä">
      <totalsRowFormula>Kuukauden_nimi&amp;" Yhteensä"</totalsRowFormula>
    </tableColumn>
    <tableColumn id="2" xr3:uid="{00000000-0010-0000-0000-000002000000}" name="1" totalsRowFunction="custom" dataDxfId="878" totalsRowDxfId="877">
      <totalsRowFormula>SUBTOTAL(103,Tammikuu!$C$7:$C$11)</totalsRowFormula>
    </tableColumn>
    <tableColumn id="3" xr3:uid="{00000000-0010-0000-0000-000003000000}" name="2" totalsRowFunction="custom" dataDxfId="876" totalsRowDxfId="875">
      <totalsRowFormula>SUBTOTAL(103,Tammikuu!$D$7:$D$11)</totalsRowFormula>
    </tableColumn>
    <tableColumn id="4" xr3:uid="{00000000-0010-0000-0000-000004000000}" name="3" totalsRowFunction="custom" dataDxfId="874" totalsRowDxfId="873">
      <totalsRowFormula>SUBTOTAL(103,Tammikuu!$E$7:$E$11)</totalsRowFormula>
    </tableColumn>
    <tableColumn id="5" xr3:uid="{00000000-0010-0000-0000-000005000000}" name="4" totalsRowFunction="custom" dataDxfId="872" totalsRowDxfId="871">
      <totalsRowFormula>SUBTOTAL(103,Tammikuu!$F$7:$F$11)</totalsRowFormula>
    </tableColumn>
    <tableColumn id="6" xr3:uid="{00000000-0010-0000-0000-000006000000}" name="5" totalsRowFunction="custom" totalsRowDxfId="870">
      <totalsRowFormula>SUBTOTAL(103,Tammikuu!$G$7:$G$11)</totalsRowFormula>
    </tableColumn>
    <tableColumn id="7" xr3:uid="{00000000-0010-0000-0000-000007000000}" name="6" totalsRowFunction="custom" dataDxfId="869" totalsRowDxfId="868">
      <totalsRowFormula>SUBTOTAL(103,Tammikuu!$H$7:$H$11)</totalsRowFormula>
    </tableColumn>
    <tableColumn id="8" xr3:uid="{00000000-0010-0000-0000-000008000000}" name="7" totalsRowFunction="custom" dataDxfId="867" totalsRowDxfId="866">
      <totalsRowFormula>SUBTOTAL(103,Tammikuu!$I$7:$I$11)</totalsRowFormula>
    </tableColumn>
    <tableColumn id="9" xr3:uid="{00000000-0010-0000-0000-000009000000}" name="8" totalsRowFunction="custom" dataDxfId="865" totalsRowDxfId="864">
      <totalsRowFormula>SUBTOTAL(103,Tammikuu!$J$7:$J$11)</totalsRowFormula>
    </tableColumn>
    <tableColumn id="10" xr3:uid="{00000000-0010-0000-0000-00000A000000}" name="9" totalsRowFunction="custom" dataDxfId="863" totalsRowDxfId="862">
      <totalsRowFormula>SUBTOTAL(103,Tammikuu!$K$7:$K$11)</totalsRowFormula>
    </tableColumn>
    <tableColumn id="11" xr3:uid="{00000000-0010-0000-0000-00000B000000}" name="10" totalsRowFunction="custom" dataDxfId="861" totalsRowDxfId="860">
      <totalsRowFormula>SUBTOTAL(103,Tammikuu!$L$7:$L$11)</totalsRowFormula>
    </tableColumn>
    <tableColumn id="12" xr3:uid="{00000000-0010-0000-0000-00000C000000}" name="11" totalsRowFunction="custom" dataDxfId="859" totalsRowDxfId="858">
      <totalsRowFormula>SUBTOTAL(103,Tammikuu!$M$7:$M$11)</totalsRowFormula>
    </tableColumn>
    <tableColumn id="13" xr3:uid="{00000000-0010-0000-0000-00000D000000}" name="12" totalsRowFunction="custom" dataDxfId="857" totalsRowDxfId="856">
      <totalsRowFormula>SUBTOTAL(103,Tammikuu!$N$7:$N$11)</totalsRowFormula>
    </tableColumn>
    <tableColumn id="14" xr3:uid="{00000000-0010-0000-0000-00000E000000}" name="13" totalsRowFunction="custom" dataDxfId="855" totalsRowDxfId="854">
      <totalsRowFormula>SUBTOTAL(103,Tammikuu!$O$7:$O$11)</totalsRowFormula>
    </tableColumn>
    <tableColumn id="15" xr3:uid="{00000000-0010-0000-0000-00000F000000}" name="14" totalsRowFunction="custom" dataDxfId="853" totalsRowDxfId="852">
      <totalsRowFormula>SUBTOTAL(103,Tammikuu!$P$7:$P$11)</totalsRowFormula>
    </tableColumn>
    <tableColumn id="16" xr3:uid="{00000000-0010-0000-0000-000010000000}" name="15" totalsRowFunction="custom" dataDxfId="851" totalsRowDxfId="850">
      <totalsRowFormula>SUBTOTAL(103,Tammikuu!$Q$7:$Q$11)</totalsRowFormula>
    </tableColumn>
    <tableColumn id="17" xr3:uid="{00000000-0010-0000-0000-000011000000}" name="16" totalsRowFunction="custom" dataDxfId="849" totalsRowDxfId="848">
      <totalsRowFormula>SUBTOTAL(103,Tammikuu!$R$7:$R$11)</totalsRowFormula>
    </tableColumn>
    <tableColumn id="18" xr3:uid="{00000000-0010-0000-0000-000012000000}" name="17" totalsRowFunction="custom" dataDxfId="847" totalsRowDxfId="846">
      <totalsRowFormula>SUBTOTAL(103,Tammikuu!$S$7:$S$11)</totalsRowFormula>
    </tableColumn>
    <tableColumn id="19" xr3:uid="{00000000-0010-0000-0000-000013000000}" name="18" totalsRowFunction="custom" dataDxfId="845" totalsRowDxfId="844">
      <totalsRowFormula>SUBTOTAL(103,Tammikuu!$T$7:$T$11)</totalsRowFormula>
    </tableColumn>
    <tableColumn id="20" xr3:uid="{00000000-0010-0000-0000-000014000000}" name="19" totalsRowFunction="custom" dataDxfId="843" totalsRowDxfId="842">
      <totalsRowFormula>SUBTOTAL(103,Tammikuu!$U$7:$U$11)</totalsRowFormula>
    </tableColumn>
    <tableColumn id="21" xr3:uid="{00000000-0010-0000-0000-000015000000}" name="20" totalsRowFunction="custom" dataDxfId="841" totalsRowDxfId="840">
      <totalsRowFormula>SUBTOTAL(103,Tammikuu!$V$7:$V$11)</totalsRowFormula>
    </tableColumn>
    <tableColumn id="22" xr3:uid="{00000000-0010-0000-0000-000016000000}" name="21" totalsRowFunction="custom" dataDxfId="839" totalsRowDxfId="838">
      <totalsRowFormula>SUBTOTAL(103,Tammikuu!$W$7:$W$11)</totalsRowFormula>
    </tableColumn>
    <tableColumn id="23" xr3:uid="{00000000-0010-0000-0000-000017000000}" name="22" totalsRowFunction="custom" dataDxfId="837" totalsRowDxfId="836">
      <totalsRowFormula>SUBTOTAL(103,Tammikuu!$X$7:$X$11)</totalsRowFormula>
    </tableColumn>
    <tableColumn id="24" xr3:uid="{00000000-0010-0000-0000-000018000000}" name="23" totalsRowFunction="custom" dataDxfId="835" totalsRowDxfId="834">
      <totalsRowFormula>SUBTOTAL(103,Tammikuu!$Y$7:$Y$11)</totalsRowFormula>
    </tableColumn>
    <tableColumn id="25" xr3:uid="{00000000-0010-0000-0000-000019000000}" name="24" totalsRowFunction="custom" dataDxfId="833" totalsRowDxfId="832">
      <totalsRowFormula>SUBTOTAL(103,Tammikuu!$Z$7:$Z$11)</totalsRowFormula>
    </tableColumn>
    <tableColumn id="26" xr3:uid="{00000000-0010-0000-0000-00001A000000}" name="25" totalsRowFunction="custom" dataDxfId="831" totalsRowDxfId="830">
      <totalsRowFormula>SUBTOTAL(103,Tammikuu!$AA$7:$AA$11)</totalsRowFormula>
    </tableColumn>
    <tableColumn id="27" xr3:uid="{00000000-0010-0000-0000-00001B000000}" name="26" totalsRowFunction="custom" dataDxfId="829" totalsRowDxfId="828">
      <totalsRowFormula>SUBTOTAL(103,Tammikuu!$AB$7:$AB$11)</totalsRowFormula>
    </tableColumn>
    <tableColumn id="28" xr3:uid="{00000000-0010-0000-0000-00001C000000}" name="27" totalsRowFunction="custom" dataDxfId="827" totalsRowDxfId="826">
      <totalsRowFormula>SUBTOTAL(103,Tammikuu!$AC$7:$AC$11)</totalsRowFormula>
    </tableColumn>
    <tableColumn id="29" xr3:uid="{00000000-0010-0000-0000-00001D000000}" name="28" totalsRowFunction="custom" dataDxfId="825" totalsRowDxfId="824">
      <totalsRowFormula>SUBTOTAL(103,Tammikuu!$AD$7:$AD$11)</totalsRowFormula>
    </tableColumn>
    <tableColumn id="30" xr3:uid="{00000000-0010-0000-0000-00001E000000}" name="29" totalsRowFunction="custom" dataDxfId="823" totalsRowDxfId="822">
      <totalsRowFormula>SUBTOTAL(103,Tammikuu!$AE$7:$AE$11)</totalsRowFormula>
    </tableColumn>
    <tableColumn id="31" xr3:uid="{00000000-0010-0000-0000-00001F000000}" name="30" totalsRowFunction="custom" dataDxfId="821" totalsRowDxfId="820">
      <totalsRowFormula>SUBTOTAL(103,Tammikuu!$AF$7:$AF$11)</totalsRowFormula>
    </tableColumn>
    <tableColumn id="32" xr3:uid="{00000000-0010-0000-0000-000020000000}" name="31" totalsRowFunction="custom" dataDxfId="819" totalsRowDxfId="818">
      <totalsRowFormula>SUBTOTAL(103,Tammikuu!$AG$7:$AG$11)</totalsRowFormula>
    </tableColumn>
    <tableColumn id="33" xr3:uid="{00000000-0010-0000-0000-000021000000}" name="Päiviä yhteensä" totalsRowFunction="sum" dataDxfId="817" totalsRowDxfId="816">
      <calculatedColumnFormula>COUNTA(Tammikuu!$C7:$AG7)</calculatedColumnFormula>
    </tableColumn>
  </tableColumns>
  <tableStyleInfo name="Työntekijöiden poissaolotaulukko" showFirstColumn="1" showLastColumn="1" showRowStripes="1" showColumnStripes="0"/>
  <extLst>
    <ext xmlns:x14="http://schemas.microsoft.com/office/spreadsheetml/2009/9/main" uri="{504A1905-F514-4f6f-8877-14C23A59335A}">
      <x14:table altTextSummary="Anna työntekijöiden nimet ja poissaolopäivät. Kirjoita rivin 12 avaimen mukainen poissaolotyyppi: L = loma, S = sairaus, H = henkilökohtainen ja kaksi paikkamerkkiä mukautettuja kohtia varten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Lokakuu" displayName="Lokakuu" ref="B6:AH12" totalsRowCount="1" headerRowDxfId="216" dataDxfId="215" totalsRowDxfId="214">
  <tableColumns count="33">
    <tableColumn id="1" xr3:uid="{00000000-0010-0000-0900-000001000000}" name="Työntekijän nimi" totalsRowFunction="custom" dataDxfId="213" totalsRowDxfId="212" dataCellStyle="Työntekijä">
      <totalsRowFormula>Kuukauden_nimi&amp;" Yhteensä"</totalsRowFormula>
    </tableColumn>
    <tableColumn id="2" xr3:uid="{00000000-0010-0000-0900-000002000000}" name="1" totalsRowFunction="count" dataDxfId="211" totalsRowDxfId="210"/>
    <tableColumn id="3" xr3:uid="{00000000-0010-0000-0900-000003000000}" name="2" totalsRowFunction="count" dataDxfId="209" totalsRowDxfId="208"/>
    <tableColumn id="4" xr3:uid="{00000000-0010-0000-0900-000004000000}" name="3" totalsRowFunction="count" dataDxfId="207" totalsRowDxfId="206"/>
    <tableColumn id="5" xr3:uid="{00000000-0010-0000-0900-000005000000}" name="4" totalsRowFunction="count" dataDxfId="205" totalsRowDxfId="204"/>
    <tableColumn id="6" xr3:uid="{00000000-0010-0000-0900-000006000000}" name="5" totalsRowFunction="count" dataDxfId="203" totalsRowDxfId="202"/>
    <tableColumn id="7" xr3:uid="{00000000-0010-0000-0900-000007000000}" name="6" totalsRowFunction="count" dataDxfId="201" totalsRowDxfId="200"/>
    <tableColumn id="8" xr3:uid="{00000000-0010-0000-0900-000008000000}" name="7" totalsRowFunction="count" dataDxfId="199" totalsRowDxfId="198"/>
    <tableColumn id="9" xr3:uid="{00000000-0010-0000-0900-000009000000}" name="8" totalsRowFunction="count" dataDxfId="197" totalsRowDxfId="196"/>
    <tableColumn id="10" xr3:uid="{00000000-0010-0000-0900-00000A000000}" name="9" totalsRowFunction="count" dataDxfId="195" totalsRowDxfId="194"/>
    <tableColumn id="11" xr3:uid="{00000000-0010-0000-0900-00000B000000}" name="10" totalsRowFunction="count" dataDxfId="193" totalsRowDxfId="192"/>
    <tableColumn id="12" xr3:uid="{00000000-0010-0000-0900-00000C000000}" name="11" totalsRowFunction="count" dataDxfId="191" totalsRowDxfId="190"/>
    <tableColumn id="13" xr3:uid="{00000000-0010-0000-0900-00000D000000}" name="12" totalsRowFunction="count" dataDxfId="189" totalsRowDxfId="188"/>
    <tableColumn id="14" xr3:uid="{00000000-0010-0000-0900-00000E000000}" name="13" totalsRowFunction="count" dataDxfId="187" totalsRowDxfId="186"/>
    <tableColumn id="15" xr3:uid="{00000000-0010-0000-0900-00000F000000}" name="14" totalsRowFunction="count" dataDxfId="185" totalsRowDxfId="184"/>
    <tableColumn id="16" xr3:uid="{00000000-0010-0000-0900-000010000000}" name="15" totalsRowFunction="count" dataDxfId="183" totalsRowDxfId="182"/>
    <tableColumn id="17" xr3:uid="{00000000-0010-0000-0900-000011000000}" name="16" totalsRowFunction="count" dataDxfId="181" totalsRowDxfId="180"/>
    <tableColumn id="18" xr3:uid="{00000000-0010-0000-0900-000012000000}" name="17" totalsRowFunction="count" dataDxfId="179" totalsRowDxfId="178"/>
    <tableColumn id="19" xr3:uid="{00000000-0010-0000-0900-000013000000}" name="18" totalsRowFunction="count" dataDxfId="177" totalsRowDxfId="176"/>
    <tableColumn id="20" xr3:uid="{00000000-0010-0000-0900-000014000000}" name="19" totalsRowFunction="count" dataDxfId="175" totalsRowDxfId="174"/>
    <tableColumn id="21" xr3:uid="{00000000-0010-0000-0900-000015000000}" name="20" totalsRowFunction="count" dataDxfId="173" totalsRowDxfId="172"/>
    <tableColumn id="22" xr3:uid="{00000000-0010-0000-0900-000016000000}" name="21" totalsRowFunction="count" dataDxfId="171" totalsRowDxfId="170"/>
    <tableColumn id="23" xr3:uid="{00000000-0010-0000-0900-000017000000}" name="22" totalsRowFunction="count" dataDxfId="169" totalsRowDxfId="168"/>
    <tableColumn id="24" xr3:uid="{00000000-0010-0000-0900-000018000000}" name="23" totalsRowFunction="count" dataDxfId="167" totalsRowDxfId="166"/>
    <tableColumn id="25" xr3:uid="{00000000-0010-0000-0900-000019000000}" name="24" totalsRowFunction="count" dataDxfId="165" totalsRowDxfId="164"/>
    <tableColumn id="26" xr3:uid="{00000000-0010-0000-0900-00001A000000}" name="25" totalsRowFunction="count" dataDxfId="163" totalsRowDxfId="162"/>
    <tableColumn id="27" xr3:uid="{00000000-0010-0000-0900-00001B000000}" name="26" totalsRowFunction="count" dataDxfId="161" totalsRowDxfId="160"/>
    <tableColumn id="28" xr3:uid="{00000000-0010-0000-0900-00001C000000}" name="27" totalsRowFunction="count" dataDxfId="159" totalsRowDxfId="158"/>
    <tableColumn id="29" xr3:uid="{00000000-0010-0000-0900-00001D000000}" name="28" totalsRowFunction="count" dataDxfId="157" totalsRowDxfId="156"/>
    <tableColumn id="30" xr3:uid="{00000000-0010-0000-0900-00001E000000}" name="29" totalsRowFunction="count" dataDxfId="155" totalsRowDxfId="154"/>
    <tableColumn id="31" xr3:uid="{00000000-0010-0000-0900-00001F000000}" name="30" totalsRowFunction="count" dataDxfId="153" totalsRowDxfId="152"/>
    <tableColumn id="32" xr3:uid="{00000000-0010-0000-0900-000020000000}" name="31" totalsRowFunction="count" dataDxfId="151" totalsRowDxfId="150"/>
    <tableColumn id="33" xr3:uid="{00000000-0010-0000-0900-000021000000}" name="Päiviä yhteensä" totalsRowFunction="sum" dataDxfId="149" totalsRowDxfId="148">
      <calculatedColumnFormula>COUNTA(Lokakuu[[#This Row],[1]:[31]])</calculatedColumnFormula>
    </tableColumn>
  </tableColumns>
  <tableStyleInfo name="Työntekijöiden poissaolotaulukko" showFirstColumn="1" showLastColumn="1" showRowStripes="1" showColumnStripes="0"/>
  <extLst>
    <ext xmlns:x14="http://schemas.microsoft.com/office/spreadsheetml/2009/9/main" uri="{504A1905-F514-4f6f-8877-14C23A59335A}">
      <x14:table altTextSummary="Anna työntekijöiden nimet ja poissaolopäivät. Kirjoita rivin 12 avaimen mukainen poissaolotyyppi: L = loma, S = sairaus, H = henkilökohtainen ja kaksi paikkamerkkiä mukautettuja kohtia varten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Marraskuu" displayName="Marraskuu" ref="B6:AH12" totalsRowCount="1" headerRowDxfId="142" dataDxfId="141" totalsRowDxfId="140">
  <tableColumns count="33">
    <tableColumn id="1" xr3:uid="{00000000-0010-0000-0A00-000001000000}" name="Työntekijän nimi" totalsRowFunction="custom" dataDxfId="139" totalsRowDxfId="138" dataCellStyle="Työntekijä">
      <totalsRowFormula>Kuukauden_nimi&amp;" Yhteensä"</totalsRowFormula>
    </tableColumn>
    <tableColumn id="2" xr3:uid="{00000000-0010-0000-0A00-000002000000}" name="1" totalsRowFunction="count" dataDxfId="137" totalsRowDxfId="136"/>
    <tableColumn id="3" xr3:uid="{00000000-0010-0000-0A00-000003000000}" name="2" totalsRowFunction="count" dataDxfId="135" totalsRowDxfId="134"/>
    <tableColumn id="4" xr3:uid="{00000000-0010-0000-0A00-000004000000}" name="3" totalsRowFunction="count" dataDxfId="133" totalsRowDxfId="132"/>
    <tableColumn id="5" xr3:uid="{00000000-0010-0000-0A00-000005000000}" name="4" totalsRowFunction="count" dataDxfId="131" totalsRowDxfId="130"/>
    <tableColumn id="6" xr3:uid="{00000000-0010-0000-0A00-000006000000}" name="5" totalsRowFunction="count" dataDxfId="129" totalsRowDxfId="128"/>
    <tableColumn id="7" xr3:uid="{00000000-0010-0000-0A00-000007000000}" name="6" totalsRowFunction="count" dataDxfId="127" totalsRowDxfId="126"/>
    <tableColumn id="8" xr3:uid="{00000000-0010-0000-0A00-000008000000}" name="7" totalsRowFunction="count" dataDxfId="125" totalsRowDxfId="124"/>
    <tableColumn id="9" xr3:uid="{00000000-0010-0000-0A00-000009000000}" name="8" totalsRowFunction="count" dataDxfId="123" totalsRowDxfId="122"/>
    <tableColumn id="10" xr3:uid="{00000000-0010-0000-0A00-00000A000000}" name="9" totalsRowFunction="count" dataDxfId="121" totalsRowDxfId="120"/>
    <tableColumn id="11" xr3:uid="{00000000-0010-0000-0A00-00000B000000}" name="10" totalsRowFunction="count" dataDxfId="119" totalsRowDxfId="118"/>
    <tableColumn id="12" xr3:uid="{00000000-0010-0000-0A00-00000C000000}" name="11" totalsRowFunction="count" dataDxfId="117" totalsRowDxfId="116"/>
    <tableColumn id="13" xr3:uid="{00000000-0010-0000-0A00-00000D000000}" name="12" totalsRowFunction="count" dataDxfId="115" totalsRowDxfId="114"/>
    <tableColumn id="14" xr3:uid="{00000000-0010-0000-0A00-00000E000000}" name="13" totalsRowFunction="count" dataDxfId="113" totalsRowDxfId="112"/>
    <tableColumn id="15" xr3:uid="{00000000-0010-0000-0A00-00000F000000}" name="14" totalsRowFunction="count" dataDxfId="111" totalsRowDxfId="110"/>
    <tableColumn id="16" xr3:uid="{00000000-0010-0000-0A00-000010000000}" name="15" totalsRowFunction="count" dataDxfId="109" totalsRowDxfId="108"/>
    <tableColumn id="17" xr3:uid="{00000000-0010-0000-0A00-000011000000}" name="16" totalsRowFunction="count" dataDxfId="107" totalsRowDxfId="106"/>
    <tableColumn id="18" xr3:uid="{00000000-0010-0000-0A00-000012000000}" name="17" totalsRowFunction="count" dataDxfId="105" totalsRowDxfId="104"/>
    <tableColumn id="19" xr3:uid="{00000000-0010-0000-0A00-000013000000}" name="18" totalsRowFunction="count" dataDxfId="103" totalsRowDxfId="102"/>
    <tableColumn id="20" xr3:uid="{00000000-0010-0000-0A00-000014000000}" name="19" totalsRowFunction="count" dataDxfId="101" totalsRowDxfId="100"/>
    <tableColumn id="21" xr3:uid="{00000000-0010-0000-0A00-000015000000}" name="20" totalsRowFunction="count" dataDxfId="99" totalsRowDxfId="98"/>
    <tableColumn id="22" xr3:uid="{00000000-0010-0000-0A00-000016000000}" name="21" totalsRowFunction="count" dataDxfId="97" totalsRowDxfId="96"/>
    <tableColumn id="23" xr3:uid="{00000000-0010-0000-0A00-000017000000}" name="22" totalsRowFunction="count" dataDxfId="95" totalsRowDxfId="94"/>
    <tableColumn id="24" xr3:uid="{00000000-0010-0000-0A00-000018000000}" name="23" totalsRowFunction="count" dataDxfId="93" totalsRowDxfId="92"/>
    <tableColumn id="25" xr3:uid="{00000000-0010-0000-0A00-000019000000}" name="24" totalsRowFunction="count" dataDxfId="91" totalsRowDxfId="90"/>
    <tableColumn id="26" xr3:uid="{00000000-0010-0000-0A00-00001A000000}" name="25" totalsRowFunction="count" dataDxfId="89" totalsRowDxfId="88"/>
    <tableColumn id="27" xr3:uid="{00000000-0010-0000-0A00-00001B000000}" name="26" totalsRowFunction="count" dataDxfId="87" totalsRowDxfId="86"/>
    <tableColumn id="28" xr3:uid="{00000000-0010-0000-0A00-00001C000000}" name="27" totalsRowFunction="count" dataDxfId="85" totalsRowDxfId="84"/>
    <tableColumn id="29" xr3:uid="{00000000-0010-0000-0A00-00001D000000}" name="28" totalsRowFunction="count" dataDxfId="83" totalsRowDxfId="82"/>
    <tableColumn id="30" xr3:uid="{00000000-0010-0000-0A00-00001E000000}" name="29" totalsRowFunction="count" dataDxfId="81" totalsRowDxfId="80"/>
    <tableColumn id="31" xr3:uid="{00000000-0010-0000-0A00-00001F000000}" name="30" totalsRowFunction="count" dataDxfId="79" totalsRowDxfId="78"/>
    <tableColumn id="32" xr3:uid="{00000000-0010-0000-0A00-000020000000}" name=" " totalsRowFunction="count" dataDxfId="77" totalsRowDxfId="76"/>
    <tableColumn id="33" xr3:uid="{00000000-0010-0000-0A00-000021000000}" name="Päiviä yhteensä" totalsRowFunction="sum" dataDxfId="75" totalsRowDxfId="74">
      <calculatedColumnFormula>COUNTA(Marraskuu[[#This Row],[1]:[30]])</calculatedColumnFormula>
    </tableColumn>
  </tableColumns>
  <tableStyleInfo name="Työntekijöiden poissaolotaulukko" showFirstColumn="1" showLastColumn="1" showRowStripes="1" showColumnStripes="0"/>
  <extLst>
    <ext xmlns:x14="http://schemas.microsoft.com/office/spreadsheetml/2009/9/main" uri="{504A1905-F514-4f6f-8877-14C23A59335A}">
      <x14:table altTextSummary="Anna työntekijöiden nimet ja poissaolopäivät. Kirjoita rivin 12 avaimen mukainen poissaolotyyppi: L = loma, S = sairaus, H = henkilökohtainen ja kaksi paikkamerkkiä mukautettuja kohtia varten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Joulukuu" displayName="Joulukuu" ref="B6:AH12" totalsRowCount="1" headerRowDxfId="68" dataDxfId="67" totalsRowDxfId="66">
  <tableColumns count="33">
    <tableColumn id="1" xr3:uid="{00000000-0010-0000-0B00-000001000000}" name="Työntekijän nimi" totalsRowFunction="custom" dataDxfId="65" totalsRowDxfId="64" dataCellStyle="Työntekijä">
      <totalsRowFormula>Kuukauden_nimi&amp;" Yhteensä"</totalsRowFormula>
    </tableColumn>
    <tableColumn id="2" xr3:uid="{00000000-0010-0000-0B00-000002000000}" name="1" totalsRowFunction="count" dataDxfId="63" totalsRowDxfId="62"/>
    <tableColumn id="3" xr3:uid="{00000000-0010-0000-0B00-000003000000}" name="2" totalsRowFunction="count" dataDxfId="61" totalsRowDxfId="60"/>
    <tableColumn id="4" xr3:uid="{00000000-0010-0000-0B00-000004000000}" name="3" totalsRowFunction="count" dataDxfId="59" totalsRowDxfId="58"/>
    <tableColumn id="5" xr3:uid="{00000000-0010-0000-0B00-000005000000}" name="4" totalsRowFunction="count" dataDxfId="57" totalsRowDxfId="56"/>
    <tableColumn id="6" xr3:uid="{00000000-0010-0000-0B00-000006000000}" name="5" totalsRowFunction="count" dataDxfId="55" totalsRowDxfId="54"/>
    <tableColumn id="7" xr3:uid="{00000000-0010-0000-0B00-000007000000}" name="6" totalsRowFunction="count" dataDxfId="53" totalsRowDxfId="52"/>
    <tableColumn id="8" xr3:uid="{00000000-0010-0000-0B00-000008000000}" name="7" totalsRowFunction="count" dataDxfId="51" totalsRowDxfId="50"/>
    <tableColumn id="9" xr3:uid="{00000000-0010-0000-0B00-000009000000}" name="8" totalsRowFunction="count" dataDxfId="49" totalsRowDxfId="48"/>
    <tableColumn id="10" xr3:uid="{00000000-0010-0000-0B00-00000A000000}" name="9" totalsRowFunction="count" dataDxfId="47" totalsRowDxfId="46"/>
    <tableColumn id="11" xr3:uid="{00000000-0010-0000-0B00-00000B000000}" name="10" totalsRowFunction="count" dataDxfId="45" totalsRowDxfId="44"/>
    <tableColumn id="12" xr3:uid="{00000000-0010-0000-0B00-00000C000000}" name="11" totalsRowFunction="count" dataDxfId="43" totalsRowDxfId="42"/>
    <tableColumn id="13" xr3:uid="{00000000-0010-0000-0B00-00000D000000}" name="12" totalsRowFunction="count" dataDxfId="41" totalsRowDxfId="40"/>
    <tableColumn id="14" xr3:uid="{00000000-0010-0000-0B00-00000E000000}" name="13" totalsRowFunction="count" dataDxfId="39" totalsRowDxfId="38"/>
    <tableColumn id="15" xr3:uid="{00000000-0010-0000-0B00-00000F000000}" name="14" totalsRowFunction="count" dataDxfId="37" totalsRowDxfId="36"/>
    <tableColumn id="16" xr3:uid="{00000000-0010-0000-0B00-000010000000}" name="15" totalsRowFunction="count" dataDxfId="35" totalsRowDxfId="34"/>
    <tableColumn id="17" xr3:uid="{00000000-0010-0000-0B00-000011000000}" name="16" totalsRowFunction="count" dataDxfId="33" totalsRowDxfId="32"/>
    <tableColumn id="18" xr3:uid="{00000000-0010-0000-0B00-000012000000}" name="17" totalsRowFunction="count" dataDxfId="31" totalsRowDxfId="30"/>
    <tableColumn id="19" xr3:uid="{00000000-0010-0000-0B00-000013000000}" name="18" totalsRowFunction="count" dataDxfId="29" totalsRowDxfId="28"/>
    <tableColumn id="20" xr3:uid="{00000000-0010-0000-0B00-000014000000}" name="19" totalsRowFunction="count" dataDxfId="27" totalsRowDxfId="26"/>
    <tableColumn id="21" xr3:uid="{00000000-0010-0000-0B00-000015000000}" name="20" totalsRowFunction="count" dataDxfId="25" totalsRowDxfId="24"/>
    <tableColumn id="22" xr3:uid="{00000000-0010-0000-0B00-000016000000}" name="21" totalsRowFunction="count" dataDxfId="23" totalsRowDxfId="22"/>
    <tableColumn id="23" xr3:uid="{00000000-0010-0000-0B00-000017000000}" name="22" totalsRowFunction="count" dataDxfId="21" totalsRowDxfId="20"/>
    <tableColumn id="24" xr3:uid="{00000000-0010-0000-0B00-000018000000}" name="23" totalsRowFunction="count" dataDxfId="19" totalsRowDxfId="18"/>
    <tableColumn id="25" xr3:uid="{00000000-0010-0000-0B00-000019000000}" name="24" totalsRowFunction="count" dataDxfId="17" totalsRowDxfId="16"/>
    <tableColumn id="26" xr3:uid="{00000000-0010-0000-0B00-00001A000000}" name="25" totalsRowFunction="count" dataDxfId="15" totalsRowDxfId="14"/>
    <tableColumn id="27" xr3:uid="{00000000-0010-0000-0B00-00001B000000}" name="26" totalsRowFunction="count" dataDxfId="13" totalsRowDxfId="12"/>
    <tableColumn id="28" xr3:uid="{00000000-0010-0000-0B00-00001C000000}" name="27" totalsRowFunction="count" dataDxfId="11" totalsRowDxfId="10"/>
    <tableColumn id="29" xr3:uid="{00000000-0010-0000-0B00-00001D000000}" name="28" totalsRowFunction="count" dataDxfId="9" totalsRowDxfId="8"/>
    <tableColumn id="30" xr3:uid="{00000000-0010-0000-0B00-00001E000000}" name="29" totalsRowFunction="count" dataDxfId="7" totalsRowDxfId="6"/>
    <tableColumn id="31" xr3:uid="{00000000-0010-0000-0B00-00001F000000}" name="30" totalsRowFunction="count" dataDxfId="5" totalsRowDxfId="4"/>
    <tableColumn id="32" xr3:uid="{00000000-0010-0000-0B00-000020000000}" name="31" totalsRowFunction="count" dataDxfId="3" totalsRowDxfId="2"/>
    <tableColumn id="33" xr3:uid="{00000000-0010-0000-0B00-000021000000}" name="Päiviä yhteensä" totalsRowFunction="sum" dataDxfId="1" totalsRowDxfId="0">
      <calculatedColumnFormula>COUNTA(Joulukuu[[#This Row],[1]:[31]])</calculatedColumnFormula>
    </tableColumn>
  </tableColumns>
  <tableStyleInfo name="Työntekijöiden poissaolotaulukko" showFirstColumn="1" showLastColumn="1" showRowStripes="1" showColumnStripes="0"/>
  <extLst>
    <ext xmlns:x14="http://schemas.microsoft.com/office/spreadsheetml/2009/9/main" uri="{504A1905-F514-4f6f-8877-14C23A59335A}">
      <x14:table altTextSummary="Tuottaa nimiluettelon ja kalenteripäivät työntekijän poissaoloista ja poissaolotyypeistä (L = loma, S = sairaus, H = henkilökohtainen) ja kaksi paikkamerkkiä mukautettuja kohtia varten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yöntekijän_nimi" displayName="Työntekijän_nimi" ref="B3:B8" totalsRowShown="0">
  <autoFilter ref="B3:B8" xr:uid="{00000000-0009-0000-0100-00000D000000}"/>
  <tableColumns count="1">
    <tableColumn id="1" xr3:uid="{00000000-0010-0000-0C00-000001000000}" name="Työntekijöiden nimet" dataCellStyle="Työntekijä"/>
  </tableColumns>
  <tableStyleInfo name="Työntekijöiden poissaolotaulukko" showFirstColumn="1" showLastColumn="1" showRowStripes="1" showColumnStripes="0"/>
  <extLst>
    <ext xmlns:x14="http://schemas.microsoft.com/office/spreadsheetml/2009/9/main" uri="{504A1905-F514-4f6f-8877-14C23A59335A}">
      <x14:table altTextSummary="Anna työntekijöiden nimet tähän taulukkoon. Näitä nimiä käytetään vaihtoehtoina jokaisen kuukauden poissaoloaikataulun sarakkeessa B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elmikuu" displayName="Helmikuu" ref="B6:AH12" totalsRowCount="1" headerRowDxfId="808" dataDxfId="807" totalsRowDxfId="806">
  <tableColumns count="33">
    <tableColumn id="1" xr3:uid="{00000000-0010-0000-0100-000001000000}" name="Työntekijän nimi" totalsRowFunction="custom" dataDxfId="805" totalsRowDxfId="804" dataCellStyle="Työntekijä">
      <totalsRowFormula>Kuukauden_nimi&amp;" Yhteensä"</totalsRowFormula>
    </tableColumn>
    <tableColumn id="2" xr3:uid="{00000000-0010-0000-0100-000002000000}" name="1" totalsRowFunction="count" dataDxfId="803" totalsRowDxfId="802"/>
    <tableColumn id="3" xr3:uid="{00000000-0010-0000-0100-000003000000}" name="2" totalsRowFunction="count" dataDxfId="801" totalsRowDxfId="800"/>
    <tableColumn id="4" xr3:uid="{00000000-0010-0000-0100-000004000000}" name="3" totalsRowFunction="count" dataDxfId="799" totalsRowDxfId="798"/>
    <tableColumn id="5" xr3:uid="{00000000-0010-0000-0100-000005000000}" name="4" totalsRowFunction="count" dataDxfId="797" totalsRowDxfId="796"/>
    <tableColumn id="6" xr3:uid="{00000000-0010-0000-0100-000006000000}" name="5" totalsRowFunction="count" dataDxfId="795" totalsRowDxfId="794"/>
    <tableColumn id="7" xr3:uid="{00000000-0010-0000-0100-000007000000}" name="6" totalsRowFunction="count" dataDxfId="793" totalsRowDxfId="792"/>
    <tableColumn id="8" xr3:uid="{00000000-0010-0000-0100-000008000000}" name="7" totalsRowFunction="count" dataDxfId="791" totalsRowDxfId="790"/>
    <tableColumn id="9" xr3:uid="{00000000-0010-0000-0100-000009000000}" name="8" totalsRowFunction="count" dataDxfId="789" totalsRowDxfId="788"/>
    <tableColumn id="10" xr3:uid="{00000000-0010-0000-0100-00000A000000}" name="9" totalsRowFunction="count" dataDxfId="787" totalsRowDxfId="786"/>
    <tableColumn id="11" xr3:uid="{00000000-0010-0000-0100-00000B000000}" name="10" totalsRowFunction="count" dataDxfId="785" totalsRowDxfId="784"/>
    <tableColumn id="12" xr3:uid="{00000000-0010-0000-0100-00000C000000}" name="11" totalsRowFunction="count" dataDxfId="783" totalsRowDxfId="782"/>
    <tableColumn id="13" xr3:uid="{00000000-0010-0000-0100-00000D000000}" name="12" totalsRowFunction="count" dataDxfId="781" totalsRowDxfId="780"/>
    <tableColumn id="14" xr3:uid="{00000000-0010-0000-0100-00000E000000}" name="13" totalsRowFunction="count" dataDxfId="779" totalsRowDxfId="778"/>
    <tableColumn id="15" xr3:uid="{00000000-0010-0000-0100-00000F000000}" name="14" totalsRowFunction="count" dataDxfId="777" totalsRowDxfId="776"/>
    <tableColumn id="16" xr3:uid="{00000000-0010-0000-0100-000010000000}" name="15" totalsRowFunction="count" dataDxfId="775" totalsRowDxfId="774"/>
    <tableColumn id="17" xr3:uid="{00000000-0010-0000-0100-000011000000}" name="16" totalsRowFunction="count" dataDxfId="773" totalsRowDxfId="772"/>
    <tableColumn id="18" xr3:uid="{00000000-0010-0000-0100-000012000000}" name="17" totalsRowFunction="count" dataDxfId="771" totalsRowDxfId="770"/>
    <tableColumn id="19" xr3:uid="{00000000-0010-0000-0100-000013000000}" name="18" totalsRowFunction="count" dataDxfId="769" totalsRowDxfId="768"/>
    <tableColumn id="20" xr3:uid="{00000000-0010-0000-0100-000014000000}" name="19" totalsRowFunction="count" dataDxfId="767" totalsRowDxfId="766"/>
    <tableColumn id="21" xr3:uid="{00000000-0010-0000-0100-000015000000}" name="20" totalsRowFunction="count" dataDxfId="765" totalsRowDxfId="764"/>
    <tableColumn id="22" xr3:uid="{00000000-0010-0000-0100-000016000000}" name="21" totalsRowFunction="count" dataDxfId="763" totalsRowDxfId="762"/>
    <tableColumn id="23" xr3:uid="{00000000-0010-0000-0100-000017000000}" name="22" totalsRowFunction="count" dataDxfId="761" totalsRowDxfId="760"/>
    <tableColumn id="24" xr3:uid="{00000000-0010-0000-0100-000018000000}" name="23" totalsRowFunction="count" dataDxfId="759" totalsRowDxfId="758"/>
    <tableColumn id="25" xr3:uid="{00000000-0010-0000-0100-000019000000}" name="24" totalsRowFunction="count" dataDxfId="757" totalsRowDxfId="756"/>
    <tableColumn id="26" xr3:uid="{00000000-0010-0000-0100-00001A000000}" name="25" totalsRowFunction="count" dataDxfId="755" totalsRowDxfId="754"/>
    <tableColumn id="27" xr3:uid="{00000000-0010-0000-0100-00001B000000}" name="26" totalsRowFunction="count" dataDxfId="753" totalsRowDxfId="752"/>
    <tableColumn id="28" xr3:uid="{00000000-0010-0000-0100-00001C000000}" name="27" totalsRowFunction="count" dataDxfId="751" totalsRowDxfId="750"/>
    <tableColumn id="29" xr3:uid="{00000000-0010-0000-0100-00001D000000}" name="28" totalsRowFunction="count" dataDxfId="749" totalsRowDxfId="748"/>
    <tableColumn id="30" xr3:uid="{00000000-0010-0000-0100-00001E000000}" name="29" totalsRowFunction="count" dataDxfId="747" totalsRowDxfId="746"/>
    <tableColumn id="31" xr3:uid="{00000000-0010-0000-0100-00001F000000}" name=" " dataDxfId="745" totalsRowDxfId="744"/>
    <tableColumn id="32" xr3:uid="{00000000-0010-0000-0100-000020000000}" name="  " dataDxfId="743" totalsRowDxfId="742"/>
    <tableColumn id="33" xr3:uid="{00000000-0010-0000-0100-000021000000}" name="Päiviä yhteensä" totalsRowFunction="sum" dataDxfId="741" totalsRowDxfId="740">
      <calculatedColumnFormula>COUNTA(Helmikuu[[#This Row],[1]:[29]])</calculatedColumnFormula>
    </tableColumn>
  </tableColumns>
  <tableStyleInfo name="Työntekijöiden poissaolotaulukko" showFirstColumn="1" showLastColumn="1" showRowStripes="1" showColumnStripes="0"/>
  <extLst>
    <ext xmlns:x14="http://schemas.microsoft.com/office/spreadsheetml/2009/9/main" uri="{504A1905-F514-4f6f-8877-14C23A59335A}">
      <x14:table altTextSummary="Anna työntekijöiden nimet ja poissaolopäivät. Kirjoita rivin 12 avaimen mukainen poissaolotyyppi: L = loma, S = sairaus, H = henkilökohtainen ja kaksi paikkamerkkiä mukautettuja kohtia vart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Maaliskuu" displayName="Maaliskuu" ref="B6:AH12" totalsRowCount="1" headerRowDxfId="734" dataDxfId="733" totalsRowDxfId="732">
  <tableColumns count="33">
    <tableColumn id="1" xr3:uid="{00000000-0010-0000-0200-000001000000}" name="Työntekijän nimi" totalsRowFunction="custom" dataDxfId="731" totalsRowDxfId="730" dataCellStyle="Työntekijä">
      <totalsRowFormula>Kuukauden_nimi&amp;" Yhteensä"</totalsRowFormula>
    </tableColumn>
    <tableColumn id="2" xr3:uid="{00000000-0010-0000-0200-000002000000}" name="1" totalsRowFunction="count" dataDxfId="729" totalsRowDxfId="728"/>
    <tableColumn id="3" xr3:uid="{00000000-0010-0000-0200-000003000000}" name="2" totalsRowFunction="count" dataDxfId="727" totalsRowDxfId="726"/>
    <tableColumn id="4" xr3:uid="{00000000-0010-0000-0200-000004000000}" name="3" totalsRowFunction="count" dataDxfId="725" totalsRowDxfId="724"/>
    <tableColumn id="5" xr3:uid="{00000000-0010-0000-0200-000005000000}" name="4" totalsRowFunction="count" dataDxfId="723" totalsRowDxfId="722"/>
    <tableColumn id="6" xr3:uid="{00000000-0010-0000-0200-000006000000}" name="5" totalsRowFunction="count" dataDxfId="721" totalsRowDxfId="720"/>
    <tableColumn id="7" xr3:uid="{00000000-0010-0000-0200-000007000000}" name="6" totalsRowFunction="count" dataDxfId="719" totalsRowDxfId="718"/>
    <tableColumn id="8" xr3:uid="{00000000-0010-0000-0200-000008000000}" name="7" totalsRowFunction="count" dataDxfId="717" totalsRowDxfId="716"/>
    <tableColumn id="9" xr3:uid="{00000000-0010-0000-0200-000009000000}" name="8" totalsRowFunction="count" dataDxfId="715" totalsRowDxfId="714"/>
    <tableColumn id="10" xr3:uid="{00000000-0010-0000-0200-00000A000000}" name="9" totalsRowFunction="count" dataDxfId="713" totalsRowDxfId="712"/>
    <tableColumn id="11" xr3:uid="{00000000-0010-0000-0200-00000B000000}" name="10" totalsRowFunction="count" dataDxfId="711" totalsRowDxfId="710"/>
    <tableColumn id="12" xr3:uid="{00000000-0010-0000-0200-00000C000000}" name="11" totalsRowFunction="count" dataDxfId="709" totalsRowDxfId="708"/>
    <tableColumn id="13" xr3:uid="{00000000-0010-0000-0200-00000D000000}" name="12" totalsRowFunction="count" dataDxfId="707" totalsRowDxfId="706"/>
    <tableColumn id="14" xr3:uid="{00000000-0010-0000-0200-00000E000000}" name="13" totalsRowFunction="count" dataDxfId="705" totalsRowDxfId="704"/>
    <tableColumn id="15" xr3:uid="{00000000-0010-0000-0200-00000F000000}" name="14" totalsRowFunction="count" dataDxfId="703" totalsRowDxfId="702"/>
    <tableColumn id="16" xr3:uid="{00000000-0010-0000-0200-000010000000}" name="15" totalsRowFunction="count" dataDxfId="701" totalsRowDxfId="700"/>
    <tableColumn id="17" xr3:uid="{00000000-0010-0000-0200-000011000000}" name="16" totalsRowFunction="count" dataDxfId="699" totalsRowDxfId="698"/>
    <tableColumn id="18" xr3:uid="{00000000-0010-0000-0200-000012000000}" name="17" totalsRowFunction="count" dataDxfId="697" totalsRowDxfId="696"/>
    <tableColumn id="19" xr3:uid="{00000000-0010-0000-0200-000013000000}" name="18" totalsRowFunction="count" dataDxfId="695" totalsRowDxfId="694"/>
    <tableColumn id="20" xr3:uid="{00000000-0010-0000-0200-000014000000}" name="19" totalsRowFunction="count" dataDxfId="693" totalsRowDxfId="692"/>
    <tableColumn id="21" xr3:uid="{00000000-0010-0000-0200-000015000000}" name="20" totalsRowFunction="count" dataDxfId="691" totalsRowDxfId="690"/>
    <tableColumn id="22" xr3:uid="{00000000-0010-0000-0200-000016000000}" name="21" totalsRowFunction="count" dataDxfId="689" totalsRowDxfId="688"/>
    <tableColumn id="23" xr3:uid="{00000000-0010-0000-0200-000017000000}" name="22" totalsRowFunction="count" dataDxfId="687" totalsRowDxfId="686"/>
    <tableColumn id="24" xr3:uid="{00000000-0010-0000-0200-000018000000}" name="23" totalsRowFunction="count" dataDxfId="685" totalsRowDxfId="684"/>
    <tableColumn id="25" xr3:uid="{00000000-0010-0000-0200-000019000000}" name="24" totalsRowFunction="count" dataDxfId="683" totalsRowDxfId="682"/>
    <tableColumn id="26" xr3:uid="{00000000-0010-0000-0200-00001A000000}" name="25" totalsRowFunction="count" dataDxfId="681" totalsRowDxfId="680"/>
    <tableColumn id="27" xr3:uid="{00000000-0010-0000-0200-00001B000000}" name="26" totalsRowFunction="count" dataDxfId="679" totalsRowDxfId="678"/>
    <tableColumn id="28" xr3:uid="{00000000-0010-0000-0200-00001C000000}" name="27" totalsRowFunction="count" dataDxfId="677" totalsRowDxfId="676"/>
    <tableColumn id="29" xr3:uid="{00000000-0010-0000-0200-00001D000000}" name="28" totalsRowFunction="count" dataDxfId="675" totalsRowDxfId="674"/>
    <tableColumn id="30" xr3:uid="{00000000-0010-0000-0200-00001E000000}" name="29" totalsRowFunction="count" dataDxfId="673" totalsRowDxfId="672"/>
    <tableColumn id="31" xr3:uid="{00000000-0010-0000-0200-00001F000000}" name="30" totalsRowFunction="count" dataDxfId="671" totalsRowDxfId="670"/>
    <tableColumn id="32" xr3:uid="{00000000-0010-0000-0200-000020000000}" name="31" totalsRowFunction="count" dataDxfId="669" totalsRowDxfId="668"/>
    <tableColumn id="33" xr3:uid="{00000000-0010-0000-0200-000021000000}" name="Päiviä yhteensä" totalsRowFunction="sum" dataDxfId="667" totalsRowDxfId="666">
      <calculatedColumnFormula>COUNTA(Maaliskuu[[#This Row],[1]:[31]])</calculatedColumnFormula>
    </tableColumn>
  </tableColumns>
  <tableStyleInfo name="Työntekijöiden poissaolotaulukko" showFirstColumn="1" showLastColumn="1" showRowStripes="1" showColumnStripes="0"/>
  <extLst>
    <ext xmlns:x14="http://schemas.microsoft.com/office/spreadsheetml/2009/9/main" uri="{504A1905-F514-4f6f-8877-14C23A59335A}">
      <x14:table altTextSummary="Anna työntekijöiden nimet ja poissaolopäivät. Kirjoita rivin 12 avaimen mukainen poissaolotyyppi: L = loma, S = sairaus, H = henkilökohtainen ja kaksi paikkamerkkiä mukautettuja kohtia vart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Huhtikuu" displayName="Huhtikuu" ref="B6:AH12" totalsRowCount="1" headerRowDxfId="660" dataDxfId="659" totalsRowDxfId="658">
  <tableColumns count="33">
    <tableColumn id="1" xr3:uid="{00000000-0010-0000-0300-000001000000}" name="Työntekijän nimi" totalsRowFunction="custom" dataDxfId="657" totalsRowDxfId="656" dataCellStyle="Työntekijä">
      <totalsRowFormula>Kuukauden_nimi&amp;" Yhteensä"</totalsRowFormula>
    </tableColumn>
    <tableColumn id="2" xr3:uid="{00000000-0010-0000-0300-000002000000}" name="1" totalsRowFunction="count" dataDxfId="655" totalsRowDxfId="654"/>
    <tableColumn id="3" xr3:uid="{00000000-0010-0000-0300-000003000000}" name="2" totalsRowFunction="count" dataDxfId="653" totalsRowDxfId="652"/>
    <tableColumn id="4" xr3:uid="{00000000-0010-0000-0300-000004000000}" name="3" totalsRowFunction="count" dataDxfId="651" totalsRowDxfId="650"/>
    <tableColumn id="5" xr3:uid="{00000000-0010-0000-0300-000005000000}" name="4" totalsRowFunction="count" dataDxfId="649" totalsRowDxfId="648"/>
    <tableColumn id="6" xr3:uid="{00000000-0010-0000-0300-000006000000}" name="5" totalsRowFunction="count" dataDxfId="647" totalsRowDxfId="646"/>
    <tableColumn id="7" xr3:uid="{00000000-0010-0000-0300-000007000000}" name="6" totalsRowFunction="count" dataDxfId="645" totalsRowDxfId="644"/>
    <tableColumn id="8" xr3:uid="{00000000-0010-0000-0300-000008000000}" name="7" totalsRowFunction="count" dataDxfId="643" totalsRowDxfId="642"/>
    <tableColumn id="9" xr3:uid="{00000000-0010-0000-0300-000009000000}" name="8" totalsRowFunction="count" dataDxfId="641" totalsRowDxfId="640"/>
    <tableColumn id="10" xr3:uid="{00000000-0010-0000-0300-00000A000000}" name="9" totalsRowFunction="count" dataDxfId="639" totalsRowDxfId="638"/>
    <tableColumn id="11" xr3:uid="{00000000-0010-0000-0300-00000B000000}" name="10" totalsRowFunction="count" dataDxfId="637" totalsRowDxfId="636"/>
    <tableColumn id="12" xr3:uid="{00000000-0010-0000-0300-00000C000000}" name="11" totalsRowFunction="count" dataDxfId="635" totalsRowDxfId="634"/>
    <tableColumn id="13" xr3:uid="{00000000-0010-0000-0300-00000D000000}" name="12" totalsRowFunction="count" dataDxfId="633" totalsRowDxfId="632"/>
    <tableColumn id="14" xr3:uid="{00000000-0010-0000-0300-00000E000000}" name="13" totalsRowFunction="count" dataDxfId="631" totalsRowDxfId="630"/>
    <tableColumn id="15" xr3:uid="{00000000-0010-0000-0300-00000F000000}" name="14" totalsRowFunction="count" dataDxfId="629" totalsRowDxfId="628"/>
    <tableColumn id="16" xr3:uid="{00000000-0010-0000-0300-000010000000}" name="15" totalsRowFunction="count" dataDxfId="627" totalsRowDxfId="626"/>
    <tableColumn id="17" xr3:uid="{00000000-0010-0000-0300-000011000000}" name="16" totalsRowFunction="count" dataDxfId="625" totalsRowDxfId="624"/>
    <tableColumn id="18" xr3:uid="{00000000-0010-0000-0300-000012000000}" name="17" totalsRowFunction="count" dataDxfId="623" totalsRowDxfId="622"/>
    <tableColumn id="19" xr3:uid="{00000000-0010-0000-0300-000013000000}" name="18" totalsRowFunction="count" dataDxfId="621" totalsRowDxfId="620"/>
    <tableColumn id="20" xr3:uid="{00000000-0010-0000-0300-000014000000}" name="19" totalsRowFunction="count" dataDxfId="619" totalsRowDxfId="618"/>
    <tableColumn id="21" xr3:uid="{00000000-0010-0000-0300-000015000000}" name="20" totalsRowFunction="count" dataDxfId="617" totalsRowDxfId="616"/>
    <tableColumn id="22" xr3:uid="{00000000-0010-0000-0300-000016000000}" name="21" totalsRowFunction="count" dataDxfId="615" totalsRowDxfId="614"/>
    <tableColumn id="23" xr3:uid="{00000000-0010-0000-0300-000017000000}" name="22" totalsRowFunction="count" dataDxfId="613" totalsRowDxfId="612"/>
    <tableColumn id="24" xr3:uid="{00000000-0010-0000-0300-000018000000}" name="23" totalsRowFunction="count" dataDxfId="611" totalsRowDxfId="610"/>
    <tableColumn id="25" xr3:uid="{00000000-0010-0000-0300-000019000000}" name="24" totalsRowFunction="count" dataDxfId="609" totalsRowDxfId="608"/>
    <tableColumn id="26" xr3:uid="{00000000-0010-0000-0300-00001A000000}" name="25" totalsRowFunction="count" dataDxfId="607" totalsRowDxfId="606"/>
    <tableColumn id="27" xr3:uid="{00000000-0010-0000-0300-00001B000000}" name="26" totalsRowFunction="count" dataDxfId="605" totalsRowDxfId="604"/>
    <tableColumn id="28" xr3:uid="{00000000-0010-0000-0300-00001C000000}" name="27" totalsRowFunction="count" dataDxfId="603" totalsRowDxfId="602"/>
    <tableColumn id="29" xr3:uid="{00000000-0010-0000-0300-00001D000000}" name="28" totalsRowFunction="count" dataDxfId="601" totalsRowDxfId="600"/>
    <tableColumn id="30" xr3:uid="{00000000-0010-0000-0300-00001E000000}" name="29" totalsRowFunction="count" dataDxfId="599" totalsRowDxfId="598"/>
    <tableColumn id="31" xr3:uid="{00000000-0010-0000-0300-00001F000000}" name="30" totalsRowFunction="count" dataDxfId="597" totalsRowDxfId="596"/>
    <tableColumn id="32" xr3:uid="{00000000-0010-0000-0300-000020000000}" name=" " totalsRowFunction="custom" dataDxfId="595" totalsRowDxfId="594">
      <totalsRowFormula>SUBTOTAL(103,Huhtikuu[30])</totalsRowFormula>
    </tableColumn>
    <tableColumn id="33" xr3:uid="{00000000-0010-0000-0300-000021000000}" name="Päiviä yhteensä" totalsRowFunction="sum" dataDxfId="593" totalsRowDxfId="592">
      <calculatedColumnFormula>COUNTA(Huhtikuu[[#This Row],[1]:[30]])</calculatedColumnFormula>
    </tableColumn>
  </tableColumns>
  <tableStyleInfo name="Työntekijöiden poissaolotaulukko" showFirstColumn="1" showLastColumn="1" showRowStripes="1" showColumnStripes="0"/>
  <extLst>
    <ext xmlns:x14="http://schemas.microsoft.com/office/spreadsheetml/2009/9/main" uri="{504A1905-F514-4f6f-8877-14C23A59335A}">
      <x14:table altTextSummary="Anna työntekijöiden nimet ja poissaolopäivät. Kirjoita rivin 12 avaimen mukainen poissaolotyyppi: L = loma, S = sairaus, H = henkilökohtainen ja kaksi paikkamerkkiä mukautettuja kohtia varte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Toukokuu" displayName="Toukokuu" ref="B6:AH12" totalsRowCount="1" headerRowDxfId="586" dataDxfId="585" totalsRowDxfId="584">
  <tableColumns count="33">
    <tableColumn id="1" xr3:uid="{00000000-0010-0000-0400-000001000000}" name="Työntekijän nimi" totalsRowFunction="custom" dataDxfId="583" totalsRowDxfId="582" dataCellStyle="Työntekijä">
      <totalsRowFormula>Kuukauden_nimi&amp;" Yhteensä"</totalsRowFormula>
    </tableColumn>
    <tableColumn id="2" xr3:uid="{00000000-0010-0000-0400-000002000000}" name="1" totalsRowFunction="count" dataDxfId="581" totalsRowDxfId="580"/>
    <tableColumn id="3" xr3:uid="{00000000-0010-0000-0400-000003000000}" name="2" totalsRowFunction="count" dataDxfId="579" totalsRowDxfId="578"/>
    <tableColumn id="4" xr3:uid="{00000000-0010-0000-0400-000004000000}" name="3" totalsRowFunction="count" dataDxfId="577" totalsRowDxfId="576"/>
    <tableColumn id="5" xr3:uid="{00000000-0010-0000-0400-000005000000}" name="4" totalsRowFunction="count" dataDxfId="575" totalsRowDxfId="574"/>
    <tableColumn id="6" xr3:uid="{00000000-0010-0000-0400-000006000000}" name="5" totalsRowFunction="count" dataDxfId="573" totalsRowDxfId="572"/>
    <tableColumn id="7" xr3:uid="{00000000-0010-0000-0400-000007000000}" name="6" totalsRowFunction="count" dataDxfId="571" totalsRowDxfId="570"/>
    <tableColumn id="8" xr3:uid="{00000000-0010-0000-0400-000008000000}" name="7" totalsRowFunction="count" dataDxfId="569" totalsRowDxfId="568"/>
    <tableColumn id="9" xr3:uid="{00000000-0010-0000-0400-000009000000}" name="8" totalsRowFunction="count" dataDxfId="567" totalsRowDxfId="566"/>
    <tableColumn id="10" xr3:uid="{00000000-0010-0000-0400-00000A000000}" name="9" totalsRowFunction="count" dataDxfId="565" totalsRowDxfId="564"/>
    <tableColumn id="11" xr3:uid="{00000000-0010-0000-0400-00000B000000}" name="10" totalsRowFunction="count" dataDxfId="563" totalsRowDxfId="562"/>
    <tableColumn id="12" xr3:uid="{00000000-0010-0000-0400-00000C000000}" name="11" totalsRowFunction="count" dataDxfId="561" totalsRowDxfId="560"/>
    <tableColumn id="13" xr3:uid="{00000000-0010-0000-0400-00000D000000}" name="12" totalsRowFunction="count" dataDxfId="559" totalsRowDxfId="558"/>
    <tableColumn id="14" xr3:uid="{00000000-0010-0000-0400-00000E000000}" name="13" totalsRowFunction="count" dataDxfId="557" totalsRowDxfId="556"/>
    <tableColumn id="15" xr3:uid="{00000000-0010-0000-0400-00000F000000}" name="14" totalsRowFunction="count" dataDxfId="555" totalsRowDxfId="554"/>
    <tableColumn id="16" xr3:uid="{00000000-0010-0000-0400-000010000000}" name="15" totalsRowFunction="count" dataDxfId="553" totalsRowDxfId="552"/>
    <tableColumn id="17" xr3:uid="{00000000-0010-0000-0400-000011000000}" name="16" totalsRowFunction="count" dataDxfId="551" totalsRowDxfId="550"/>
    <tableColumn id="18" xr3:uid="{00000000-0010-0000-0400-000012000000}" name="17" totalsRowFunction="count" dataDxfId="549" totalsRowDxfId="548"/>
    <tableColumn id="19" xr3:uid="{00000000-0010-0000-0400-000013000000}" name="18" totalsRowFunction="count" dataDxfId="547" totalsRowDxfId="546"/>
    <tableColumn id="20" xr3:uid="{00000000-0010-0000-0400-000014000000}" name="19" totalsRowFunction="count" dataDxfId="545" totalsRowDxfId="544"/>
    <tableColumn id="21" xr3:uid="{00000000-0010-0000-0400-000015000000}" name="20" totalsRowFunction="count" dataDxfId="543" totalsRowDxfId="542"/>
    <tableColumn id="22" xr3:uid="{00000000-0010-0000-0400-000016000000}" name="21" totalsRowFunction="count" dataDxfId="541" totalsRowDxfId="540"/>
    <tableColumn id="23" xr3:uid="{00000000-0010-0000-0400-000017000000}" name="22" totalsRowFunction="count" dataDxfId="539" totalsRowDxfId="538"/>
    <tableColumn id="24" xr3:uid="{00000000-0010-0000-0400-000018000000}" name="23" totalsRowFunction="count" dataDxfId="537" totalsRowDxfId="536"/>
    <tableColumn id="25" xr3:uid="{00000000-0010-0000-0400-000019000000}" name="24" totalsRowFunction="count" dataDxfId="535" totalsRowDxfId="534"/>
    <tableColumn id="26" xr3:uid="{00000000-0010-0000-0400-00001A000000}" name="25" totalsRowFunction="count" dataDxfId="533" totalsRowDxfId="532"/>
    <tableColumn id="27" xr3:uid="{00000000-0010-0000-0400-00001B000000}" name="26" totalsRowFunction="count" dataDxfId="531" totalsRowDxfId="530"/>
    <tableColumn id="28" xr3:uid="{00000000-0010-0000-0400-00001C000000}" name="27" totalsRowFunction="count" dataDxfId="529" totalsRowDxfId="528"/>
    <tableColumn id="29" xr3:uid="{00000000-0010-0000-0400-00001D000000}" name="28" totalsRowFunction="count" dataDxfId="527" totalsRowDxfId="526"/>
    <tableColumn id="30" xr3:uid="{00000000-0010-0000-0400-00001E000000}" name="29" totalsRowFunction="count" dataDxfId="525" totalsRowDxfId="524"/>
    <tableColumn id="31" xr3:uid="{00000000-0010-0000-0400-00001F000000}" name="30" totalsRowFunction="count" dataDxfId="523" totalsRowDxfId="522"/>
    <tableColumn id="32" xr3:uid="{00000000-0010-0000-0400-000020000000}" name="31" totalsRowFunction="count" dataDxfId="521" totalsRowDxfId="520"/>
    <tableColumn id="33" xr3:uid="{00000000-0010-0000-0400-000021000000}" name="Päiviä yhteensä" totalsRowFunction="sum" dataDxfId="519" totalsRowDxfId="518">
      <calculatedColumnFormula>COUNTA(Toukokuu[[#This Row],[1]:[31]])</calculatedColumnFormula>
    </tableColumn>
  </tableColumns>
  <tableStyleInfo name="Työntekijöiden poissaolotaulukko" showFirstColumn="1" showLastColumn="1" showRowStripes="1" showColumnStripes="0"/>
  <extLst>
    <ext xmlns:x14="http://schemas.microsoft.com/office/spreadsheetml/2009/9/main" uri="{504A1905-F514-4f6f-8877-14C23A59335A}">
      <x14:table altTextSummary="Anna työntekijöiden nimet ja poissaolopäivät. Kirjoita rivin 12 avaimen mukainen poissaolotyyppi: L = loma, S = sairaus, H = henkilökohtainen ja kaksi paikkamerkkiä mukautettuja kohtia varte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Kesäkuu" displayName="Kesäkuu" ref="B6:AH12" totalsRowCount="1" headerRowDxfId="512" dataDxfId="511" totalsRowDxfId="510">
  <tableColumns count="33">
    <tableColumn id="1" xr3:uid="{00000000-0010-0000-0500-000001000000}" name="Työntekijän nimi" totalsRowFunction="custom" dataDxfId="509" totalsRowDxfId="508" dataCellStyle="Työntekijä">
      <totalsRowFormula>Kuukauden_nimi&amp;" Yhteensä"</totalsRowFormula>
    </tableColumn>
    <tableColumn id="2" xr3:uid="{00000000-0010-0000-0500-000002000000}" name="1" totalsRowFunction="count" dataDxfId="507" totalsRowDxfId="506"/>
    <tableColumn id="3" xr3:uid="{00000000-0010-0000-0500-000003000000}" name="2" totalsRowFunction="count" dataDxfId="505" totalsRowDxfId="504"/>
    <tableColumn id="4" xr3:uid="{00000000-0010-0000-0500-000004000000}" name="3" totalsRowFunction="count" dataDxfId="503" totalsRowDxfId="502"/>
    <tableColumn id="5" xr3:uid="{00000000-0010-0000-0500-000005000000}" name="4" totalsRowFunction="count" dataDxfId="501" totalsRowDxfId="500"/>
    <tableColumn id="6" xr3:uid="{00000000-0010-0000-0500-000006000000}" name="5" totalsRowFunction="count" dataDxfId="499" totalsRowDxfId="498"/>
    <tableColumn id="7" xr3:uid="{00000000-0010-0000-0500-000007000000}" name="6" totalsRowFunction="count" dataDxfId="497" totalsRowDxfId="496"/>
    <tableColumn id="8" xr3:uid="{00000000-0010-0000-0500-000008000000}" name="7" totalsRowFunction="count" dataDxfId="495" totalsRowDxfId="494"/>
    <tableColumn id="9" xr3:uid="{00000000-0010-0000-0500-000009000000}" name="8" totalsRowFunction="count" dataDxfId="493" totalsRowDxfId="492"/>
    <tableColumn id="10" xr3:uid="{00000000-0010-0000-0500-00000A000000}" name="9" totalsRowFunction="count" dataDxfId="491" totalsRowDxfId="490"/>
    <tableColumn id="11" xr3:uid="{00000000-0010-0000-0500-00000B000000}" name="10" totalsRowFunction="count" dataDxfId="489" totalsRowDxfId="488"/>
    <tableColumn id="12" xr3:uid="{00000000-0010-0000-0500-00000C000000}" name="11" totalsRowFunction="count" dataDxfId="487" totalsRowDxfId="486"/>
    <tableColumn id="13" xr3:uid="{00000000-0010-0000-0500-00000D000000}" name="12" totalsRowFunction="count" dataDxfId="485" totalsRowDxfId="484"/>
    <tableColumn id="14" xr3:uid="{00000000-0010-0000-0500-00000E000000}" name="13" totalsRowFunction="count" dataDxfId="483" totalsRowDxfId="482"/>
    <tableColumn id="15" xr3:uid="{00000000-0010-0000-0500-00000F000000}" name="14" totalsRowFunction="count" dataDxfId="481" totalsRowDxfId="480"/>
    <tableColumn id="16" xr3:uid="{00000000-0010-0000-0500-000010000000}" name="15" totalsRowFunction="count" dataDxfId="479" totalsRowDxfId="478"/>
    <tableColumn id="17" xr3:uid="{00000000-0010-0000-0500-000011000000}" name="16" totalsRowFunction="count" dataDxfId="477" totalsRowDxfId="476"/>
    <tableColumn id="18" xr3:uid="{00000000-0010-0000-0500-000012000000}" name="17" totalsRowFunction="count" dataDxfId="475" totalsRowDxfId="474"/>
    <tableColumn id="19" xr3:uid="{00000000-0010-0000-0500-000013000000}" name="18" totalsRowFunction="count" dataDxfId="473" totalsRowDxfId="472"/>
    <tableColumn id="20" xr3:uid="{00000000-0010-0000-0500-000014000000}" name="19" totalsRowFunction="count" dataDxfId="471" totalsRowDxfId="470"/>
    <tableColumn id="21" xr3:uid="{00000000-0010-0000-0500-000015000000}" name="20" totalsRowFunction="count" dataDxfId="469" totalsRowDxfId="468"/>
    <tableColumn id="22" xr3:uid="{00000000-0010-0000-0500-000016000000}" name="21" totalsRowFunction="count" dataDxfId="467" totalsRowDxfId="466"/>
    <tableColumn id="23" xr3:uid="{00000000-0010-0000-0500-000017000000}" name="22" totalsRowFunction="count" dataDxfId="465" totalsRowDxfId="464"/>
    <tableColumn id="24" xr3:uid="{00000000-0010-0000-0500-000018000000}" name="23" totalsRowFunction="count" dataDxfId="463" totalsRowDxfId="462"/>
    <tableColumn id="25" xr3:uid="{00000000-0010-0000-0500-000019000000}" name="24" totalsRowFunction="count" dataDxfId="461" totalsRowDxfId="460"/>
    <tableColumn id="26" xr3:uid="{00000000-0010-0000-0500-00001A000000}" name="25" totalsRowFunction="count" dataDxfId="459" totalsRowDxfId="458"/>
    <tableColumn id="27" xr3:uid="{00000000-0010-0000-0500-00001B000000}" name="26" totalsRowFunction="count" dataDxfId="457" totalsRowDxfId="456"/>
    <tableColumn id="28" xr3:uid="{00000000-0010-0000-0500-00001C000000}" name="27" totalsRowFunction="count" dataDxfId="455" totalsRowDxfId="454"/>
    <tableColumn id="29" xr3:uid="{00000000-0010-0000-0500-00001D000000}" name="28" totalsRowFunction="count" dataDxfId="453" totalsRowDxfId="452"/>
    <tableColumn id="30" xr3:uid="{00000000-0010-0000-0500-00001E000000}" name="29" totalsRowFunction="count" dataDxfId="451" totalsRowDxfId="450"/>
    <tableColumn id="31" xr3:uid="{00000000-0010-0000-0500-00001F000000}" name="30" totalsRowFunction="count" dataDxfId="449" totalsRowDxfId="448"/>
    <tableColumn id="32" xr3:uid="{00000000-0010-0000-0500-000020000000}" name=" " totalsRowFunction="count" dataDxfId="447" totalsRowDxfId="446"/>
    <tableColumn id="33" xr3:uid="{00000000-0010-0000-0500-000021000000}" name="Päiviä yhteensä" totalsRowFunction="sum" dataDxfId="445" totalsRowDxfId="444">
      <calculatedColumnFormula>COUNTA(Kesäkuu[[#This Row],[1]:[30]])</calculatedColumnFormula>
    </tableColumn>
  </tableColumns>
  <tableStyleInfo name="Työntekijöiden poissaolotaulukko" showFirstColumn="1" showLastColumn="1" showRowStripes="1" showColumnStripes="0"/>
  <extLst>
    <ext xmlns:x14="http://schemas.microsoft.com/office/spreadsheetml/2009/9/main" uri="{504A1905-F514-4f6f-8877-14C23A59335A}">
      <x14:table altTextSummary="Anna työntekijöiden nimet ja poissaolopäivät. Kirjoita rivin 12 avaimen mukainen poissaolotyyppi: L = loma, S = sairaus, H = henkilökohtainen ja kaksi paikkamerkkiä mukautettuja kohtia varten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Heinäkuu" displayName="Heinäkuu" ref="B6:AH12" totalsRowCount="1" headerRowDxfId="438" dataDxfId="437" totalsRowDxfId="436">
  <tableColumns count="33">
    <tableColumn id="1" xr3:uid="{00000000-0010-0000-0600-000001000000}" name="Työntekijän nimi" totalsRowFunction="custom" dataDxfId="435" totalsRowDxfId="434" dataCellStyle="Työntekijä">
      <totalsRowFormula>Kuukauden_nimi&amp;" Yhteensä"</totalsRowFormula>
    </tableColumn>
    <tableColumn id="2" xr3:uid="{00000000-0010-0000-0600-000002000000}" name="1" totalsRowFunction="count" dataDxfId="433" totalsRowDxfId="432"/>
    <tableColumn id="3" xr3:uid="{00000000-0010-0000-0600-000003000000}" name="2" totalsRowFunction="count" dataDxfId="431" totalsRowDxfId="430"/>
    <tableColumn id="4" xr3:uid="{00000000-0010-0000-0600-000004000000}" name="3" totalsRowFunction="count" dataDxfId="429" totalsRowDxfId="428"/>
    <tableColumn id="5" xr3:uid="{00000000-0010-0000-0600-000005000000}" name="4" totalsRowFunction="count" dataDxfId="427" totalsRowDxfId="426"/>
    <tableColumn id="6" xr3:uid="{00000000-0010-0000-0600-000006000000}" name="5" totalsRowFunction="count" dataDxfId="425" totalsRowDxfId="424"/>
    <tableColumn id="7" xr3:uid="{00000000-0010-0000-0600-000007000000}" name="6" totalsRowFunction="count" dataDxfId="423" totalsRowDxfId="422"/>
    <tableColumn id="8" xr3:uid="{00000000-0010-0000-0600-000008000000}" name="7" totalsRowFunction="count" dataDxfId="421" totalsRowDxfId="420"/>
    <tableColumn id="9" xr3:uid="{00000000-0010-0000-0600-000009000000}" name="8" totalsRowFunction="count" dataDxfId="419" totalsRowDxfId="418"/>
    <tableColumn id="10" xr3:uid="{00000000-0010-0000-0600-00000A000000}" name="9" totalsRowFunction="count" dataDxfId="417" totalsRowDxfId="416"/>
    <tableColumn id="11" xr3:uid="{00000000-0010-0000-0600-00000B000000}" name="10" totalsRowFunction="count" dataDxfId="415" totalsRowDxfId="414"/>
    <tableColumn id="12" xr3:uid="{00000000-0010-0000-0600-00000C000000}" name="11" totalsRowFunction="count" dataDxfId="413" totalsRowDxfId="412"/>
    <tableColumn id="13" xr3:uid="{00000000-0010-0000-0600-00000D000000}" name="12" totalsRowFunction="count" dataDxfId="411" totalsRowDxfId="410"/>
    <tableColumn id="14" xr3:uid="{00000000-0010-0000-0600-00000E000000}" name="13" totalsRowFunction="count" dataDxfId="409" totalsRowDxfId="408"/>
    <tableColumn id="15" xr3:uid="{00000000-0010-0000-0600-00000F000000}" name="14" totalsRowFunction="count" dataDxfId="407" totalsRowDxfId="406"/>
    <tableColumn id="16" xr3:uid="{00000000-0010-0000-0600-000010000000}" name="15" totalsRowFunction="count" dataDxfId="405" totalsRowDxfId="404"/>
    <tableColumn id="17" xr3:uid="{00000000-0010-0000-0600-000011000000}" name="16" totalsRowFunction="count" dataDxfId="403" totalsRowDxfId="402"/>
    <tableColumn id="18" xr3:uid="{00000000-0010-0000-0600-000012000000}" name="17" totalsRowFunction="count" dataDxfId="401" totalsRowDxfId="400"/>
    <tableColumn id="19" xr3:uid="{00000000-0010-0000-0600-000013000000}" name="18" totalsRowFunction="count" dataDxfId="399" totalsRowDxfId="398"/>
    <tableColumn id="20" xr3:uid="{00000000-0010-0000-0600-000014000000}" name="19" totalsRowFunction="count" dataDxfId="397" totalsRowDxfId="396"/>
    <tableColumn id="21" xr3:uid="{00000000-0010-0000-0600-000015000000}" name="20" totalsRowFunction="count" dataDxfId="395" totalsRowDxfId="394"/>
    <tableColumn id="22" xr3:uid="{00000000-0010-0000-0600-000016000000}" name="21" totalsRowFunction="count" dataDxfId="393" totalsRowDxfId="392"/>
    <tableColumn id="23" xr3:uid="{00000000-0010-0000-0600-000017000000}" name="22" totalsRowFunction="count" dataDxfId="391" totalsRowDxfId="390"/>
    <tableColumn id="24" xr3:uid="{00000000-0010-0000-0600-000018000000}" name="23" totalsRowFunction="count" dataDxfId="389" totalsRowDxfId="388"/>
    <tableColumn id="25" xr3:uid="{00000000-0010-0000-0600-000019000000}" name="24" totalsRowFunction="count" dataDxfId="387" totalsRowDxfId="386"/>
    <tableColumn id="26" xr3:uid="{00000000-0010-0000-0600-00001A000000}" name="25" totalsRowFunction="count" dataDxfId="385" totalsRowDxfId="384"/>
    <tableColumn id="27" xr3:uid="{00000000-0010-0000-0600-00001B000000}" name="26" totalsRowFunction="count" dataDxfId="383" totalsRowDxfId="382"/>
    <tableColumn id="28" xr3:uid="{00000000-0010-0000-0600-00001C000000}" name="27" totalsRowFunction="count" dataDxfId="381" totalsRowDxfId="380"/>
    <tableColumn id="29" xr3:uid="{00000000-0010-0000-0600-00001D000000}" name="28" totalsRowFunction="count" dataDxfId="379" totalsRowDxfId="378"/>
    <tableColumn id="30" xr3:uid="{00000000-0010-0000-0600-00001E000000}" name="29" totalsRowFunction="count" dataDxfId="377" totalsRowDxfId="376"/>
    <tableColumn id="31" xr3:uid="{00000000-0010-0000-0600-00001F000000}" name="30" totalsRowFunction="count" dataDxfId="375" totalsRowDxfId="374"/>
    <tableColumn id="32" xr3:uid="{00000000-0010-0000-0600-000020000000}" name="31" totalsRowFunction="count" dataDxfId="373" totalsRowDxfId="372"/>
    <tableColumn id="33" xr3:uid="{00000000-0010-0000-0600-000021000000}" name="Päiviä yhteensä" totalsRowFunction="sum" dataDxfId="371" totalsRowDxfId="370">
      <calculatedColumnFormula>COUNTA(Heinäkuu[[#This Row],[1]:[31]])</calculatedColumnFormula>
    </tableColumn>
  </tableColumns>
  <tableStyleInfo name="Työntekijöiden poissaolotaulukko" showFirstColumn="1" showLastColumn="1" showRowStripes="1" showColumnStripes="0"/>
  <extLst>
    <ext xmlns:x14="http://schemas.microsoft.com/office/spreadsheetml/2009/9/main" uri="{504A1905-F514-4f6f-8877-14C23A59335A}">
      <x14:table altTextSummary="Anna työntekijöiden nimet ja poissaolopäivät. Kirjoita rivin 12 avaimen mukainen poissaolotyyppi: L = loma, S = sairaus, H = henkilökohtainen ja kaksi paikkamerkkiä mukautettuja kohtia varten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Elokuu" displayName="Elokuu" ref="B6:AH12" totalsRowCount="1" headerRowDxfId="364" dataDxfId="363" totalsRowDxfId="362">
  <tableColumns count="33">
    <tableColumn id="1" xr3:uid="{00000000-0010-0000-0700-000001000000}" name="Työntekijän nimi" totalsRowFunction="custom" dataDxfId="361" totalsRowDxfId="360" dataCellStyle="Työntekijä">
      <totalsRowFormula>Kuukauden_nimi&amp;" Yhteensä"</totalsRowFormula>
    </tableColumn>
    <tableColumn id="2" xr3:uid="{00000000-0010-0000-0700-000002000000}" name="1" totalsRowFunction="count" dataDxfId="359" totalsRowDxfId="358"/>
    <tableColumn id="3" xr3:uid="{00000000-0010-0000-0700-000003000000}" name="2" totalsRowFunction="count" dataDxfId="357" totalsRowDxfId="356"/>
    <tableColumn id="4" xr3:uid="{00000000-0010-0000-0700-000004000000}" name="3" totalsRowFunction="count" dataDxfId="355" totalsRowDxfId="354"/>
    <tableColumn id="5" xr3:uid="{00000000-0010-0000-0700-000005000000}" name="4" totalsRowFunction="count" dataDxfId="353" totalsRowDxfId="352"/>
    <tableColumn id="6" xr3:uid="{00000000-0010-0000-0700-000006000000}" name="5" totalsRowFunction="count" dataDxfId="351" totalsRowDxfId="350"/>
    <tableColumn id="7" xr3:uid="{00000000-0010-0000-0700-000007000000}" name="6" totalsRowFunction="count" dataDxfId="349" totalsRowDxfId="348"/>
    <tableColumn id="8" xr3:uid="{00000000-0010-0000-0700-000008000000}" name="7" totalsRowFunction="count" dataDxfId="347" totalsRowDxfId="346"/>
    <tableColumn id="9" xr3:uid="{00000000-0010-0000-0700-000009000000}" name="8" totalsRowFunction="count" dataDxfId="345" totalsRowDxfId="344"/>
    <tableColumn id="10" xr3:uid="{00000000-0010-0000-0700-00000A000000}" name="9" totalsRowFunction="count" dataDxfId="343" totalsRowDxfId="342"/>
    <tableColumn id="11" xr3:uid="{00000000-0010-0000-0700-00000B000000}" name="10" totalsRowFunction="count" dataDxfId="341" totalsRowDxfId="340"/>
    <tableColumn id="12" xr3:uid="{00000000-0010-0000-0700-00000C000000}" name="11" totalsRowFunction="count" dataDxfId="339" totalsRowDxfId="338"/>
    <tableColumn id="13" xr3:uid="{00000000-0010-0000-0700-00000D000000}" name="12" totalsRowFunction="count" dataDxfId="337" totalsRowDxfId="336"/>
    <tableColumn id="14" xr3:uid="{00000000-0010-0000-0700-00000E000000}" name="13" totalsRowFunction="count" dataDxfId="335" totalsRowDxfId="334"/>
    <tableColumn id="15" xr3:uid="{00000000-0010-0000-0700-00000F000000}" name="14" totalsRowFunction="count" dataDxfId="333" totalsRowDxfId="332"/>
    <tableColumn id="16" xr3:uid="{00000000-0010-0000-0700-000010000000}" name="15" totalsRowFunction="count" dataDxfId="331" totalsRowDxfId="330"/>
    <tableColumn id="17" xr3:uid="{00000000-0010-0000-0700-000011000000}" name="16" totalsRowFunction="count" dataDxfId="329" totalsRowDxfId="328"/>
    <tableColumn id="18" xr3:uid="{00000000-0010-0000-0700-000012000000}" name="17" totalsRowFunction="count" dataDxfId="327" totalsRowDxfId="326"/>
    <tableColumn id="19" xr3:uid="{00000000-0010-0000-0700-000013000000}" name="18" totalsRowFunction="count" dataDxfId="325" totalsRowDxfId="324"/>
    <tableColumn id="20" xr3:uid="{00000000-0010-0000-0700-000014000000}" name="19" totalsRowFunction="count" dataDxfId="323" totalsRowDxfId="322"/>
    <tableColumn id="21" xr3:uid="{00000000-0010-0000-0700-000015000000}" name="20" totalsRowFunction="count" dataDxfId="321" totalsRowDxfId="320"/>
    <tableColumn id="22" xr3:uid="{00000000-0010-0000-0700-000016000000}" name="21" totalsRowFunction="count" dataDxfId="319" totalsRowDxfId="318"/>
    <tableColumn id="23" xr3:uid="{00000000-0010-0000-0700-000017000000}" name="22" totalsRowFunction="count" dataDxfId="317" totalsRowDxfId="316"/>
    <tableColumn id="24" xr3:uid="{00000000-0010-0000-0700-000018000000}" name="23" totalsRowFunction="count" dataDxfId="315" totalsRowDxfId="314"/>
    <tableColumn id="25" xr3:uid="{00000000-0010-0000-0700-000019000000}" name="24" totalsRowFunction="count" dataDxfId="313" totalsRowDxfId="312"/>
    <tableColumn id="26" xr3:uid="{00000000-0010-0000-0700-00001A000000}" name="25" totalsRowFunction="count" dataDxfId="311" totalsRowDxfId="310"/>
    <tableColumn id="27" xr3:uid="{00000000-0010-0000-0700-00001B000000}" name="26" totalsRowFunction="count" dataDxfId="309" totalsRowDxfId="308"/>
    <tableColumn id="28" xr3:uid="{00000000-0010-0000-0700-00001C000000}" name="27" totalsRowFunction="count" dataDxfId="307" totalsRowDxfId="306"/>
    <tableColumn id="29" xr3:uid="{00000000-0010-0000-0700-00001D000000}" name="28" totalsRowFunction="count" dataDxfId="305" totalsRowDxfId="304"/>
    <tableColumn id="30" xr3:uid="{00000000-0010-0000-0700-00001E000000}" name="29" totalsRowFunction="count" dataDxfId="303" totalsRowDxfId="302"/>
    <tableColumn id="31" xr3:uid="{00000000-0010-0000-0700-00001F000000}" name="30" totalsRowFunction="count" dataDxfId="301" totalsRowDxfId="300"/>
    <tableColumn id="32" xr3:uid="{00000000-0010-0000-0700-000020000000}" name="31" totalsRowFunction="count" dataDxfId="299" totalsRowDxfId="298"/>
    <tableColumn id="33" xr3:uid="{00000000-0010-0000-0700-000021000000}" name="Päiviä yhteensä" totalsRowFunction="sum" dataDxfId="297" totalsRowDxfId="296">
      <calculatedColumnFormula>COUNTA(Elokuu[[#This Row],[1]:[31]])</calculatedColumnFormula>
    </tableColumn>
  </tableColumns>
  <tableStyleInfo name="Työntekijöiden poissaolotaulukko" showFirstColumn="1" showLastColumn="1" showRowStripes="1" showColumnStripes="0"/>
  <extLst>
    <ext xmlns:x14="http://schemas.microsoft.com/office/spreadsheetml/2009/9/main" uri="{504A1905-F514-4f6f-8877-14C23A59335A}">
      <x14:table altTextSummary="Anna työntekijöiden nimet ja poissaolopäivät. Kirjoita rivin 12 avaimen mukainen poissaolotyyppi: L = loma, S = sairaus, H = henkilökohtainen ja kaksi paikkamerkkiä mukautettuja kohtia varten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Syyskuu" displayName="Syyskuu" ref="B6:AH12" totalsRowCount="1" headerRowDxfId="290" dataDxfId="289" totalsRowDxfId="288">
  <tableColumns count="33">
    <tableColumn id="1" xr3:uid="{00000000-0010-0000-0800-000001000000}" name="Työntekijän nimi" totalsRowFunction="custom" dataDxfId="287" totalsRowDxfId="286" dataCellStyle="Työntekijä">
      <totalsRowFormula>Kuukauden_nimi&amp;" Yhteensä"</totalsRowFormula>
    </tableColumn>
    <tableColumn id="2" xr3:uid="{00000000-0010-0000-0800-000002000000}" name="1" totalsRowFunction="count" dataDxfId="285" totalsRowDxfId="284"/>
    <tableColumn id="3" xr3:uid="{00000000-0010-0000-0800-000003000000}" name="2" totalsRowFunction="count" dataDxfId="283" totalsRowDxfId="282"/>
    <tableColumn id="4" xr3:uid="{00000000-0010-0000-0800-000004000000}" name="3" totalsRowFunction="count" dataDxfId="281" totalsRowDxfId="280"/>
    <tableColumn id="5" xr3:uid="{00000000-0010-0000-0800-000005000000}" name="4" totalsRowFunction="count" dataDxfId="279" totalsRowDxfId="278"/>
    <tableColumn id="6" xr3:uid="{00000000-0010-0000-0800-000006000000}" name="5" totalsRowFunction="count" dataDxfId="277" totalsRowDxfId="276"/>
    <tableColumn id="7" xr3:uid="{00000000-0010-0000-0800-000007000000}" name="6" totalsRowFunction="count" dataDxfId="275" totalsRowDxfId="274"/>
    <tableColumn id="8" xr3:uid="{00000000-0010-0000-0800-000008000000}" name="7" totalsRowFunction="count" dataDxfId="273" totalsRowDxfId="272"/>
    <tableColumn id="9" xr3:uid="{00000000-0010-0000-0800-000009000000}" name="8" totalsRowFunction="count" dataDxfId="271" totalsRowDxfId="270"/>
    <tableColumn id="10" xr3:uid="{00000000-0010-0000-0800-00000A000000}" name="9" totalsRowFunction="count" dataDxfId="269" totalsRowDxfId="268"/>
    <tableColumn id="11" xr3:uid="{00000000-0010-0000-0800-00000B000000}" name="10" totalsRowFunction="count" dataDxfId="267" totalsRowDxfId="266"/>
    <tableColumn id="12" xr3:uid="{00000000-0010-0000-0800-00000C000000}" name="11" totalsRowFunction="count" dataDxfId="265" totalsRowDxfId="264"/>
    <tableColumn id="13" xr3:uid="{00000000-0010-0000-0800-00000D000000}" name="12" totalsRowFunction="count" dataDxfId="263" totalsRowDxfId="262"/>
    <tableColumn id="14" xr3:uid="{00000000-0010-0000-0800-00000E000000}" name="13" totalsRowFunction="count" dataDxfId="261" totalsRowDxfId="260"/>
    <tableColumn id="15" xr3:uid="{00000000-0010-0000-0800-00000F000000}" name="14" totalsRowFunction="count" dataDxfId="259" totalsRowDxfId="258"/>
    <tableColumn id="16" xr3:uid="{00000000-0010-0000-0800-000010000000}" name="15" totalsRowFunction="count" dataDxfId="257" totalsRowDxfId="256"/>
    <tableColumn id="17" xr3:uid="{00000000-0010-0000-0800-000011000000}" name="16" totalsRowFunction="count" dataDxfId="255" totalsRowDxfId="254"/>
    <tableColumn id="18" xr3:uid="{00000000-0010-0000-0800-000012000000}" name="17" totalsRowFunction="count" dataDxfId="253" totalsRowDxfId="252"/>
    <tableColumn id="19" xr3:uid="{00000000-0010-0000-0800-000013000000}" name="18" totalsRowFunction="count" dataDxfId="251" totalsRowDxfId="250"/>
    <tableColumn id="20" xr3:uid="{00000000-0010-0000-0800-000014000000}" name="19" totalsRowFunction="count" dataDxfId="249" totalsRowDxfId="248"/>
    <tableColumn id="21" xr3:uid="{00000000-0010-0000-0800-000015000000}" name="20" totalsRowFunction="count" dataDxfId="247" totalsRowDxfId="246"/>
    <tableColumn id="22" xr3:uid="{00000000-0010-0000-0800-000016000000}" name="21" totalsRowFunction="count" dataDxfId="245" totalsRowDxfId="244"/>
    <tableColumn id="23" xr3:uid="{00000000-0010-0000-0800-000017000000}" name="22" totalsRowFunction="count" dataDxfId="243" totalsRowDxfId="242"/>
    <tableColumn id="24" xr3:uid="{00000000-0010-0000-0800-000018000000}" name="23" totalsRowFunction="count" dataDxfId="241" totalsRowDxfId="240"/>
    <tableColumn id="25" xr3:uid="{00000000-0010-0000-0800-000019000000}" name="24" totalsRowFunction="count" dataDxfId="239" totalsRowDxfId="238"/>
    <tableColumn id="26" xr3:uid="{00000000-0010-0000-0800-00001A000000}" name="25" totalsRowFunction="count" dataDxfId="237" totalsRowDxfId="236"/>
    <tableColumn id="27" xr3:uid="{00000000-0010-0000-0800-00001B000000}" name="26" totalsRowFunction="count" dataDxfId="235" totalsRowDxfId="234"/>
    <tableColumn id="28" xr3:uid="{00000000-0010-0000-0800-00001C000000}" name="27" totalsRowFunction="count" dataDxfId="233" totalsRowDxfId="232"/>
    <tableColumn id="29" xr3:uid="{00000000-0010-0000-0800-00001D000000}" name="28" totalsRowFunction="count" dataDxfId="231" totalsRowDxfId="230"/>
    <tableColumn id="30" xr3:uid="{00000000-0010-0000-0800-00001E000000}" name="29" totalsRowFunction="count" dataDxfId="229" totalsRowDxfId="228"/>
    <tableColumn id="31" xr3:uid="{00000000-0010-0000-0800-00001F000000}" name="30" totalsRowFunction="count" dataDxfId="227" totalsRowDxfId="226"/>
    <tableColumn id="32" xr3:uid="{00000000-0010-0000-0800-000020000000}" name=" " totalsRowFunction="count" dataDxfId="225" totalsRowDxfId="224"/>
    <tableColumn id="33" xr3:uid="{00000000-0010-0000-0800-000021000000}" name="Päiviä yhteensä" totalsRowFunction="sum" dataDxfId="223" totalsRowDxfId="222">
      <calculatedColumnFormula>COUNTA(Syyskuu[[#This Row],[1]:[30]])</calculatedColumnFormula>
    </tableColumn>
  </tableColumns>
  <tableStyleInfo name="Työntekijöiden poissaolotaulukko" showFirstColumn="1" showLastColumn="1" showRowStripes="1" showColumnStripes="0"/>
  <extLst>
    <ext xmlns:x14="http://schemas.microsoft.com/office/spreadsheetml/2009/9/main" uri="{504A1905-F514-4f6f-8877-14C23A59335A}">
      <x14:table altTextSummary="Anna työntekijöiden nimet ja poissaolopäivät. Kirjoita rivin 12 avaimen mukainen poissaolotyyppi: L = loma, S = sairaus, H = henkilökohtainen ja kaksi paikkamerkkiä mukautettuja kohtia varten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7.140625" style="11" customWidth="1"/>
    <col min="35" max="35" width="2.7109375" customWidth="1"/>
  </cols>
  <sheetData>
    <row r="1" spans="1:34" ht="50.1" customHeight="1" x14ac:dyDescent="0.25">
      <c r="A1" s="18"/>
      <c r="B1" s="14" t="s">
        <v>63</v>
      </c>
    </row>
    <row r="2" spans="1:34" ht="15" customHeight="1" x14ac:dyDescent="0.25">
      <c r="B2" s="19" t="s">
        <v>0</v>
      </c>
      <c r="C2" s="4" t="s">
        <v>8</v>
      </c>
      <c r="D2" s="25" t="s">
        <v>11</v>
      </c>
      <c r="E2" s="25"/>
      <c r="F2" s="5" t="s">
        <v>14</v>
      </c>
      <c r="G2" s="25" t="s">
        <v>18</v>
      </c>
      <c r="H2" s="25"/>
      <c r="I2" s="25"/>
      <c r="J2" s="25"/>
      <c r="K2" s="6" t="s">
        <v>16</v>
      </c>
      <c r="L2" s="25" t="s">
        <v>23</v>
      </c>
      <c r="M2" s="25"/>
      <c r="N2" s="7"/>
      <c r="O2" s="25" t="s">
        <v>27</v>
      </c>
      <c r="P2" s="25"/>
      <c r="Q2" s="25"/>
      <c r="R2" s="8"/>
      <c r="S2" s="25" t="s">
        <v>32</v>
      </c>
      <c r="T2" s="25"/>
      <c r="U2" s="25"/>
    </row>
    <row r="3" spans="1:34" ht="15" customHeight="1" x14ac:dyDescent="0.25">
      <c r="AH3" s="20" t="s">
        <v>48</v>
      </c>
    </row>
    <row r="4" spans="1:34" ht="30" customHeight="1" x14ac:dyDescent="0.25">
      <c r="B4" s="12" t="s">
        <v>1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v>2019</v>
      </c>
    </row>
    <row r="5" spans="1:34" ht="15" customHeight="1" x14ac:dyDescent="0.25">
      <c r="B5" s="12"/>
      <c r="C5" s="2" t="str">
        <f>TEXT(WEEKDAY(DATE(Kalenterivuosi,1,1),1),"aaa")</f>
        <v>ti</v>
      </c>
      <c r="D5" s="2" t="str">
        <f>TEXT(WEEKDAY(DATE(Kalenterivuosi,1,2),1),"aaa")</f>
        <v>ke</v>
      </c>
      <c r="E5" s="2" t="str">
        <f>TEXT(WEEKDAY(DATE(Kalenterivuosi,1,3),1),"aaa")</f>
        <v>to</v>
      </c>
      <c r="F5" s="2" t="str">
        <f>TEXT(WEEKDAY(DATE(Kalenterivuosi,1,4),1),"aaa")</f>
        <v>pe</v>
      </c>
      <c r="G5" s="2" t="str">
        <f>TEXT(WEEKDAY(DATE(Kalenterivuosi,1,5),1),"aaa")</f>
        <v>la</v>
      </c>
      <c r="H5" s="2" t="str">
        <f>TEXT(WEEKDAY(DATE(Kalenterivuosi,1,6),1),"aaa")</f>
        <v>su</v>
      </c>
      <c r="I5" s="2" t="str">
        <f>TEXT(WEEKDAY(DATE(Kalenterivuosi,1,7),1),"aaa")</f>
        <v>ma</v>
      </c>
      <c r="J5" s="2" t="str">
        <f>TEXT(WEEKDAY(DATE(Kalenterivuosi,1,8),1),"aaa")</f>
        <v>ti</v>
      </c>
      <c r="K5" s="2" t="str">
        <f>TEXT(WEEKDAY(DATE(Kalenterivuosi,1,9),1),"aaa")</f>
        <v>ke</v>
      </c>
      <c r="L5" s="2" t="str">
        <f>TEXT(WEEKDAY(DATE(Kalenterivuosi,1,10),1),"aaa")</f>
        <v>to</v>
      </c>
      <c r="M5" s="2" t="str">
        <f>TEXT(WEEKDAY(DATE(Kalenterivuosi,1,11),1),"aaa")</f>
        <v>pe</v>
      </c>
      <c r="N5" s="2" t="str">
        <f>TEXT(WEEKDAY(DATE(Kalenterivuosi,1,12),1),"aaa")</f>
        <v>la</v>
      </c>
      <c r="O5" s="2" t="str">
        <f>TEXT(WEEKDAY(DATE(Kalenterivuosi,1,13),1),"aaa")</f>
        <v>su</v>
      </c>
      <c r="P5" s="2" t="str">
        <f>TEXT(WEEKDAY(DATE(Kalenterivuosi,1,14),1),"aaa")</f>
        <v>ma</v>
      </c>
      <c r="Q5" s="2" t="str">
        <f>TEXT(WEEKDAY(DATE(Kalenterivuosi,1,15),1),"aaa")</f>
        <v>ti</v>
      </c>
      <c r="R5" s="2" t="str">
        <f>TEXT(WEEKDAY(DATE(Kalenterivuosi,1,16),1),"aaa")</f>
        <v>ke</v>
      </c>
      <c r="S5" s="2" t="str">
        <f>TEXT(WEEKDAY(DATE(Kalenterivuosi,1,17),1),"aaa")</f>
        <v>to</v>
      </c>
      <c r="T5" s="2" t="str">
        <f>TEXT(WEEKDAY(DATE(Kalenterivuosi,1,18),1),"aaa")</f>
        <v>pe</v>
      </c>
      <c r="U5" s="2" t="str">
        <f>TEXT(WEEKDAY(DATE(Kalenterivuosi,1,19),1),"aaa")</f>
        <v>la</v>
      </c>
      <c r="V5" s="2" t="str">
        <f>TEXT(WEEKDAY(DATE(Kalenterivuosi,1,20),1),"aaa")</f>
        <v>su</v>
      </c>
      <c r="W5" s="2" t="str">
        <f>TEXT(WEEKDAY(DATE(Kalenterivuosi,1,21),1),"aaa")</f>
        <v>ma</v>
      </c>
      <c r="X5" s="2" t="str">
        <f>TEXT(WEEKDAY(DATE(Kalenterivuosi,1,22),1),"aaa")</f>
        <v>ti</v>
      </c>
      <c r="Y5" s="2" t="str">
        <f>TEXT(WEEKDAY(DATE(Kalenterivuosi,1,23),1),"aaa")</f>
        <v>ke</v>
      </c>
      <c r="Z5" s="2" t="str">
        <f>TEXT(WEEKDAY(DATE(Kalenterivuosi,1,24),1),"aaa")</f>
        <v>to</v>
      </c>
      <c r="AA5" s="2" t="str">
        <f>TEXT(WEEKDAY(DATE(Kalenterivuosi,1,25),1),"aaa")</f>
        <v>pe</v>
      </c>
      <c r="AB5" s="2" t="str">
        <f>TEXT(WEEKDAY(DATE(Kalenterivuosi,1,26),1),"aaa")</f>
        <v>la</v>
      </c>
      <c r="AC5" s="2" t="str">
        <f>TEXT(WEEKDAY(DATE(Kalenterivuosi,1,27),1),"aaa")</f>
        <v>su</v>
      </c>
      <c r="AD5" s="2" t="str">
        <f>TEXT(WEEKDAY(DATE(Kalenterivuosi,1,28),1),"aaa")</f>
        <v>ma</v>
      </c>
      <c r="AE5" s="2" t="str">
        <f>TEXT(WEEKDAY(DATE(Kalenterivuosi,1,29),1),"aaa")</f>
        <v>ti</v>
      </c>
      <c r="AF5" s="2" t="str">
        <f>TEXT(WEEKDAY(DATE(Kalenterivuosi,1,30),1),"aaa")</f>
        <v>ke</v>
      </c>
      <c r="AG5" s="2" t="str">
        <f>TEXT(WEEKDAY(DATE(Kalenterivuosi,1,31),1),"aaa")</f>
        <v>to</v>
      </c>
      <c r="AH5" s="12"/>
    </row>
    <row r="6" spans="1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1:34" ht="30" customHeight="1" x14ac:dyDescent="0.25">
      <c r="B7" s="9" t="s">
        <v>3</v>
      </c>
      <c r="C7" s="3"/>
      <c r="D7" s="3"/>
      <c r="E7" s="3" t="s">
        <v>8</v>
      </c>
      <c r="F7" s="3" t="s">
        <v>8</v>
      </c>
      <c r="G7" s="3" t="s">
        <v>8</v>
      </c>
      <c r="H7" s="3" t="s">
        <v>8</v>
      </c>
      <c r="I7" s="3"/>
      <c r="J7" s="3"/>
      <c r="K7" s="3"/>
      <c r="L7" s="3"/>
      <c r="M7" s="3"/>
      <c r="N7" s="3"/>
      <c r="O7" s="3" t="s">
        <v>8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COUNTA(Tammikuu!$C7:$AG7)</f>
        <v>5</v>
      </c>
    </row>
    <row r="8" spans="1:34" ht="30" customHeight="1" x14ac:dyDescent="0.25">
      <c r="B8" s="9" t="s">
        <v>4</v>
      </c>
      <c r="C8" s="3"/>
      <c r="D8" s="3"/>
      <c r="E8" s="3"/>
      <c r="F8" s="3"/>
      <c r="G8" s="3" t="s">
        <v>16</v>
      </c>
      <c r="H8" s="3" t="s">
        <v>16</v>
      </c>
      <c r="I8" s="3"/>
      <c r="J8" s="3"/>
      <c r="K8" s="3"/>
      <c r="L8" s="3"/>
      <c r="M8" s="3" t="s">
        <v>14</v>
      </c>
      <c r="N8" s="3"/>
      <c r="O8" s="3"/>
      <c r="P8" s="3"/>
      <c r="Q8" s="3"/>
      <c r="R8" s="3"/>
      <c r="S8" s="3"/>
      <c r="T8" s="3"/>
      <c r="U8" s="3"/>
      <c r="V8" s="3" t="s">
        <v>16</v>
      </c>
      <c r="W8" s="3"/>
      <c r="X8" s="3"/>
      <c r="Y8" s="3"/>
      <c r="Z8" s="3"/>
      <c r="AA8" s="3" t="s">
        <v>8</v>
      </c>
      <c r="AB8" s="3" t="s">
        <v>8</v>
      </c>
      <c r="AC8" s="3" t="s">
        <v>8</v>
      </c>
      <c r="AD8" s="3"/>
      <c r="AE8" s="3"/>
      <c r="AF8" s="3"/>
      <c r="AG8" s="3"/>
      <c r="AH8" s="10">
        <f>COUNTA(Tammikuu!$C8:$AG8)</f>
        <v>7</v>
      </c>
    </row>
    <row r="9" spans="1:34" ht="30" customHeight="1" x14ac:dyDescent="0.25">
      <c r="B9" s="9" t="s">
        <v>5</v>
      </c>
      <c r="C9" s="3"/>
      <c r="D9" s="3"/>
      <c r="E9" s="3" t="s">
        <v>14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16</v>
      </c>
      <c r="AF9" s="3"/>
      <c r="AG9" s="3"/>
      <c r="AH9" s="10">
        <f>COUNTA(Tammikuu!$C9:$AG9)</f>
        <v>3</v>
      </c>
    </row>
    <row r="10" spans="1:34" ht="30" customHeight="1" x14ac:dyDescent="0.25">
      <c r="B10" s="9" t="s">
        <v>6</v>
      </c>
      <c r="C10" s="3"/>
      <c r="D10" s="3"/>
      <c r="E10" s="3"/>
      <c r="F10" s="3"/>
      <c r="G10" s="3"/>
      <c r="H10" s="3"/>
      <c r="I10" s="3" t="s">
        <v>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8</v>
      </c>
      <c r="V10" s="3" t="s">
        <v>8</v>
      </c>
      <c r="W10" s="3" t="s">
        <v>8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COUNTA(Tammikuu!$C10:$AG10)</f>
        <v>4</v>
      </c>
    </row>
    <row r="11" spans="1:34" ht="30" customHeight="1" x14ac:dyDescent="0.25">
      <c r="B11" s="9" t="s">
        <v>7</v>
      </c>
      <c r="C11" s="3"/>
      <c r="D11" s="3"/>
      <c r="E11" s="3"/>
      <c r="F11" s="3" t="s">
        <v>16</v>
      </c>
      <c r="G11" s="3" t="s">
        <v>8</v>
      </c>
      <c r="H11" s="3" t="s">
        <v>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16</v>
      </c>
      <c r="T11" s="3"/>
      <c r="U11" s="3"/>
      <c r="V11" s="3"/>
      <c r="W11" s="3"/>
      <c r="X11" s="3"/>
      <c r="Y11" s="3"/>
      <c r="Z11" s="3" t="s">
        <v>16</v>
      </c>
      <c r="AA11" s="3"/>
      <c r="AB11" s="3"/>
      <c r="AC11" s="3"/>
      <c r="AD11" s="3"/>
      <c r="AE11" s="3"/>
      <c r="AF11" s="3"/>
      <c r="AG11" s="3" t="s">
        <v>8</v>
      </c>
      <c r="AH11" s="10">
        <f>COUNTA(Tammikuu!$C11:$AG11)</f>
        <v>6</v>
      </c>
    </row>
    <row r="12" spans="1:34" ht="30" customHeight="1" x14ac:dyDescent="0.25">
      <c r="B12" s="21" t="str">
        <f>Kuukauden_nimi&amp;" Yhteensä"</f>
        <v>Tammikuu Yhteensä</v>
      </c>
      <c r="C12" s="13">
        <f>SUBTOTAL(103,Tammikuu!$C$7:$C$11)</f>
        <v>0</v>
      </c>
      <c r="D12" s="13">
        <f>SUBTOTAL(103,Tammikuu!$D$7:$D$11)</f>
        <v>0</v>
      </c>
      <c r="E12" s="13">
        <f>SUBTOTAL(103,Tammikuu!$E$7:$E$11)</f>
        <v>2</v>
      </c>
      <c r="F12" s="13">
        <f>SUBTOTAL(103,Tammikuu!$F$7:$F$11)</f>
        <v>2</v>
      </c>
      <c r="G12" s="13">
        <f>SUBTOTAL(103,Tammikuu!$G$7:$G$11)</f>
        <v>3</v>
      </c>
      <c r="H12" s="13">
        <f>SUBTOTAL(103,Tammikuu!$H$7:$H$11)</f>
        <v>3</v>
      </c>
      <c r="I12" s="13">
        <f>SUBTOTAL(103,Tammikuu!$I$7:$I$11)</f>
        <v>1</v>
      </c>
      <c r="J12" s="13">
        <f>SUBTOTAL(103,Tammikuu!$J$7:$J$11)</f>
        <v>0</v>
      </c>
      <c r="K12" s="13">
        <f>SUBTOTAL(103,Tammikuu!$K$7:$K$11)</f>
        <v>0</v>
      </c>
      <c r="L12" s="13">
        <f>SUBTOTAL(103,Tammikuu!$L$7:$L$11)</f>
        <v>0</v>
      </c>
      <c r="M12" s="13">
        <f>SUBTOTAL(103,Tammikuu!$M$7:$M$11)</f>
        <v>1</v>
      </c>
      <c r="N12" s="13">
        <f>SUBTOTAL(103,Tammikuu!$N$7:$N$11)</f>
        <v>0</v>
      </c>
      <c r="O12" s="13">
        <f>SUBTOTAL(103,Tammikuu!$O$7:$O$11)</f>
        <v>1</v>
      </c>
      <c r="P12" s="13">
        <f>SUBTOTAL(103,Tammikuu!$P$7:$P$11)</f>
        <v>1</v>
      </c>
      <c r="Q12" s="13">
        <f>SUBTOTAL(103,Tammikuu!$Q$7:$Q$11)</f>
        <v>0</v>
      </c>
      <c r="R12" s="13">
        <f>SUBTOTAL(103,Tammikuu!$R$7:$R$11)</f>
        <v>0</v>
      </c>
      <c r="S12" s="13">
        <f>SUBTOTAL(103,Tammikuu!$S$7:$S$11)</f>
        <v>1</v>
      </c>
      <c r="T12" s="13">
        <f>SUBTOTAL(103,Tammikuu!$T$7:$T$11)</f>
        <v>0</v>
      </c>
      <c r="U12" s="13">
        <f>SUBTOTAL(103,Tammikuu!$U$7:$U$11)</f>
        <v>1</v>
      </c>
      <c r="V12" s="13">
        <f>SUBTOTAL(103,Tammikuu!$V$7:$V$11)</f>
        <v>2</v>
      </c>
      <c r="W12" s="13">
        <f>SUBTOTAL(103,Tammikuu!$W$7:$W$11)</f>
        <v>1</v>
      </c>
      <c r="X12" s="13">
        <f>SUBTOTAL(103,Tammikuu!$X$7:$X$11)</f>
        <v>0</v>
      </c>
      <c r="Y12" s="13">
        <f>SUBTOTAL(103,Tammikuu!$Y$7:$Y$11)</f>
        <v>0</v>
      </c>
      <c r="Z12" s="13">
        <f>SUBTOTAL(103,Tammikuu!$Z$7:$Z$11)</f>
        <v>1</v>
      </c>
      <c r="AA12" s="13">
        <f>SUBTOTAL(103,Tammikuu!$AA$7:$AA$11)</f>
        <v>1</v>
      </c>
      <c r="AB12" s="13">
        <f>SUBTOTAL(103,Tammikuu!$AB$7:$AB$11)</f>
        <v>1</v>
      </c>
      <c r="AC12" s="13">
        <f>SUBTOTAL(103,Tammikuu!$AC$7:$AC$11)</f>
        <v>1</v>
      </c>
      <c r="AD12" s="13">
        <f>SUBTOTAL(103,Tammikuu!$AD$7:$AD$11)</f>
        <v>0</v>
      </c>
      <c r="AE12" s="13">
        <f>SUBTOTAL(103,Tammikuu!$AE$7:$AE$11)</f>
        <v>1</v>
      </c>
      <c r="AF12" s="13">
        <f>SUBTOTAL(103,Tammikuu!$AF$7:$AF$11)</f>
        <v>0</v>
      </c>
      <c r="AG12" s="13">
        <f>SUBTOTAL(103,Tammikuu!$AG$7:$AG$11)</f>
        <v>1</v>
      </c>
      <c r="AH12" s="13">
        <f>SUBTOTAL(109,Tammikuu[Päiviä yhteensä])</f>
        <v>25</v>
      </c>
    </row>
  </sheetData>
  <mergeCells count="6">
    <mergeCell ref="C4:AG4"/>
    <mergeCell ref="L2:M2"/>
    <mergeCell ref="O2:Q2"/>
    <mergeCell ref="S2:U2"/>
    <mergeCell ref="D2:E2"/>
    <mergeCell ref="G2:J2"/>
  </mergeCells>
  <conditionalFormatting sqref="C7:AG11">
    <cfRule type="expression" priority="1" stopIfTrue="1">
      <formula>C7=""</formula>
    </cfRule>
    <cfRule type="expression" dxfId="888" priority="6" stopIfTrue="1">
      <formula>C7=Avain_mukautettu_2</formula>
    </cfRule>
    <cfRule type="expression" dxfId="887" priority="7" stopIfTrue="1">
      <formula>C7=Avain_mukautettu_1</formula>
    </cfRule>
    <cfRule type="expression" dxfId="886" priority="8" stopIfTrue="1">
      <formula>C7=Avain_sairaus</formula>
    </cfRule>
    <cfRule type="expression" dxfId="885" priority="9" stopIfTrue="1">
      <formula>C7=Avain_henkilökohtainen</formula>
    </cfRule>
    <cfRule type="expression" dxfId="884" priority="10" stopIfTrue="1">
      <formula>C7=Avain_loma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Kirjoita vuosi tähän soluun" sqref="AH4" xr:uid="{00000000-0002-0000-0000-000000000000}"/>
    <dataValidation errorStyle="warning" allowBlank="1" showInputMessage="1" showErrorMessage="1" error="Valitse nimi luettelosta. Valitse PERUUTA, paina ALT+ALANUOLI ja valitse sitten nimi painamalla ENTER" prompt="Anna työntekijöiden nimet Työntekijöiden nimet -laskentataulukkoon ja valitse luettelosta jokin nimi tässä sarakkeessa. Paina ALT+ALANUOLI ja valitse sitten nimi painamalla ENTER" sqref="B6" xr:uid="{00000000-0002-0000-0000-000001000000}"/>
    <dataValidation allowBlank="1" showInputMessage="1" showErrorMessage="1" prompt="Tämän rivin kuukauden päivät luodaan automaattisesti. Anna työntekijän poissaolo ja poissaolotyyppi jokaiseen sarakkeeseen kuukauden jokaista päivää varten. Tyhjä tarkoittaa, ettei poissaoloa ole" sqref="C6" xr:uid="{00000000-0002-0000-0000-000002000000}"/>
    <dataValidation allowBlank="1" showInputMessage="1" showErrorMessage="1" prompt="Tämän rivin viikonpäivät päivittyvät automaattisesti soluun AH4 annetun vuoden mukaan. Kuukauden jokainen päivä on sarake, johon merkitään työntekijän poissaolo ja poissaolotyyppi" sqref="C5" xr:uid="{00000000-0002-0000-0000-000003000000}"/>
    <dataValidation allowBlank="1" showInputMessage="1" showErrorMessage="1" prompt="Laskee automaattisesti päivien kokonaismäärän, jonka työntekijä oli poissa tässä kuussa" sqref="AH6" xr:uid="{00000000-0002-0000-0000-000004000000}"/>
    <dataValidation allowBlank="1" showInputMessage="1" showErrorMessage="1" prompt="Laskentataulukon otsikko on tässä solussa. Päivitä otsikko, niin muutos periytyy automaattisesti kaikkiin laskentataulukoihin" sqref="B1" xr:uid="{00000000-0002-0000-0000-000005000000}"/>
    <dataValidation allowBlank="1" showInputMessage="1" showErrorMessage="1" prompt="Tämän poissaoloaikataulun kuukausi. Päivitä vuosi solussa AH4. Seuraa kuukausittaisia summia taulukon viimeisessä solussa. Anna työntekijöiden nimet taulukon sarakkeessa B" sqref="B4" xr:uid="{00000000-0002-0000-0000-000006000000}"/>
    <dataValidation allowBlank="1" showInputMessage="1" showErrorMessage="1" prompt="Tämä rivi määrittää taulukossa käytettävät avaimet: solu C2 on Loma, F2 on Henkilökohtainen ja K2 on Sairaus. Solut N2 ja R2 ovat muokattavia" sqref="B2" xr:uid="{00000000-0002-0000-0000-000007000000}"/>
    <dataValidation allowBlank="1" showInputMessage="1" showErrorMessage="1" prompt="L-kirjain tarkoittaa poissaoloa loman takia" sqref="C2" xr:uid="{00000000-0002-0000-0000-000008000000}"/>
    <dataValidation allowBlank="1" showInputMessage="1" showErrorMessage="1" prompt="H-kirjain tarkoittaa poissaoloa henkilökohtaisen syyn takia" sqref="F2" xr:uid="{00000000-0002-0000-0000-000009000000}"/>
    <dataValidation allowBlank="1" showInputMessage="1" showErrorMessage="1" prompt="S-kirjain tarkoittaa poissaoloa sairauden takia" sqref="K2" xr:uid="{00000000-0002-0000-0000-00000A000000}"/>
    <dataValidation allowBlank="1" showInputMessage="1" showErrorMessage="1" prompt="Lisää uusi avainkohde kirjoittamalla kirjain ja mukauttamalla selitettä oikealla" sqref="N2 R2" xr:uid="{00000000-0002-0000-0000-00000B000000}"/>
    <dataValidation allowBlank="1" showInputMessage="1" showErrorMessage="1" prompt="Lisää vasemmalla olevan mukautetun avaimen kuvaus kirjoittamalla selite" sqref="O2:Q2 S2:U2" xr:uid="{00000000-0002-0000-0000-00000C000000}"/>
    <dataValidation allowBlank="1" showInputMessage="1" showErrorMessage="1" prompt="Työntekijöiden poissaoloaikataulun avulla seurataan työntekijöiden poissaoloa kunkin kuukauden aikana. Laskentataulukoita on 13: 12 kuukausittaista ja viimeisenä yksi työntekijöiden nimiä varten. Seuraa tammikuun poissaoloja tämän laskentataulukon avulla" sqref="A1" xr:uid="{00000000-0002-0000-0000-00000D000000}"/>
    <dataValidation allowBlank="1" showInputMessage="1" showErrorMessage="1" prompt="Syötä vuosi alla olevaan soluun" sqref="AH3" xr:uid="{00000000-0002-0000-0000-00000E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'Työntekijöiden nimet'!$B$4:$B$8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Työntekijöiden_poissaolon_otsikko</f>
        <v>Työntekijöiden Poissaoloaikataulu</v>
      </c>
    </row>
    <row r="2" spans="2:34" ht="15" customHeight="1" x14ac:dyDescent="0.25">
      <c r="B2" s="19" t="s">
        <v>0</v>
      </c>
      <c r="C2" s="4" t="s">
        <v>8</v>
      </c>
      <c r="D2" s="25" t="s">
        <v>11</v>
      </c>
      <c r="E2" s="25"/>
      <c r="F2" s="5" t="s">
        <v>14</v>
      </c>
      <c r="G2" s="25" t="s">
        <v>18</v>
      </c>
      <c r="H2" s="25"/>
      <c r="I2" s="25"/>
      <c r="J2" s="25"/>
      <c r="K2" s="6" t="s">
        <v>16</v>
      </c>
      <c r="L2" s="25" t="s">
        <v>23</v>
      </c>
      <c r="M2" s="25"/>
      <c r="N2" s="7"/>
      <c r="O2" s="25" t="s">
        <v>27</v>
      </c>
      <c r="P2" s="25"/>
      <c r="Q2" s="25"/>
      <c r="R2" s="8"/>
      <c r="S2" s="25" t="s">
        <v>32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59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Kalenterivuosi</f>
        <v>2019</v>
      </c>
    </row>
    <row r="5" spans="2:34" ht="15" customHeight="1" x14ac:dyDescent="0.25">
      <c r="B5" s="12"/>
      <c r="C5" s="2" t="str">
        <f>TEXT(WEEKDAY(DATE(Kalenterivuosi,10,1),1),"aaa")</f>
        <v>ti</v>
      </c>
      <c r="D5" s="2" t="str">
        <f>TEXT(WEEKDAY(DATE(Kalenterivuosi,10,2),1),"aaa")</f>
        <v>ke</v>
      </c>
      <c r="E5" s="2" t="str">
        <f>TEXT(WEEKDAY(DATE(Kalenterivuosi,10,3),1),"aaa")</f>
        <v>to</v>
      </c>
      <c r="F5" s="2" t="str">
        <f>TEXT(WEEKDAY(DATE(Kalenterivuosi,10,4),1),"aaa")</f>
        <v>pe</v>
      </c>
      <c r="G5" s="2" t="str">
        <f>TEXT(WEEKDAY(DATE(Kalenterivuosi,10,5),1),"aaa")</f>
        <v>la</v>
      </c>
      <c r="H5" s="2" t="str">
        <f>TEXT(WEEKDAY(DATE(Kalenterivuosi,10,6),1),"aaa")</f>
        <v>su</v>
      </c>
      <c r="I5" s="2" t="str">
        <f>TEXT(WEEKDAY(DATE(Kalenterivuosi,10,7),1),"aaa")</f>
        <v>ma</v>
      </c>
      <c r="J5" s="2" t="str">
        <f>TEXT(WEEKDAY(DATE(Kalenterivuosi,10,8),1),"aaa")</f>
        <v>ti</v>
      </c>
      <c r="K5" s="2" t="str">
        <f>TEXT(WEEKDAY(DATE(Kalenterivuosi,10,9),1),"aaa")</f>
        <v>ke</v>
      </c>
      <c r="L5" s="2" t="str">
        <f>TEXT(WEEKDAY(DATE(Kalenterivuosi,10,10),1),"aaa")</f>
        <v>to</v>
      </c>
      <c r="M5" s="2" t="str">
        <f>TEXT(WEEKDAY(DATE(Kalenterivuosi,10,11),1),"aaa")</f>
        <v>pe</v>
      </c>
      <c r="N5" s="2" t="str">
        <f>TEXT(WEEKDAY(DATE(Kalenterivuosi,10,12),1),"aaa")</f>
        <v>la</v>
      </c>
      <c r="O5" s="2" t="str">
        <f>TEXT(WEEKDAY(DATE(Kalenterivuosi,10,13),1),"aaa")</f>
        <v>su</v>
      </c>
      <c r="P5" s="2" t="str">
        <f>TEXT(WEEKDAY(DATE(Kalenterivuosi,10,14),1),"aaa")</f>
        <v>ma</v>
      </c>
      <c r="Q5" s="2" t="str">
        <f>TEXT(WEEKDAY(DATE(Kalenterivuosi,10,15),1),"aaa")</f>
        <v>ti</v>
      </c>
      <c r="R5" s="2" t="str">
        <f>TEXT(WEEKDAY(DATE(Kalenterivuosi,10,16),1),"aaa")</f>
        <v>ke</v>
      </c>
      <c r="S5" s="2" t="str">
        <f>TEXT(WEEKDAY(DATE(Kalenterivuosi,10,17),1),"aaa")</f>
        <v>to</v>
      </c>
      <c r="T5" s="2" t="str">
        <f>TEXT(WEEKDAY(DATE(Kalenterivuosi,10,18),1),"aaa")</f>
        <v>pe</v>
      </c>
      <c r="U5" s="2" t="str">
        <f>TEXT(WEEKDAY(DATE(Kalenterivuosi,10,19),1),"aaa")</f>
        <v>la</v>
      </c>
      <c r="V5" s="2" t="str">
        <f>TEXT(WEEKDAY(DATE(Kalenterivuosi,10,20),1),"aaa")</f>
        <v>su</v>
      </c>
      <c r="W5" s="2" t="str">
        <f>TEXT(WEEKDAY(DATE(Kalenterivuosi,10,21),1),"aaa")</f>
        <v>ma</v>
      </c>
      <c r="X5" s="2" t="str">
        <f>TEXT(WEEKDAY(DATE(Kalenterivuosi,10,22),1),"aaa")</f>
        <v>ti</v>
      </c>
      <c r="Y5" s="2" t="str">
        <f>TEXT(WEEKDAY(DATE(Kalenterivuosi,10,23),1),"aaa")</f>
        <v>ke</v>
      </c>
      <c r="Z5" s="2" t="str">
        <f>TEXT(WEEKDAY(DATE(Kalenterivuosi,10,24),1),"aaa")</f>
        <v>to</v>
      </c>
      <c r="AA5" s="2" t="str">
        <f>TEXT(WEEKDAY(DATE(Kalenterivuosi,10,25),1),"aaa")</f>
        <v>pe</v>
      </c>
      <c r="AB5" s="2" t="str">
        <f>TEXT(WEEKDAY(DATE(Kalenterivuosi,10,26),1),"aaa")</f>
        <v>la</v>
      </c>
      <c r="AC5" s="2" t="str">
        <f>TEXT(WEEKDAY(DATE(Kalenterivuosi,10,27),1),"aaa")</f>
        <v>su</v>
      </c>
      <c r="AD5" s="2" t="str">
        <f>TEXT(WEEKDAY(DATE(Kalenterivuosi,10,28),1),"aaa")</f>
        <v>ma</v>
      </c>
      <c r="AE5" s="2" t="str">
        <f>TEXT(WEEKDAY(DATE(Kalenterivuosi,10,29),1),"aaa")</f>
        <v>ti</v>
      </c>
      <c r="AF5" s="2" t="str">
        <f>TEXT(WEEKDAY(DATE(Kalenterivuosi,10,30),1),"aaa")</f>
        <v>ke</v>
      </c>
      <c r="AG5" s="2" t="str">
        <f>TEXT(WEEKDAY(DATE(Kalenterivuosi,10,31),1),"aaa")</f>
        <v>to</v>
      </c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COUNTA(Lokakuu[[#This Row],[1]:[31]])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COUNTA(Lokakuu[[#This Row],[1]:[31]])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COUNTA(Lokakuu[[#This Row],[1]:[31]])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COUNTA(Lokakuu[[#This Row],[1]:[31]])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COUNTA(Lokakuu[[#This Row],[1]:[31]])</f>
        <v>0</v>
      </c>
    </row>
    <row r="12" spans="2:34" ht="30" customHeight="1" x14ac:dyDescent="0.25">
      <c r="B12" s="21" t="str">
        <f>Kuukauden_nimi&amp;" Yhteensä"</f>
        <v>Lokakuu Yhteensä</v>
      </c>
      <c r="C12" s="13">
        <f>SUBTOTAL(103,Lokakuu[1])</f>
        <v>0</v>
      </c>
      <c r="D12" s="13">
        <f>SUBTOTAL(103,Lokakuu[2])</f>
        <v>0</v>
      </c>
      <c r="E12" s="13">
        <f>SUBTOTAL(103,Lokakuu[3])</f>
        <v>0</v>
      </c>
      <c r="F12" s="13">
        <f>SUBTOTAL(103,Lokakuu[4])</f>
        <v>0</v>
      </c>
      <c r="G12" s="13">
        <f>SUBTOTAL(103,Lokakuu[5])</f>
        <v>0</v>
      </c>
      <c r="H12" s="13">
        <f>SUBTOTAL(103,Lokakuu[6])</f>
        <v>0</v>
      </c>
      <c r="I12" s="13">
        <f>SUBTOTAL(103,Lokakuu[7])</f>
        <v>0</v>
      </c>
      <c r="J12" s="13">
        <f>SUBTOTAL(103,Lokakuu[8])</f>
        <v>0</v>
      </c>
      <c r="K12" s="13">
        <f>SUBTOTAL(103,Lokakuu[9])</f>
        <v>0</v>
      </c>
      <c r="L12" s="13">
        <f>SUBTOTAL(103,Lokakuu[10])</f>
        <v>0</v>
      </c>
      <c r="M12" s="13">
        <f>SUBTOTAL(103,Lokakuu[11])</f>
        <v>0</v>
      </c>
      <c r="N12" s="13">
        <f>SUBTOTAL(103,Lokakuu[12])</f>
        <v>0</v>
      </c>
      <c r="O12" s="13">
        <f>SUBTOTAL(103,Lokakuu[13])</f>
        <v>0</v>
      </c>
      <c r="P12" s="13">
        <f>SUBTOTAL(103,Lokakuu[14])</f>
        <v>0</v>
      </c>
      <c r="Q12" s="13">
        <f>SUBTOTAL(103,Lokakuu[15])</f>
        <v>0</v>
      </c>
      <c r="R12" s="13">
        <f>SUBTOTAL(103,Lokakuu[16])</f>
        <v>0</v>
      </c>
      <c r="S12" s="13">
        <f>SUBTOTAL(103,Lokakuu[17])</f>
        <v>0</v>
      </c>
      <c r="T12" s="13">
        <f>SUBTOTAL(103,Lokakuu[18])</f>
        <v>0</v>
      </c>
      <c r="U12" s="13">
        <f>SUBTOTAL(103,Lokakuu[19])</f>
        <v>0</v>
      </c>
      <c r="V12" s="13">
        <f>SUBTOTAL(103,Lokakuu[20])</f>
        <v>0</v>
      </c>
      <c r="W12" s="13">
        <f>SUBTOTAL(103,Lokakuu[21])</f>
        <v>0</v>
      </c>
      <c r="X12" s="13">
        <f>SUBTOTAL(103,Lokakuu[22])</f>
        <v>0</v>
      </c>
      <c r="Y12" s="13">
        <f>SUBTOTAL(103,Lokakuu[23])</f>
        <v>0</v>
      </c>
      <c r="Z12" s="13">
        <f>SUBTOTAL(103,Lokakuu[24])</f>
        <v>0</v>
      </c>
      <c r="AA12" s="13">
        <f>SUBTOTAL(103,Lokakuu[25])</f>
        <v>0</v>
      </c>
      <c r="AB12" s="13">
        <f>SUBTOTAL(103,Lokakuu[26])</f>
        <v>0</v>
      </c>
      <c r="AC12" s="13">
        <f>SUBTOTAL(103,Lokakuu[27])</f>
        <v>0</v>
      </c>
      <c r="AD12" s="13">
        <f>SUBTOTAL(103,Lokakuu[28])</f>
        <v>0</v>
      </c>
      <c r="AE12" s="13">
        <f>SUBTOTAL(103,Lokakuu[29])</f>
        <v>0</v>
      </c>
      <c r="AF12" s="13">
        <f>SUBTOTAL(103,Lokakuu[30])</f>
        <v>0</v>
      </c>
      <c r="AG12" s="13">
        <f>SUBTOTAL(103,Lokakuu[31])</f>
        <v>0</v>
      </c>
      <c r="AH12" s="13">
        <f>SUBTOTAL(109,Lokakuu[Päiviä yhteensä])</f>
        <v>0</v>
      </c>
    </row>
  </sheetData>
  <mergeCells count="6">
    <mergeCell ref="C4:AG4"/>
    <mergeCell ref="L2:M2"/>
    <mergeCell ref="O2:Q2"/>
    <mergeCell ref="S2:U2"/>
    <mergeCell ref="D2:E2"/>
    <mergeCell ref="G2:J2"/>
  </mergeCells>
  <conditionalFormatting sqref="C7:AG11">
    <cfRule type="expression" priority="1" stopIfTrue="1">
      <formula>C7=""</formula>
    </cfRule>
  </conditionalFormatting>
  <conditionalFormatting sqref="C7:AG11">
    <cfRule type="expression" dxfId="221" priority="2" stopIfTrue="1">
      <formula>C7=Avain_mukautettu_2</formula>
    </cfRule>
    <cfRule type="expression" dxfId="220" priority="3" stopIfTrue="1">
      <formula>C7=Avain_mukautettu_1</formula>
    </cfRule>
    <cfRule type="expression" dxfId="219" priority="4" stopIfTrue="1">
      <formula>C7=Avain_sairaus</formula>
    </cfRule>
    <cfRule type="expression" dxfId="218" priority="5" stopIfTrue="1">
      <formula>C7=Avain_henkilökohtainen</formula>
    </cfRule>
    <cfRule type="expression" dxfId="217" priority="6" stopIfTrue="1">
      <formula>C7=Avain_loma</formula>
    </cfRule>
  </conditionalFormatting>
  <conditionalFormatting sqref="AH7:AH11">
    <cfRule type="dataBar" priority="7">
      <dataBar>
        <cfvo type="min"/>
        <cfvo type="formula" val="DATEDIF(DATE(Kalenterivuosi,2,1),DATE(Kalenterivuosi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Tämän rivin viikonpäivät päivittyvät automaattisesti solussa AH4 olevan vuoden mukaan. Kuukauden jokainen päivä on sarake, johon merkitään työntekijän poissaolo ja poissaolotyyppi" sqref="C5" xr:uid="{00000000-0002-0000-0900-000000000000}"/>
    <dataValidation allowBlank="1" showInputMessage="1" showErrorMessage="1" prompt="Tammikuu-laskentataulukkoon lisätyn vuoden perusteella automaattisesti päivitettävä vuosi." sqref="AH4" xr:uid="{00000000-0002-0000-0900-000001000000}"/>
    <dataValidation allowBlank="1" showInputMessage="1" showErrorMessage="1" prompt="Laskee automaattisesti tähän sarakkeeseen päivien kokonaismäärän, jonka työntekijä oli poissa tässä kuussa" sqref="AH6" xr:uid="{00000000-0002-0000-0900-000002000000}"/>
    <dataValidation allowBlank="1" showInputMessage="1" showErrorMessage="1" prompt="Seuraa lokakuun poissaoloja tämän laskentataulukon avulla" sqref="A1" xr:uid="{00000000-0002-0000-0900-000003000000}"/>
    <dataValidation errorStyle="warning" allowBlank="1" showInputMessage="1" showErrorMessage="1" error="Valitse nimi luettelosta. Valitse PERUUTA, paina ALT+ALANUOLI ja valitse sitten nimi painamalla ENTER" prompt="Anna työntekijöiden nimet Työntekijöiden nimet -laskentataulukkoon ja valitse luettelosta jokin nimi tässä sarakkeessa. Paina ALT+ALANUOLI ja valitse sitten nimi painamalla ENTER" sqref="B6" xr:uid="{00000000-0002-0000-0900-000004000000}"/>
    <dataValidation allowBlank="1" showInputMessage="1" showErrorMessage="1" prompt="Automaattisesti päivitettävä otsikko on tässä solussa. Jos haluat muokata otsikkoa, päivitä Tammikuu-laskentataulukon solu B1" sqref="B1" xr:uid="{00000000-0002-0000-0900-000005000000}"/>
    <dataValidation allowBlank="1" showInputMessage="1" showErrorMessage="1" prompt="L-kirjain tarkoittaa poissaoloa loman takia" sqref="C2" xr:uid="{65EC337E-B65E-4FEE-9845-4B65CF3D8062}"/>
    <dataValidation allowBlank="1" showInputMessage="1" showErrorMessage="1" prompt="H-kirjain tarkoittaa poissaoloa henkilökohtaisen syyn takia" sqref="F2" xr:uid="{E424306D-B1A7-463B-9065-6812E29C4EDB}"/>
    <dataValidation allowBlank="1" showInputMessage="1" showErrorMessage="1" prompt="S-kirjain tarkoittaa poissaoloa sairauden takia" sqref="K2" xr:uid="{49E880E7-13FF-4FD9-831D-193C8B74B5C5}"/>
    <dataValidation allowBlank="1" showInputMessage="1" showErrorMessage="1" prompt="Lisää uusi avainkohde kirjoittamalla kirjain ja mukauttamalla selitettä oikealla" sqref="N2 R2" xr:uid="{4F1015FB-04DD-4260-A4EF-1DCC4612580D}"/>
    <dataValidation allowBlank="1" showInputMessage="1" showErrorMessage="1" prompt="Lisää vasemmalla olevan mukautetun avaimen kuvaus kirjoittamalla selite" sqref="O2:Q2 S2:U2" xr:uid="{E7972B9E-9301-4F0B-904C-DC658843BF8B}"/>
    <dataValidation allowBlank="1" showInputMessage="1" showErrorMessage="1" prompt="Tämä rivi määrittää taulukossa käytettävät avaimet: solu C2 on Loma, F2 on Henkilökohtainen ja K2 on Sairaus. Solut N2 ja R2 ovat muokattavia" sqref="B2" xr:uid="{00000000-0002-0000-0900-00000B000000}"/>
    <dataValidation allowBlank="1" showInputMessage="1" showErrorMessage="1" prompt="Tämän poissaoloaikataulun kuukauden nimi on tässä solussa. Tämän kuukauden poissaolojen kokonaissummat ovat taulukon viimeisessä solussa. Valitse työntekijöiden nimet taulukon sarakkeessa B" sqref="B4" xr:uid="{00000000-0002-0000-0900-00000C000000}"/>
    <dataValidation allowBlank="1" showInputMessage="1" showErrorMessage="1" prompt="Tämän rivin kuukauden päivät luodaan automaattisesti. Anna työntekijän poissaolo ja poissaolotyyppi jokaiseen sarakkeeseen kuukauden jokaista päivää varten. Tyhjä tarkoittaa, ettei poissaoloa ole" sqref="C6" xr:uid="{00000000-0002-0000-0900-00000D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DATEDIF(DATE(Kalenterivuosi,2,1),DATE(Kalenterivuosi,3,1),"d")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'Työntekijöiden nimet'!$B$4:$B$8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Työntekijöiden_poissaolon_otsikko</f>
        <v>Työntekijöiden Poissaoloaikataulu</v>
      </c>
    </row>
    <row r="2" spans="2:34" ht="15" customHeight="1" x14ac:dyDescent="0.25">
      <c r="B2" s="19" t="s">
        <v>0</v>
      </c>
      <c r="C2" s="4" t="s">
        <v>8</v>
      </c>
      <c r="D2" s="25" t="s">
        <v>11</v>
      </c>
      <c r="E2" s="25"/>
      <c r="F2" s="5" t="s">
        <v>14</v>
      </c>
      <c r="G2" s="25" t="s">
        <v>18</v>
      </c>
      <c r="H2" s="25"/>
      <c r="I2" s="25"/>
      <c r="J2" s="25"/>
      <c r="K2" s="6" t="s">
        <v>16</v>
      </c>
      <c r="L2" s="25" t="s">
        <v>23</v>
      </c>
      <c r="M2" s="25"/>
      <c r="N2" s="7"/>
      <c r="O2" s="25" t="s">
        <v>27</v>
      </c>
      <c r="P2" s="25"/>
      <c r="Q2" s="25"/>
      <c r="R2" s="8"/>
      <c r="S2" s="25" t="s">
        <v>32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60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Kalenterivuosi</f>
        <v>2019</v>
      </c>
    </row>
    <row r="5" spans="2:34" ht="15" customHeight="1" x14ac:dyDescent="0.25">
      <c r="B5" s="12"/>
      <c r="C5" s="2" t="str">
        <f>TEXT(WEEKDAY(DATE(Kalenterivuosi,11,1),1),"aaa")</f>
        <v>pe</v>
      </c>
      <c r="D5" s="2" t="str">
        <f>TEXT(WEEKDAY(DATE(Kalenterivuosi,11,2),1),"aaa")</f>
        <v>la</v>
      </c>
      <c r="E5" s="2" t="str">
        <f>TEXT(WEEKDAY(DATE(Kalenterivuosi,11,3),1),"aaa")</f>
        <v>su</v>
      </c>
      <c r="F5" s="2" t="str">
        <f>TEXT(WEEKDAY(DATE(Kalenterivuosi,11,4),1),"aaa")</f>
        <v>ma</v>
      </c>
      <c r="G5" s="2" t="str">
        <f>TEXT(WEEKDAY(DATE(Kalenterivuosi,11,5),1),"aaa")</f>
        <v>ti</v>
      </c>
      <c r="H5" s="2" t="str">
        <f>TEXT(WEEKDAY(DATE(Kalenterivuosi,11,6),1),"aaa")</f>
        <v>ke</v>
      </c>
      <c r="I5" s="2" t="str">
        <f>TEXT(WEEKDAY(DATE(Kalenterivuosi,11,7),1),"aaa")</f>
        <v>to</v>
      </c>
      <c r="J5" s="2" t="str">
        <f>TEXT(WEEKDAY(DATE(Kalenterivuosi,11,8),1),"aaa")</f>
        <v>pe</v>
      </c>
      <c r="K5" s="2" t="str">
        <f>TEXT(WEEKDAY(DATE(Kalenterivuosi,11,9),1),"aaa")</f>
        <v>la</v>
      </c>
      <c r="L5" s="2" t="str">
        <f>TEXT(WEEKDAY(DATE(Kalenterivuosi,11,10),1),"aaa")</f>
        <v>su</v>
      </c>
      <c r="M5" s="2" t="str">
        <f>TEXT(WEEKDAY(DATE(Kalenterivuosi,11,11),1),"aaa")</f>
        <v>ma</v>
      </c>
      <c r="N5" s="2" t="str">
        <f>TEXT(WEEKDAY(DATE(Kalenterivuosi,11,12),1),"aaa")</f>
        <v>ti</v>
      </c>
      <c r="O5" s="2" t="str">
        <f>TEXT(WEEKDAY(DATE(Kalenterivuosi,11,13),1),"aaa")</f>
        <v>ke</v>
      </c>
      <c r="P5" s="2" t="str">
        <f>TEXT(WEEKDAY(DATE(Kalenterivuosi,11,14),1),"aaa")</f>
        <v>to</v>
      </c>
      <c r="Q5" s="2" t="str">
        <f>TEXT(WEEKDAY(DATE(Kalenterivuosi,11,15),1),"aaa")</f>
        <v>pe</v>
      </c>
      <c r="R5" s="2" t="str">
        <f>TEXT(WEEKDAY(DATE(Kalenterivuosi,11,16),1),"aaa")</f>
        <v>la</v>
      </c>
      <c r="S5" s="2" t="str">
        <f>TEXT(WEEKDAY(DATE(Kalenterivuosi,11,17),1),"aaa")</f>
        <v>su</v>
      </c>
      <c r="T5" s="2" t="str">
        <f>TEXT(WEEKDAY(DATE(Kalenterivuosi,11,18),1),"aaa")</f>
        <v>ma</v>
      </c>
      <c r="U5" s="2" t="str">
        <f>TEXT(WEEKDAY(DATE(Kalenterivuosi,11,19),1),"aaa")</f>
        <v>ti</v>
      </c>
      <c r="V5" s="2" t="str">
        <f>TEXT(WEEKDAY(DATE(Kalenterivuosi,11,20),1),"aaa")</f>
        <v>ke</v>
      </c>
      <c r="W5" s="2" t="str">
        <f>TEXT(WEEKDAY(DATE(Kalenterivuosi,11,21),1),"aaa")</f>
        <v>to</v>
      </c>
      <c r="X5" s="2" t="str">
        <f>TEXT(WEEKDAY(DATE(Kalenterivuosi,11,22),1),"aaa")</f>
        <v>pe</v>
      </c>
      <c r="Y5" s="2" t="str">
        <f>TEXT(WEEKDAY(DATE(Kalenterivuosi,11,23),1),"aaa")</f>
        <v>la</v>
      </c>
      <c r="Z5" s="2" t="str">
        <f>TEXT(WEEKDAY(DATE(Kalenterivuosi,11,24),1),"aaa")</f>
        <v>su</v>
      </c>
      <c r="AA5" s="2" t="str">
        <f>TEXT(WEEKDAY(DATE(Kalenterivuosi,11,25),1),"aaa")</f>
        <v>ma</v>
      </c>
      <c r="AB5" s="2" t="str">
        <f>TEXT(WEEKDAY(DATE(Kalenterivuosi,11,26),1),"aaa")</f>
        <v>ti</v>
      </c>
      <c r="AC5" s="2" t="str">
        <f>TEXT(WEEKDAY(DATE(Kalenterivuosi,11,27),1),"aaa")</f>
        <v>ke</v>
      </c>
      <c r="AD5" s="2" t="str">
        <f>TEXT(WEEKDAY(DATE(Kalenterivuosi,11,28),1),"aaa")</f>
        <v>to</v>
      </c>
      <c r="AE5" s="2" t="str">
        <f>TEXT(WEEKDAY(DATE(Kalenterivuosi,11,29),1),"aaa")</f>
        <v>pe</v>
      </c>
      <c r="AF5" s="2" t="str">
        <f>TEXT(WEEKDAY(DATE(Kalenterivuosi,11,30),1),"aaa")</f>
        <v>la</v>
      </c>
      <c r="AG5" s="2"/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COUNTA(Marraskuu[[#This Row],[1]:[30]])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COUNTA(Marraskuu[[#This Row],[1]:[30]])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COUNTA(Marraskuu[[#This Row],[1]:[30]])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COUNTA(Marraskuu[[#This Row],[1]:[30]])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COUNTA(Marraskuu[[#This Row],[1]:[30]])</f>
        <v>0</v>
      </c>
    </row>
    <row r="12" spans="2:34" ht="30" customHeight="1" x14ac:dyDescent="0.25">
      <c r="B12" s="21" t="str">
        <f>Kuukauden_nimi&amp;" Yhteensä"</f>
        <v>Marraskuu Yhteensä</v>
      </c>
      <c r="C12" s="13">
        <f>SUBTOTAL(103,Marraskuu[1])</f>
        <v>0</v>
      </c>
      <c r="D12" s="13">
        <f>SUBTOTAL(103,Marraskuu[2])</f>
        <v>0</v>
      </c>
      <c r="E12" s="13">
        <f>SUBTOTAL(103,Marraskuu[3])</f>
        <v>0</v>
      </c>
      <c r="F12" s="13">
        <f>SUBTOTAL(103,Marraskuu[4])</f>
        <v>0</v>
      </c>
      <c r="G12" s="13">
        <f>SUBTOTAL(103,Marraskuu[5])</f>
        <v>0</v>
      </c>
      <c r="H12" s="13">
        <f>SUBTOTAL(103,Marraskuu[6])</f>
        <v>0</v>
      </c>
      <c r="I12" s="13">
        <f>SUBTOTAL(103,Marraskuu[7])</f>
        <v>0</v>
      </c>
      <c r="J12" s="13">
        <f>SUBTOTAL(103,Marraskuu[8])</f>
        <v>0</v>
      </c>
      <c r="K12" s="13">
        <f>SUBTOTAL(103,Marraskuu[9])</f>
        <v>0</v>
      </c>
      <c r="L12" s="13">
        <f>SUBTOTAL(103,Marraskuu[10])</f>
        <v>0</v>
      </c>
      <c r="M12" s="13">
        <f>SUBTOTAL(103,Marraskuu[11])</f>
        <v>0</v>
      </c>
      <c r="N12" s="13">
        <f>SUBTOTAL(103,Marraskuu[12])</f>
        <v>0</v>
      </c>
      <c r="O12" s="13">
        <f>SUBTOTAL(103,Marraskuu[13])</f>
        <v>0</v>
      </c>
      <c r="P12" s="13">
        <f>SUBTOTAL(103,Marraskuu[14])</f>
        <v>0</v>
      </c>
      <c r="Q12" s="13">
        <f>SUBTOTAL(103,Marraskuu[15])</f>
        <v>0</v>
      </c>
      <c r="R12" s="13">
        <f>SUBTOTAL(103,Marraskuu[16])</f>
        <v>0</v>
      </c>
      <c r="S12" s="13">
        <f>SUBTOTAL(103,Marraskuu[17])</f>
        <v>0</v>
      </c>
      <c r="T12" s="13">
        <f>SUBTOTAL(103,Marraskuu[18])</f>
        <v>0</v>
      </c>
      <c r="U12" s="13">
        <f>SUBTOTAL(103,Marraskuu[19])</f>
        <v>0</v>
      </c>
      <c r="V12" s="13">
        <f>SUBTOTAL(103,Marraskuu[20])</f>
        <v>0</v>
      </c>
      <c r="W12" s="13">
        <f>SUBTOTAL(103,Marraskuu[21])</f>
        <v>0</v>
      </c>
      <c r="X12" s="13">
        <f>SUBTOTAL(103,Marraskuu[22])</f>
        <v>0</v>
      </c>
      <c r="Y12" s="13">
        <f>SUBTOTAL(103,Marraskuu[23])</f>
        <v>0</v>
      </c>
      <c r="Z12" s="13">
        <f>SUBTOTAL(103,Marraskuu[24])</f>
        <v>0</v>
      </c>
      <c r="AA12" s="13">
        <f>SUBTOTAL(103,Marraskuu[25])</f>
        <v>0</v>
      </c>
      <c r="AB12" s="13">
        <f>SUBTOTAL(103,Marraskuu[26])</f>
        <v>0</v>
      </c>
      <c r="AC12" s="13">
        <f>SUBTOTAL(103,Marraskuu[27])</f>
        <v>0</v>
      </c>
      <c r="AD12" s="13">
        <f>SUBTOTAL(103,Marraskuu[28])</f>
        <v>0</v>
      </c>
      <c r="AE12" s="13">
        <f>SUBTOTAL(103,Marraskuu[29])</f>
        <v>0</v>
      </c>
      <c r="AF12" s="13">
        <f>SUBTOTAL(103,Marraskuu[30])</f>
        <v>0</v>
      </c>
      <c r="AG12" s="13">
        <f>SUBTOTAL(103,Marraskuu[[ ]])</f>
        <v>0</v>
      </c>
      <c r="AH12" s="13">
        <f>SUBTOTAL(109,Marraskuu[Päiviä yhteensä])</f>
        <v>0</v>
      </c>
    </row>
  </sheetData>
  <mergeCells count="6">
    <mergeCell ref="C4:AG4"/>
    <mergeCell ref="L2:M2"/>
    <mergeCell ref="O2:Q2"/>
    <mergeCell ref="S2:U2"/>
    <mergeCell ref="D2:E2"/>
    <mergeCell ref="G2:J2"/>
  </mergeCells>
  <conditionalFormatting sqref="C7:AG11">
    <cfRule type="expression" priority="1" stopIfTrue="1">
      <formula>C7=""</formula>
    </cfRule>
  </conditionalFormatting>
  <conditionalFormatting sqref="C7:AG11">
    <cfRule type="expression" dxfId="147" priority="2" stopIfTrue="1">
      <formula>C7=Avain_mukautettu_2</formula>
    </cfRule>
    <cfRule type="expression" dxfId="146" priority="3" stopIfTrue="1">
      <formula>C7=Avain_mukautettu_1</formula>
    </cfRule>
    <cfRule type="expression" dxfId="145" priority="4" stopIfTrue="1">
      <formula>C7=Avain_sairaus</formula>
    </cfRule>
    <cfRule type="expression" dxfId="144" priority="5" stopIfTrue="1">
      <formula>C7=Avain_henkilökohtainen</formula>
    </cfRule>
    <cfRule type="expression" dxfId="143" priority="6" stopIfTrue="1">
      <formula>C7=Avain_loma</formula>
    </cfRule>
  </conditionalFormatting>
  <conditionalFormatting sqref="AH7:AH11">
    <cfRule type="dataBar" priority="7">
      <dataBar>
        <cfvo type="min"/>
        <cfvo type="formula" val="DATEDIF(DATE(Kalenterivuosi,2,1),DATE(Kalenterivuosi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Tämän rivin kuukauden päivät luodaan automaattisesti. Anna työntekijän poissaolo ja poissaolotyyppi jokaiseen sarakkeeseen kuukauden jokaista päivää varten. Tyhjä tarkoittaa, ettei poissaoloa ole" sqref="C6" xr:uid="{00000000-0002-0000-0A00-000000000000}"/>
    <dataValidation allowBlank="1" showInputMessage="1" showErrorMessage="1" prompt="Tämän poissaoloaikataulun kuukauden nimi on tässä solussa. Tämän kuukauden poissaolojen kokonaissummat ovat taulukon viimeisessä solussa. Valitse työntekijöiden nimet taulukon sarakkeessa B" sqref="B4" xr:uid="{00000000-0002-0000-0A00-000001000000}"/>
    <dataValidation allowBlank="1" showInputMessage="1" showErrorMessage="1" prompt="Tämä rivi määrittää taulukossa käytettävät avaimet: solu C2 on Loma, F2 on Henkilökohtainen ja K2 on Sairaus. Solut N2 ja R2 ovat muokattavia" sqref="B2" xr:uid="{00000000-0002-0000-0A00-000002000000}"/>
    <dataValidation allowBlank="1" showInputMessage="1" showErrorMessage="1" prompt="Lisää vasemmalla olevan mukautetun avaimen kuvaus kirjoittamalla selite" sqref="O2:Q2 S2:U2" xr:uid="{DD543AEF-5D56-4A4A-B602-79A6D9DF58FF}"/>
    <dataValidation allowBlank="1" showInputMessage="1" showErrorMessage="1" prompt="Lisää uusi avainkohde kirjoittamalla kirjain ja mukauttamalla selitettä oikealla" sqref="N2 R2" xr:uid="{4DC6A113-4608-40BF-BAF8-51AE3A21CE7E}"/>
    <dataValidation allowBlank="1" showInputMessage="1" showErrorMessage="1" prompt="S-kirjain tarkoittaa poissaoloa sairauden takia" sqref="K2" xr:uid="{5CD6D2D5-A659-4E0D-96E8-7A70769B1021}"/>
    <dataValidation allowBlank="1" showInputMessage="1" showErrorMessage="1" prompt="H-kirjain tarkoittaa poissaoloa henkilökohtaisen syyn takia" sqref="F2" xr:uid="{03F6AC8D-131E-4EBC-BE07-0B5DF0C78C85}"/>
    <dataValidation allowBlank="1" showInputMessage="1" showErrorMessage="1" prompt="L-kirjain tarkoittaa poissaoloa loman takia" sqref="C2" xr:uid="{DCCA7D2C-B685-43F5-982E-0BDD06F61754}"/>
    <dataValidation allowBlank="1" showInputMessage="1" showErrorMessage="1" prompt="Automaattisesti päivitettävä otsikko on tässä solussa. Jos haluat muokata otsikkoa, päivitä Tammikuu-laskentataulukon solu B1" sqref="B1" xr:uid="{00000000-0002-0000-0A00-000008000000}"/>
    <dataValidation errorStyle="warning" allowBlank="1" showInputMessage="1" showErrorMessage="1" error="Valitse nimi luettelosta. Valitse PERUUTA, paina ALT+ALANUOLI ja valitse sitten nimi painamalla ENTER" prompt="Anna työntekijöiden nimet Työntekijöiden nimet -laskentataulukkoon ja valitse luettelosta jokin nimi tässä sarakkeessa. Paina ALT+ALANUOLI ja valitse sitten nimi painamalla ENTER" sqref="B6" xr:uid="{00000000-0002-0000-0A00-000009000000}"/>
    <dataValidation allowBlank="1" showInputMessage="1" showErrorMessage="1" prompt="Seuraa marraskuun poissaoloja tämän laskentataulukon avulla" sqref="A1" xr:uid="{00000000-0002-0000-0A00-00000A000000}"/>
    <dataValidation allowBlank="1" showInputMessage="1" showErrorMessage="1" prompt="Laskee automaattisesti tähän sarakkeeseen päivien kokonaismäärän, jonka työntekijä oli poissa tässä kuussa" sqref="AH6" xr:uid="{00000000-0002-0000-0A00-00000B000000}"/>
    <dataValidation allowBlank="1" showInputMessage="1" showErrorMessage="1" prompt="Tammikuu-laskentataulukkoon lisätyn vuoden perusteella automaattisesti päivitettävä vuosi." sqref="AH4" xr:uid="{00000000-0002-0000-0A00-00000C000000}"/>
    <dataValidation allowBlank="1" showInputMessage="1" showErrorMessage="1" prompt="Tämän rivin viikonpäivät päivittyvät automaattisesti solussa AH4 olevan vuoden mukaan. Kuukauden jokainen päivä on sarake, johon merkitään työntekijän poissaolo ja poissaolotyyppi" sqref="C5" xr:uid="{00000000-0002-0000-0A00-00000D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DATEDIF(DATE(Kalenterivuosi,2,1),DATE(Kalenterivuosi,3,1),"d")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'Työntekijöiden nimet'!$B$4:$B$8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Työntekijöiden_poissaolon_otsikko</f>
        <v>Työntekijöiden Poissaoloaikataulu</v>
      </c>
    </row>
    <row r="2" spans="2:34" ht="15" customHeight="1" x14ac:dyDescent="0.25">
      <c r="B2" s="19" t="s">
        <v>0</v>
      </c>
      <c r="C2" s="4" t="s">
        <v>8</v>
      </c>
      <c r="D2" s="25" t="s">
        <v>11</v>
      </c>
      <c r="E2" s="25"/>
      <c r="F2" s="5" t="s">
        <v>14</v>
      </c>
      <c r="G2" s="25" t="s">
        <v>18</v>
      </c>
      <c r="H2" s="25"/>
      <c r="I2" s="25"/>
      <c r="J2" s="25"/>
      <c r="K2" s="6" t="s">
        <v>16</v>
      </c>
      <c r="L2" s="25" t="s">
        <v>23</v>
      </c>
      <c r="M2" s="25"/>
      <c r="N2" s="7"/>
      <c r="O2" s="25" t="s">
        <v>27</v>
      </c>
      <c r="P2" s="25"/>
      <c r="Q2" s="25"/>
      <c r="R2" s="8"/>
      <c r="S2" s="25" t="s">
        <v>32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61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Kalenterivuosi</f>
        <v>2019</v>
      </c>
    </row>
    <row r="5" spans="2:34" ht="15" customHeight="1" x14ac:dyDescent="0.25">
      <c r="B5" s="12"/>
      <c r="C5" s="2" t="str">
        <f>TEXT(WEEKDAY(DATE(Kalenterivuosi,12,1),1),"aaa")</f>
        <v>su</v>
      </c>
      <c r="D5" s="2" t="str">
        <f>TEXT(WEEKDAY(DATE(Kalenterivuosi,12,2),1),"aaa")</f>
        <v>ma</v>
      </c>
      <c r="E5" s="2" t="str">
        <f>TEXT(WEEKDAY(DATE(Kalenterivuosi,12,3),1),"aaa")</f>
        <v>ti</v>
      </c>
      <c r="F5" s="2" t="str">
        <f>TEXT(WEEKDAY(DATE(Kalenterivuosi,12,4),1),"aaa")</f>
        <v>ke</v>
      </c>
      <c r="G5" s="2" t="str">
        <f>TEXT(WEEKDAY(DATE(Kalenterivuosi,12,5),1),"aaa")</f>
        <v>to</v>
      </c>
      <c r="H5" s="2" t="str">
        <f>TEXT(WEEKDAY(DATE(Kalenterivuosi,12,6),1),"aaa")</f>
        <v>pe</v>
      </c>
      <c r="I5" s="2" t="str">
        <f>TEXT(WEEKDAY(DATE(Kalenterivuosi,12,7),1),"aaa")</f>
        <v>la</v>
      </c>
      <c r="J5" s="2" t="str">
        <f>TEXT(WEEKDAY(DATE(Kalenterivuosi,12,8),1),"aaa")</f>
        <v>su</v>
      </c>
      <c r="K5" s="2" t="str">
        <f>TEXT(WEEKDAY(DATE(Kalenterivuosi,12,9),1),"aaa")</f>
        <v>ma</v>
      </c>
      <c r="L5" s="2" t="str">
        <f>TEXT(WEEKDAY(DATE(Kalenterivuosi,12,10),1),"aaa")</f>
        <v>ti</v>
      </c>
      <c r="M5" s="2" t="str">
        <f>TEXT(WEEKDAY(DATE(Kalenterivuosi,12,11),1),"aaa")</f>
        <v>ke</v>
      </c>
      <c r="N5" s="2" t="str">
        <f>TEXT(WEEKDAY(DATE(Kalenterivuosi,12,12),1),"aaa")</f>
        <v>to</v>
      </c>
      <c r="O5" s="2" t="str">
        <f>TEXT(WEEKDAY(DATE(Kalenterivuosi,12,13),1),"aaa")</f>
        <v>pe</v>
      </c>
      <c r="P5" s="2" t="str">
        <f>TEXT(WEEKDAY(DATE(Kalenterivuosi,12,14),1),"aaa")</f>
        <v>la</v>
      </c>
      <c r="Q5" s="2" t="str">
        <f>TEXT(WEEKDAY(DATE(Kalenterivuosi,12,15),1),"aaa")</f>
        <v>su</v>
      </c>
      <c r="R5" s="2" t="str">
        <f>TEXT(WEEKDAY(DATE(Kalenterivuosi,12,16),1),"aaa")</f>
        <v>ma</v>
      </c>
      <c r="S5" s="2" t="str">
        <f>TEXT(WEEKDAY(DATE(Kalenterivuosi,12,17),1),"aaa")</f>
        <v>ti</v>
      </c>
      <c r="T5" s="2" t="str">
        <f>TEXT(WEEKDAY(DATE(Kalenterivuosi,12,18),1),"aaa")</f>
        <v>ke</v>
      </c>
      <c r="U5" s="2" t="str">
        <f>TEXT(WEEKDAY(DATE(Kalenterivuosi,12,19),1),"aaa")</f>
        <v>to</v>
      </c>
      <c r="V5" s="2" t="str">
        <f>TEXT(WEEKDAY(DATE(Kalenterivuosi,12,20),1),"aaa")</f>
        <v>pe</v>
      </c>
      <c r="W5" s="2" t="str">
        <f>TEXT(WEEKDAY(DATE(Kalenterivuosi,12,21),1),"aaa")</f>
        <v>la</v>
      </c>
      <c r="X5" s="2" t="str">
        <f>TEXT(WEEKDAY(DATE(Kalenterivuosi,12,22),1),"aaa")</f>
        <v>su</v>
      </c>
      <c r="Y5" s="2" t="str">
        <f>TEXT(WEEKDAY(DATE(Kalenterivuosi,12,23),1),"aaa")</f>
        <v>ma</v>
      </c>
      <c r="Z5" s="2" t="str">
        <f>TEXT(WEEKDAY(DATE(Kalenterivuosi,12,24),1),"aaa")</f>
        <v>ti</v>
      </c>
      <c r="AA5" s="2" t="str">
        <f>TEXT(WEEKDAY(DATE(Kalenterivuosi,12,25),1),"aaa")</f>
        <v>ke</v>
      </c>
      <c r="AB5" s="2" t="str">
        <f>TEXT(WEEKDAY(DATE(Kalenterivuosi,12,26),1),"aaa")</f>
        <v>to</v>
      </c>
      <c r="AC5" s="2" t="str">
        <f>TEXT(WEEKDAY(DATE(Kalenterivuosi,12,27),1),"aaa")</f>
        <v>pe</v>
      </c>
      <c r="AD5" s="2" t="str">
        <f>TEXT(WEEKDAY(DATE(Kalenterivuosi,12,28),1),"aaa")</f>
        <v>la</v>
      </c>
      <c r="AE5" s="2" t="str">
        <f>TEXT(WEEKDAY(DATE(Kalenterivuosi,12,29),1),"aaa")</f>
        <v>su</v>
      </c>
      <c r="AF5" s="2" t="str">
        <f>TEXT(WEEKDAY(DATE(Kalenterivuosi,12,30),1),"aaa")</f>
        <v>ma</v>
      </c>
      <c r="AG5" s="2" t="str">
        <f>TEXT(WEEKDAY(DATE(Kalenterivuosi,12,31),1),"aaa")</f>
        <v>ti</v>
      </c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COUNTA(Joulukuu[[#This Row],[1]:[31]])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COUNTA(Joulukuu[[#This Row],[1]:[31]])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COUNTA(Joulukuu[[#This Row],[1]:[31]])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COUNTA(Joulukuu[[#This Row],[1]:[31]])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COUNTA(Joulukuu[[#This Row],[1]:[31]])</f>
        <v>0</v>
      </c>
    </row>
    <row r="12" spans="2:34" ht="30" customHeight="1" x14ac:dyDescent="0.25">
      <c r="B12" s="21" t="str">
        <f>Kuukauden_nimi&amp;" Yhteensä"</f>
        <v>Joulukuu Yhteensä</v>
      </c>
      <c r="C12" s="13">
        <f>SUBTOTAL(103,Joulukuu[1])</f>
        <v>0</v>
      </c>
      <c r="D12" s="13">
        <f>SUBTOTAL(103,Joulukuu[2])</f>
        <v>0</v>
      </c>
      <c r="E12" s="13">
        <f>SUBTOTAL(103,Joulukuu[3])</f>
        <v>0</v>
      </c>
      <c r="F12" s="13">
        <f>SUBTOTAL(103,Joulukuu[4])</f>
        <v>0</v>
      </c>
      <c r="G12" s="13">
        <f>SUBTOTAL(103,Joulukuu[5])</f>
        <v>0</v>
      </c>
      <c r="H12" s="13">
        <f>SUBTOTAL(103,Joulukuu[6])</f>
        <v>0</v>
      </c>
      <c r="I12" s="13">
        <f>SUBTOTAL(103,Joulukuu[7])</f>
        <v>0</v>
      </c>
      <c r="J12" s="13">
        <f>SUBTOTAL(103,Joulukuu[8])</f>
        <v>0</v>
      </c>
      <c r="K12" s="13">
        <f>SUBTOTAL(103,Joulukuu[9])</f>
        <v>0</v>
      </c>
      <c r="L12" s="13">
        <f>SUBTOTAL(103,Joulukuu[10])</f>
        <v>0</v>
      </c>
      <c r="M12" s="13">
        <f>SUBTOTAL(103,Joulukuu[11])</f>
        <v>0</v>
      </c>
      <c r="N12" s="13">
        <f>SUBTOTAL(103,Joulukuu[12])</f>
        <v>0</v>
      </c>
      <c r="O12" s="13">
        <f>SUBTOTAL(103,Joulukuu[13])</f>
        <v>0</v>
      </c>
      <c r="P12" s="13">
        <f>SUBTOTAL(103,Joulukuu[14])</f>
        <v>0</v>
      </c>
      <c r="Q12" s="13">
        <f>SUBTOTAL(103,Joulukuu[15])</f>
        <v>0</v>
      </c>
      <c r="R12" s="13">
        <f>SUBTOTAL(103,Joulukuu[16])</f>
        <v>0</v>
      </c>
      <c r="S12" s="13">
        <f>SUBTOTAL(103,Joulukuu[17])</f>
        <v>0</v>
      </c>
      <c r="T12" s="13">
        <f>SUBTOTAL(103,Joulukuu[18])</f>
        <v>0</v>
      </c>
      <c r="U12" s="13">
        <f>SUBTOTAL(103,Joulukuu[19])</f>
        <v>0</v>
      </c>
      <c r="V12" s="13">
        <f>SUBTOTAL(103,Joulukuu[20])</f>
        <v>0</v>
      </c>
      <c r="W12" s="13">
        <f>SUBTOTAL(103,Joulukuu[21])</f>
        <v>0</v>
      </c>
      <c r="X12" s="13">
        <f>SUBTOTAL(103,Joulukuu[22])</f>
        <v>0</v>
      </c>
      <c r="Y12" s="13">
        <f>SUBTOTAL(103,Joulukuu[23])</f>
        <v>0</v>
      </c>
      <c r="Z12" s="13">
        <f>SUBTOTAL(103,Joulukuu[24])</f>
        <v>0</v>
      </c>
      <c r="AA12" s="13">
        <f>SUBTOTAL(103,Joulukuu[25])</f>
        <v>0</v>
      </c>
      <c r="AB12" s="13">
        <f>SUBTOTAL(103,Joulukuu[26])</f>
        <v>0</v>
      </c>
      <c r="AC12" s="13">
        <f>SUBTOTAL(103,Joulukuu[27])</f>
        <v>0</v>
      </c>
      <c r="AD12" s="13">
        <f>SUBTOTAL(103,Joulukuu[28])</f>
        <v>0</v>
      </c>
      <c r="AE12" s="13">
        <f>SUBTOTAL(103,Joulukuu[29])</f>
        <v>0</v>
      </c>
      <c r="AF12" s="13">
        <f>SUBTOTAL(103,Joulukuu[30])</f>
        <v>0</v>
      </c>
      <c r="AG12" s="13">
        <f>SUBTOTAL(103,Joulukuu[31])</f>
        <v>0</v>
      </c>
      <c r="AH12" s="13">
        <f>SUBTOTAL(109,Joulukuu[Päiviä yhteensä])</f>
        <v>0</v>
      </c>
    </row>
  </sheetData>
  <mergeCells count="6">
    <mergeCell ref="C4:AG4"/>
    <mergeCell ref="L2:M2"/>
    <mergeCell ref="O2:Q2"/>
    <mergeCell ref="S2:U2"/>
    <mergeCell ref="D2:E2"/>
    <mergeCell ref="G2:J2"/>
  </mergeCells>
  <conditionalFormatting sqref="C7:AG11">
    <cfRule type="expression" priority="1" stopIfTrue="1">
      <formula>C7=""</formula>
    </cfRule>
  </conditionalFormatting>
  <conditionalFormatting sqref="C7:AG11">
    <cfRule type="expression" dxfId="73" priority="2" stopIfTrue="1">
      <formula>C7=Avain_mukautettu_2</formula>
    </cfRule>
    <cfRule type="expression" dxfId="72" priority="3" stopIfTrue="1">
      <formula>C7=Avain_mukautettu_1</formula>
    </cfRule>
    <cfRule type="expression" dxfId="71" priority="4" stopIfTrue="1">
      <formula>C7=Avain_sairaus</formula>
    </cfRule>
    <cfRule type="expression" dxfId="70" priority="5" stopIfTrue="1">
      <formula>C7=Avain_henkilökohtainen</formula>
    </cfRule>
    <cfRule type="expression" dxfId="69" priority="6" stopIfTrue="1">
      <formula>C7=Avain_loma</formula>
    </cfRule>
  </conditionalFormatting>
  <conditionalFormatting sqref="AH7:AH11">
    <cfRule type="dataBar" priority="30">
      <dataBar>
        <cfvo type="min"/>
        <cfvo type="formula" val="DATEDIF(DATE(Kalenterivuosi,2,1),DATE(Kalenterivuosi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Tammikuu-laskentataulukkoon lisätyn vuoden perusteella automaattisesti päivitettävä vuosi." sqref="AH4" xr:uid="{00000000-0002-0000-0B00-000000000000}"/>
    <dataValidation allowBlank="1" showInputMessage="1" showErrorMessage="1" prompt="Laskee automaattisesti tähän sarakkeeseen päivien kokonaismäärän, jonka työntekijä oli poissa tässä kuussa" sqref="AH6" xr:uid="{00000000-0002-0000-0B00-000001000000}"/>
    <dataValidation allowBlank="1" showInputMessage="1" showErrorMessage="1" prompt="Seuraa joulukuun poissaoloja tämän laskentataulukon avulla" sqref="A1" xr:uid="{00000000-0002-0000-0B00-000002000000}"/>
    <dataValidation errorStyle="warning" allowBlank="1" showInputMessage="1" showErrorMessage="1" error="Valitse nimi luettelosta. Valitse PERUUTA, paina ALT+ALANUOLI ja valitse sitten nimi painamalla ENTER" prompt="Anna työntekijöiden nimet Työntekijöiden nimet -laskentataulukkoon ja valitse luettelosta jokin nimi tässä sarakkeessa. Paina ALT+ALANUOLI ja valitse sitten nimi painamalla ENTER" sqref="B6" xr:uid="{00000000-0002-0000-0B00-000003000000}"/>
    <dataValidation allowBlank="1" showInputMessage="1" showErrorMessage="1" prompt="Automaattisesti päivitettävä otsikko on tässä solussa. Jos haluat muokata otsikkoa, päivitä Tammikuu-laskentataulukon solu B1" sqref="B1" xr:uid="{00000000-0002-0000-0B00-000004000000}"/>
    <dataValidation allowBlank="1" showInputMessage="1" showErrorMessage="1" prompt="L-kirjain tarkoittaa poissaoloa loman takia" sqref="C2" xr:uid="{8D452DAF-02E4-4D69-8FAE-6CAA447EAFB3}"/>
    <dataValidation allowBlank="1" showInputMessage="1" showErrorMessage="1" prompt="H-kirjain tarkoittaa poissaoloa henkilökohtaisen syyn takia" sqref="F2" xr:uid="{6807240B-6AAD-47D3-9352-0A804A5FD6F7}"/>
    <dataValidation allowBlank="1" showInputMessage="1" showErrorMessage="1" prompt="S-kirjain tarkoittaa poissaoloa sairauden takia" sqref="K2" xr:uid="{AAA456D4-4082-4FBB-B515-435F9A2E4DB5}"/>
    <dataValidation allowBlank="1" showInputMessage="1" showErrorMessage="1" prompt="Lisää uusi avainkohde kirjoittamalla kirjain ja mukauttamalla selitettä oikealla" sqref="N2 R2" xr:uid="{DA51DA1C-02CF-42EE-927C-66A7386B7CF8}"/>
    <dataValidation allowBlank="1" showInputMessage="1" showErrorMessage="1" prompt="Lisää vasemmalla olevan mukautetun avaimen kuvaus kirjoittamalla selite" sqref="O2:Q2 S2:U2" xr:uid="{3612ABFB-C146-4DB8-A745-32BBEF07B1CD}"/>
    <dataValidation allowBlank="1" showInputMessage="1" showErrorMessage="1" prompt="Tämä rivi määrittää taulukossa käytettävät avaimet: solu C2 on Loma, F2 on Henkilökohtainen ja K2 on Sairaus. Solut N2 ja R2 ovat muokattavia" sqref="B2" xr:uid="{00000000-0002-0000-0B00-00000A000000}"/>
    <dataValidation allowBlank="1" showInputMessage="1" showErrorMessage="1" prompt="Tämän poissaoloaikataulun kuukauden nimi on tässä solussa. Tämän kuukauden poissaolojen kokonaissummat ovat taulukon viimeisessä solussa. Valitse työntekijöiden nimet taulukon sarakkeessa B" sqref="B4" xr:uid="{00000000-0002-0000-0B00-00000B000000}"/>
    <dataValidation allowBlank="1" showInputMessage="1" showErrorMessage="1" prompt="Tämän rivin viikonpäivät päivittyvät automaattisesti solussa AH4 olevan vuoden mukaan. Kuukauden jokainen päivä on sarake, johon merkitään työntekijän poissaolo ja poissaolotyyppi" sqref="C5" xr:uid="{00000000-0002-0000-0B00-00000C000000}"/>
    <dataValidation allowBlank="1" showInputMessage="1" showErrorMessage="1" prompt="Tämän rivin kuukauden päivät luodaan automaattisesti. Anna työntekijän poissaolo ja poissaolotyyppi jokaiseen sarakkeeseen kuukauden jokaista päivää varten. Tyhjä tarkoittaa, ettei poissaoloa ole" sqref="C6" xr:uid="{00000000-0002-0000-0B00-00000D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DATEDIF(DATE(Kalenterivuosi,2,1),DATE(Kalenterivuosi,3,1),"d")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'Työntekijöiden nimet'!$B$4:$B$8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B1:B8"/>
  <sheetViews>
    <sheetView showGridLines="0" workbookViewId="0"/>
  </sheetViews>
  <sheetFormatPr defaultRowHeight="30" customHeight="1" x14ac:dyDescent="0.25"/>
  <cols>
    <col min="1" max="1" width="2.7109375" customWidth="1"/>
    <col min="2" max="2" width="30.7109375" customWidth="1"/>
    <col min="3" max="3" width="2.7109375" customWidth="1"/>
  </cols>
  <sheetData>
    <row r="1" spans="2:2" ht="50.1" customHeight="1" x14ac:dyDescent="0.25">
      <c r="B1" s="22" t="s">
        <v>62</v>
      </c>
    </row>
    <row r="2" spans="2:2" ht="15" customHeight="1" x14ac:dyDescent="0.25"/>
    <row r="3" spans="2:2" ht="30" customHeight="1" x14ac:dyDescent="0.25">
      <c r="B3" t="s">
        <v>62</v>
      </c>
    </row>
    <row r="4" spans="2:2" ht="30" customHeight="1" x14ac:dyDescent="0.25">
      <c r="B4" s="1" t="s">
        <v>3</v>
      </c>
    </row>
    <row r="5" spans="2:2" ht="30" customHeight="1" x14ac:dyDescent="0.25">
      <c r="B5" s="1" t="s">
        <v>4</v>
      </c>
    </row>
    <row r="6" spans="2:2" ht="30" customHeight="1" x14ac:dyDescent="0.25">
      <c r="B6" s="1" t="s">
        <v>5</v>
      </c>
    </row>
    <row r="7" spans="2:2" ht="30" customHeight="1" x14ac:dyDescent="0.25">
      <c r="B7" s="1" t="s">
        <v>6</v>
      </c>
    </row>
    <row r="8" spans="2:2" ht="30" customHeight="1" x14ac:dyDescent="0.25">
      <c r="B8" s="1" t="s">
        <v>7</v>
      </c>
    </row>
  </sheetData>
  <dataValidations count="3">
    <dataValidation allowBlank="1" showInputMessage="1" showErrorMessage="1" prompt="Työntekijöiden nimien otsikko" sqref="B1" xr:uid="{00000000-0002-0000-0C00-000000000000}"/>
    <dataValidation allowBlank="1" showInputMessage="1" showErrorMessage="1" prompt="Anna työntekijöiden nimet tässä laskentataulukossa olevaan työntekijöiden nimitaulukkoon. Näitä nimiä käytetään vaihtoehtoina jokaisen kuukauden poissaolotaulukon sarakkeessa B" sqref="A1" xr:uid="{00000000-0002-0000-0C00-000001000000}"/>
    <dataValidation allowBlank="1" showInputMessage="1" showErrorMessage="1" prompt="Anna työntekijöiden nimet tähän sarakkeeseen" sqref="B3" xr:uid="{00000000-0002-0000-0C00-000002000000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ColWidth="9.140625"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Työntekijöiden_poissaolon_otsikko</f>
        <v>Työntekijöiden Poissaoloaikataulu</v>
      </c>
    </row>
    <row r="2" spans="2:34" ht="15" customHeight="1" x14ac:dyDescent="0.25">
      <c r="B2" s="19" t="s">
        <v>0</v>
      </c>
      <c r="C2" s="4" t="s">
        <v>8</v>
      </c>
      <c r="D2" s="25" t="s">
        <v>11</v>
      </c>
      <c r="E2" s="25"/>
      <c r="F2" s="5" t="s">
        <v>14</v>
      </c>
      <c r="G2" s="25" t="s">
        <v>18</v>
      </c>
      <c r="H2" s="25"/>
      <c r="I2" s="25"/>
      <c r="J2" s="25"/>
      <c r="K2" s="6" t="s">
        <v>16</v>
      </c>
      <c r="L2" s="25" t="s">
        <v>23</v>
      </c>
      <c r="M2" s="25"/>
      <c r="N2" s="7"/>
      <c r="O2" s="25" t="s">
        <v>27</v>
      </c>
      <c r="P2" s="25"/>
      <c r="Q2" s="25"/>
      <c r="R2" s="8"/>
      <c r="S2" s="25" t="s">
        <v>32</v>
      </c>
      <c r="T2" s="25"/>
      <c r="U2" s="25"/>
    </row>
    <row r="3" spans="2:34" ht="15" customHeight="1" x14ac:dyDescent="0.25">
      <c r="B3"/>
    </row>
    <row r="4" spans="2:34" ht="30" customHeight="1" x14ac:dyDescent="0.25">
      <c r="B4" s="12" t="s">
        <v>50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Kalenterivuosi</f>
        <v>2019</v>
      </c>
    </row>
    <row r="5" spans="2:34" ht="15" customHeight="1" x14ac:dyDescent="0.25">
      <c r="B5" s="12"/>
      <c r="C5" s="2" t="str">
        <f>TEXT(WEEKDAY(DATE(Kalenterivuosi,2,1),1),"aaa")</f>
        <v>pe</v>
      </c>
      <c r="D5" s="2" t="str">
        <f>TEXT(WEEKDAY(DATE(Kalenterivuosi,2,2),1),"aaa")</f>
        <v>la</v>
      </c>
      <c r="E5" s="2" t="str">
        <f>TEXT(WEEKDAY(DATE(Kalenterivuosi,2,3),1),"aaa")</f>
        <v>su</v>
      </c>
      <c r="F5" s="2" t="str">
        <f>TEXT(WEEKDAY(DATE(Kalenterivuosi,2,4),1),"aaa")</f>
        <v>ma</v>
      </c>
      <c r="G5" s="2" t="str">
        <f>TEXT(WEEKDAY(DATE(Kalenterivuosi,2,5),1),"aaa")</f>
        <v>ti</v>
      </c>
      <c r="H5" s="2" t="str">
        <f>TEXT(WEEKDAY(DATE(Kalenterivuosi,2,6),1),"aaa")</f>
        <v>ke</v>
      </c>
      <c r="I5" s="2" t="str">
        <f>TEXT(WEEKDAY(DATE(Kalenterivuosi,2,7),1),"aaa")</f>
        <v>to</v>
      </c>
      <c r="J5" s="2" t="str">
        <f>TEXT(WEEKDAY(DATE(Kalenterivuosi,2,8),1),"aaa")</f>
        <v>pe</v>
      </c>
      <c r="K5" s="2" t="str">
        <f>TEXT(WEEKDAY(DATE(Kalenterivuosi,2,9),1),"aaa")</f>
        <v>la</v>
      </c>
      <c r="L5" s="2" t="str">
        <f>TEXT(WEEKDAY(DATE(Kalenterivuosi,2,10),1),"aaa")</f>
        <v>su</v>
      </c>
      <c r="M5" s="2" t="str">
        <f>TEXT(WEEKDAY(DATE(Kalenterivuosi,2,11),1),"aaa")</f>
        <v>ma</v>
      </c>
      <c r="N5" s="2" t="str">
        <f>TEXT(WEEKDAY(DATE(Kalenterivuosi,2,12),1),"aaa")</f>
        <v>ti</v>
      </c>
      <c r="O5" s="2" t="str">
        <f>TEXT(WEEKDAY(DATE(Kalenterivuosi,2,13),1),"aaa")</f>
        <v>ke</v>
      </c>
      <c r="P5" s="2" t="str">
        <f>TEXT(WEEKDAY(DATE(Kalenterivuosi,2,14),1),"aaa")</f>
        <v>to</v>
      </c>
      <c r="Q5" s="2" t="str">
        <f>TEXT(WEEKDAY(DATE(Kalenterivuosi,2,15),1),"aaa")</f>
        <v>pe</v>
      </c>
      <c r="R5" s="2" t="str">
        <f>TEXT(WEEKDAY(DATE(Kalenterivuosi,2,16),1),"aaa")</f>
        <v>la</v>
      </c>
      <c r="S5" s="2" t="str">
        <f>TEXT(WEEKDAY(DATE(Kalenterivuosi,2,17),1),"aaa")</f>
        <v>su</v>
      </c>
      <c r="T5" s="2" t="str">
        <f>TEXT(WEEKDAY(DATE(Kalenterivuosi,2,18),1),"aaa")</f>
        <v>ma</v>
      </c>
      <c r="U5" s="2" t="str">
        <f>TEXT(WEEKDAY(DATE(Kalenterivuosi,2,19),1),"aaa")</f>
        <v>ti</v>
      </c>
      <c r="V5" s="2" t="str">
        <f>TEXT(WEEKDAY(DATE(Kalenterivuosi,2,20),1),"aaa")</f>
        <v>ke</v>
      </c>
      <c r="W5" s="2" t="str">
        <f>TEXT(WEEKDAY(DATE(Kalenterivuosi,2,21),1),"aaa")</f>
        <v>to</v>
      </c>
      <c r="X5" s="2" t="str">
        <f>TEXT(WEEKDAY(DATE(Kalenterivuosi,2,22),1),"aaa")</f>
        <v>pe</v>
      </c>
      <c r="Y5" s="2" t="str">
        <f>TEXT(WEEKDAY(DATE(Kalenterivuosi,2,23),1),"aaa")</f>
        <v>la</v>
      </c>
      <c r="Z5" s="2" t="str">
        <f>TEXT(WEEKDAY(DATE(Kalenterivuosi,2,24),1),"aaa")</f>
        <v>su</v>
      </c>
      <c r="AA5" s="2" t="str">
        <f>TEXT(WEEKDAY(DATE(Kalenterivuosi,2,25),1),"aaa")</f>
        <v>ma</v>
      </c>
      <c r="AB5" s="2" t="str">
        <f>TEXT(WEEKDAY(DATE(Kalenterivuosi,2,26),1),"aaa")</f>
        <v>ti</v>
      </c>
      <c r="AC5" s="2" t="str">
        <f>TEXT(WEEKDAY(DATE(Kalenterivuosi,2,27),1),"aaa")</f>
        <v>ke</v>
      </c>
      <c r="AD5" s="2" t="str">
        <f>TEXT(WEEKDAY(DATE(Kalenterivuosi,2,28),1),"aaa")</f>
        <v>to</v>
      </c>
      <c r="AE5" s="2" t="str">
        <f>TEXT(WEEKDAY(DATE(Kalenterivuosi,2,29),1),"aaa")</f>
        <v>pe</v>
      </c>
      <c r="AF5" s="2"/>
      <c r="AG5" s="2"/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51</v>
      </c>
      <c r="AG6" s="3" t="s">
        <v>52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 t="s">
        <v>8</v>
      </c>
      <c r="F7" s="3" t="s">
        <v>8</v>
      </c>
      <c r="G7" s="3" t="s">
        <v>8</v>
      </c>
      <c r="H7" s="3" t="s">
        <v>8</v>
      </c>
      <c r="I7" s="3"/>
      <c r="J7" s="3"/>
      <c r="K7" s="3"/>
      <c r="L7" s="3"/>
      <c r="M7" s="3"/>
      <c r="N7" s="3"/>
      <c r="O7" s="3" t="s">
        <v>8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COUNTA(Helmikuu[[#This Row],[1]:[29]])</f>
        <v>5</v>
      </c>
    </row>
    <row r="8" spans="2:34" ht="30" customHeight="1" x14ac:dyDescent="0.25">
      <c r="B8" s="17" t="s">
        <v>4</v>
      </c>
      <c r="C8" s="3"/>
      <c r="D8" s="3"/>
      <c r="E8" s="3"/>
      <c r="F8" s="3"/>
      <c r="G8" s="3" t="s">
        <v>16</v>
      </c>
      <c r="H8" s="3" t="s">
        <v>16</v>
      </c>
      <c r="I8" s="3"/>
      <c r="J8" s="3"/>
      <c r="K8" s="3"/>
      <c r="L8" s="3"/>
      <c r="M8" s="3" t="s">
        <v>14</v>
      </c>
      <c r="N8" s="3"/>
      <c r="O8" s="3"/>
      <c r="P8" s="3"/>
      <c r="Q8" s="3"/>
      <c r="R8" s="3"/>
      <c r="S8" s="3"/>
      <c r="T8" s="3"/>
      <c r="U8" s="3"/>
      <c r="V8" s="3" t="s">
        <v>16</v>
      </c>
      <c r="W8" s="3"/>
      <c r="X8" s="3"/>
      <c r="Y8" s="3"/>
      <c r="Z8" s="3"/>
      <c r="AA8" s="3" t="s">
        <v>8</v>
      </c>
      <c r="AB8" s="3" t="s">
        <v>8</v>
      </c>
      <c r="AC8" s="3" t="s">
        <v>8</v>
      </c>
      <c r="AD8" s="3"/>
      <c r="AE8" s="3"/>
      <c r="AF8" s="3"/>
      <c r="AG8" s="3"/>
      <c r="AH8" s="10">
        <f>COUNTA(Helmikuu[[#This Row],[1]:[29]])</f>
        <v>7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COUNTA(Helmikuu[[#This Row],[1]:[29]])</f>
        <v>0</v>
      </c>
    </row>
    <row r="10" spans="2:34" ht="30" customHeight="1" x14ac:dyDescent="0.25">
      <c r="B10" s="17" t="s">
        <v>6</v>
      </c>
      <c r="C10" s="3"/>
      <c r="D10" s="3"/>
      <c r="E10" s="3" t="s">
        <v>16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16</v>
      </c>
      <c r="Q10" s="3"/>
      <c r="R10" s="3"/>
      <c r="S10" s="3"/>
      <c r="T10" s="3" t="s">
        <v>14</v>
      </c>
      <c r="U10" s="3"/>
      <c r="V10" s="3"/>
      <c r="W10" s="3"/>
      <c r="X10" s="3"/>
      <c r="Y10" s="3"/>
      <c r="Z10" s="3"/>
      <c r="AA10" s="3"/>
      <c r="AB10" s="3"/>
      <c r="AC10" s="3"/>
      <c r="AD10" s="3" t="s">
        <v>16</v>
      </c>
      <c r="AE10" s="3"/>
      <c r="AF10" s="3"/>
      <c r="AG10" s="3"/>
      <c r="AH10" s="10">
        <f>COUNTA(Helmikuu[[#This Row],[1]:[29]])</f>
        <v>4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 t="s">
        <v>8</v>
      </c>
      <c r="K11" s="3" t="s">
        <v>8</v>
      </c>
      <c r="L11" s="3" t="s">
        <v>8</v>
      </c>
      <c r="M11" s="3" t="s">
        <v>8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16</v>
      </c>
      <c r="AA11" s="3"/>
      <c r="AB11" s="3"/>
      <c r="AC11" s="3"/>
      <c r="AD11" s="3"/>
      <c r="AE11" s="3"/>
      <c r="AF11" s="3"/>
      <c r="AG11" s="3"/>
      <c r="AH11" s="10">
        <f>COUNTA(Helmikuu[[#This Row],[1]:[29]])</f>
        <v>5</v>
      </c>
    </row>
    <row r="12" spans="2:34" ht="30" customHeight="1" x14ac:dyDescent="0.25">
      <c r="B12" s="21" t="str">
        <f>Kuukauden_nimi&amp;" Yhteensä"</f>
        <v>Helmikuu Yhteensä</v>
      </c>
      <c r="C12" s="13">
        <f>SUBTOTAL(103,Helmikuu[1])</f>
        <v>0</v>
      </c>
      <c r="D12" s="13">
        <f>SUBTOTAL(103,Helmikuu[2])</f>
        <v>0</v>
      </c>
      <c r="E12" s="13">
        <f>SUBTOTAL(103,Helmikuu[3])</f>
        <v>2</v>
      </c>
      <c r="F12" s="13">
        <f>SUBTOTAL(103,Helmikuu[4])</f>
        <v>1</v>
      </c>
      <c r="G12" s="13">
        <f>SUBTOTAL(103,Helmikuu[5])</f>
        <v>2</v>
      </c>
      <c r="H12" s="13">
        <f>SUBTOTAL(103,Helmikuu[6])</f>
        <v>2</v>
      </c>
      <c r="I12" s="13">
        <f>SUBTOTAL(103,Helmikuu[7])</f>
        <v>0</v>
      </c>
      <c r="J12" s="13">
        <f>SUBTOTAL(103,Helmikuu[8])</f>
        <v>1</v>
      </c>
      <c r="K12" s="13">
        <f>SUBTOTAL(103,Helmikuu[9])</f>
        <v>1</v>
      </c>
      <c r="L12" s="13">
        <f>SUBTOTAL(103,Helmikuu[10])</f>
        <v>1</v>
      </c>
      <c r="M12" s="13">
        <f>SUBTOTAL(103,Helmikuu[11])</f>
        <v>2</v>
      </c>
      <c r="N12" s="13">
        <f>SUBTOTAL(103,Helmikuu[12])</f>
        <v>0</v>
      </c>
      <c r="O12" s="13">
        <f>SUBTOTAL(103,Helmikuu[13])</f>
        <v>1</v>
      </c>
      <c r="P12" s="13">
        <f>SUBTOTAL(103,Helmikuu[14])</f>
        <v>1</v>
      </c>
      <c r="Q12" s="13">
        <f>SUBTOTAL(103,Helmikuu[15])</f>
        <v>0</v>
      </c>
      <c r="R12" s="13">
        <f>SUBTOTAL(103,Helmikuu[16])</f>
        <v>0</v>
      </c>
      <c r="S12" s="13">
        <f>SUBTOTAL(103,Helmikuu[17])</f>
        <v>0</v>
      </c>
      <c r="T12" s="13">
        <f>SUBTOTAL(103,Helmikuu[18])</f>
        <v>1</v>
      </c>
      <c r="U12" s="13">
        <f>SUBTOTAL(103,Helmikuu[19])</f>
        <v>0</v>
      </c>
      <c r="V12" s="13">
        <f>SUBTOTAL(103,Helmikuu[20])</f>
        <v>1</v>
      </c>
      <c r="W12" s="13">
        <f>SUBTOTAL(103,Helmikuu[21])</f>
        <v>0</v>
      </c>
      <c r="X12" s="13">
        <f>SUBTOTAL(103,Helmikuu[22])</f>
        <v>0</v>
      </c>
      <c r="Y12" s="13">
        <f>SUBTOTAL(103,Helmikuu[23])</f>
        <v>0</v>
      </c>
      <c r="Z12" s="13">
        <f>SUBTOTAL(103,Helmikuu[24])</f>
        <v>1</v>
      </c>
      <c r="AA12" s="13">
        <f>SUBTOTAL(103,Helmikuu[25])</f>
        <v>1</v>
      </c>
      <c r="AB12" s="13">
        <f>SUBTOTAL(103,Helmikuu[26])</f>
        <v>1</v>
      </c>
      <c r="AC12" s="13">
        <f>SUBTOTAL(103,Helmikuu[27])</f>
        <v>1</v>
      </c>
      <c r="AD12" s="13">
        <f>SUBTOTAL(103,Helmikuu[28])</f>
        <v>1</v>
      </c>
      <c r="AE12" s="13">
        <f>SUBTOTAL(103,Helmikuu[29])</f>
        <v>0</v>
      </c>
      <c r="AF12" s="13"/>
      <c r="AG12" s="13"/>
      <c r="AH12" s="13">
        <f>SUBTOTAL(109,Helmikuu[Päiviä yhteensä])</f>
        <v>21</v>
      </c>
    </row>
  </sheetData>
  <mergeCells count="6">
    <mergeCell ref="C4:AG4"/>
    <mergeCell ref="L2:M2"/>
    <mergeCell ref="O2:Q2"/>
    <mergeCell ref="S2:U2"/>
    <mergeCell ref="D2:E2"/>
    <mergeCell ref="G2:J2"/>
  </mergeCells>
  <conditionalFormatting sqref="AE6">
    <cfRule type="expression" dxfId="815" priority="16">
      <formula>MONTH(DATE(Kalenterivuosi,2,29))&lt;&gt;2</formula>
    </cfRule>
  </conditionalFormatting>
  <conditionalFormatting sqref="AE5">
    <cfRule type="expression" dxfId="814" priority="15">
      <formula>MONTH(DATE(Kalenterivuosi,2,29))&lt;&gt;2</formula>
    </cfRule>
  </conditionalFormatting>
  <conditionalFormatting sqref="C7:AG11">
    <cfRule type="expression" priority="2" stopIfTrue="1">
      <formula>C7=""</formula>
    </cfRule>
    <cfRule type="expression" dxfId="813" priority="3" stopIfTrue="1">
      <formula>C7=Avain_mukautettu_2</formula>
    </cfRule>
  </conditionalFormatting>
  <conditionalFormatting sqref="C7:AG11">
    <cfRule type="expression" dxfId="812" priority="5" stopIfTrue="1">
      <formula>C7=Avain_mukautettu_1</formula>
    </cfRule>
    <cfRule type="expression" dxfId="811" priority="6" stopIfTrue="1">
      <formula>C7=Avain_sairaus</formula>
    </cfRule>
    <cfRule type="expression" dxfId="810" priority="7" stopIfTrue="1">
      <formula>C7=Avain_henkilökohtainen</formula>
    </cfRule>
    <cfRule type="expression" dxfId="809" priority="8" stopIfTrue="1">
      <formula>C7=Avain_loma</formula>
    </cfRule>
  </conditionalFormatting>
  <conditionalFormatting sqref="AH7:AH11">
    <cfRule type="dataBar" priority="153">
      <dataBar>
        <cfvo type="min"/>
        <cfvo type="formula" val="DATEDIF(DATE(Kalenterivuosi,2,1),DATE(Kalenterivuosi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Tammikuu-laskentataulukkoon lisätyn vuoden perusteella automaattisesti päivitettävä vuosi." sqref="AH4" xr:uid="{00000000-0002-0000-0100-000000000000}"/>
    <dataValidation allowBlank="1" showInputMessage="1" showErrorMessage="1" prompt="Seuraa helmikuun poissaoloja tämän laskentataulukon avulla" sqref="A1" xr:uid="{00000000-0002-0000-0100-000001000000}"/>
    <dataValidation allowBlank="1" showInputMessage="1" showErrorMessage="1" prompt="Laskee automaattisesti tähän sarakkeeseen päivien kokonaismäärän, jonka työntekijä oli poissa tässä kuussa" sqref="AH6" xr:uid="{00000000-0002-0000-0100-000002000000}"/>
    <dataValidation allowBlank="1" showInputMessage="1" showErrorMessage="1" prompt="Automaattisesti päivitettävä otsikko on tässä solussa. Jos haluat muokata otsikkoa, päivitä Tammikuu-laskentataulukon solu B1" sqref="B1" xr:uid="{00000000-0002-0000-0100-000003000000}"/>
    <dataValidation allowBlank="1" showInputMessage="1" showErrorMessage="1" prompt="Tämän poissaoloaikataulun kuukauden nimi on tässä solussa. Tämän kuukauden poissaolojen kokonaissummat ovat taulukon viimeisessä solussa. Valitse työntekijöiden nimet taulukon sarakkeessa B" sqref="B4" xr:uid="{00000000-0002-0000-0100-000004000000}"/>
    <dataValidation errorStyle="warning" allowBlank="1" showInputMessage="1" showErrorMessage="1" error="Valitse nimi luettelosta. Valitse PERUUTA, paina ALT+ALANUOLI ja valitse sitten nimi painamalla ENTER" prompt="Anna työntekijöiden nimet Työntekijöiden nimet -laskentataulukkoon ja valitse luettelosta jokin nimi tässä sarakkeessa. Paina ALT+ALANUOLI ja valitse sitten nimi painamalla ENTER" sqref="B6" xr:uid="{00000000-0002-0000-0100-000005000000}"/>
    <dataValidation allowBlank="1" showInputMessage="1" showErrorMessage="1" prompt="Tämä rivi määrittää taulukossa käytettävät avaimet: solu C2 on Loma, F2 on Henkilökohtainen ja K2 on Sairaus. Solut N2 ja R2 ovat muokattavia" sqref="B2" xr:uid="{00000000-0002-0000-0100-000006000000}"/>
    <dataValidation allowBlank="1" showInputMessage="1" showErrorMessage="1" prompt="Lisää vasemmalla olevan mukautetun avaimen kuvaus kirjoittamalla selite" sqref="O2:Q2 S2:U2" xr:uid="{DAAC9D91-F7B1-4DBA-AE30-87F32A211AFB}"/>
    <dataValidation allowBlank="1" showInputMessage="1" showErrorMessage="1" prompt="Lisää uusi avainkohde kirjoittamalla kirjain ja mukauttamalla selitettä oikealla" sqref="N2 R2" xr:uid="{3CF244F4-825D-4239-AE20-118C335258A4}"/>
    <dataValidation allowBlank="1" showInputMessage="1" showErrorMessage="1" prompt="S-kirjain tarkoittaa poissaoloa sairauden takia" sqref="K2" xr:uid="{B2D30EC8-9CA0-4483-80C3-03D880D79970}"/>
    <dataValidation allowBlank="1" showInputMessage="1" showErrorMessage="1" prompt="H-kirjain tarkoittaa poissaoloa henkilökohtaisen syyn takia" sqref="F2" xr:uid="{791D6DAD-5C27-46E8-A663-03001BED5F39}"/>
    <dataValidation allowBlank="1" showInputMessage="1" showErrorMessage="1" prompt="L-kirjain tarkoittaa poissaoloa loman takia" sqref="C2" xr:uid="{67C14711-115F-4EE9-9CDB-1B76831C4CC7}"/>
    <dataValidation allowBlank="1" showInputMessage="1" showErrorMessage="1" prompt="Tämän rivin viikonpäivät päivittyvät automaattisesti solussa AH4 olevan vuoden mukaan. Kuukauden jokainen päivä on sarake, johon merkitään työntekijän poissaolo ja poissaolotyyppi" sqref="C5" xr:uid="{00000000-0002-0000-0100-00000C000000}"/>
    <dataValidation allowBlank="1" showInputMessage="1" showErrorMessage="1" prompt="Tämän rivin kuukauden päivät luodaan automaattisesti. Anna työntekijän poissaolo ja poissaolotyyppi jokaiseen sarakkeeseen kuukauden jokaista päivää varten. Tyhjä tarkoittaa, ettei poissaoloa ole" sqref="C6" xr:uid="{00000000-0002-0000-0100-00000D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DATEDIF(DATE(Kalenterivuosi,2,1),DATE(Kalenterivuosi,3,1),"d")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'Työntekijöiden nimet'!$B$4:$B$8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Työntekijöiden_poissaolon_otsikko</f>
        <v>Työntekijöiden Poissaoloaikataulu</v>
      </c>
    </row>
    <row r="2" spans="2:34" ht="15" customHeight="1" x14ac:dyDescent="0.25">
      <c r="B2" s="19" t="s">
        <v>0</v>
      </c>
      <c r="C2" s="4" t="s">
        <v>8</v>
      </c>
      <c r="D2" s="25" t="s">
        <v>11</v>
      </c>
      <c r="E2" s="25"/>
      <c r="F2" s="5" t="s">
        <v>14</v>
      </c>
      <c r="G2" s="25" t="s">
        <v>18</v>
      </c>
      <c r="H2" s="25"/>
      <c r="I2" s="25"/>
      <c r="J2" s="25"/>
      <c r="K2" s="6" t="s">
        <v>16</v>
      </c>
      <c r="L2" s="25" t="s">
        <v>23</v>
      </c>
      <c r="M2" s="25"/>
      <c r="N2" s="7"/>
      <c r="O2" s="25" t="s">
        <v>27</v>
      </c>
      <c r="P2" s="25"/>
      <c r="Q2" s="25"/>
      <c r="R2" s="8"/>
      <c r="S2" s="25" t="s">
        <v>32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53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Kalenterivuosi</f>
        <v>2019</v>
      </c>
    </row>
    <row r="5" spans="2:34" ht="15" customHeight="1" x14ac:dyDescent="0.25">
      <c r="B5" s="12"/>
      <c r="C5" s="2" t="str">
        <f>TEXT(WEEKDAY(DATE(Kalenterivuosi,3,1),1),"aaa")</f>
        <v>pe</v>
      </c>
      <c r="D5" s="2" t="str">
        <f>TEXT(WEEKDAY(DATE(Kalenterivuosi,3,2),1),"aaa")</f>
        <v>la</v>
      </c>
      <c r="E5" s="2" t="str">
        <f>TEXT(WEEKDAY(DATE(Kalenterivuosi,3,3),1),"aaa")</f>
        <v>su</v>
      </c>
      <c r="F5" s="2" t="str">
        <f>TEXT(WEEKDAY(DATE(Kalenterivuosi,3,4),1),"aaa")</f>
        <v>ma</v>
      </c>
      <c r="G5" s="2" t="str">
        <f>TEXT(WEEKDAY(DATE(Kalenterivuosi,3,5),1),"aaa")</f>
        <v>ti</v>
      </c>
      <c r="H5" s="2" t="str">
        <f>TEXT(WEEKDAY(DATE(Kalenterivuosi,3,6),1),"aaa")</f>
        <v>ke</v>
      </c>
      <c r="I5" s="2" t="str">
        <f>TEXT(WEEKDAY(DATE(Kalenterivuosi,3,7),1),"aaa")</f>
        <v>to</v>
      </c>
      <c r="J5" s="2" t="str">
        <f>TEXT(WEEKDAY(DATE(Kalenterivuosi,3,8),1),"aaa")</f>
        <v>pe</v>
      </c>
      <c r="K5" s="2" t="str">
        <f>TEXT(WEEKDAY(DATE(Kalenterivuosi,3,9),1),"aaa")</f>
        <v>la</v>
      </c>
      <c r="L5" s="2" t="str">
        <f>TEXT(WEEKDAY(DATE(Kalenterivuosi,3,10),1),"aaa")</f>
        <v>su</v>
      </c>
      <c r="M5" s="2" t="str">
        <f>TEXT(WEEKDAY(DATE(Kalenterivuosi,3,11),1),"aaa")</f>
        <v>ma</v>
      </c>
      <c r="N5" s="2" t="str">
        <f>TEXT(WEEKDAY(DATE(Kalenterivuosi,3,12),1),"aaa")</f>
        <v>ti</v>
      </c>
      <c r="O5" s="2" t="str">
        <f>TEXT(WEEKDAY(DATE(Kalenterivuosi,3,13),1),"aaa")</f>
        <v>ke</v>
      </c>
      <c r="P5" s="2" t="str">
        <f>TEXT(WEEKDAY(DATE(Kalenterivuosi,3,14),1),"aaa")</f>
        <v>to</v>
      </c>
      <c r="Q5" s="2" t="str">
        <f>TEXT(WEEKDAY(DATE(Kalenterivuosi,3,15),1),"aaa")</f>
        <v>pe</v>
      </c>
      <c r="R5" s="2" t="str">
        <f>TEXT(WEEKDAY(DATE(Kalenterivuosi,3,16),1),"aaa")</f>
        <v>la</v>
      </c>
      <c r="S5" s="2" t="str">
        <f>TEXT(WEEKDAY(DATE(Kalenterivuosi,3,17),1),"aaa")</f>
        <v>su</v>
      </c>
      <c r="T5" s="2" t="str">
        <f>TEXT(WEEKDAY(DATE(Kalenterivuosi,3,18),1),"aaa")</f>
        <v>ma</v>
      </c>
      <c r="U5" s="2" t="str">
        <f>TEXT(WEEKDAY(DATE(Kalenterivuosi,3,19),1),"aaa")</f>
        <v>ti</v>
      </c>
      <c r="V5" s="2" t="str">
        <f>TEXT(WEEKDAY(DATE(Kalenterivuosi,3,20),1),"aaa")</f>
        <v>ke</v>
      </c>
      <c r="W5" s="2" t="str">
        <f>TEXT(WEEKDAY(DATE(Kalenterivuosi,3,21),1),"aaa")</f>
        <v>to</v>
      </c>
      <c r="X5" s="2" t="str">
        <f>TEXT(WEEKDAY(DATE(Kalenterivuosi,3,22),1),"aaa")</f>
        <v>pe</v>
      </c>
      <c r="Y5" s="2" t="str">
        <f>TEXT(WEEKDAY(DATE(Kalenterivuosi,3,23),1),"aaa")</f>
        <v>la</v>
      </c>
      <c r="Z5" s="2" t="str">
        <f>TEXT(WEEKDAY(DATE(Kalenterivuosi,3,24),1),"aaa")</f>
        <v>su</v>
      </c>
      <c r="AA5" s="2" t="str">
        <f>TEXT(WEEKDAY(DATE(Kalenterivuosi,3,25),1),"aaa")</f>
        <v>ma</v>
      </c>
      <c r="AB5" s="2" t="str">
        <f>TEXT(WEEKDAY(DATE(Kalenterivuosi,3,26),1),"aaa")</f>
        <v>ti</v>
      </c>
      <c r="AC5" s="2" t="str">
        <f>TEXT(WEEKDAY(DATE(Kalenterivuosi,3,27),1),"aaa")</f>
        <v>ke</v>
      </c>
      <c r="AD5" s="2" t="str">
        <f>TEXT(WEEKDAY(DATE(Kalenterivuosi,3,28),1),"aaa")</f>
        <v>to</v>
      </c>
      <c r="AE5" s="2" t="str">
        <f>TEXT(WEEKDAY(DATE(Kalenterivuosi,3,29),1),"aaa")</f>
        <v>pe</v>
      </c>
      <c r="AF5" s="2" t="str">
        <f>TEXT(WEEKDAY(DATE(Kalenterivuosi,3,30),1),"aaa")</f>
        <v>la</v>
      </c>
      <c r="AG5" s="2" t="str">
        <f>TEXT(WEEKDAY(DATE(Kalenterivuosi,3,31),1),"aaa")</f>
        <v>su</v>
      </c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COUNTA(Maaliskuu[[#This Row],[1]:[31]])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COUNTA(Maaliskuu[[#This Row],[1]:[31]])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COUNTA(Maaliskuu[[#This Row],[1]:[31]])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COUNTA(Maaliskuu[[#This Row],[1]:[31]])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COUNTA(Maaliskuu[[#This Row],[1]:[31]])</f>
        <v>0</v>
      </c>
    </row>
    <row r="12" spans="2:34" ht="30" customHeight="1" x14ac:dyDescent="0.25">
      <c r="B12" s="21" t="str">
        <f>Kuukauden_nimi&amp;" Yhteensä"</f>
        <v>Maaliskuu Yhteensä</v>
      </c>
      <c r="C12" s="13">
        <f>SUBTOTAL(103,Maaliskuu[1])</f>
        <v>0</v>
      </c>
      <c r="D12" s="13">
        <f>SUBTOTAL(103,Maaliskuu[2])</f>
        <v>0</v>
      </c>
      <c r="E12" s="13">
        <f>SUBTOTAL(103,Maaliskuu[3])</f>
        <v>0</v>
      </c>
      <c r="F12" s="13">
        <f>SUBTOTAL(103,Maaliskuu[4])</f>
        <v>0</v>
      </c>
      <c r="G12" s="13">
        <f>SUBTOTAL(103,Maaliskuu[5])</f>
        <v>0</v>
      </c>
      <c r="H12" s="13">
        <f>SUBTOTAL(103,Maaliskuu[6])</f>
        <v>0</v>
      </c>
      <c r="I12" s="13">
        <f>SUBTOTAL(103,Maaliskuu[7])</f>
        <v>0</v>
      </c>
      <c r="J12" s="13">
        <f>SUBTOTAL(103,Maaliskuu[8])</f>
        <v>0</v>
      </c>
      <c r="K12" s="13">
        <f>SUBTOTAL(103,Maaliskuu[9])</f>
        <v>0</v>
      </c>
      <c r="L12" s="13">
        <f>SUBTOTAL(103,Maaliskuu[10])</f>
        <v>0</v>
      </c>
      <c r="M12" s="13">
        <f>SUBTOTAL(103,Maaliskuu[11])</f>
        <v>0</v>
      </c>
      <c r="N12" s="13">
        <f>SUBTOTAL(103,Maaliskuu[12])</f>
        <v>0</v>
      </c>
      <c r="O12" s="13">
        <f>SUBTOTAL(103,Maaliskuu[13])</f>
        <v>0</v>
      </c>
      <c r="P12" s="13">
        <f>SUBTOTAL(103,Maaliskuu[14])</f>
        <v>0</v>
      </c>
      <c r="Q12" s="13">
        <f>SUBTOTAL(103,Maaliskuu[15])</f>
        <v>0</v>
      </c>
      <c r="R12" s="13">
        <f>SUBTOTAL(103,Maaliskuu[16])</f>
        <v>0</v>
      </c>
      <c r="S12" s="13">
        <f>SUBTOTAL(103,Maaliskuu[17])</f>
        <v>0</v>
      </c>
      <c r="T12" s="13">
        <f>SUBTOTAL(103,Maaliskuu[18])</f>
        <v>0</v>
      </c>
      <c r="U12" s="13">
        <f>SUBTOTAL(103,Maaliskuu[19])</f>
        <v>0</v>
      </c>
      <c r="V12" s="13">
        <f>SUBTOTAL(103,Maaliskuu[20])</f>
        <v>0</v>
      </c>
      <c r="W12" s="13">
        <f>SUBTOTAL(103,Maaliskuu[21])</f>
        <v>0</v>
      </c>
      <c r="X12" s="13">
        <f>SUBTOTAL(103,Maaliskuu[22])</f>
        <v>0</v>
      </c>
      <c r="Y12" s="13">
        <f>SUBTOTAL(103,Maaliskuu[23])</f>
        <v>0</v>
      </c>
      <c r="Z12" s="13">
        <f>SUBTOTAL(103,Maaliskuu[24])</f>
        <v>0</v>
      </c>
      <c r="AA12" s="13">
        <f>SUBTOTAL(103,Maaliskuu[25])</f>
        <v>0</v>
      </c>
      <c r="AB12" s="13">
        <f>SUBTOTAL(103,Maaliskuu[26])</f>
        <v>0</v>
      </c>
      <c r="AC12" s="13">
        <f>SUBTOTAL(103,Maaliskuu[27])</f>
        <v>0</v>
      </c>
      <c r="AD12" s="13">
        <f>SUBTOTAL(103,Maaliskuu[28])</f>
        <v>0</v>
      </c>
      <c r="AE12" s="13">
        <f>SUBTOTAL(103,Maaliskuu[29])</f>
        <v>0</v>
      </c>
      <c r="AF12" s="13">
        <f>SUBTOTAL(103,Maaliskuu[30])</f>
        <v>0</v>
      </c>
      <c r="AG12" s="13">
        <f>SUBTOTAL(103,Maaliskuu[31])</f>
        <v>0</v>
      </c>
      <c r="AH12" s="13">
        <f>SUBTOTAL(109,Maaliskuu[Päiviä yhteensä])</f>
        <v>0</v>
      </c>
    </row>
  </sheetData>
  <mergeCells count="6">
    <mergeCell ref="C4:AG4"/>
    <mergeCell ref="L2:M2"/>
    <mergeCell ref="O2:Q2"/>
    <mergeCell ref="S2:U2"/>
    <mergeCell ref="D2:E2"/>
    <mergeCell ref="G2:J2"/>
  </mergeCells>
  <conditionalFormatting sqref="C7:AG11">
    <cfRule type="expression" priority="1" stopIfTrue="1">
      <formula>C7=""</formula>
    </cfRule>
  </conditionalFormatting>
  <conditionalFormatting sqref="C7:AG11">
    <cfRule type="expression" dxfId="739" priority="2" stopIfTrue="1">
      <formula>C7=Avain_mukautettu_2</formula>
    </cfRule>
    <cfRule type="expression" dxfId="738" priority="3" stopIfTrue="1">
      <formula>C7=Avain_mukautettu_1</formula>
    </cfRule>
    <cfRule type="expression" dxfId="737" priority="4" stopIfTrue="1">
      <formula>C7=Avain_sairaus</formula>
    </cfRule>
    <cfRule type="expression" dxfId="736" priority="5" stopIfTrue="1">
      <formula>C7=Avain_henkilökohtainen</formula>
    </cfRule>
    <cfRule type="expression" dxfId="735" priority="6" stopIfTrue="1">
      <formula>C7=Avain_loma</formula>
    </cfRule>
  </conditionalFormatting>
  <conditionalFormatting sqref="AH7:AH11">
    <cfRule type="dataBar" priority="7">
      <dataBar>
        <cfvo type="min"/>
        <cfvo type="formula" val="DATEDIF(DATE(Kalenterivuosi,2,1),DATE(Kalenterivuosi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Tämän rivin kuukauden päivät luodaan automaattisesti. Anna työntekijän poissaolo ja poissaolotyyppi jokaiseen sarakkeeseen kuukauden jokaista päivää varten. Tyhjä tarkoittaa, ettei poissaoloa ole" sqref="C6" xr:uid="{00000000-0002-0000-0200-000000000000}"/>
    <dataValidation allowBlank="1" showInputMessage="1" showErrorMessage="1" prompt="Tämän rivin viikonpäivät päivittyvät automaattisesti solussa AH4 olevan vuoden mukaan. Kuukauden jokainen päivä on sarake, johon merkitään työntekijän poissaolo ja poissaolotyyppi" sqref="C5" xr:uid="{00000000-0002-0000-0200-000001000000}"/>
    <dataValidation allowBlank="1" showInputMessage="1" showErrorMessage="1" prompt="Tämän poissaoloaikataulun kuukauden nimi on tässä solussa. Tämän kuukauden poissaolojen kokonaissummat ovat taulukon viimeisessä solussa. Valitse työntekijöiden nimet taulukon sarakkeessa B" sqref="B4" xr:uid="{00000000-0002-0000-0200-000002000000}"/>
    <dataValidation allowBlank="1" showInputMessage="1" showErrorMessage="1" prompt="Tämä rivi määrittää taulukossa käytettävät avaimet: solu C2 on Loma, F2 on Henkilökohtainen ja K2 on Sairaus. Solut N2 ja R2 ovat muokattavia" sqref="B2" xr:uid="{00000000-0002-0000-0200-000003000000}"/>
    <dataValidation allowBlank="1" showInputMessage="1" showErrorMessage="1" prompt="Lisää vasemmalla olevan mukautetun avaimen kuvaus kirjoittamalla selite" sqref="O2:Q2 S2:U2" xr:uid="{45840849-A86A-42CB-9B43-FFD5D2E50420}"/>
    <dataValidation allowBlank="1" showInputMessage="1" showErrorMessage="1" prompt="Lisää uusi avainkohde kirjoittamalla kirjain ja mukauttamalla selitettä oikealla" sqref="N2 R2" xr:uid="{7D2469C9-4AA9-4AF9-B0A3-4CE2641275ED}"/>
    <dataValidation allowBlank="1" showInputMessage="1" showErrorMessage="1" prompt="S-kirjain tarkoittaa poissaoloa sairauden takia" sqref="K2" xr:uid="{2D839A0E-226B-42BF-8EFF-B17042DF73AD}"/>
    <dataValidation allowBlank="1" showInputMessage="1" showErrorMessage="1" prompt="H-kirjain tarkoittaa poissaoloa henkilökohtaisen syyn takia" sqref="F2" xr:uid="{1FC48EDB-A666-4024-93D0-847DF1FF7D24}"/>
    <dataValidation allowBlank="1" showInputMessage="1" showErrorMessage="1" prompt="L-kirjain tarkoittaa poissaoloa loman takia" sqref="C2" xr:uid="{29CC33C1-ADF2-472B-8C0E-852243FE4C75}"/>
    <dataValidation allowBlank="1" showInputMessage="1" showErrorMessage="1" prompt="Automaattisesti päivitettävä otsikko on tässä solussa. Jos haluat muokata otsikkoa, päivitä Tammikuu-laskentataulukon solu B1" sqref="B1" xr:uid="{00000000-0002-0000-0200-000009000000}"/>
    <dataValidation errorStyle="warning" allowBlank="1" showInputMessage="1" showErrorMessage="1" error="Valitse nimi luettelosta. Valitse PERUUTA, paina ALT+ALANUOLI ja valitse sitten nimi painamalla ENTER" prompt="Anna työntekijöiden nimet Työntekijöiden nimet -laskentataulukkoon ja valitse luettelosta jokin nimi tässä sarakkeessa. Paina ALT+ALANUOLI ja valitse sitten nimi painamalla ENTER" sqref="B6" xr:uid="{00000000-0002-0000-0200-00000A000000}"/>
    <dataValidation allowBlank="1" showInputMessage="1" showErrorMessage="1" prompt="Seuraa maaliskuun poissaoloja tämän laskentataulukon avulla" sqref="A1" xr:uid="{00000000-0002-0000-0200-00000B000000}"/>
    <dataValidation allowBlank="1" showInputMessage="1" showErrorMessage="1" prompt="Laskee automaattisesti tähän sarakkeeseen päivien kokonaismäärän, jonka työntekijä oli poissa tässä kuussa" sqref="AH6" xr:uid="{00000000-0002-0000-0200-00000C000000}"/>
    <dataValidation allowBlank="1" showInputMessage="1" showErrorMessage="1" prompt="Tammikuu-laskentataulukkoon lisätyn vuoden perusteella automaattisesti päivitettävä vuosi." sqref="AH4" xr:uid="{00000000-0002-0000-0200-00000D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DATEDIF(DATE(Kalenterivuosi,2,1),DATE(Kalenterivuosi,3,1),"d")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'Työntekijöiden nimet'!$B$4:$B$8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Työntekijöiden_poissaolon_otsikko</f>
        <v>Työntekijöiden Poissaoloaikataulu</v>
      </c>
    </row>
    <row r="2" spans="2:34" ht="15" customHeight="1" x14ac:dyDescent="0.25">
      <c r="B2" s="19" t="s">
        <v>0</v>
      </c>
      <c r="C2" s="4" t="s">
        <v>8</v>
      </c>
      <c r="D2" s="25" t="s">
        <v>11</v>
      </c>
      <c r="E2" s="25"/>
      <c r="F2" s="5" t="s">
        <v>14</v>
      </c>
      <c r="G2" s="25" t="s">
        <v>18</v>
      </c>
      <c r="H2" s="25"/>
      <c r="I2" s="25"/>
      <c r="J2" s="25"/>
      <c r="K2" s="6" t="s">
        <v>16</v>
      </c>
      <c r="L2" s="25" t="s">
        <v>23</v>
      </c>
      <c r="M2" s="25"/>
      <c r="N2" s="7"/>
      <c r="O2" s="25" t="s">
        <v>27</v>
      </c>
      <c r="P2" s="25"/>
      <c r="Q2" s="25"/>
      <c r="R2" s="8"/>
      <c r="S2" s="25" t="s">
        <v>32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54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Kalenterivuosi</f>
        <v>2019</v>
      </c>
    </row>
    <row r="5" spans="2:34" ht="15" customHeight="1" x14ac:dyDescent="0.25">
      <c r="B5" s="12"/>
      <c r="C5" s="2" t="str">
        <f>TEXT(WEEKDAY(DATE(Kalenterivuosi,4,1),1),"aaa")</f>
        <v>ma</v>
      </c>
      <c r="D5" s="2" t="str">
        <f>TEXT(WEEKDAY(DATE(Kalenterivuosi,4,2),1),"aaa")</f>
        <v>ti</v>
      </c>
      <c r="E5" s="2" t="str">
        <f>TEXT(WEEKDAY(DATE(Kalenterivuosi,4,3),1),"aaa")</f>
        <v>ke</v>
      </c>
      <c r="F5" s="2" t="str">
        <f>TEXT(WEEKDAY(DATE(Kalenterivuosi,4,4),1),"aaa")</f>
        <v>to</v>
      </c>
      <c r="G5" s="2" t="str">
        <f>TEXT(WEEKDAY(DATE(Kalenterivuosi,4,5),1),"aaa")</f>
        <v>pe</v>
      </c>
      <c r="H5" s="2" t="str">
        <f>TEXT(WEEKDAY(DATE(Kalenterivuosi,4,6),1),"aaa")</f>
        <v>la</v>
      </c>
      <c r="I5" s="2" t="str">
        <f>TEXT(WEEKDAY(DATE(Kalenterivuosi,4,7),1),"aaa")</f>
        <v>su</v>
      </c>
      <c r="J5" s="2" t="str">
        <f>TEXT(WEEKDAY(DATE(Kalenterivuosi,4,8),1),"aaa")</f>
        <v>ma</v>
      </c>
      <c r="K5" s="2" t="str">
        <f>TEXT(WEEKDAY(DATE(Kalenterivuosi,4,9),1),"aaa")</f>
        <v>ti</v>
      </c>
      <c r="L5" s="2" t="str">
        <f>TEXT(WEEKDAY(DATE(Kalenterivuosi,4,10),1),"aaa")</f>
        <v>ke</v>
      </c>
      <c r="M5" s="2" t="str">
        <f>TEXT(WEEKDAY(DATE(Kalenterivuosi,4,11),1),"aaa")</f>
        <v>to</v>
      </c>
      <c r="N5" s="2" t="str">
        <f>TEXT(WEEKDAY(DATE(Kalenterivuosi,4,12),1),"aaa")</f>
        <v>pe</v>
      </c>
      <c r="O5" s="2" t="str">
        <f>TEXT(WEEKDAY(DATE(Kalenterivuosi,4,13),1),"aaa")</f>
        <v>la</v>
      </c>
      <c r="P5" s="2" t="str">
        <f>TEXT(WEEKDAY(DATE(Kalenterivuosi,4,14),1),"aaa")</f>
        <v>su</v>
      </c>
      <c r="Q5" s="2" t="str">
        <f>TEXT(WEEKDAY(DATE(Kalenterivuosi,4,15),1),"aaa")</f>
        <v>ma</v>
      </c>
      <c r="R5" s="2" t="str">
        <f>TEXT(WEEKDAY(DATE(Kalenterivuosi,4,16),1),"aaa")</f>
        <v>ti</v>
      </c>
      <c r="S5" s="2" t="str">
        <f>TEXT(WEEKDAY(DATE(Kalenterivuosi,4,17),1),"aaa")</f>
        <v>ke</v>
      </c>
      <c r="T5" s="2" t="str">
        <f>TEXT(WEEKDAY(DATE(Kalenterivuosi,4,18),1),"aaa")</f>
        <v>to</v>
      </c>
      <c r="U5" s="2" t="str">
        <f>TEXT(WEEKDAY(DATE(Kalenterivuosi,4,19),1),"aaa")</f>
        <v>pe</v>
      </c>
      <c r="V5" s="2" t="str">
        <f>TEXT(WEEKDAY(DATE(Kalenterivuosi,4,20),1),"aaa")</f>
        <v>la</v>
      </c>
      <c r="W5" s="2" t="str">
        <f>TEXT(WEEKDAY(DATE(Kalenterivuosi,4,21),1),"aaa")</f>
        <v>su</v>
      </c>
      <c r="X5" s="2" t="str">
        <f>TEXT(WEEKDAY(DATE(Kalenterivuosi,4,22),1),"aaa")</f>
        <v>ma</v>
      </c>
      <c r="Y5" s="2" t="str">
        <f>TEXT(WEEKDAY(DATE(Kalenterivuosi,4,23),1),"aaa")</f>
        <v>ti</v>
      </c>
      <c r="Z5" s="2" t="str">
        <f>TEXT(WEEKDAY(DATE(Kalenterivuosi,4,24),1),"aaa")</f>
        <v>ke</v>
      </c>
      <c r="AA5" s="2" t="str">
        <f>TEXT(WEEKDAY(DATE(Kalenterivuosi,4,25),1),"aaa")</f>
        <v>to</v>
      </c>
      <c r="AB5" s="2" t="str">
        <f>TEXT(WEEKDAY(DATE(Kalenterivuosi,4,26),1),"aaa")</f>
        <v>pe</v>
      </c>
      <c r="AC5" s="2" t="str">
        <f>TEXT(WEEKDAY(DATE(Kalenterivuosi,4,27),1),"aaa")</f>
        <v>la</v>
      </c>
      <c r="AD5" s="2" t="str">
        <f>TEXT(WEEKDAY(DATE(Kalenterivuosi,4,28),1),"aaa")</f>
        <v>su</v>
      </c>
      <c r="AE5" s="2" t="str">
        <f>TEXT(WEEKDAY(DATE(Kalenterivuosi,4,29),1),"aaa")</f>
        <v>ma</v>
      </c>
      <c r="AF5" s="2" t="str">
        <f>TEXT(WEEKDAY(DATE(Kalenterivuosi,4,30),1),"aaa")</f>
        <v>ti</v>
      </c>
      <c r="AG5" s="2"/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23" t="s">
        <v>51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COUNTA(Huhtikuu[[#This Row],[1]:[30]])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COUNTA(Huhtikuu[[#This Row],[1]:[30]])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COUNTA(Huhtikuu[[#This Row],[1]:[30]])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COUNTA(Huhtikuu[[#This Row],[1]:[30]])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COUNTA(Huhtikuu[[#This Row],[1]:[30]])</f>
        <v>0</v>
      </c>
    </row>
    <row r="12" spans="2:34" ht="30" customHeight="1" x14ac:dyDescent="0.25">
      <c r="B12" s="21" t="str">
        <f>Kuukauden_nimi&amp;" Yhteensä"</f>
        <v>Huhtikuu Yhteensä</v>
      </c>
      <c r="C12" s="13">
        <f>SUBTOTAL(103,Huhtikuu[1])</f>
        <v>0</v>
      </c>
      <c r="D12" s="13">
        <f>SUBTOTAL(103,Huhtikuu[2])</f>
        <v>0</v>
      </c>
      <c r="E12" s="13">
        <f>SUBTOTAL(103,Huhtikuu[3])</f>
        <v>0</v>
      </c>
      <c r="F12" s="13">
        <f>SUBTOTAL(103,Huhtikuu[4])</f>
        <v>0</v>
      </c>
      <c r="G12" s="13">
        <f>SUBTOTAL(103,Huhtikuu[5])</f>
        <v>0</v>
      </c>
      <c r="H12" s="13">
        <f>SUBTOTAL(103,Huhtikuu[6])</f>
        <v>0</v>
      </c>
      <c r="I12" s="13">
        <f>SUBTOTAL(103,Huhtikuu[7])</f>
        <v>0</v>
      </c>
      <c r="J12" s="13">
        <f>SUBTOTAL(103,Huhtikuu[8])</f>
        <v>0</v>
      </c>
      <c r="K12" s="13">
        <f>SUBTOTAL(103,Huhtikuu[9])</f>
        <v>0</v>
      </c>
      <c r="L12" s="13">
        <f>SUBTOTAL(103,Huhtikuu[10])</f>
        <v>0</v>
      </c>
      <c r="M12" s="13">
        <f>SUBTOTAL(103,Huhtikuu[11])</f>
        <v>0</v>
      </c>
      <c r="N12" s="13">
        <f>SUBTOTAL(103,Huhtikuu[12])</f>
        <v>0</v>
      </c>
      <c r="O12" s="13">
        <f>SUBTOTAL(103,Huhtikuu[13])</f>
        <v>0</v>
      </c>
      <c r="P12" s="13">
        <f>SUBTOTAL(103,Huhtikuu[14])</f>
        <v>0</v>
      </c>
      <c r="Q12" s="13">
        <f>SUBTOTAL(103,Huhtikuu[15])</f>
        <v>0</v>
      </c>
      <c r="R12" s="13">
        <f>SUBTOTAL(103,Huhtikuu[16])</f>
        <v>0</v>
      </c>
      <c r="S12" s="13">
        <f>SUBTOTAL(103,Huhtikuu[17])</f>
        <v>0</v>
      </c>
      <c r="T12" s="13">
        <f>SUBTOTAL(103,Huhtikuu[18])</f>
        <v>0</v>
      </c>
      <c r="U12" s="13">
        <f>SUBTOTAL(103,Huhtikuu[19])</f>
        <v>0</v>
      </c>
      <c r="V12" s="13">
        <f>SUBTOTAL(103,Huhtikuu[20])</f>
        <v>0</v>
      </c>
      <c r="W12" s="13">
        <f>SUBTOTAL(103,Huhtikuu[21])</f>
        <v>0</v>
      </c>
      <c r="X12" s="13">
        <f>SUBTOTAL(103,Huhtikuu[22])</f>
        <v>0</v>
      </c>
      <c r="Y12" s="13">
        <f>SUBTOTAL(103,Huhtikuu[23])</f>
        <v>0</v>
      </c>
      <c r="Z12" s="13">
        <f>SUBTOTAL(103,Huhtikuu[24])</f>
        <v>0</v>
      </c>
      <c r="AA12" s="13">
        <f>SUBTOTAL(103,Huhtikuu[25])</f>
        <v>0</v>
      </c>
      <c r="AB12" s="13">
        <f>SUBTOTAL(103,Huhtikuu[26])</f>
        <v>0</v>
      </c>
      <c r="AC12" s="13">
        <f>SUBTOTAL(103,Huhtikuu[27])</f>
        <v>0</v>
      </c>
      <c r="AD12" s="13">
        <f>SUBTOTAL(103,Huhtikuu[28])</f>
        <v>0</v>
      </c>
      <c r="AE12" s="13">
        <f>SUBTOTAL(103,Huhtikuu[29])</f>
        <v>0</v>
      </c>
      <c r="AF12" s="13">
        <f>SUBTOTAL(103,Huhtikuu[30])</f>
        <v>0</v>
      </c>
      <c r="AG12" s="13">
        <f>SUBTOTAL(103,Huhtikuu[30])</f>
        <v>0</v>
      </c>
      <c r="AH12" s="13">
        <f>SUBTOTAL(109,Huhtikuu[Päiviä yhteensä])</f>
        <v>0</v>
      </c>
    </row>
  </sheetData>
  <mergeCells count="6">
    <mergeCell ref="C4:AG4"/>
    <mergeCell ref="L2:M2"/>
    <mergeCell ref="O2:Q2"/>
    <mergeCell ref="S2:U2"/>
    <mergeCell ref="D2:E2"/>
    <mergeCell ref="G2:J2"/>
  </mergeCells>
  <conditionalFormatting sqref="C7:AG11">
    <cfRule type="expression" priority="1" stopIfTrue="1">
      <formula>C7=""</formula>
    </cfRule>
  </conditionalFormatting>
  <conditionalFormatting sqref="C7:AG11">
    <cfRule type="expression" dxfId="665" priority="2" stopIfTrue="1">
      <formula>C7=Avain_mukautettu_2</formula>
    </cfRule>
    <cfRule type="expression" dxfId="664" priority="3" stopIfTrue="1">
      <formula>C7=Avain_mukautettu_1</formula>
    </cfRule>
    <cfRule type="expression" dxfId="663" priority="4" stopIfTrue="1">
      <formula>C7=Avain_sairaus</formula>
    </cfRule>
    <cfRule type="expression" dxfId="662" priority="5" stopIfTrue="1">
      <formula>C7=Avain_henkilökohtainen</formula>
    </cfRule>
    <cfRule type="expression" dxfId="661" priority="6" stopIfTrue="1">
      <formula>C7=Avain_loma</formula>
    </cfRule>
  </conditionalFormatting>
  <conditionalFormatting sqref="AH7:AH11">
    <cfRule type="dataBar" priority="7">
      <dataBar>
        <cfvo type="min"/>
        <cfvo type="formula" val="DATEDIF(DATE(Kalenterivuosi,2,1),DATE(Kalenterivuosi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Tammikuu-laskentataulukkoon lisätyn vuoden perusteella automaattisesti päivitettävä vuosi." sqref="AH4" xr:uid="{00000000-0002-0000-0300-000000000000}"/>
    <dataValidation allowBlank="1" showInputMessage="1" showErrorMessage="1" prompt="Laskee automaattisesti tähän sarakkeeseen päivien kokonaismäärän, jonka työntekijä oli poissa tässä kuussa" sqref="AH6" xr:uid="{00000000-0002-0000-0300-000001000000}"/>
    <dataValidation allowBlank="1" showInputMessage="1" showErrorMessage="1" prompt="Seuraa huhtikuun poissaoloja tämän laskentataulukon avulla" sqref="A1" xr:uid="{00000000-0002-0000-0300-000002000000}"/>
    <dataValidation errorStyle="warning" allowBlank="1" showInputMessage="1" showErrorMessage="1" error="Valitse nimi luettelosta. Valitse PERUUTA, paina ALT+ALANUOLI ja valitse sitten nimi painamalla ENTER" prompt="Anna työntekijöiden nimet Työntekijöiden nimet -laskentataulukkoon ja valitse luettelosta jokin nimi tässä sarakkeessa. Paina ALT+ALANUOLI ja valitse sitten nimi painamalla ENTER" sqref="B6" xr:uid="{00000000-0002-0000-0300-000003000000}"/>
    <dataValidation allowBlank="1" showInputMessage="1" showErrorMessage="1" prompt="Automaattisesti päivitettävä otsikko on tässä solussa. Jos haluat muokata otsikkoa, päivitä Tammikuu-laskentataulukon solu B1" sqref="B1" xr:uid="{00000000-0002-0000-0300-000004000000}"/>
    <dataValidation allowBlank="1" showInputMessage="1" showErrorMessage="1" prompt="L-kirjain tarkoittaa poissaoloa loman takia" sqref="C2" xr:uid="{F2AD4A08-B228-4EB1-A832-36EE4BC709C7}"/>
    <dataValidation allowBlank="1" showInputMessage="1" showErrorMessage="1" prompt="H-kirjain tarkoittaa poissaoloa henkilökohtaisen syyn takia" sqref="F2" xr:uid="{95AAC3C0-6922-4BFB-A5AB-AD04F34F5DDB}"/>
    <dataValidation allowBlank="1" showInputMessage="1" showErrorMessage="1" prompt="S-kirjain tarkoittaa poissaoloa sairauden takia" sqref="K2" xr:uid="{FCB1639A-E492-4E13-B7CF-1AC9D1861D42}"/>
    <dataValidation allowBlank="1" showInputMessage="1" showErrorMessage="1" prompt="Lisää uusi avainkohde kirjoittamalla kirjain ja mukauttamalla selitettä oikealla" sqref="N2 R2" xr:uid="{EDA494D3-DE94-4E00-BFCA-607CF1854CF0}"/>
    <dataValidation allowBlank="1" showInputMessage="1" showErrorMessage="1" prompt="Lisää vasemmalla olevan mukautetun avaimen kuvaus kirjoittamalla selite" sqref="O2:Q2 S2:U2" xr:uid="{F0F70D18-5476-4147-8C59-E6402769B462}"/>
    <dataValidation allowBlank="1" showInputMessage="1" showErrorMessage="1" prompt="Tämä rivi määrittää taulukossa käytettävät avaimet: solu C2 on Loma, F2 on Henkilökohtainen ja K2 on Sairaus. Solut N2 ja R2 ovat muokattavia" sqref="B2" xr:uid="{00000000-0002-0000-0300-00000A000000}"/>
    <dataValidation allowBlank="1" showInputMessage="1" showErrorMessage="1" prompt="Tämän poissaoloaikataulun kuukauden nimi on tässä solussa. Tämän kuukauden poissaolojen kokonaissummat ovat taulukon viimeisessä solussa. Valitse työntekijöiden nimet taulukon sarakkeessa B" sqref="B4" xr:uid="{00000000-0002-0000-0300-00000B000000}"/>
    <dataValidation allowBlank="1" showInputMessage="1" showErrorMessage="1" prompt="Tämän rivin kuukauden päivät luodaan automaattisesti. Anna työntekijän poissaolo ja poissaolotyyppi jokaiseen sarakkeeseen kuukauden jokaista päivää varten. Tyhjä tarkoittaa, ettei poissaoloa ole" sqref="C6" xr:uid="{00000000-0002-0000-0300-00000C000000}"/>
    <dataValidation allowBlank="1" showInputMessage="1" showErrorMessage="1" prompt="Tämän rivin viikonpäivät päivittyvät automaattisesti solussa AH4 olevan vuoden mukaan. Kuukauden jokainen päivä on sarake, johon merkitään työntekijän poissaolo ja poissaolotyyppi" sqref="C5" xr:uid="{00000000-0002-0000-0300-00000D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DATEDIF(DATE(Kalenterivuosi,2,1),DATE(Kalenterivuosi,3,1),"d")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'Työntekijöiden nimet'!$B$4:$B$8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Työntekijöiden_poissaolon_otsikko</f>
        <v>Työntekijöiden Poissaoloaikataulu</v>
      </c>
    </row>
    <row r="2" spans="2:34" ht="15" customHeight="1" x14ac:dyDescent="0.25">
      <c r="B2" s="19" t="s">
        <v>0</v>
      </c>
      <c r="C2" s="4" t="s">
        <v>8</v>
      </c>
      <c r="D2" s="25" t="s">
        <v>11</v>
      </c>
      <c r="E2" s="25"/>
      <c r="F2" s="5" t="s">
        <v>14</v>
      </c>
      <c r="G2" s="25" t="s">
        <v>18</v>
      </c>
      <c r="H2" s="25"/>
      <c r="I2" s="25"/>
      <c r="J2" s="25"/>
      <c r="K2" s="6" t="s">
        <v>16</v>
      </c>
      <c r="L2" s="25" t="s">
        <v>23</v>
      </c>
      <c r="M2" s="25"/>
      <c r="N2" s="7"/>
      <c r="O2" s="25" t="s">
        <v>27</v>
      </c>
      <c r="P2" s="25"/>
      <c r="Q2" s="25"/>
      <c r="R2" s="8"/>
      <c r="S2" s="25" t="s">
        <v>32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64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Kalenterivuosi</f>
        <v>2019</v>
      </c>
    </row>
    <row r="5" spans="2:34" ht="15" customHeight="1" x14ac:dyDescent="0.25">
      <c r="B5" s="12"/>
      <c r="C5" s="2" t="str">
        <f>TEXT(WEEKDAY(DATE(Kalenterivuosi,5,1),1),"aaa")</f>
        <v>ke</v>
      </c>
      <c r="D5" s="2" t="str">
        <f>TEXT(WEEKDAY(DATE(Kalenterivuosi,5,2),1),"aaa")</f>
        <v>to</v>
      </c>
      <c r="E5" s="2" t="str">
        <f>TEXT(WEEKDAY(DATE(Kalenterivuosi,5,3),1),"aaa")</f>
        <v>pe</v>
      </c>
      <c r="F5" s="2" t="str">
        <f>TEXT(WEEKDAY(DATE(Kalenterivuosi,5,4),1),"aaa")</f>
        <v>la</v>
      </c>
      <c r="G5" s="2" t="str">
        <f>TEXT(WEEKDAY(DATE(Kalenterivuosi,5,5),1),"aaa")</f>
        <v>su</v>
      </c>
      <c r="H5" s="2" t="str">
        <f>TEXT(WEEKDAY(DATE(Kalenterivuosi,5,6),1),"aaa")</f>
        <v>ma</v>
      </c>
      <c r="I5" s="2" t="str">
        <f>TEXT(WEEKDAY(DATE(Kalenterivuosi,5,7),1),"aaa")</f>
        <v>ti</v>
      </c>
      <c r="J5" s="2" t="str">
        <f>TEXT(WEEKDAY(DATE(Kalenterivuosi,5,8),1),"aaa")</f>
        <v>ke</v>
      </c>
      <c r="K5" s="2" t="str">
        <f>TEXT(WEEKDAY(DATE(Kalenterivuosi,5,9),1),"aaa")</f>
        <v>to</v>
      </c>
      <c r="L5" s="2" t="str">
        <f>TEXT(WEEKDAY(DATE(Kalenterivuosi,5,10),1),"aaa")</f>
        <v>pe</v>
      </c>
      <c r="M5" s="2" t="str">
        <f>TEXT(WEEKDAY(DATE(Kalenterivuosi,5,11),1),"aaa")</f>
        <v>la</v>
      </c>
      <c r="N5" s="2" t="str">
        <f>TEXT(WEEKDAY(DATE(Kalenterivuosi,5,12),1),"aaa")</f>
        <v>su</v>
      </c>
      <c r="O5" s="2" t="str">
        <f>TEXT(WEEKDAY(DATE(Kalenterivuosi,5,13),1),"aaa")</f>
        <v>ma</v>
      </c>
      <c r="P5" s="2" t="str">
        <f>TEXT(WEEKDAY(DATE(Kalenterivuosi,5,14),1),"aaa")</f>
        <v>ti</v>
      </c>
      <c r="Q5" s="2" t="str">
        <f>TEXT(WEEKDAY(DATE(Kalenterivuosi,5,15),1),"aaa")</f>
        <v>ke</v>
      </c>
      <c r="R5" s="2" t="str">
        <f>TEXT(WEEKDAY(DATE(Kalenterivuosi,5,16),1),"aaa")</f>
        <v>to</v>
      </c>
      <c r="S5" s="2" t="str">
        <f>TEXT(WEEKDAY(DATE(Kalenterivuosi,5,17),1),"aaa")</f>
        <v>pe</v>
      </c>
      <c r="T5" s="2" t="str">
        <f>TEXT(WEEKDAY(DATE(Kalenterivuosi,5,18),1),"aaa")</f>
        <v>la</v>
      </c>
      <c r="U5" s="2" t="str">
        <f>TEXT(WEEKDAY(DATE(Kalenterivuosi,5,19),1),"aaa")</f>
        <v>su</v>
      </c>
      <c r="V5" s="2" t="str">
        <f>TEXT(WEEKDAY(DATE(Kalenterivuosi,5,20),1),"aaa")</f>
        <v>ma</v>
      </c>
      <c r="W5" s="2" t="str">
        <f>TEXT(WEEKDAY(DATE(Kalenterivuosi,5,21),1),"aaa")</f>
        <v>ti</v>
      </c>
      <c r="X5" s="2" t="str">
        <f>TEXT(WEEKDAY(DATE(Kalenterivuosi,5,22),1),"aaa")</f>
        <v>ke</v>
      </c>
      <c r="Y5" s="2" t="str">
        <f>TEXT(WEEKDAY(DATE(Kalenterivuosi,5,23),1),"aaa")</f>
        <v>to</v>
      </c>
      <c r="Z5" s="2" t="str">
        <f>TEXT(WEEKDAY(DATE(Kalenterivuosi,5,24),1),"aaa")</f>
        <v>pe</v>
      </c>
      <c r="AA5" s="2" t="str">
        <f>TEXT(WEEKDAY(DATE(Kalenterivuosi,5,25),1),"aaa")</f>
        <v>la</v>
      </c>
      <c r="AB5" s="2" t="str">
        <f>TEXT(WEEKDAY(DATE(Kalenterivuosi,5,26),1),"aaa")</f>
        <v>su</v>
      </c>
      <c r="AC5" s="2" t="str">
        <f>TEXT(WEEKDAY(DATE(Kalenterivuosi,5,27),1),"aaa")</f>
        <v>ma</v>
      </c>
      <c r="AD5" s="2" t="str">
        <f>TEXT(WEEKDAY(DATE(Kalenterivuosi,5,28),1),"aaa")</f>
        <v>ti</v>
      </c>
      <c r="AE5" s="2" t="str">
        <f>TEXT(WEEKDAY(DATE(Kalenterivuosi,5,29),1),"aaa")</f>
        <v>ke</v>
      </c>
      <c r="AF5" s="2" t="str">
        <f>TEXT(WEEKDAY(DATE(Kalenterivuosi,5,30),1),"aaa")</f>
        <v>to</v>
      </c>
      <c r="AG5" s="2" t="str">
        <f>TEXT(WEEKDAY(DATE(Kalenterivuosi,5,31),1),"aaa")</f>
        <v>pe</v>
      </c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COUNTA(Toukokuu[[#This Row],[1]:[31]])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COUNTA(Toukokuu[[#This Row],[1]:[31]])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COUNTA(Toukokuu[[#This Row],[1]:[31]])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COUNTA(Toukokuu[[#This Row],[1]:[31]])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COUNTA(Toukokuu[[#This Row],[1]:[31]])</f>
        <v>0</v>
      </c>
    </row>
    <row r="12" spans="2:34" ht="30" customHeight="1" x14ac:dyDescent="0.25">
      <c r="B12" s="21" t="str">
        <f>Kuukauden_nimi&amp;" Yhteensä"</f>
        <v>Toukokuu Yhteensä</v>
      </c>
      <c r="C12" s="13">
        <f>SUBTOTAL(103,Toukokuu[1])</f>
        <v>0</v>
      </c>
      <c r="D12" s="13">
        <f>SUBTOTAL(103,Toukokuu[2])</f>
        <v>0</v>
      </c>
      <c r="E12" s="13">
        <f>SUBTOTAL(103,Toukokuu[3])</f>
        <v>0</v>
      </c>
      <c r="F12" s="13">
        <f>SUBTOTAL(103,Toukokuu[4])</f>
        <v>0</v>
      </c>
      <c r="G12" s="13">
        <f>SUBTOTAL(103,Toukokuu[5])</f>
        <v>0</v>
      </c>
      <c r="H12" s="13">
        <f>SUBTOTAL(103,Toukokuu[6])</f>
        <v>0</v>
      </c>
      <c r="I12" s="13">
        <f>SUBTOTAL(103,Toukokuu[7])</f>
        <v>0</v>
      </c>
      <c r="J12" s="13">
        <f>SUBTOTAL(103,Toukokuu[8])</f>
        <v>0</v>
      </c>
      <c r="K12" s="13">
        <f>SUBTOTAL(103,Toukokuu[9])</f>
        <v>0</v>
      </c>
      <c r="L12" s="13">
        <f>SUBTOTAL(103,Toukokuu[10])</f>
        <v>0</v>
      </c>
      <c r="M12" s="13">
        <f>SUBTOTAL(103,Toukokuu[11])</f>
        <v>0</v>
      </c>
      <c r="N12" s="13">
        <f>SUBTOTAL(103,Toukokuu[12])</f>
        <v>0</v>
      </c>
      <c r="O12" s="13">
        <f>SUBTOTAL(103,Toukokuu[13])</f>
        <v>0</v>
      </c>
      <c r="P12" s="13">
        <f>SUBTOTAL(103,Toukokuu[14])</f>
        <v>0</v>
      </c>
      <c r="Q12" s="13">
        <f>SUBTOTAL(103,Toukokuu[15])</f>
        <v>0</v>
      </c>
      <c r="R12" s="13">
        <f>SUBTOTAL(103,Toukokuu[16])</f>
        <v>0</v>
      </c>
      <c r="S12" s="13">
        <f>SUBTOTAL(103,Toukokuu[17])</f>
        <v>0</v>
      </c>
      <c r="T12" s="13">
        <f>SUBTOTAL(103,Toukokuu[18])</f>
        <v>0</v>
      </c>
      <c r="U12" s="13">
        <f>SUBTOTAL(103,Toukokuu[19])</f>
        <v>0</v>
      </c>
      <c r="V12" s="13">
        <f>SUBTOTAL(103,Toukokuu[20])</f>
        <v>0</v>
      </c>
      <c r="W12" s="13">
        <f>SUBTOTAL(103,Toukokuu[21])</f>
        <v>0</v>
      </c>
      <c r="X12" s="13">
        <f>SUBTOTAL(103,Toukokuu[22])</f>
        <v>0</v>
      </c>
      <c r="Y12" s="13">
        <f>SUBTOTAL(103,Toukokuu[23])</f>
        <v>0</v>
      </c>
      <c r="Z12" s="13">
        <f>SUBTOTAL(103,Toukokuu[24])</f>
        <v>0</v>
      </c>
      <c r="AA12" s="13">
        <f>SUBTOTAL(103,Toukokuu[25])</f>
        <v>0</v>
      </c>
      <c r="AB12" s="13">
        <f>SUBTOTAL(103,Toukokuu[26])</f>
        <v>0</v>
      </c>
      <c r="AC12" s="13">
        <f>SUBTOTAL(103,Toukokuu[27])</f>
        <v>0</v>
      </c>
      <c r="AD12" s="13">
        <f>SUBTOTAL(103,Toukokuu[28])</f>
        <v>0</v>
      </c>
      <c r="AE12" s="13">
        <f>SUBTOTAL(103,Toukokuu[29])</f>
        <v>0</v>
      </c>
      <c r="AF12" s="13">
        <f>SUBTOTAL(103,Toukokuu[30])</f>
        <v>0</v>
      </c>
      <c r="AG12" s="13">
        <f>SUBTOTAL(103,Toukokuu[31])</f>
        <v>0</v>
      </c>
      <c r="AH12" s="13">
        <f>SUBTOTAL(109,Toukokuu[Päiviä yhteensä])</f>
        <v>0</v>
      </c>
    </row>
  </sheetData>
  <mergeCells count="6">
    <mergeCell ref="C4:AG4"/>
    <mergeCell ref="L2:M2"/>
    <mergeCell ref="O2:Q2"/>
    <mergeCell ref="S2:U2"/>
    <mergeCell ref="D2:E2"/>
    <mergeCell ref="G2:J2"/>
  </mergeCells>
  <conditionalFormatting sqref="C7:AG11">
    <cfRule type="expression" priority="1" stopIfTrue="1">
      <formula>C7=""</formula>
    </cfRule>
  </conditionalFormatting>
  <conditionalFormatting sqref="C7:AG11">
    <cfRule type="expression" dxfId="591" priority="2" stopIfTrue="1">
      <formula>C7=Avain_mukautettu_2</formula>
    </cfRule>
    <cfRule type="expression" dxfId="590" priority="3" stopIfTrue="1">
      <formula>C7=Avain_mukautettu_1</formula>
    </cfRule>
    <cfRule type="expression" dxfId="589" priority="4" stopIfTrue="1">
      <formula>C7=Avain_sairaus</formula>
    </cfRule>
    <cfRule type="expression" dxfId="588" priority="5" stopIfTrue="1">
      <formula>C7=Avain_henkilökohtainen</formula>
    </cfRule>
    <cfRule type="expression" dxfId="587" priority="6" stopIfTrue="1">
      <formula>C7=Avain_loma</formula>
    </cfRule>
  </conditionalFormatting>
  <conditionalFormatting sqref="AH7:AH11">
    <cfRule type="dataBar" priority="7">
      <dataBar>
        <cfvo type="min"/>
        <cfvo type="formula" val="DATEDIF(DATE(Kalenterivuosi,2,1),DATE(Kalenterivuosi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Tämän rivin kuukauden päivät luodaan automaattisesti. Anna työntekijän poissaolo ja poissaolotyyppi jokaiseen sarakkeeseen kuukauden jokaista päivää varten. Tyhjä tarkoittaa, ettei poissaoloa ole" sqref="C6" xr:uid="{00000000-0002-0000-0400-000000000000}"/>
    <dataValidation allowBlank="1" showInputMessage="1" showErrorMessage="1" prompt="Tämän poissaoloaikataulun kuukauden nimi on tässä solussa. Tämän kuukauden poissaolojen kokonaissummat ovat taulukon viimeisessä solussa. Valitse työntekijöiden nimet taulukon sarakkeessa B" sqref="B4" xr:uid="{00000000-0002-0000-0400-000001000000}"/>
    <dataValidation allowBlank="1" showInputMessage="1" showErrorMessage="1" prompt="Tämä rivi määrittää taulukossa käytettävät avaimet: solu C2 on Loma, F2 on Henkilökohtainen ja K2 on Sairaus. Solut N2 ja R2 ovat muokattavia" sqref="B2" xr:uid="{00000000-0002-0000-0400-000002000000}"/>
    <dataValidation allowBlank="1" showInputMessage="1" showErrorMessage="1" prompt="Lisää vasemmalla olevan mukautetun avaimen kuvaus kirjoittamalla selite" sqref="O2:Q2 S2:U2" xr:uid="{300934E3-D352-4B8B-B33F-5938755A4ED4}"/>
    <dataValidation allowBlank="1" showInputMessage="1" showErrorMessage="1" prompt="Lisää uusi avainkohde kirjoittamalla kirjain ja mukauttamalla selitettä oikealla" sqref="N2 R2" xr:uid="{91FFD111-28DA-4870-BADE-F1AF0346A1A6}"/>
    <dataValidation allowBlank="1" showInputMessage="1" showErrorMessage="1" prompt="S-kirjain tarkoittaa poissaoloa sairauden takia" sqref="K2" xr:uid="{9F17832E-F9FD-4761-B92E-C32BFC5AD77F}"/>
    <dataValidation allowBlank="1" showInputMessage="1" showErrorMessage="1" prompt="H-kirjain tarkoittaa poissaoloa henkilökohtaisen syyn takia" sqref="F2" xr:uid="{5A69B894-AD72-4F19-97CD-0E0B87113049}"/>
    <dataValidation allowBlank="1" showInputMessage="1" showErrorMessage="1" prompt="L-kirjain tarkoittaa poissaoloa loman takia" sqref="C2" xr:uid="{C97F1C55-29CC-4B44-9CB9-6E8552AE07F9}"/>
    <dataValidation allowBlank="1" showInputMessage="1" showErrorMessage="1" prompt="Automaattisesti päivitettävä otsikko on tässä solussa. Jos haluat muokata otsikkoa, päivitä Tammikuu-laskentataulukon solu B1" sqref="B1" xr:uid="{00000000-0002-0000-0400-000008000000}"/>
    <dataValidation errorStyle="warning" allowBlank="1" showInputMessage="1" showErrorMessage="1" error="Valitse nimi luettelosta. Valitse PERUUTA, paina ALT+ALANUOLI ja valitse sitten nimi painamalla ENTER" prompt="Anna työntekijöiden nimet Työntekijöiden nimet -laskentataulukkoon ja valitse luettelosta jokin nimi tässä sarakkeessa. Paina ALT+ALANUOLI ja valitse sitten nimi painamalla ENTER" sqref="B6" xr:uid="{00000000-0002-0000-0400-000009000000}"/>
    <dataValidation allowBlank="1" showInputMessage="1" showErrorMessage="1" prompt="Seuraa toukokuun poissaoloja tämän laskentataulukon avulla" sqref="A1" xr:uid="{00000000-0002-0000-0400-00000A000000}"/>
    <dataValidation allowBlank="1" showInputMessage="1" showErrorMessage="1" prompt="Laskee automaattisesti tähän sarakkeeseen päivien kokonaismäärän, jonka työntekijä oli poissa tässä kuussa" sqref="AH6" xr:uid="{00000000-0002-0000-0400-00000B000000}"/>
    <dataValidation allowBlank="1" showInputMessage="1" showErrorMessage="1" prompt="Tammikuu-laskentataulukkoon lisätyn vuoden perusteella automaattisesti päivitettävä vuosi." sqref="AH4" xr:uid="{00000000-0002-0000-0400-00000C000000}"/>
    <dataValidation allowBlank="1" showInputMessage="1" showErrorMessage="1" prompt="Tämän rivin viikonpäivät päivittyvät automaattisesti solussa AH4 olevan vuoden mukaan. Kuukauden jokainen päivä on sarake, johon merkitään työntekijän poissaolo ja poissaolotyyppi" sqref="C5" xr:uid="{00000000-0002-0000-0400-00000D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DATEDIF(DATE(Kalenterivuosi,2,1),DATE(Kalenterivuosi,3,1),"d")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'Työntekijöiden nimet'!$B$4:$B$8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Työntekijöiden_poissaolon_otsikko</f>
        <v>Työntekijöiden Poissaoloaikataulu</v>
      </c>
    </row>
    <row r="2" spans="2:34" ht="15" customHeight="1" x14ac:dyDescent="0.25">
      <c r="B2" s="19" t="s">
        <v>0</v>
      </c>
      <c r="C2" s="4" t="s">
        <v>8</v>
      </c>
      <c r="D2" s="25" t="s">
        <v>11</v>
      </c>
      <c r="E2" s="25"/>
      <c r="F2" s="5" t="s">
        <v>14</v>
      </c>
      <c r="G2" s="25" t="s">
        <v>18</v>
      </c>
      <c r="H2" s="25"/>
      <c r="I2" s="25"/>
      <c r="J2" s="25"/>
      <c r="K2" s="6" t="s">
        <v>16</v>
      </c>
      <c r="L2" s="25" t="s">
        <v>23</v>
      </c>
      <c r="M2" s="25"/>
      <c r="N2" s="7"/>
      <c r="O2" s="25" t="s">
        <v>27</v>
      </c>
      <c r="P2" s="25"/>
      <c r="Q2" s="25"/>
      <c r="R2" s="8"/>
      <c r="S2" s="25" t="s">
        <v>32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55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Kalenterivuosi</f>
        <v>2019</v>
      </c>
    </row>
    <row r="5" spans="2:34" ht="15" customHeight="1" x14ac:dyDescent="0.25">
      <c r="B5" s="12"/>
      <c r="C5" s="2" t="str">
        <f>TEXT(WEEKDAY(DATE(Kalenterivuosi,6,1),1),"aaa")</f>
        <v>la</v>
      </c>
      <c r="D5" s="2" t="str">
        <f>TEXT(WEEKDAY(DATE(Kalenterivuosi,6,2),1),"aaa")</f>
        <v>su</v>
      </c>
      <c r="E5" s="2" t="str">
        <f>TEXT(WEEKDAY(DATE(Kalenterivuosi,6,3),1),"aaa")</f>
        <v>ma</v>
      </c>
      <c r="F5" s="2" t="str">
        <f>TEXT(WEEKDAY(DATE(Kalenterivuosi,6,4),1),"aaa")</f>
        <v>ti</v>
      </c>
      <c r="G5" s="2" t="str">
        <f>TEXT(WEEKDAY(DATE(Kalenterivuosi,6,5),1),"aaa")</f>
        <v>ke</v>
      </c>
      <c r="H5" s="2" t="str">
        <f>TEXT(WEEKDAY(DATE(Kalenterivuosi,6,6),1),"aaa")</f>
        <v>to</v>
      </c>
      <c r="I5" s="2" t="str">
        <f>TEXT(WEEKDAY(DATE(Kalenterivuosi,6,7),1),"aaa")</f>
        <v>pe</v>
      </c>
      <c r="J5" s="2" t="str">
        <f>TEXT(WEEKDAY(DATE(Kalenterivuosi,6,8),1),"aaa")</f>
        <v>la</v>
      </c>
      <c r="K5" s="2" t="str">
        <f>TEXT(WEEKDAY(DATE(Kalenterivuosi,6,9),1),"aaa")</f>
        <v>su</v>
      </c>
      <c r="L5" s="2" t="str">
        <f>TEXT(WEEKDAY(DATE(Kalenterivuosi,6,10),1),"aaa")</f>
        <v>ma</v>
      </c>
      <c r="M5" s="2" t="str">
        <f>TEXT(WEEKDAY(DATE(Kalenterivuosi,6,11),1),"aaa")</f>
        <v>ti</v>
      </c>
      <c r="N5" s="2" t="str">
        <f>TEXT(WEEKDAY(DATE(Kalenterivuosi,6,12),1),"aaa")</f>
        <v>ke</v>
      </c>
      <c r="O5" s="2" t="str">
        <f>TEXT(WEEKDAY(DATE(Kalenterivuosi,6,13),1),"aaa")</f>
        <v>to</v>
      </c>
      <c r="P5" s="2" t="str">
        <f>TEXT(WEEKDAY(DATE(Kalenterivuosi,6,14),1),"aaa")</f>
        <v>pe</v>
      </c>
      <c r="Q5" s="2" t="str">
        <f>TEXT(WEEKDAY(DATE(Kalenterivuosi,6,15),1),"aaa")</f>
        <v>la</v>
      </c>
      <c r="R5" s="2" t="str">
        <f>TEXT(WEEKDAY(DATE(Kalenterivuosi,6,16),1),"aaa")</f>
        <v>su</v>
      </c>
      <c r="S5" s="2" t="str">
        <f>TEXT(WEEKDAY(DATE(Kalenterivuosi,6,17),1),"aaa")</f>
        <v>ma</v>
      </c>
      <c r="T5" s="2" t="str">
        <f>TEXT(WEEKDAY(DATE(Kalenterivuosi,6,18),1),"aaa")</f>
        <v>ti</v>
      </c>
      <c r="U5" s="2" t="str">
        <f>TEXT(WEEKDAY(DATE(Kalenterivuosi,6,19),1),"aaa")</f>
        <v>ke</v>
      </c>
      <c r="V5" s="2" t="str">
        <f>TEXT(WEEKDAY(DATE(Kalenterivuosi,6,20),1),"aaa")</f>
        <v>to</v>
      </c>
      <c r="W5" s="2" t="str">
        <f>TEXT(WEEKDAY(DATE(Kalenterivuosi,6,21),1),"aaa")</f>
        <v>pe</v>
      </c>
      <c r="X5" s="2" t="str">
        <f>TEXT(WEEKDAY(DATE(Kalenterivuosi,6,22),1),"aaa")</f>
        <v>la</v>
      </c>
      <c r="Y5" s="2" t="str">
        <f>TEXT(WEEKDAY(DATE(Kalenterivuosi,6,23),1),"aaa")</f>
        <v>su</v>
      </c>
      <c r="Z5" s="2" t="str">
        <f>TEXT(WEEKDAY(DATE(Kalenterivuosi,6,24),1),"aaa")</f>
        <v>ma</v>
      </c>
      <c r="AA5" s="2" t="str">
        <f>TEXT(WEEKDAY(DATE(Kalenterivuosi,6,25),1),"aaa")</f>
        <v>ti</v>
      </c>
      <c r="AB5" s="2" t="str">
        <f>TEXT(WEEKDAY(DATE(Kalenterivuosi,6,26),1),"aaa")</f>
        <v>ke</v>
      </c>
      <c r="AC5" s="2" t="str">
        <f>TEXT(WEEKDAY(DATE(Kalenterivuosi,6,27),1),"aaa")</f>
        <v>to</v>
      </c>
      <c r="AD5" s="2" t="str">
        <f>TEXT(WEEKDAY(DATE(Kalenterivuosi,6,28),1),"aaa")</f>
        <v>pe</v>
      </c>
      <c r="AE5" s="2" t="str">
        <f>TEXT(WEEKDAY(DATE(Kalenterivuosi,6,29),1),"aaa")</f>
        <v>la</v>
      </c>
      <c r="AF5" s="2" t="str">
        <f>TEXT(WEEKDAY(DATE(Kalenterivuosi,6,30),1),"aaa")</f>
        <v>su</v>
      </c>
      <c r="AG5" s="2"/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COUNTA(Kesäkuu[[#This Row],[1]:[30]])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COUNTA(Kesäkuu[[#This Row],[1]:[30]])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COUNTA(Kesäkuu[[#This Row],[1]:[30]])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COUNTA(Kesäkuu[[#This Row],[1]:[30]])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COUNTA(Kesäkuu[[#This Row],[1]:[30]])</f>
        <v>0</v>
      </c>
    </row>
    <row r="12" spans="2:34" ht="30" customHeight="1" x14ac:dyDescent="0.25">
      <c r="B12" s="21" t="str">
        <f>Kuukauden_nimi&amp;" Yhteensä"</f>
        <v>Kesäkuu Yhteensä</v>
      </c>
      <c r="C12" s="13">
        <f>SUBTOTAL(103,Kesäkuu[1])</f>
        <v>0</v>
      </c>
      <c r="D12" s="13">
        <f>SUBTOTAL(103,Kesäkuu[2])</f>
        <v>0</v>
      </c>
      <c r="E12" s="13">
        <f>SUBTOTAL(103,Kesäkuu[3])</f>
        <v>0</v>
      </c>
      <c r="F12" s="13">
        <f>SUBTOTAL(103,Kesäkuu[4])</f>
        <v>0</v>
      </c>
      <c r="G12" s="13">
        <f>SUBTOTAL(103,Kesäkuu[5])</f>
        <v>0</v>
      </c>
      <c r="H12" s="13">
        <f>SUBTOTAL(103,Kesäkuu[6])</f>
        <v>0</v>
      </c>
      <c r="I12" s="13">
        <f>SUBTOTAL(103,Kesäkuu[7])</f>
        <v>0</v>
      </c>
      <c r="J12" s="13">
        <f>SUBTOTAL(103,Kesäkuu[8])</f>
        <v>0</v>
      </c>
      <c r="K12" s="13">
        <f>SUBTOTAL(103,Kesäkuu[9])</f>
        <v>0</v>
      </c>
      <c r="L12" s="13">
        <f>SUBTOTAL(103,Kesäkuu[10])</f>
        <v>0</v>
      </c>
      <c r="M12" s="13">
        <f>SUBTOTAL(103,Kesäkuu[11])</f>
        <v>0</v>
      </c>
      <c r="N12" s="13">
        <f>SUBTOTAL(103,Kesäkuu[12])</f>
        <v>0</v>
      </c>
      <c r="O12" s="13">
        <f>SUBTOTAL(103,Kesäkuu[13])</f>
        <v>0</v>
      </c>
      <c r="P12" s="13">
        <f>SUBTOTAL(103,Kesäkuu[14])</f>
        <v>0</v>
      </c>
      <c r="Q12" s="13">
        <f>SUBTOTAL(103,Kesäkuu[15])</f>
        <v>0</v>
      </c>
      <c r="R12" s="13">
        <f>SUBTOTAL(103,Kesäkuu[16])</f>
        <v>0</v>
      </c>
      <c r="S12" s="13">
        <f>SUBTOTAL(103,Kesäkuu[17])</f>
        <v>0</v>
      </c>
      <c r="T12" s="13">
        <f>SUBTOTAL(103,Kesäkuu[18])</f>
        <v>0</v>
      </c>
      <c r="U12" s="13">
        <f>SUBTOTAL(103,Kesäkuu[19])</f>
        <v>0</v>
      </c>
      <c r="V12" s="13">
        <f>SUBTOTAL(103,Kesäkuu[20])</f>
        <v>0</v>
      </c>
      <c r="W12" s="13">
        <f>SUBTOTAL(103,Kesäkuu[21])</f>
        <v>0</v>
      </c>
      <c r="X12" s="13">
        <f>SUBTOTAL(103,Kesäkuu[22])</f>
        <v>0</v>
      </c>
      <c r="Y12" s="13">
        <f>SUBTOTAL(103,Kesäkuu[23])</f>
        <v>0</v>
      </c>
      <c r="Z12" s="13">
        <f>SUBTOTAL(103,Kesäkuu[24])</f>
        <v>0</v>
      </c>
      <c r="AA12" s="13">
        <f>SUBTOTAL(103,Kesäkuu[25])</f>
        <v>0</v>
      </c>
      <c r="AB12" s="13">
        <f>SUBTOTAL(103,Kesäkuu[26])</f>
        <v>0</v>
      </c>
      <c r="AC12" s="13">
        <f>SUBTOTAL(103,Kesäkuu[27])</f>
        <v>0</v>
      </c>
      <c r="AD12" s="13">
        <f>SUBTOTAL(103,Kesäkuu[28])</f>
        <v>0</v>
      </c>
      <c r="AE12" s="13">
        <f>SUBTOTAL(103,Kesäkuu[29])</f>
        <v>0</v>
      </c>
      <c r="AF12" s="13">
        <f>SUBTOTAL(103,Kesäkuu[30])</f>
        <v>0</v>
      </c>
      <c r="AG12" s="13">
        <f>SUBTOTAL(103,Kesäkuu[[ ]])</f>
        <v>0</v>
      </c>
      <c r="AH12" s="13">
        <f>SUBTOTAL(109,Kesäkuu[Päiviä yhteensä])</f>
        <v>0</v>
      </c>
    </row>
  </sheetData>
  <mergeCells count="6">
    <mergeCell ref="C4:AG4"/>
    <mergeCell ref="L2:M2"/>
    <mergeCell ref="O2:Q2"/>
    <mergeCell ref="S2:U2"/>
    <mergeCell ref="D2:E2"/>
    <mergeCell ref="G2:J2"/>
  </mergeCells>
  <conditionalFormatting sqref="C7:AG11">
    <cfRule type="expression" priority="1" stopIfTrue="1">
      <formula>C7=""</formula>
    </cfRule>
  </conditionalFormatting>
  <conditionalFormatting sqref="C7:AG11">
    <cfRule type="expression" dxfId="517" priority="2" stopIfTrue="1">
      <formula>C7=Avain_mukautettu_2</formula>
    </cfRule>
    <cfRule type="expression" dxfId="516" priority="3" stopIfTrue="1">
      <formula>C7=Avain_mukautettu_1</formula>
    </cfRule>
    <cfRule type="expression" dxfId="515" priority="4" stopIfTrue="1">
      <formula>C7=Avain_sairaus</formula>
    </cfRule>
    <cfRule type="expression" dxfId="514" priority="5" stopIfTrue="1">
      <formula>C7=Avain_henkilökohtainen</formula>
    </cfRule>
    <cfRule type="expression" dxfId="513" priority="6" stopIfTrue="1">
      <formula>C7=Avain_loma</formula>
    </cfRule>
  </conditionalFormatting>
  <conditionalFormatting sqref="AH7:AH11">
    <cfRule type="dataBar" priority="7">
      <dataBar>
        <cfvo type="min"/>
        <cfvo type="formula" val="DATEDIF(DATE(Kalenterivuosi,2,1),DATE(Kalenterivuosi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Tämän rivin viikonpäivät päivittyvät automaattisesti solussa AH4 olevan vuoden mukaan. Kuukauden jokainen päivä on sarake, johon merkitään työntekijän poissaolo ja poissaolotyyppi" sqref="C5" xr:uid="{00000000-0002-0000-0500-000000000000}"/>
    <dataValidation allowBlank="1" showInputMessage="1" showErrorMessage="1" prompt="Tammikuu-laskentataulukkoon lisätyn vuoden perusteella automaattisesti päivitettävä vuosi." sqref="AH4" xr:uid="{00000000-0002-0000-0500-000001000000}"/>
    <dataValidation allowBlank="1" showInputMessage="1" showErrorMessage="1" prompt="Laskee automaattisesti tähän sarakkeeseen päivien kokonaismäärän, jonka työntekijä oli poissa tässä kuussa" sqref="AH6" xr:uid="{00000000-0002-0000-0500-000002000000}"/>
    <dataValidation allowBlank="1" showInputMessage="1" showErrorMessage="1" prompt="Seuraa kesäkuun poissaoloja tämän laskentataulukon avulla" sqref="A1" xr:uid="{00000000-0002-0000-0500-000003000000}"/>
    <dataValidation errorStyle="warning" allowBlank="1" showInputMessage="1" showErrorMessage="1" error="Valitse nimi luettelosta. Valitse PERUUTA, paina ALT+ALANUOLI ja valitse sitten nimi painamalla ENTER" prompt="Anna työntekijöiden nimet Työntekijöiden nimet -laskentataulukkoon ja valitse luettelosta jokin nimi tässä sarakkeessa. Paina ALT+ALANUOLI ja valitse sitten nimi painamalla ENTER" sqref="B6" xr:uid="{00000000-0002-0000-0500-000004000000}"/>
    <dataValidation allowBlank="1" showInputMessage="1" showErrorMessage="1" prompt="Automaattisesti päivitettävä otsikko on tässä solussa. Jos haluat muokata otsikkoa, päivitä Tammikuu-laskentataulukon solu B1" sqref="B1" xr:uid="{00000000-0002-0000-0500-000005000000}"/>
    <dataValidation allowBlank="1" showInputMessage="1" showErrorMessage="1" prompt="L-kirjain tarkoittaa poissaoloa loman takia" sqref="C2" xr:uid="{B28EC553-3E83-4A5A-932C-935628EFD7B7}"/>
    <dataValidation allowBlank="1" showInputMessage="1" showErrorMessage="1" prompt="H-kirjain tarkoittaa poissaoloa henkilökohtaisen syyn takia" sqref="F2" xr:uid="{D1A31CB5-CE0F-43FB-94CB-946C774C116A}"/>
    <dataValidation allowBlank="1" showInputMessage="1" showErrorMessage="1" prompt="S-kirjain tarkoittaa poissaoloa sairauden takia" sqref="K2" xr:uid="{81902647-F4FE-48F4-8BBC-3FD4D4E94D77}"/>
    <dataValidation allowBlank="1" showInputMessage="1" showErrorMessage="1" prompt="Lisää uusi avainkohde kirjoittamalla kirjain ja mukauttamalla selitettä oikealla" sqref="N2 R2" xr:uid="{8F28D70F-6397-4F62-8B19-7421D14B3FF5}"/>
    <dataValidation allowBlank="1" showInputMessage="1" showErrorMessage="1" prompt="Lisää vasemmalla olevan mukautetun avaimen kuvaus kirjoittamalla selite" sqref="O2:Q2 S2:U2" xr:uid="{3B1A03AD-1F2E-4028-8E81-9F4B71ECC788}"/>
    <dataValidation allowBlank="1" showInputMessage="1" showErrorMessage="1" prompt="Tämä rivi määrittää taulukossa käytettävät avaimet: solu C2 on Loma, F2 on Henkilökohtainen ja K2 on Sairaus. Solut N2 ja R2 ovat muokattavia" sqref="B2" xr:uid="{00000000-0002-0000-0500-00000B000000}"/>
    <dataValidation allowBlank="1" showInputMessage="1" showErrorMessage="1" prompt="Tämän poissaoloaikataulun kuukauden nimi on tässä solussa. Tämän kuukauden poissaolojen kokonaissummat ovat taulukon viimeisessä solussa. Valitse työntekijöiden nimet taulukon sarakkeessa B" sqref="B4" xr:uid="{00000000-0002-0000-0500-00000C000000}"/>
    <dataValidation allowBlank="1" showInputMessage="1" showErrorMessage="1" prompt="Tämän rivin kuukauden päivät luodaan automaattisesti. Anna työntekijän poissaolo ja poissaolotyyppi jokaiseen sarakkeeseen kuukauden jokaista päivää varten. Tyhjä tarkoittaa, ettei poissaoloa ole" sqref="C6" xr:uid="{00000000-0002-0000-0500-00000D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DATEDIF(DATE(Kalenterivuosi,2,1),DATE(Kalenterivuosi,3,1),"d")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'Työntekijöiden nimet'!$B$4:$B$8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Työntekijöiden_poissaolon_otsikko</f>
        <v>Työntekijöiden Poissaoloaikataulu</v>
      </c>
    </row>
    <row r="2" spans="2:34" ht="15" customHeight="1" x14ac:dyDescent="0.25">
      <c r="B2" s="19" t="s">
        <v>0</v>
      </c>
      <c r="C2" s="4" t="s">
        <v>8</v>
      </c>
      <c r="D2" s="25" t="s">
        <v>11</v>
      </c>
      <c r="E2" s="25"/>
      <c r="F2" s="5" t="s">
        <v>14</v>
      </c>
      <c r="G2" s="25" t="s">
        <v>18</v>
      </c>
      <c r="H2" s="25"/>
      <c r="I2" s="25"/>
      <c r="J2" s="25"/>
      <c r="K2" s="6" t="s">
        <v>16</v>
      </c>
      <c r="L2" s="25" t="s">
        <v>23</v>
      </c>
      <c r="M2" s="25"/>
      <c r="N2" s="7"/>
      <c r="O2" s="25" t="s">
        <v>27</v>
      </c>
      <c r="P2" s="25"/>
      <c r="Q2" s="25"/>
      <c r="R2" s="8"/>
      <c r="S2" s="25" t="s">
        <v>32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56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Kalenterivuosi</f>
        <v>2019</v>
      </c>
    </row>
    <row r="5" spans="2:34" ht="15" customHeight="1" x14ac:dyDescent="0.25">
      <c r="B5" s="12"/>
      <c r="C5" s="2" t="str">
        <f>TEXT(WEEKDAY(DATE(Kalenterivuosi,7,1),1),"aaa")</f>
        <v>ma</v>
      </c>
      <c r="D5" s="2" t="str">
        <f>TEXT(WEEKDAY(DATE(Kalenterivuosi,7,2),1),"aaa")</f>
        <v>ti</v>
      </c>
      <c r="E5" s="2" t="str">
        <f>TEXT(WEEKDAY(DATE(Kalenterivuosi,7,3),1),"aaa")</f>
        <v>ke</v>
      </c>
      <c r="F5" s="2" t="str">
        <f>TEXT(WEEKDAY(DATE(Kalenterivuosi,7,4),1),"aaa")</f>
        <v>to</v>
      </c>
      <c r="G5" s="2" t="str">
        <f>TEXT(WEEKDAY(DATE(Kalenterivuosi,7,5),1),"aaa")</f>
        <v>pe</v>
      </c>
      <c r="H5" s="2" t="str">
        <f>TEXT(WEEKDAY(DATE(Kalenterivuosi,7,6),1),"aaa")</f>
        <v>la</v>
      </c>
      <c r="I5" s="2" t="str">
        <f>TEXT(WEEKDAY(DATE(Kalenterivuosi,7,7),1),"aaa")</f>
        <v>su</v>
      </c>
      <c r="J5" s="2" t="str">
        <f>TEXT(WEEKDAY(DATE(Kalenterivuosi,7,8),1),"aaa")</f>
        <v>ma</v>
      </c>
      <c r="K5" s="2" t="str">
        <f>TEXT(WEEKDAY(DATE(Kalenterivuosi,7,9),1),"aaa")</f>
        <v>ti</v>
      </c>
      <c r="L5" s="2" t="str">
        <f>TEXT(WEEKDAY(DATE(Kalenterivuosi,7,10),1),"aaa")</f>
        <v>ke</v>
      </c>
      <c r="M5" s="2" t="str">
        <f>TEXT(WEEKDAY(DATE(Kalenterivuosi,7,11),1),"aaa")</f>
        <v>to</v>
      </c>
      <c r="N5" s="2" t="str">
        <f>TEXT(WEEKDAY(DATE(Kalenterivuosi,7,12),1),"aaa")</f>
        <v>pe</v>
      </c>
      <c r="O5" s="2" t="str">
        <f>TEXT(WEEKDAY(DATE(Kalenterivuosi,7,13),1),"aaa")</f>
        <v>la</v>
      </c>
      <c r="P5" s="2" t="str">
        <f>TEXT(WEEKDAY(DATE(Kalenterivuosi,7,14),1),"aaa")</f>
        <v>su</v>
      </c>
      <c r="Q5" s="2" t="str">
        <f>TEXT(WEEKDAY(DATE(Kalenterivuosi,7,15),1),"aaa")</f>
        <v>ma</v>
      </c>
      <c r="R5" s="2" t="str">
        <f>TEXT(WEEKDAY(DATE(Kalenterivuosi,7,16),1),"aaa")</f>
        <v>ti</v>
      </c>
      <c r="S5" s="2" t="str">
        <f>TEXT(WEEKDAY(DATE(Kalenterivuosi,7,17),1),"aaa")</f>
        <v>ke</v>
      </c>
      <c r="T5" s="2" t="str">
        <f>TEXT(WEEKDAY(DATE(Kalenterivuosi,7,18),1),"aaa")</f>
        <v>to</v>
      </c>
      <c r="U5" s="2" t="str">
        <f>TEXT(WEEKDAY(DATE(Kalenterivuosi,7,19),1),"aaa")</f>
        <v>pe</v>
      </c>
      <c r="V5" s="2" t="str">
        <f>TEXT(WEEKDAY(DATE(Kalenterivuosi,7,20),1),"aaa")</f>
        <v>la</v>
      </c>
      <c r="W5" s="2" t="str">
        <f>TEXT(WEEKDAY(DATE(Kalenterivuosi,7,21),1),"aaa")</f>
        <v>su</v>
      </c>
      <c r="X5" s="2" t="str">
        <f>TEXT(WEEKDAY(DATE(Kalenterivuosi,7,22),1),"aaa")</f>
        <v>ma</v>
      </c>
      <c r="Y5" s="2" t="str">
        <f>TEXT(WEEKDAY(DATE(Kalenterivuosi,7,23),1),"aaa")</f>
        <v>ti</v>
      </c>
      <c r="Z5" s="2" t="str">
        <f>TEXT(WEEKDAY(DATE(Kalenterivuosi,7,24),1),"aaa")</f>
        <v>ke</v>
      </c>
      <c r="AA5" s="2" t="str">
        <f>TEXT(WEEKDAY(DATE(Kalenterivuosi,7,25),1),"aaa")</f>
        <v>to</v>
      </c>
      <c r="AB5" s="2" t="str">
        <f>TEXT(WEEKDAY(DATE(Kalenterivuosi,7,26),1),"aaa")</f>
        <v>pe</v>
      </c>
      <c r="AC5" s="2" t="str">
        <f>TEXT(WEEKDAY(DATE(Kalenterivuosi,7,27),1),"aaa")</f>
        <v>la</v>
      </c>
      <c r="AD5" s="2" t="str">
        <f>TEXT(WEEKDAY(DATE(Kalenterivuosi,7,28),1),"aaa")</f>
        <v>su</v>
      </c>
      <c r="AE5" s="2" t="str">
        <f>TEXT(WEEKDAY(DATE(Kalenterivuosi,7,29),1),"aaa")</f>
        <v>ma</v>
      </c>
      <c r="AF5" s="2" t="str">
        <f>TEXT(WEEKDAY(DATE(Kalenterivuosi,7,30),1),"aaa")</f>
        <v>ti</v>
      </c>
      <c r="AG5" s="2" t="str">
        <f>TEXT(WEEKDAY(DATE(Kalenterivuosi,7,31),1),"aaa")</f>
        <v>ke</v>
      </c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COUNTA(Heinäkuu[[#This Row],[1]:[31]])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COUNTA(Heinäkuu[[#This Row],[1]:[31]])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COUNTA(Heinäkuu[[#This Row],[1]:[31]])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COUNTA(Heinäkuu[[#This Row],[1]:[31]])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COUNTA(Heinäkuu[[#This Row],[1]:[31]])</f>
        <v>0</v>
      </c>
    </row>
    <row r="12" spans="2:34" ht="30" customHeight="1" x14ac:dyDescent="0.25">
      <c r="B12" s="21" t="str">
        <f>Kuukauden_nimi&amp;" Yhteensä"</f>
        <v>Heinäkuu Yhteensä</v>
      </c>
      <c r="C12" s="13">
        <f>SUBTOTAL(103,Heinäkuu[1])</f>
        <v>0</v>
      </c>
      <c r="D12" s="13">
        <f>SUBTOTAL(103,Heinäkuu[2])</f>
        <v>0</v>
      </c>
      <c r="E12" s="13">
        <f>SUBTOTAL(103,Heinäkuu[3])</f>
        <v>0</v>
      </c>
      <c r="F12" s="13">
        <f>SUBTOTAL(103,Heinäkuu[4])</f>
        <v>0</v>
      </c>
      <c r="G12" s="13">
        <f>SUBTOTAL(103,Heinäkuu[5])</f>
        <v>0</v>
      </c>
      <c r="H12" s="13">
        <f>SUBTOTAL(103,Heinäkuu[6])</f>
        <v>0</v>
      </c>
      <c r="I12" s="13">
        <f>SUBTOTAL(103,Heinäkuu[7])</f>
        <v>0</v>
      </c>
      <c r="J12" s="13">
        <f>SUBTOTAL(103,Heinäkuu[8])</f>
        <v>0</v>
      </c>
      <c r="K12" s="13">
        <f>SUBTOTAL(103,Heinäkuu[9])</f>
        <v>0</v>
      </c>
      <c r="L12" s="13">
        <f>SUBTOTAL(103,Heinäkuu[10])</f>
        <v>0</v>
      </c>
      <c r="M12" s="13">
        <f>SUBTOTAL(103,Heinäkuu[11])</f>
        <v>0</v>
      </c>
      <c r="N12" s="13">
        <f>SUBTOTAL(103,Heinäkuu[12])</f>
        <v>0</v>
      </c>
      <c r="O12" s="13">
        <f>SUBTOTAL(103,Heinäkuu[13])</f>
        <v>0</v>
      </c>
      <c r="P12" s="13">
        <f>SUBTOTAL(103,Heinäkuu[14])</f>
        <v>0</v>
      </c>
      <c r="Q12" s="13">
        <f>SUBTOTAL(103,Heinäkuu[15])</f>
        <v>0</v>
      </c>
      <c r="R12" s="13">
        <f>SUBTOTAL(103,Heinäkuu[16])</f>
        <v>0</v>
      </c>
      <c r="S12" s="13">
        <f>SUBTOTAL(103,Heinäkuu[17])</f>
        <v>0</v>
      </c>
      <c r="T12" s="13">
        <f>SUBTOTAL(103,Heinäkuu[18])</f>
        <v>0</v>
      </c>
      <c r="U12" s="13">
        <f>SUBTOTAL(103,Heinäkuu[19])</f>
        <v>0</v>
      </c>
      <c r="V12" s="13">
        <f>SUBTOTAL(103,Heinäkuu[20])</f>
        <v>0</v>
      </c>
      <c r="W12" s="13">
        <f>SUBTOTAL(103,Heinäkuu[21])</f>
        <v>0</v>
      </c>
      <c r="X12" s="13">
        <f>SUBTOTAL(103,Heinäkuu[22])</f>
        <v>0</v>
      </c>
      <c r="Y12" s="13">
        <f>SUBTOTAL(103,Heinäkuu[23])</f>
        <v>0</v>
      </c>
      <c r="Z12" s="13">
        <f>SUBTOTAL(103,Heinäkuu[24])</f>
        <v>0</v>
      </c>
      <c r="AA12" s="13">
        <f>SUBTOTAL(103,Heinäkuu[25])</f>
        <v>0</v>
      </c>
      <c r="AB12" s="13">
        <f>SUBTOTAL(103,Heinäkuu[26])</f>
        <v>0</v>
      </c>
      <c r="AC12" s="13">
        <f>SUBTOTAL(103,Heinäkuu[27])</f>
        <v>0</v>
      </c>
      <c r="AD12" s="13">
        <f>SUBTOTAL(103,Heinäkuu[28])</f>
        <v>0</v>
      </c>
      <c r="AE12" s="13">
        <f>SUBTOTAL(103,Heinäkuu[29])</f>
        <v>0</v>
      </c>
      <c r="AF12" s="13">
        <f>SUBTOTAL(103,Heinäkuu[30])</f>
        <v>0</v>
      </c>
      <c r="AG12" s="13">
        <f>SUBTOTAL(103,Heinäkuu[31])</f>
        <v>0</v>
      </c>
      <c r="AH12" s="13">
        <f>SUBTOTAL(109,Heinäkuu[Päiviä yhteensä])</f>
        <v>0</v>
      </c>
    </row>
  </sheetData>
  <mergeCells count="6">
    <mergeCell ref="C4:AG4"/>
    <mergeCell ref="L2:M2"/>
    <mergeCell ref="O2:Q2"/>
    <mergeCell ref="S2:U2"/>
    <mergeCell ref="D2:E2"/>
    <mergeCell ref="G2:J2"/>
  </mergeCells>
  <conditionalFormatting sqref="C7:AG11">
    <cfRule type="expression" priority="1" stopIfTrue="1">
      <formula>C7=""</formula>
    </cfRule>
  </conditionalFormatting>
  <conditionalFormatting sqref="C7:AG11">
    <cfRule type="expression" dxfId="443" priority="2" stopIfTrue="1">
      <formula>C7=Avain_mukautettu_2</formula>
    </cfRule>
    <cfRule type="expression" dxfId="442" priority="3" stopIfTrue="1">
      <formula>C7=Avain_mukautettu_1</formula>
    </cfRule>
    <cfRule type="expression" dxfId="441" priority="4" stopIfTrue="1">
      <formula>C7=Avain_sairaus</formula>
    </cfRule>
    <cfRule type="expression" dxfId="440" priority="5" stopIfTrue="1">
      <formula>C7=Avain_henkilökohtainen</formula>
    </cfRule>
    <cfRule type="expression" dxfId="439" priority="6" stopIfTrue="1">
      <formula>C7=Avain_loma</formula>
    </cfRule>
  </conditionalFormatting>
  <conditionalFormatting sqref="AH7:AH11">
    <cfRule type="dataBar" priority="7">
      <dataBar>
        <cfvo type="min"/>
        <cfvo type="formula" val="DATEDIF(DATE(Kalenterivuosi,2,1),DATE(Kalenterivuosi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Tämän rivin kuukauden päivät luodaan automaattisesti. Anna työntekijän poissaolo ja poissaolotyyppi jokaiseen sarakkeeseen kuukauden jokaista päivää varten. Tyhjä tarkoittaa, ettei poissaoloa ole" sqref="C6" xr:uid="{00000000-0002-0000-0600-000000000000}"/>
    <dataValidation allowBlank="1" showInputMessage="1" showErrorMessage="1" prompt="Tämän poissaoloaikataulun kuukauden nimi on tässä solussa. Tämän kuukauden poissaolojen kokonaissummat ovat taulukon viimeisessä solussa. Valitse työntekijöiden nimet taulukon sarakkeessa B" sqref="B4" xr:uid="{00000000-0002-0000-0600-000001000000}"/>
    <dataValidation allowBlank="1" showInputMessage="1" showErrorMessage="1" prompt="Tämä rivi määrittää taulukossa käytettävät avaimet: solu C2 on Loma, F2 on Henkilökohtainen ja K2 on Sairaus. Solut N2 ja R2 ovat muokattavia" sqref="B2" xr:uid="{00000000-0002-0000-0600-000002000000}"/>
    <dataValidation allowBlank="1" showInputMessage="1" showErrorMessage="1" prompt="Lisää vasemmalla olevan mukautetun avaimen kuvaus kirjoittamalla selite" sqref="O2:Q2 S2:U2" xr:uid="{2367FD06-5D17-4812-A8A5-99E1967987AA}"/>
    <dataValidation allowBlank="1" showInputMessage="1" showErrorMessage="1" prompt="Lisää uusi avainkohde kirjoittamalla kirjain ja mukauttamalla selitettä oikealla" sqref="N2 R2" xr:uid="{DA3D8BEC-0997-4185-B23D-E894A0D96861}"/>
    <dataValidation allowBlank="1" showInputMessage="1" showErrorMessage="1" prompt="S-kirjain tarkoittaa poissaoloa sairauden takia" sqref="K2" xr:uid="{0FFBCF17-1A13-4922-BB6A-9B571FB6A71A}"/>
    <dataValidation allowBlank="1" showInputMessage="1" showErrorMessage="1" prompt="H-kirjain tarkoittaa poissaoloa henkilökohtaisen syyn takia" sqref="F2" xr:uid="{77B6BC7B-9D77-492D-A2B3-70FF841852C5}"/>
    <dataValidation allowBlank="1" showInputMessage="1" showErrorMessage="1" prompt="L-kirjain tarkoittaa poissaoloa loman takia" sqref="C2" xr:uid="{72D21C99-7890-4310-85C4-37588E428E49}"/>
    <dataValidation allowBlank="1" showInputMessage="1" showErrorMessage="1" prompt="Automaattisesti päivitettävä otsikko on tässä solussa. Jos haluat muokata otsikkoa, päivitä Tammikuu-laskentataulukon solu B1" sqref="B1" xr:uid="{00000000-0002-0000-0600-000008000000}"/>
    <dataValidation errorStyle="warning" allowBlank="1" showInputMessage="1" showErrorMessage="1" error="Valitse nimi luettelosta. Valitse PERUUTA, paina ALT+ALANUOLI ja valitse sitten nimi painamalla ENTER" prompt="Anna työntekijöiden nimet Työntekijöiden nimet -laskentataulukkoon ja valitse luettelosta jokin nimi tässä sarakkeessa. Paina ALT+ALANUOLI ja valitse sitten nimi painamalla ENTER" sqref="B6" xr:uid="{00000000-0002-0000-0600-000009000000}"/>
    <dataValidation allowBlank="1" showInputMessage="1" showErrorMessage="1" prompt="Seuraa heinäkuun poissaoloja tämän laskentataulukon avulla" sqref="A1" xr:uid="{00000000-0002-0000-0600-00000A000000}"/>
    <dataValidation allowBlank="1" showInputMessage="1" showErrorMessage="1" prompt="Laskee automaattisesti tähän sarakkeeseen päivien kokonaismäärän, jonka työntekijä oli poissa tässä kuussa" sqref="AH6" xr:uid="{00000000-0002-0000-0600-00000B000000}"/>
    <dataValidation allowBlank="1" showInputMessage="1" showErrorMessage="1" prompt="Tammikuu-laskentataulukkoon lisätyn vuoden perusteella automaattisesti päivitettävä vuosi." sqref="AH4" xr:uid="{00000000-0002-0000-0600-00000C000000}"/>
    <dataValidation allowBlank="1" showInputMessage="1" showErrorMessage="1" prompt="Tämän rivin viikonpäivät päivittyvät automaattisesti solussa AH4 olevan vuoden mukaan. Kuukauden jokainen päivä on sarake, johon merkitään työntekijän poissaolo ja poissaolotyyppi" sqref="C5" xr:uid="{00000000-0002-0000-0600-00000D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DATEDIF(DATE(Kalenterivuosi,2,1),DATE(Kalenterivuosi,3,1),"d")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'Työntekijöiden nimet'!$B$4:$B$8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Työntekijöiden_poissaolon_otsikko</f>
        <v>Työntekijöiden Poissaoloaikataulu</v>
      </c>
    </row>
    <row r="2" spans="2:34" ht="15" customHeight="1" x14ac:dyDescent="0.25">
      <c r="B2" s="19" t="s">
        <v>0</v>
      </c>
      <c r="C2" s="4" t="s">
        <v>8</v>
      </c>
      <c r="D2" s="25" t="s">
        <v>11</v>
      </c>
      <c r="E2" s="25"/>
      <c r="F2" s="5" t="s">
        <v>14</v>
      </c>
      <c r="G2" s="25" t="s">
        <v>18</v>
      </c>
      <c r="H2" s="25"/>
      <c r="I2" s="25"/>
      <c r="J2" s="25"/>
      <c r="K2" s="6" t="s">
        <v>16</v>
      </c>
      <c r="L2" s="25" t="s">
        <v>23</v>
      </c>
      <c r="M2" s="25"/>
      <c r="N2" s="7"/>
      <c r="O2" s="25" t="s">
        <v>27</v>
      </c>
      <c r="P2" s="25"/>
      <c r="Q2" s="25"/>
      <c r="R2" s="8"/>
      <c r="S2" s="25" t="s">
        <v>32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57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Kalenterivuosi</f>
        <v>2019</v>
      </c>
    </row>
    <row r="5" spans="2:34" ht="15" customHeight="1" x14ac:dyDescent="0.25">
      <c r="B5" s="12"/>
      <c r="C5" s="2" t="str">
        <f>TEXT(WEEKDAY(DATE(Kalenterivuosi,8,1),1),"aaa")</f>
        <v>to</v>
      </c>
      <c r="D5" s="2" t="str">
        <f>TEXT(WEEKDAY(DATE(Kalenterivuosi,8,2),1),"aaa")</f>
        <v>pe</v>
      </c>
      <c r="E5" s="2" t="str">
        <f>TEXT(WEEKDAY(DATE(Kalenterivuosi,8,3),1),"aaa")</f>
        <v>la</v>
      </c>
      <c r="F5" s="2" t="str">
        <f>TEXT(WEEKDAY(DATE(Kalenterivuosi,8,4),1),"aaa")</f>
        <v>su</v>
      </c>
      <c r="G5" s="2" t="str">
        <f>TEXT(WEEKDAY(DATE(Kalenterivuosi,8,5),1),"aaa")</f>
        <v>ma</v>
      </c>
      <c r="H5" s="2" t="str">
        <f>TEXT(WEEKDAY(DATE(Kalenterivuosi,8,6),1),"aaa")</f>
        <v>ti</v>
      </c>
      <c r="I5" s="2" t="str">
        <f>TEXT(WEEKDAY(DATE(Kalenterivuosi,8,7),1),"aaa")</f>
        <v>ke</v>
      </c>
      <c r="J5" s="2" t="str">
        <f>TEXT(WEEKDAY(DATE(Kalenterivuosi,8,8),1),"aaa")</f>
        <v>to</v>
      </c>
      <c r="K5" s="2" t="str">
        <f>TEXT(WEEKDAY(DATE(Kalenterivuosi,8,9),1),"aaa")</f>
        <v>pe</v>
      </c>
      <c r="L5" s="2" t="str">
        <f>TEXT(WEEKDAY(DATE(Kalenterivuosi,8,10),1),"aaa")</f>
        <v>la</v>
      </c>
      <c r="M5" s="2" t="str">
        <f>TEXT(WEEKDAY(DATE(Kalenterivuosi,8,11),1),"aaa")</f>
        <v>su</v>
      </c>
      <c r="N5" s="2" t="str">
        <f>TEXT(WEEKDAY(DATE(Kalenterivuosi,8,12),1),"aaa")</f>
        <v>ma</v>
      </c>
      <c r="O5" s="2" t="str">
        <f>TEXT(WEEKDAY(DATE(Kalenterivuosi,8,13),1),"aaa")</f>
        <v>ti</v>
      </c>
      <c r="P5" s="2" t="str">
        <f>TEXT(WEEKDAY(DATE(Kalenterivuosi,8,14),1),"aaa")</f>
        <v>ke</v>
      </c>
      <c r="Q5" s="2" t="str">
        <f>TEXT(WEEKDAY(DATE(Kalenterivuosi,8,15),1),"aaa")</f>
        <v>to</v>
      </c>
      <c r="R5" s="2" t="str">
        <f>TEXT(WEEKDAY(DATE(Kalenterivuosi,8,16),1),"aaa")</f>
        <v>pe</v>
      </c>
      <c r="S5" s="2" t="str">
        <f>TEXT(WEEKDAY(DATE(Kalenterivuosi,8,17),1),"aaa")</f>
        <v>la</v>
      </c>
      <c r="T5" s="2" t="str">
        <f>TEXT(WEEKDAY(DATE(Kalenterivuosi,8,18),1),"aaa")</f>
        <v>su</v>
      </c>
      <c r="U5" s="2" t="str">
        <f>TEXT(WEEKDAY(DATE(Kalenterivuosi,8,19),1),"aaa")</f>
        <v>ma</v>
      </c>
      <c r="V5" s="2" t="str">
        <f>TEXT(WEEKDAY(DATE(Kalenterivuosi,8,20),1),"aaa")</f>
        <v>ti</v>
      </c>
      <c r="W5" s="2" t="str">
        <f>TEXT(WEEKDAY(DATE(Kalenterivuosi,8,21),1),"aaa")</f>
        <v>ke</v>
      </c>
      <c r="X5" s="2" t="str">
        <f>TEXT(WEEKDAY(DATE(Kalenterivuosi,8,22),1),"aaa")</f>
        <v>to</v>
      </c>
      <c r="Y5" s="2" t="str">
        <f>TEXT(WEEKDAY(DATE(Kalenterivuosi,8,23),1),"aaa")</f>
        <v>pe</v>
      </c>
      <c r="Z5" s="2" t="str">
        <f>TEXT(WEEKDAY(DATE(Kalenterivuosi,8,24),1),"aaa")</f>
        <v>la</v>
      </c>
      <c r="AA5" s="2" t="str">
        <f>TEXT(WEEKDAY(DATE(Kalenterivuosi,8,25),1),"aaa")</f>
        <v>su</v>
      </c>
      <c r="AB5" s="2" t="str">
        <f>TEXT(WEEKDAY(DATE(Kalenterivuosi,8,26),1),"aaa")</f>
        <v>ma</v>
      </c>
      <c r="AC5" s="2" t="str">
        <f>TEXT(WEEKDAY(DATE(Kalenterivuosi,8,27),1),"aaa")</f>
        <v>ti</v>
      </c>
      <c r="AD5" s="2" t="str">
        <f>TEXT(WEEKDAY(DATE(Kalenterivuosi,8,28),1),"aaa")</f>
        <v>ke</v>
      </c>
      <c r="AE5" s="2" t="str">
        <f>TEXT(WEEKDAY(DATE(Kalenterivuosi,8,29),1),"aaa")</f>
        <v>to</v>
      </c>
      <c r="AF5" s="2" t="str">
        <f>TEXT(WEEKDAY(DATE(Kalenterivuosi,8,30),1),"aaa")</f>
        <v>pe</v>
      </c>
      <c r="AG5" s="2" t="str">
        <f>TEXT(WEEKDAY(DATE(Kalenterivuosi,8,31),1),"aaa")</f>
        <v>la</v>
      </c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COUNTA(Elokuu[[#This Row],[1]:[31]])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COUNTA(Elokuu[[#This Row],[1]:[31]])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COUNTA(Elokuu[[#This Row],[1]:[31]])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COUNTA(Elokuu[[#This Row],[1]:[31]])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COUNTA(Elokuu[[#This Row],[1]:[31]])</f>
        <v>0</v>
      </c>
    </row>
    <row r="12" spans="2:34" ht="30" customHeight="1" x14ac:dyDescent="0.25">
      <c r="B12" s="21" t="str">
        <f>Kuukauden_nimi&amp;" Yhteensä"</f>
        <v>Elokuu Yhteensä</v>
      </c>
      <c r="C12" s="13">
        <f>SUBTOTAL(103,Elokuu[1])</f>
        <v>0</v>
      </c>
      <c r="D12" s="13">
        <f>SUBTOTAL(103,Elokuu[2])</f>
        <v>0</v>
      </c>
      <c r="E12" s="13">
        <f>SUBTOTAL(103,Elokuu[3])</f>
        <v>0</v>
      </c>
      <c r="F12" s="13">
        <f>SUBTOTAL(103,Elokuu[4])</f>
        <v>0</v>
      </c>
      <c r="G12" s="13">
        <f>SUBTOTAL(103,Elokuu[5])</f>
        <v>0</v>
      </c>
      <c r="H12" s="13">
        <f>SUBTOTAL(103,Elokuu[6])</f>
        <v>0</v>
      </c>
      <c r="I12" s="13">
        <f>SUBTOTAL(103,Elokuu[7])</f>
        <v>0</v>
      </c>
      <c r="J12" s="13">
        <f>SUBTOTAL(103,Elokuu[8])</f>
        <v>0</v>
      </c>
      <c r="K12" s="13">
        <f>SUBTOTAL(103,Elokuu[9])</f>
        <v>0</v>
      </c>
      <c r="L12" s="13">
        <f>SUBTOTAL(103,Elokuu[10])</f>
        <v>0</v>
      </c>
      <c r="M12" s="13">
        <f>SUBTOTAL(103,Elokuu[11])</f>
        <v>0</v>
      </c>
      <c r="N12" s="13">
        <f>SUBTOTAL(103,Elokuu[12])</f>
        <v>0</v>
      </c>
      <c r="O12" s="13">
        <f>SUBTOTAL(103,Elokuu[13])</f>
        <v>0</v>
      </c>
      <c r="P12" s="13">
        <f>SUBTOTAL(103,Elokuu[14])</f>
        <v>0</v>
      </c>
      <c r="Q12" s="13">
        <f>SUBTOTAL(103,Elokuu[15])</f>
        <v>0</v>
      </c>
      <c r="R12" s="13">
        <f>SUBTOTAL(103,Elokuu[16])</f>
        <v>0</v>
      </c>
      <c r="S12" s="13">
        <f>SUBTOTAL(103,Elokuu[17])</f>
        <v>0</v>
      </c>
      <c r="T12" s="13">
        <f>SUBTOTAL(103,Elokuu[18])</f>
        <v>0</v>
      </c>
      <c r="U12" s="13">
        <f>SUBTOTAL(103,Elokuu[19])</f>
        <v>0</v>
      </c>
      <c r="V12" s="13">
        <f>SUBTOTAL(103,Elokuu[20])</f>
        <v>0</v>
      </c>
      <c r="W12" s="13">
        <f>SUBTOTAL(103,Elokuu[21])</f>
        <v>0</v>
      </c>
      <c r="X12" s="13">
        <f>SUBTOTAL(103,Elokuu[22])</f>
        <v>0</v>
      </c>
      <c r="Y12" s="13">
        <f>SUBTOTAL(103,Elokuu[23])</f>
        <v>0</v>
      </c>
      <c r="Z12" s="13">
        <f>SUBTOTAL(103,Elokuu[24])</f>
        <v>0</v>
      </c>
      <c r="AA12" s="13">
        <f>SUBTOTAL(103,Elokuu[25])</f>
        <v>0</v>
      </c>
      <c r="AB12" s="13">
        <f>SUBTOTAL(103,Elokuu[26])</f>
        <v>0</v>
      </c>
      <c r="AC12" s="13">
        <f>SUBTOTAL(103,Elokuu[27])</f>
        <v>0</v>
      </c>
      <c r="AD12" s="13">
        <f>SUBTOTAL(103,Elokuu[28])</f>
        <v>0</v>
      </c>
      <c r="AE12" s="13">
        <f>SUBTOTAL(103,Elokuu[29])</f>
        <v>0</v>
      </c>
      <c r="AF12" s="13">
        <f>SUBTOTAL(103,Elokuu[30])</f>
        <v>0</v>
      </c>
      <c r="AG12" s="13">
        <f>SUBTOTAL(103,Elokuu[31])</f>
        <v>0</v>
      </c>
      <c r="AH12" s="13">
        <f>SUBTOTAL(109,Elokuu[Päiviä yhteensä])</f>
        <v>0</v>
      </c>
    </row>
  </sheetData>
  <mergeCells count="6">
    <mergeCell ref="C4:AG4"/>
    <mergeCell ref="L2:M2"/>
    <mergeCell ref="O2:Q2"/>
    <mergeCell ref="S2:U2"/>
    <mergeCell ref="D2:E2"/>
    <mergeCell ref="G2:J2"/>
  </mergeCells>
  <conditionalFormatting sqref="C7:AG11">
    <cfRule type="expression" priority="1" stopIfTrue="1">
      <formula>C7=""</formula>
    </cfRule>
  </conditionalFormatting>
  <conditionalFormatting sqref="C7:AG11">
    <cfRule type="expression" dxfId="369" priority="2" stopIfTrue="1">
      <formula>C7=Avain_mukautettu_2</formula>
    </cfRule>
    <cfRule type="expression" dxfId="368" priority="3" stopIfTrue="1">
      <formula>C7=Avain_mukautettu_1</formula>
    </cfRule>
    <cfRule type="expression" dxfId="367" priority="4" stopIfTrue="1">
      <formula>C7=Avain_sairaus</formula>
    </cfRule>
    <cfRule type="expression" dxfId="366" priority="5" stopIfTrue="1">
      <formula>C7=Avain_henkilökohtainen</formula>
    </cfRule>
    <cfRule type="expression" dxfId="365" priority="6" stopIfTrue="1">
      <formula>C7=Avain_loma</formula>
    </cfRule>
  </conditionalFormatting>
  <conditionalFormatting sqref="AH7:AH11">
    <cfRule type="dataBar" priority="7">
      <dataBar>
        <cfvo type="min"/>
        <cfvo type="formula" val="DATEDIF(DATE(Kalenterivuosi,2,1),DATE(Kalenterivuosi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Tämän rivin viikonpäivät päivittyvät automaattisesti solussa AH4 olevan vuoden mukaan. Kuukauden jokainen päivä on sarake, johon merkitään työntekijän poissaolo ja poissaolotyyppi" sqref="C5" xr:uid="{00000000-0002-0000-0700-000000000000}"/>
    <dataValidation allowBlank="1" showInputMessage="1" showErrorMessage="1" prompt="Tammikuu-laskentataulukkoon lisätyn vuoden perusteella automaattisesti päivitettävä vuosi." sqref="AH4" xr:uid="{00000000-0002-0000-0700-000001000000}"/>
    <dataValidation allowBlank="1" showInputMessage="1" showErrorMessage="1" prompt="Laskee automaattisesti tähän sarakkeeseen päivien kokonaismäärän, jonka työntekijä oli poissa tässä kuussa" sqref="AH6" xr:uid="{00000000-0002-0000-0700-000002000000}"/>
    <dataValidation allowBlank="1" showInputMessage="1" showErrorMessage="1" prompt="Seuraa elokuun poissaoloja tämän laskentataulukon avulla" sqref="A1" xr:uid="{00000000-0002-0000-0700-000003000000}"/>
    <dataValidation errorStyle="warning" allowBlank="1" showInputMessage="1" showErrorMessage="1" error="Valitse nimi luettelosta. Valitse PERUUTA, paina ALT+ALANUOLI ja valitse sitten nimi painamalla ENTER" prompt="Anna työntekijöiden nimet Työntekijöiden nimet -laskentataulukkoon ja valitse luettelosta jokin nimi tässä sarakkeessa. Paina ALT+ALANUOLI ja valitse sitten nimi painamalla ENTER" sqref="B6" xr:uid="{00000000-0002-0000-0700-000004000000}"/>
    <dataValidation allowBlank="1" showInputMessage="1" showErrorMessage="1" prompt="Automaattisesti päivitettävä otsikko on tässä solussa. Jos haluat muokata otsikkoa, päivitä Tammikuu-laskentataulukon solu B1" sqref="B1" xr:uid="{00000000-0002-0000-0700-000005000000}"/>
    <dataValidation allowBlank="1" showInputMessage="1" showErrorMessage="1" prompt="L-kirjain tarkoittaa poissaoloa loman takia" sqref="C2" xr:uid="{2195C3E2-98B0-49E5-B7CD-EAB8EF062A2D}"/>
    <dataValidation allowBlank="1" showInputMessage="1" showErrorMessage="1" prompt="H-kirjain tarkoittaa poissaoloa henkilökohtaisen syyn takia" sqref="F2" xr:uid="{C5A3B9AE-5BA4-4DDD-A84B-F6D93BBB1C0C}"/>
    <dataValidation allowBlank="1" showInputMessage="1" showErrorMessage="1" prompt="S-kirjain tarkoittaa poissaoloa sairauden takia" sqref="K2" xr:uid="{99BEE365-7F89-4C63-AD98-96FF80BCD263}"/>
    <dataValidation allowBlank="1" showInputMessage="1" showErrorMessage="1" prompt="Lisää uusi avainkohde kirjoittamalla kirjain ja mukauttamalla selitettä oikealla" sqref="N2 R2" xr:uid="{DDE16E43-6028-4975-A7B6-A5909A2C936B}"/>
    <dataValidation allowBlank="1" showInputMessage="1" showErrorMessage="1" prompt="Lisää vasemmalla olevan mukautetun avaimen kuvaus kirjoittamalla selite" sqref="O2:Q2 S2:U2" xr:uid="{62B938E8-362A-4200-BA0F-B2FD3F04F53D}"/>
    <dataValidation allowBlank="1" showInputMessage="1" showErrorMessage="1" prompt="Tämä rivi määrittää taulukossa käytettävät avaimet: solu C2 on Loma, F2 on Henkilökohtainen ja K2 on Sairaus. Solut N2 ja R2 ovat muokattavia" sqref="B2" xr:uid="{00000000-0002-0000-0700-00000B000000}"/>
    <dataValidation allowBlank="1" showInputMessage="1" showErrorMessage="1" prompt="Tämän poissaoloaikataulun kuukauden nimi on tässä solussa. Tämän kuukauden poissaolojen kokonaissummat ovat taulukon viimeisessä solussa. Valitse työntekijöiden nimet taulukon sarakkeessa B" sqref="B4" xr:uid="{00000000-0002-0000-0700-00000C000000}"/>
    <dataValidation allowBlank="1" showInputMessage="1" showErrorMessage="1" prompt="Tämän rivin kuukauden päivät luodaan automaattisesti. Anna työntekijän poissaolo ja poissaolotyyppi jokaiseen sarakkeeseen kuukauden jokaista päivää varten. Tyhjä tarkoittaa, ettei poissaoloa ole" sqref="C6" xr:uid="{00000000-0002-0000-0700-00000D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DATEDIF(DATE(Kalenterivuosi,2,1),DATE(Kalenterivuosi,3,1),"d")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'Työntekijöiden nimet'!$B$4:$B$8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4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Työntekijöiden_poissaolon_otsikko</f>
        <v>Työntekijöiden Poissaoloaikataulu</v>
      </c>
    </row>
    <row r="2" spans="2:34" ht="15" customHeight="1" x14ac:dyDescent="0.25">
      <c r="B2" s="19" t="s">
        <v>0</v>
      </c>
      <c r="C2" s="4" t="s">
        <v>8</v>
      </c>
      <c r="D2" s="25" t="s">
        <v>11</v>
      </c>
      <c r="E2" s="25"/>
      <c r="F2" s="5" t="s">
        <v>14</v>
      </c>
      <c r="G2" s="25" t="s">
        <v>18</v>
      </c>
      <c r="H2" s="25"/>
      <c r="I2" s="25"/>
      <c r="J2" s="25"/>
      <c r="K2" s="6" t="s">
        <v>16</v>
      </c>
      <c r="L2" s="25" t="s">
        <v>23</v>
      </c>
      <c r="M2" s="25"/>
      <c r="N2" s="7"/>
      <c r="O2" s="25" t="s">
        <v>27</v>
      </c>
      <c r="P2" s="25"/>
      <c r="Q2" s="25"/>
      <c r="R2" s="8"/>
      <c r="S2" s="25" t="s">
        <v>32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58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Kalenterivuosi</f>
        <v>2019</v>
      </c>
    </row>
    <row r="5" spans="2:34" ht="15" customHeight="1" x14ac:dyDescent="0.25">
      <c r="B5" s="12"/>
      <c r="C5" s="2" t="str">
        <f>TEXT(WEEKDAY(DATE(Kalenterivuosi,9,1),1),"aaa")</f>
        <v>su</v>
      </c>
      <c r="D5" s="2" t="str">
        <f>TEXT(WEEKDAY(DATE(Kalenterivuosi,9,2),1),"aaa")</f>
        <v>ma</v>
      </c>
      <c r="E5" s="2" t="str">
        <f>TEXT(WEEKDAY(DATE(Kalenterivuosi,9,3),1),"aaa")</f>
        <v>ti</v>
      </c>
      <c r="F5" s="2" t="str">
        <f>TEXT(WEEKDAY(DATE(Kalenterivuosi,9,4),1),"aaa")</f>
        <v>ke</v>
      </c>
      <c r="G5" s="2" t="str">
        <f>TEXT(WEEKDAY(DATE(Kalenterivuosi,9,5),1),"aaa")</f>
        <v>to</v>
      </c>
      <c r="H5" s="2" t="str">
        <f>TEXT(WEEKDAY(DATE(Kalenterivuosi,9,6),1),"aaa")</f>
        <v>pe</v>
      </c>
      <c r="I5" s="2" t="str">
        <f>TEXT(WEEKDAY(DATE(Kalenterivuosi,9,7),1),"aaa")</f>
        <v>la</v>
      </c>
      <c r="J5" s="2" t="str">
        <f>TEXT(WEEKDAY(DATE(Kalenterivuosi,9,8),1),"aaa")</f>
        <v>su</v>
      </c>
      <c r="K5" s="2" t="str">
        <f>TEXT(WEEKDAY(DATE(Kalenterivuosi,9,9),1),"aaa")</f>
        <v>ma</v>
      </c>
      <c r="L5" s="2" t="str">
        <f>TEXT(WEEKDAY(DATE(Kalenterivuosi,9,10),1),"aaa")</f>
        <v>ti</v>
      </c>
      <c r="M5" s="2" t="str">
        <f>TEXT(WEEKDAY(DATE(Kalenterivuosi,9,11),1),"aaa")</f>
        <v>ke</v>
      </c>
      <c r="N5" s="2" t="str">
        <f>TEXT(WEEKDAY(DATE(Kalenterivuosi,9,12),1),"aaa")</f>
        <v>to</v>
      </c>
      <c r="O5" s="2" t="str">
        <f>TEXT(WEEKDAY(DATE(Kalenterivuosi,9,13),1),"aaa")</f>
        <v>pe</v>
      </c>
      <c r="P5" s="2" t="str">
        <f>TEXT(WEEKDAY(DATE(Kalenterivuosi,9,14),1),"aaa")</f>
        <v>la</v>
      </c>
      <c r="Q5" s="2" t="str">
        <f>TEXT(WEEKDAY(DATE(Kalenterivuosi,9,15),1),"aaa")</f>
        <v>su</v>
      </c>
      <c r="R5" s="2" t="str">
        <f>TEXT(WEEKDAY(DATE(Kalenterivuosi,9,16),1),"aaa")</f>
        <v>ma</v>
      </c>
      <c r="S5" s="2" t="str">
        <f>TEXT(WEEKDAY(DATE(Kalenterivuosi,9,17),1),"aaa")</f>
        <v>ti</v>
      </c>
      <c r="T5" s="2" t="str">
        <f>TEXT(WEEKDAY(DATE(Kalenterivuosi,9,18),1),"aaa")</f>
        <v>ke</v>
      </c>
      <c r="U5" s="2" t="str">
        <f>TEXT(WEEKDAY(DATE(Kalenterivuosi,9,19),1),"aaa")</f>
        <v>to</v>
      </c>
      <c r="V5" s="2" t="str">
        <f>TEXT(WEEKDAY(DATE(Kalenterivuosi,9,20),1),"aaa")</f>
        <v>pe</v>
      </c>
      <c r="W5" s="2" t="str">
        <f>TEXT(WEEKDAY(DATE(Kalenterivuosi,9,21),1),"aaa")</f>
        <v>la</v>
      </c>
      <c r="X5" s="2" t="str">
        <f>TEXT(WEEKDAY(DATE(Kalenterivuosi,9,22),1),"aaa")</f>
        <v>su</v>
      </c>
      <c r="Y5" s="2" t="str">
        <f>TEXT(WEEKDAY(DATE(Kalenterivuosi,9,23),1),"aaa")</f>
        <v>ma</v>
      </c>
      <c r="Z5" s="2" t="str">
        <f>TEXT(WEEKDAY(DATE(Kalenterivuosi,9,24),1),"aaa")</f>
        <v>ti</v>
      </c>
      <c r="AA5" s="2" t="str">
        <f>TEXT(WEEKDAY(DATE(Kalenterivuosi,9,25),1),"aaa")</f>
        <v>ke</v>
      </c>
      <c r="AB5" s="2" t="str">
        <f>TEXT(WEEKDAY(DATE(Kalenterivuosi,9,26),1),"aaa")</f>
        <v>to</v>
      </c>
      <c r="AC5" s="2" t="str">
        <f>TEXT(WEEKDAY(DATE(Kalenterivuosi,9,27),1),"aaa")</f>
        <v>pe</v>
      </c>
      <c r="AD5" s="2" t="str">
        <f>TEXT(WEEKDAY(DATE(Kalenterivuosi,9,28),1),"aaa")</f>
        <v>la</v>
      </c>
      <c r="AE5" s="2" t="str">
        <f>TEXT(WEEKDAY(DATE(Kalenterivuosi,9,29),1),"aaa")</f>
        <v>su</v>
      </c>
      <c r="AF5" s="2" t="str">
        <f>TEXT(WEEKDAY(DATE(Kalenterivuosi,9,30),1),"aaa")</f>
        <v>ma</v>
      </c>
      <c r="AG5" s="2"/>
      <c r="AH5" s="12"/>
    </row>
    <row r="6" spans="2:34" ht="15" customHeight="1" x14ac:dyDescent="0.25">
      <c r="B6" s="15" t="s">
        <v>2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6" t="s">
        <v>49</v>
      </c>
    </row>
    <row r="7" spans="2:34" ht="30" customHeight="1" x14ac:dyDescent="0.25">
      <c r="B7" s="1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COUNTA(Syyskuu[[#This Row],[1]:[30]])</f>
        <v>0</v>
      </c>
    </row>
    <row r="8" spans="2:34" ht="30" customHeight="1" x14ac:dyDescent="0.25">
      <c r="B8" s="17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COUNTA(Syyskuu[[#This Row],[1]:[30]])</f>
        <v>0</v>
      </c>
    </row>
    <row r="9" spans="2:34" ht="30" customHeight="1" x14ac:dyDescent="0.25">
      <c r="B9" s="1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COUNTA(Syyskuu[[#This Row],[1]:[30]])</f>
        <v>0</v>
      </c>
    </row>
    <row r="10" spans="2:34" ht="30" customHeight="1" x14ac:dyDescent="0.25">
      <c r="B10" s="17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COUNTA(Syyskuu[[#This Row],[1]:[30]])</f>
        <v>0</v>
      </c>
    </row>
    <row r="11" spans="2:34" ht="30" customHeight="1" x14ac:dyDescent="0.25">
      <c r="B11" s="17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COUNTA(Syyskuu[[#This Row],[1]:[30]])</f>
        <v>0</v>
      </c>
    </row>
    <row r="12" spans="2:34" ht="30" customHeight="1" x14ac:dyDescent="0.25">
      <c r="B12" s="21" t="str">
        <f>Kuukauden_nimi&amp;" Yhteensä"</f>
        <v>Syyskuu Yhteensä</v>
      </c>
      <c r="C12" s="13">
        <f>SUBTOTAL(103,Syyskuu[1])</f>
        <v>0</v>
      </c>
      <c r="D12" s="13">
        <f>SUBTOTAL(103,Syyskuu[2])</f>
        <v>0</v>
      </c>
      <c r="E12" s="13">
        <f>SUBTOTAL(103,Syyskuu[3])</f>
        <v>0</v>
      </c>
      <c r="F12" s="13">
        <f>SUBTOTAL(103,Syyskuu[4])</f>
        <v>0</v>
      </c>
      <c r="G12" s="13">
        <f>SUBTOTAL(103,Syyskuu[5])</f>
        <v>0</v>
      </c>
      <c r="H12" s="13">
        <f>SUBTOTAL(103,Syyskuu[6])</f>
        <v>0</v>
      </c>
      <c r="I12" s="13">
        <f>SUBTOTAL(103,Syyskuu[7])</f>
        <v>0</v>
      </c>
      <c r="J12" s="13">
        <f>SUBTOTAL(103,Syyskuu[8])</f>
        <v>0</v>
      </c>
      <c r="K12" s="13">
        <f>SUBTOTAL(103,Syyskuu[9])</f>
        <v>0</v>
      </c>
      <c r="L12" s="13">
        <f>SUBTOTAL(103,Syyskuu[10])</f>
        <v>0</v>
      </c>
      <c r="M12" s="13">
        <f>SUBTOTAL(103,Syyskuu[11])</f>
        <v>0</v>
      </c>
      <c r="N12" s="13">
        <f>SUBTOTAL(103,Syyskuu[12])</f>
        <v>0</v>
      </c>
      <c r="O12" s="13">
        <f>SUBTOTAL(103,Syyskuu[13])</f>
        <v>0</v>
      </c>
      <c r="P12" s="13">
        <f>SUBTOTAL(103,Syyskuu[14])</f>
        <v>0</v>
      </c>
      <c r="Q12" s="13">
        <f>SUBTOTAL(103,Syyskuu[15])</f>
        <v>0</v>
      </c>
      <c r="R12" s="13">
        <f>SUBTOTAL(103,Syyskuu[16])</f>
        <v>0</v>
      </c>
      <c r="S12" s="13">
        <f>SUBTOTAL(103,Syyskuu[17])</f>
        <v>0</v>
      </c>
      <c r="T12" s="13">
        <f>SUBTOTAL(103,Syyskuu[18])</f>
        <v>0</v>
      </c>
      <c r="U12" s="13">
        <f>SUBTOTAL(103,Syyskuu[19])</f>
        <v>0</v>
      </c>
      <c r="V12" s="13">
        <f>SUBTOTAL(103,Syyskuu[20])</f>
        <v>0</v>
      </c>
      <c r="W12" s="13">
        <f>SUBTOTAL(103,Syyskuu[21])</f>
        <v>0</v>
      </c>
      <c r="X12" s="13">
        <f>SUBTOTAL(103,Syyskuu[22])</f>
        <v>0</v>
      </c>
      <c r="Y12" s="13">
        <f>SUBTOTAL(103,Syyskuu[23])</f>
        <v>0</v>
      </c>
      <c r="Z12" s="13">
        <f>SUBTOTAL(103,Syyskuu[24])</f>
        <v>0</v>
      </c>
      <c r="AA12" s="13">
        <f>SUBTOTAL(103,Syyskuu[25])</f>
        <v>0</v>
      </c>
      <c r="AB12" s="13">
        <f>SUBTOTAL(103,Syyskuu[26])</f>
        <v>0</v>
      </c>
      <c r="AC12" s="13">
        <f>SUBTOTAL(103,Syyskuu[27])</f>
        <v>0</v>
      </c>
      <c r="AD12" s="13">
        <f>SUBTOTAL(103,Syyskuu[28])</f>
        <v>0</v>
      </c>
      <c r="AE12" s="13">
        <f>SUBTOTAL(103,Syyskuu[29])</f>
        <v>0</v>
      </c>
      <c r="AF12" s="13">
        <f>SUBTOTAL(103,Syyskuu[30])</f>
        <v>0</v>
      </c>
      <c r="AG12" s="13">
        <f>SUBTOTAL(103,Syyskuu[[ ]])</f>
        <v>0</v>
      </c>
      <c r="AH12" s="13">
        <f>SUBTOTAL(109,Syyskuu[Päiviä yhteensä])</f>
        <v>0</v>
      </c>
    </row>
  </sheetData>
  <mergeCells count="6">
    <mergeCell ref="C4:AG4"/>
    <mergeCell ref="L2:M2"/>
    <mergeCell ref="O2:Q2"/>
    <mergeCell ref="S2:U2"/>
    <mergeCell ref="D2:E2"/>
    <mergeCell ref="G2:J2"/>
  </mergeCells>
  <conditionalFormatting sqref="C7:AG11">
    <cfRule type="expression" priority="1" stopIfTrue="1">
      <formula>C7=""</formula>
    </cfRule>
  </conditionalFormatting>
  <conditionalFormatting sqref="C7:AG11">
    <cfRule type="expression" dxfId="295" priority="2" stopIfTrue="1">
      <formula>C7=Avain_mukautettu_2</formula>
    </cfRule>
    <cfRule type="expression" dxfId="294" priority="3" stopIfTrue="1">
      <formula>C7=Avain_mukautettu_1</formula>
    </cfRule>
    <cfRule type="expression" dxfId="293" priority="4" stopIfTrue="1">
      <formula>C7=Avain_sairaus</formula>
    </cfRule>
    <cfRule type="expression" dxfId="292" priority="5" stopIfTrue="1">
      <formula>C7=Avain_henkilökohtainen</formula>
    </cfRule>
    <cfRule type="expression" dxfId="291" priority="6" stopIfTrue="1">
      <formula>C7=Avain_loma</formula>
    </cfRule>
  </conditionalFormatting>
  <conditionalFormatting sqref="AH7:AH11">
    <cfRule type="dataBar" priority="7">
      <dataBar>
        <cfvo type="min"/>
        <cfvo type="formula" val="DATEDIF(DATE(Kalenterivuosi,2,1),DATE(Kalenterivuosi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Tämän rivin kuukauden päivät luodaan automaattisesti. Anna työntekijän poissaolo ja poissaolotyyppi jokaiseen sarakkeeseen kuukauden jokaista päivää varten. Tyhjä tarkoittaa, ettei poissaoloa ole" sqref="C6" xr:uid="{00000000-0002-0000-0800-000000000000}"/>
    <dataValidation allowBlank="1" showInputMessage="1" showErrorMessage="1" prompt="Tämän poissaoloaikataulun kuukauden nimi on tässä solussa. Tämän kuukauden poissaolojen kokonaissummat ovat taulukon viimeisessä solussa. Valitse työntekijöiden nimet taulukon sarakkeessa B" sqref="B4" xr:uid="{00000000-0002-0000-0800-000001000000}"/>
    <dataValidation allowBlank="1" showInputMessage="1" showErrorMessage="1" prompt="Tämä rivi määrittää taulukossa käytettävät avaimet: solu C2 on Loma, F2 on Henkilökohtainen ja K2 on Sairaus. Solut N2 ja R2 ovat muokattavia" sqref="B2" xr:uid="{00000000-0002-0000-0800-000002000000}"/>
    <dataValidation allowBlank="1" showInputMessage="1" showErrorMessage="1" prompt="Lisää vasemmalla olevan mukautetun avaimen kuvaus kirjoittamalla selite" sqref="O2:Q2 S2:U2" xr:uid="{35820EDB-AF39-4286-9C15-13955785575C}"/>
    <dataValidation allowBlank="1" showInputMessage="1" showErrorMessage="1" prompt="Lisää uusi avainkohde kirjoittamalla kirjain ja mukauttamalla selitettä oikealla" sqref="N2 R2" xr:uid="{179E62BF-9518-4E97-A220-56FC9E9B9062}"/>
    <dataValidation allowBlank="1" showInputMessage="1" showErrorMessage="1" prompt="S-kirjain tarkoittaa poissaoloa sairauden takia" sqref="K2" xr:uid="{07CB35AB-7AC7-41F5-8476-DB569D5695EE}"/>
    <dataValidation allowBlank="1" showInputMessage="1" showErrorMessage="1" prompt="H-kirjain tarkoittaa poissaoloa henkilökohtaisen syyn takia" sqref="F2" xr:uid="{B2BF0DD6-7FBB-4351-88F6-CA4F0E7FDA40}"/>
    <dataValidation allowBlank="1" showInputMessage="1" showErrorMessage="1" prompt="L-kirjain tarkoittaa poissaoloa loman takia" sqref="C2" xr:uid="{F9EBFE91-30DE-4CF8-97EA-4A72BBF2BB23}"/>
    <dataValidation allowBlank="1" showInputMessage="1" showErrorMessage="1" prompt="Automaattisesti päivitettävä otsikko on tässä solussa. Jos haluat muokata otsikkoa, päivitä Tammikuu-laskentataulukon solu B1" sqref="B1" xr:uid="{00000000-0002-0000-0800-000008000000}"/>
    <dataValidation errorStyle="warning" allowBlank="1" showInputMessage="1" showErrorMessage="1" error="Valitse nimi luettelosta. Valitse PERUUTA, paina ALT+ALANUOLI ja valitse sitten nimi painamalla ENTER" prompt="Anna työntekijöiden nimet Työntekijöiden nimet -laskentataulukkoon ja valitse luettelosta jokin nimi tässä sarakkeessa. Paina ALT+ALANUOLI ja valitse sitten nimi painamalla ENTER" sqref="B6" xr:uid="{00000000-0002-0000-0800-000009000000}"/>
    <dataValidation allowBlank="1" showInputMessage="1" showErrorMessage="1" prompt="Seuraa syyskuun poissaoloja tämän laskentataulukon avulla" sqref="A1" xr:uid="{00000000-0002-0000-0800-00000A000000}"/>
    <dataValidation allowBlank="1" showInputMessage="1" showErrorMessage="1" prompt="Laskee automaattisesti tähän sarakkeeseen päivien kokonaismäärän, jonka työntekijä oli poissa tässä kuussa" sqref="AH6" xr:uid="{00000000-0002-0000-0800-00000B000000}"/>
    <dataValidation allowBlank="1" showInputMessage="1" showErrorMessage="1" prompt="Tammikuu-laskentataulukkoon lisätyn vuoden perusteella automaattisesti päivitettävä vuosi." sqref="AH4" xr:uid="{00000000-0002-0000-0800-00000C000000}"/>
    <dataValidation allowBlank="1" showInputMessage="1" showErrorMessage="1" prompt="Tämän rivin viikonpäivät päivittyvät automaattisesti solussa AH4 olevan vuoden mukaan. Kuukauden jokainen päivä on sarake, johon merkitään työntekijän poissaolo ja poissaolotyyppi" sqref="C5" xr:uid="{00000000-0002-0000-0800-00000D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DATEDIF(DATE(Kalenterivuosi,2,1),DATE(Kalenterivuosi,3,1),"d")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'Työntekijöiden nimet'!$B$4:$B$8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50</vt:i4>
      </vt:variant>
    </vt:vector>
  </HeadingPairs>
  <TitlesOfParts>
    <vt:vector size="63" baseType="lpstr"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  <vt:lpstr>Työntekijöiden nimet</vt:lpstr>
      <vt:lpstr>Avaimen_nimi</vt:lpstr>
      <vt:lpstr>Avain_henkilökohtainen</vt:lpstr>
      <vt:lpstr>Avain_henkilökohtainen_otsikko</vt:lpstr>
      <vt:lpstr>Avain_loma</vt:lpstr>
      <vt:lpstr>Avain_loma_otsikko</vt:lpstr>
      <vt:lpstr>Avain_mukautettu_1</vt:lpstr>
      <vt:lpstr>Avain_mukautettu_1_otsikko</vt:lpstr>
      <vt:lpstr>Avain_mukautettu_2</vt:lpstr>
      <vt:lpstr>Avain_mukautettu_2_otsikko</vt:lpstr>
      <vt:lpstr>Avain_sairaus</vt:lpstr>
      <vt:lpstr>Avain_sairaus_otsikko</vt:lpstr>
      <vt:lpstr>Kalenterivuosi</vt:lpstr>
      <vt:lpstr>Elokuu!Kuukauden_nimi</vt:lpstr>
      <vt:lpstr>Heinäkuu!Kuukauden_nimi</vt:lpstr>
      <vt:lpstr>Helmikuu!Kuukauden_nimi</vt:lpstr>
      <vt:lpstr>Huhtikuu!Kuukauden_nimi</vt:lpstr>
      <vt:lpstr>Joulukuu!Kuukauden_nimi</vt:lpstr>
      <vt:lpstr>Kesäkuu!Kuukauden_nimi</vt:lpstr>
      <vt:lpstr>Lokakuu!Kuukauden_nimi</vt:lpstr>
      <vt:lpstr>Maaliskuu!Kuukauden_nimi</vt:lpstr>
      <vt:lpstr>Marraskuu!Kuukauden_nimi</vt:lpstr>
      <vt:lpstr>Syyskuu!Kuukauden_nimi</vt:lpstr>
      <vt:lpstr>Tammikuu!Kuukauden_nimi</vt:lpstr>
      <vt:lpstr>Toukokuu!Kuukauden_nimi</vt:lpstr>
      <vt:lpstr>Otsikko_1</vt:lpstr>
      <vt:lpstr>Otsikko_10</vt:lpstr>
      <vt:lpstr>Otsikko_11</vt:lpstr>
      <vt:lpstr>Otsikko_12</vt:lpstr>
      <vt:lpstr>Otsikko_2</vt:lpstr>
      <vt:lpstr>Otsikko_3</vt:lpstr>
      <vt:lpstr>Otsikko_4</vt:lpstr>
      <vt:lpstr>Otsikko_5</vt:lpstr>
      <vt:lpstr>Otsikko_6</vt:lpstr>
      <vt:lpstr>Otsikko_7</vt:lpstr>
      <vt:lpstr>Otsikko_8</vt:lpstr>
      <vt:lpstr>Otsikko_9</vt:lpstr>
      <vt:lpstr>Elokuu!Print_Titles</vt:lpstr>
      <vt:lpstr>Heinäkuu!Print_Titles</vt:lpstr>
      <vt:lpstr>Helmikuu!Print_Titles</vt:lpstr>
      <vt:lpstr>Huhtikuu!Print_Titles</vt:lpstr>
      <vt:lpstr>Joulukuu!Print_Titles</vt:lpstr>
      <vt:lpstr>Kesäkuu!Print_Titles</vt:lpstr>
      <vt:lpstr>Lokakuu!Print_Titles</vt:lpstr>
      <vt:lpstr>Maaliskuu!Print_Titles</vt:lpstr>
      <vt:lpstr>Marraskuu!Print_Titles</vt:lpstr>
      <vt:lpstr>Syyskuu!Print_Titles</vt:lpstr>
      <vt:lpstr>Tammikuu!Print_Titles</vt:lpstr>
      <vt:lpstr>Toukokuu!Print_Titles</vt:lpstr>
      <vt:lpstr>Sarakeotsikko13</vt:lpstr>
      <vt:lpstr>Työntekijöiden_poissaolon_otsikko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2016-12-06T04:52:27Z</dcterms:created>
  <dcterms:modified xsi:type="dcterms:W3CDTF">2019-09-02T09:35:43Z</dcterms:modified>
</cp:coreProperties>
</file>